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drawings/drawing6.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7 (Nilton Honório)/"/>
    </mc:Choice>
  </mc:AlternateContent>
  <xr:revisionPtr revIDLastSave="4461" documentId="13_ncr:1_{7A3CF313-EF6D-4535-BD64-737EF6D323AE}" xr6:coauthVersionLast="47" xr6:coauthVersionMax="47" xr10:uidLastSave="{75AC5475-57C0-41F1-9DCE-85DD952D5790}"/>
  <bookViews>
    <workbookView minimized="1" xWindow="530" yWindow="300" windowWidth="9780" windowHeight="10080" tabRatio="777" activeTab="6"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Inputs" sheetId="9" r:id="rId8"/>
    <sheet name="WACC" sheetId="6" r:id="rId9"/>
    <sheet name="Multiples" sheetId="11" r:id="rId10"/>
    <sheet name="Sensitivity" sheetId="27" r:id="rId11"/>
    <sheet name="PEERS_INPUTS" sheetId="51" r:id="rId12"/>
    <sheet name="GAAP" sheetId="29" r:id="rId13"/>
    <sheet name="Lucros" sheetId="30" r:id="rId14"/>
    <sheet name="Valor da empresa" sheetId="31" r:id="rId15"/>
    <sheet name="ratios" sheetId="32" r:id="rId16"/>
    <sheet name="Renda - Cf. divulgad" sheetId="33" r:id="rId17"/>
    <sheet name="Balance Sheet" sheetId="34" r:id="rId18"/>
    <sheet name="Fluxo de caixa - Cf. divulgad" sheetId="35" r:id="rId19"/>
    <sheet name="Crescimento" sheetId="36" r:id="rId20"/>
    <sheet name="Crédito" sheetId="37" r:id="rId21"/>
    <sheet name="Liquidez" sheetId="38" r:id="rId22"/>
    <sheet name="Analise de Rendimento" sheetId="39" r:id="rId23"/>
    <sheet name="Analise Dupont" sheetId="40" r:id="rId24"/>
    <sheet name="Por medida" sheetId="41" r:id="rId25"/>
    <sheet name="Por area geografica" sheetId="42" r:id="rId26"/>
    <sheet name="Por Segmento" sheetId="43" r:id="rId27"/>
    <sheet name="ESG resumo" sheetId="44" r:id="rId28"/>
    <sheet name="ESG indices" sheetId="45" r:id="rId29"/>
    <sheet name="Distribuicao de divida" sheetId="46" r:id="rId30"/>
    <sheet name="Suply chain" sheetId="47" r:id="rId31"/>
    <sheet name="WACC1" sheetId="48" r:id="rId32"/>
    <sheet name="CAP" sheetId="49" r:id="rId33"/>
    <sheet name="Dividendos" sheetId="50" r:id="rId34"/>
  </sheets>
  <definedNames>
    <definedName name="_xlchart.v1.3" hidden="1">Sensitivity!$B$56:$B$10055</definedName>
    <definedName name="_xlchart.v5.0" hidden="1">Segments!$B$5</definedName>
    <definedName name="_xlchart.v5.1" hidden="1">Segments!$B$6:$B$10</definedName>
    <definedName name="_xlchart.v5.2" hidden="1">Segments!$D$6:$D$10</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7" hidden="1">{"'Sheet1'!$A$1:$H$145"}</definedName>
    <definedName name="HTML_Control" localSheetId="9" hidden="1">{"'Sheet1'!$A$1:$H$145"}</definedName>
    <definedName name="HTML_Control" localSheetId="3" hidden="1">{"'Sheet1'!$A$1:$H$145"}</definedName>
    <definedName name="HTML_Control" localSheetId="1"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8" l="1"/>
  <c r="O56" i="8"/>
  <c r="P56" i="8"/>
  <c r="Q56" i="8"/>
  <c r="M56" i="8"/>
  <c r="I53" i="8"/>
  <c r="J53" i="8"/>
  <c r="K53" i="8"/>
  <c r="L53" i="8"/>
  <c r="M53" i="8"/>
  <c r="N53" i="8"/>
  <c r="O53" i="8"/>
  <c r="P53" i="8"/>
  <c r="Q53" i="8"/>
  <c r="H53" i="8"/>
  <c r="D14" i="17"/>
  <c r="A12" i="17"/>
  <c r="M33" i="17"/>
  <c r="F127" i="17"/>
  <c r="I36" i="17"/>
  <c r="H36" i="17"/>
  <c r="G36" i="17"/>
  <c r="F36" i="17"/>
  <c r="I35" i="17"/>
  <c r="H35" i="17"/>
  <c r="G35" i="17"/>
  <c r="F35" i="17"/>
  <c r="I68" i="17"/>
  <c r="I67" i="17"/>
  <c r="I66" i="17"/>
  <c r="I65" i="17"/>
  <c r="I64" i="17"/>
  <c r="I63" i="17"/>
  <c r="I62" i="17"/>
  <c r="I61" i="17"/>
  <c r="F85" i="17" a="1"/>
  <c r="F85" i="17" s="1"/>
  <c r="F74" i="17" a="1"/>
  <c r="F74" i="17" s="1"/>
  <c r="F75" i="17" s="1"/>
  <c r="F68" i="17"/>
  <c r="F67" i="17"/>
  <c r="F66" i="17"/>
  <c r="F65" i="17"/>
  <c r="F64" i="17"/>
  <c r="F63" i="17"/>
  <c r="F62" i="17"/>
  <c r="F61" i="17"/>
  <c r="F56" i="17"/>
  <c r="F55" i="17"/>
  <c r="F54" i="17"/>
  <c r="F53" i="17"/>
  <c r="F52" i="17"/>
  <c r="F48" i="17"/>
  <c r="F47" i="17"/>
  <c r="F46" i="17"/>
  <c r="F42" i="17"/>
  <c r="F41" i="17"/>
  <c r="F40" i="17"/>
  <c r="F34" i="17"/>
  <c r="F33" i="17"/>
  <c r="F32" i="17"/>
  <c r="F31" i="17"/>
  <c r="I9" i="17"/>
  <c r="H9" i="17"/>
  <c r="G9" i="17"/>
  <c r="F9" i="17"/>
  <c r="E9" i="17"/>
  <c r="D9" i="17"/>
  <c r="A9" i="17"/>
  <c r="O9" i="17" s="1" a="1"/>
  <c r="O9" i="17" s="1"/>
  <c r="G102" i="9"/>
  <c r="H102" i="9"/>
  <c r="I102" i="9"/>
  <c r="J102" i="9"/>
  <c r="K102" i="9"/>
  <c r="L102" i="9"/>
  <c r="M102" i="9"/>
  <c r="N102" i="9"/>
  <c r="O102" i="9"/>
  <c r="P102" i="9"/>
  <c r="Q102" i="9"/>
  <c r="I30" i="8"/>
  <c r="F7" i="8"/>
  <c r="L7" i="8"/>
  <c r="K11" i="4"/>
  <c r="L11" i="4"/>
  <c r="M11" i="4"/>
  <c r="N11" i="4"/>
  <c r="N19" i="4"/>
  <c r="M19" i="4"/>
  <c r="L19" i="4"/>
  <c r="K19" i="4"/>
  <c r="D19" i="4"/>
  <c r="A8" i="17"/>
  <c r="C8" i="17" s="1" a="1"/>
  <c r="C8" i="17" s="1"/>
  <c r="H47" i="9"/>
  <c r="I47" i="9"/>
  <c r="J47" i="9"/>
  <c r="Q13" i="9"/>
  <c r="D132" i="17"/>
  <c r="D131" i="17"/>
  <c r="D130" i="17"/>
  <c r="D129" i="17"/>
  <c r="D128" i="17"/>
  <c r="D126" i="17"/>
  <c r="D119" i="17"/>
  <c r="D118" i="17"/>
  <c r="D115" i="17"/>
  <c r="D114" i="17"/>
  <c r="D113" i="17"/>
  <c r="D112" i="17"/>
  <c r="D111" i="17"/>
  <c r="D107" i="17"/>
  <c r="D106" i="17"/>
  <c r="D104" i="17"/>
  <c r="D98" i="17"/>
  <c r="D97" i="17"/>
  <c r="D94" i="17"/>
  <c r="D93" i="17"/>
  <c r="G165" i="8"/>
  <c r="F165" i="8"/>
  <c r="E165" i="8"/>
  <c r="G163" i="8"/>
  <c r="F163" i="8"/>
  <c r="E163" i="8"/>
  <c r="G158" i="8"/>
  <c r="F158" i="8"/>
  <c r="E158" i="8"/>
  <c r="G156" i="8"/>
  <c r="F156" i="8"/>
  <c r="E156" i="8"/>
  <c r="G153" i="8"/>
  <c r="F153" i="8"/>
  <c r="E153" i="8"/>
  <c r="G150" i="8"/>
  <c r="F150" i="8"/>
  <c r="E150" i="8"/>
  <c r="G147" i="8"/>
  <c r="F147" i="8"/>
  <c r="E147" i="8"/>
  <c r="G145" i="8"/>
  <c r="F145" i="8"/>
  <c r="E145" i="8"/>
  <c r="G138" i="8"/>
  <c r="F138" i="8"/>
  <c r="E138" i="8"/>
  <c r="G136" i="8"/>
  <c r="F136" i="8"/>
  <c r="E136" i="8"/>
  <c r="G132" i="8"/>
  <c r="F132" i="8"/>
  <c r="E132" i="8"/>
  <c r="G125" i="8"/>
  <c r="F125" i="8"/>
  <c r="E125" i="8"/>
  <c r="G110" i="8"/>
  <c r="F110" i="8"/>
  <c r="E110" i="8"/>
  <c r="G103" i="8"/>
  <c r="F103" i="8"/>
  <c r="E103" i="8"/>
  <c r="G101" i="8"/>
  <c r="F101" i="8"/>
  <c r="E101" i="8"/>
  <c r="G100" i="8"/>
  <c r="F100" i="8"/>
  <c r="E100" i="8"/>
  <c r="G93" i="8"/>
  <c r="F93" i="8"/>
  <c r="E93" i="8"/>
  <c r="G90" i="8"/>
  <c r="F90" i="8"/>
  <c r="E90" i="8"/>
  <c r="G78" i="8"/>
  <c r="F78" i="8"/>
  <c r="E78" i="8"/>
  <c r="G74" i="8"/>
  <c r="F74" i="8"/>
  <c r="E74" i="8"/>
  <c r="G71" i="8"/>
  <c r="F71" i="8"/>
  <c r="E71" i="8"/>
  <c r="G68" i="8"/>
  <c r="F68" i="8"/>
  <c r="E68" i="8"/>
  <c r="G65" i="8"/>
  <c r="F65" i="8"/>
  <c r="E65" i="8"/>
  <c r="G56" i="8"/>
  <c r="F56" i="8"/>
  <c r="E56" i="8"/>
  <c r="G53" i="8"/>
  <c r="F53" i="8"/>
  <c r="E53" i="8"/>
  <c r="G45" i="8"/>
  <c r="F45" i="8"/>
  <c r="E45" i="8"/>
  <c r="G42" i="8"/>
  <c r="F42" i="8"/>
  <c r="E42" i="8"/>
  <c r="G39" i="8"/>
  <c r="F39" i="8"/>
  <c r="E39" i="8"/>
  <c r="G33" i="8"/>
  <c r="F33" i="8"/>
  <c r="E33" i="8"/>
  <c r="G30" i="8"/>
  <c r="F30" i="8"/>
  <c r="E30" i="8"/>
  <c r="D30" i="8"/>
  <c r="P64" i="11"/>
  <c r="O64" i="11"/>
  <c r="O43" i="19" s="1"/>
  <c r="N64" i="11"/>
  <c r="N43" i="19" s="1"/>
  <c r="M64" i="11"/>
  <c r="L64" i="11"/>
  <c r="K64" i="11"/>
  <c r="J64" i="11"/>
  <c r="I64" i="11"/>
  <c r="H64" i="11"/>
  <c r="G64" i="11"/>
  <c r="F64" i="11"/>
  <c r="P62" i="11"/>
  <c r="O62" i="11"/>
  <c r="N62" i="11"/>
  <c r="M62" i="11"/>
  <c r="L62" i="11"/>
  <c r="K62" i="11"/>
  <c r="J62" i="11"/>
  <c r="I62" i="11"/>
  <c r="H62" i="11"/>
  <c r="G62" i="11"/>
  <c r="F62" i="11"/>
  <c r="P61" i="11"/>
  <c r="O61" i="11"/>
  <c r="N61" i="11"/>
  <c r="M61" i="11"/>
  <c r="L61" i="11"/>
  <c r="K61" i="11"/>
  <c r="J61" i="11"/>
  <c r="I61" i="11"/>
  <c r="H61" i="11"/>
  <c r="G61" i="11"/>
  <c r="F61" i="11"/>
  <c r="P60" i="11"/>
  <c r="O60" i="11"/>
  <c r="N60" i="11"/>
  <c r="M60" i="11"/>
  <c r="L60" i="11"/>
  <c r="K60" i="11"/>
  <c r="J60" i="11"/>
  <c r="I60" i="11"/>
  <c r="H60" i="11"/>
  <c r="G60" i="11"/>
  <c r="F60" i="11"/>
  <c r="P59" i="11"/>
  <c r="O59" i="11"/>
  <c r="N59" i="11"/>
  <c r="M59" i="11"/>
  <c r="L59" i="11"/>
  <c r="K59" i="11"/>
  <c r="J59" i="11"/>
  <c r="I59" i="11"/>
  <c r="H59" i="11"/>
  <c r="G59" i="11"/>
  <c r="F59" i="11"/>
  <c r="P55" i="11"/>
  <c r="O55" i="11"/>
  <c r="N55" i="11"/>
  <c r="M55" i="11"/>
  <c r="L55" i="11"/>
  <c r="K55" i="11"/>
  <c r="J55" i="11"/>
  <c r="I55" i="11"/>
  <c r="H55" i="11"/>
  <c r="G55" i="11"/>
  <c r="F55" i="11"/>
  <c r="P29" i="11"/>
  <c r="P38" i="19" s="1"/>
  <c r="O29" i="11"/>
  <c r="O38" i="19" s="1"/>
  <c r="N29" i="11"/>
  <c r="N38" i="19" s="1"/>
  <c r="M29" i="11"/>
  <c r="L29" i="11"/>
  <c r="K29" i="11"/>
  <c r="J29" i="11"/>
  <c r="I29" i="11"/>
  <c r="H29" i="11"/>
  <c r="G29" i="11"/>
  <c r="F29"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U15" i="19"/>
  <c r="U14" i="19"/>
  <c r="L9" i="27"/>
  <c r="K9" i="27"/>
  <c r="L8" i="27"/>
  <c r="K8" i="27"/>
  <c r="V35" i="19"/>
  <c r="V34" i="19"/>
  <c r="V32" i="19"/>
  <c r="V33" i="19"/>
  <c r="O53" i="11"/>
  <c r="P53" i="11" s="1"/>
  <c r="H53" i="11"/>
  <c r="I53" i="11" s="1"/>
  <c r="J53" i="11" s="1"/>
  <c r="K53" i="11" s="1"/>
  <c r="L53" i="11" s="1"/>
  <c r="M53" i="11" s="1"/>
  <c r="G53" i="11"/>
  <c r="I17" i="17"/>
  <c r="I16" i="17"/>
  <c r="I15" i="17"/>
  <c r="I14" i="17"/>
  <c r="I13" i="17"/>
  <c r="I12" i="17"/>
  <c r="I11" i="17"/>
  <c r="I10" i="17"/>
  <c r="H17" i="17"/>
  <c r="H16" i="17"/>
  <c r="H15" i="17"/>
  <c r="H14" i="17"/>
  <c r="H13" i="17"/>
  <c r="H12" i="17"/>
  <c r="H11" i="17"/>
  <c r="H10" i="17"/>
  <c r="H8" i="17"/>
  <c r="G17" i="17"/>
  <c r="G16" i="17"/>
  <c r="G15" i="17"/>
  <c r="G14" i="17"/>
  <c r="G13" i="17"/>
  <c r="G12" i="17"/>
  <c r="G11" i="17"/>
  <c r="G10" i="17"/>
  <c r="G8" i="17"/>
  <c r="F17" i="17"/>
  <c r="F16" i="17"/>
  <c r="F15" i="17"/>
  <c r="F14" i="17"/>
  <c r="F13" i="17"/>
  <c r="F12" i="17"/>
  <c r="F11" i="17"/>
  <c r="F10" i="17"/>
  <c r="F8" i="17"/>
  <c r="E17" i="17"/>
  <c r="E16" i="17"/>
  <c r="E15" i="17"/>
  <c r="E14" i="17"/>
  <c r="E13" i="17"/>
  <c r="E12" i="17"/>
  <c r="E11" i="17"/>
  <c r="E10" i="17"/>
  <c r="E8" i="17"/>
  <c r="D17" i="17"/>
  <c r="D16" i="17"/>
  <c r="D15" i="17"/>
  <c r="D13" i="17"/>
  <c r="D12" i="17"/>
  <c r="D11" i="17"/>
  <c r="D10" i="17"/>
  <c r="D8" i="17"/>
  <c r="N85" i="17" a="1"/>
  <c r="N85" i="17" s="1"/>
  <c r="M85" i="17" a="1"/>
  <c r="M85" i="17" s="1"/>
  <c r="L85" i="17" a="1"/>
  <c r="L85" i="17" s="1"/>
  <c r="K85" i="17" a="1"/>
  <c r="K85" i="17" s="1"/>
  <c r="J85" i="17" a="1"/>
  <c r="J85" i="17" s="1"/>
  <c r="I85" i="17" a="1"/>
  <c r="I85" i="17" s="1"/>
  <c r="H85" i="17" a="1"/>
  <c r="H85" i="17" s="1"/>
  <c r="G85" i="17" a="1"/>
  <c r="G85" i="17" s="1"/>
  <c r="E85" i="17" a="1"/>
  <c r="E85" i="17" s="1"/>
  <c r="N74" i="17" a="1"/>
  <c r="N74" i="17" s="1"/>
  <c r="N75" i="17" s="1"/>
  <c r="M74" i="17" a="1"/>
  <c r="M74" i="17" s="1"/>
  <c r="M75" i="17" s="1"/>
  <c r="L74" i="17" a="1"/>
  <c r="L74" i="17" s="1"/>
  <c r="L75" i="17" s="1"/>
  <c r="K74" i="17" a="1"/>
  <c r="K74" i="17" s="1"/>
  <c r="K75" i="17" s="1"/>
  <c r="J74" i="17" a="1"/>
  <c r="J74" i="17" s="1"/>
  <c r="J75" i="17" s="1"/>
  <c r="I74" i="17" a="1"/>
  <c r="I74" i="17" s="1"/>
  <c r="I75" i="17" s="1"/>
  <c r="H74" i="17" a="1"/>
  <c r="H74" i="17" s="1"/>
  <c r="H75" i="17" s="1"/>
  <c r="G74" i="17" a="1"/>
  <c r="G74" i="17" s="1"/>
  <c r="G75" i="17" s="1"/>
  <c r="E74" i="17" a="1"/>
  <c r="E74" i="17" s="1"/>
  <c r="E75" i="17" s="1"/>
  <c r="E69" i="3"/>
  <c r="E63" i="3"/>
  <c r="E57" i="3"/>
  <c r="E51" i="3"/>
  <c r="E44" i="3"/>
  <c r="D12" i="4"/>
  <c r="D11" i="4"/>
  <c r="D10" i="4"/>
  <c r="D9" i="4"/>
  <c r="D8" i="4"/>
  <c r="D7" i="4"/>
  <c r="Q258" i="8"/>
  <c r="Q259" i="8" s="1"/>
  <c r="P258" i="8"/>
  <c r="P259" i="8" s="1"/>
  <c r="O258" i="8"/>
  <c r="O259" i="8" s="1"/>
  <c r="N258" i="8"/>
  <c r="N259" i="8" s="1"/>
  <c r="M258" i="8"/>
  <c r="M259" i="8" s="1"/>
  <c r="L258" i="8"/>
  <c r="L259" i="8" s="1"/>
  <c r="K258" i="8"/>
  <c r="K259" i="8" s="1"/>
  <c r="J258" i="8"/>
  <c r="J259" i="8" s="1"/>
  <c r="I258" i="8"/>
  <c r="I259" i="8" s="1"/>
  <c r="H258" i="8"/>
  <c r="H259" i="8" s="1"/>
  <c r="Q210" i="8" a="1"/>
  <c r="Q210" i="8" s="1"/>
  <c r="Q207" i="8" a="1"/>
  <c r="Q207" i="8" s="1"/>
  <c r="P43" i="19"/>
  <c r="Q121" i="9"/>
  <c r="P121" i="9"/>
  <c r="O34" i="11" s="1"/>
  <c r="O121" i="9"/>
  <c r="N34" i="11" s="1"/>
  <c r="N121" i="9"/>
  <c r="M34" i="11" s="1"/>
  <c r="M121" i="9"/>
  <c r="L34" i="11" s="1"/>
  <c r="L121" i="9"/>
  <c r="K34" i="11" s="1"/>
  <c r="K121" i="9"/>
  <c r="J34" i="11" s="1"/>
  <c r="J121" i="9"/>
  <c r="I34" i="11" s="1"/>
  <c r="I121" i="9"/>
  <c r="H34" i="11" s="1"/>
  <c r="H121" i="9"/>
  <c r="G34" i="11" s="1"/>
  <c r="G121" i="9"/>
  <c r="F34" i="11" s="1"/>
  <c r="Q120" i="9"/>
  <c r="P120" i="9"/>
  <c r="O35" i="11" s="1"/>
  <c r="O120" i="9"/>
  <c r="N35" i="11" s="1"/>
  <c r="N120" i="9"/>
  <c r="M35" i="11" s="1"/>
  <c r="M120" i="9"/>
  <c r="L35" i="11" s="1"/>
  <c r="L120" i="9"/>
  <c r="K35" i="11" s="1"/>
  <c r="K120" i="9"/>
  <c r="J35" i="11" s="1"/>
  <c r="J120" i="9"/>
  <c r="I35" i="11" s="1"/>
  <c r="I120" i="9"/>
  <c r="H35" i="11" s="1"/>
  <c r="H120" i="9"/>
  <c r="G35" i="11" s="1"/>
  <c r="G120" i="9"/>
  <c r="F35" i="11" s="1"/>
  <c r="Q119" i="9"/>
  <c r="P119" i="9"/>
  <c r="O33" i="11" s="1"/>
  <c r="O119" i="9"/>
  <c r="N33" i="11" s="1"/>
  <c r="N119" i="9"/>
  <c r="M33" i="11" s="1"/>
  <c r="M119" i="9"/>
  <c r="L33" i="11" s="1"/>
  <c r="L119" i="9"/>
  <c r="K33" i="11" s="1"/>
  <c r="K119" i="9"/>
  <c r="J33" i="11" s="1"/>
  <c r="J119" i="9"/>
  <c r="I33" i="11" s="1"/>
  <c r="I119" i="9"/>
  <c r="H33" i="11" s="1"/>
  <c r="H119" i="9"/>
  <c r="G33" i="11" s="1"/>
  <c r="G119" i="9"/>
  <c r="F33" i="11" s="1"/>
  <c r="Q115" i="9"/>
  <c r="P115" i="9"/>
  <c r="F118" i="8" s="1"/>
  <c r="O115" i="9"/>
  <c r="E118" i="8" s="1"/>
  <c r="N115" i="9"/>
  <c r="M115" i="9"/>
  <c r="L115" i="9"/>
  <c r="K115" i="9"/>
  <c r="J115" i="9"/>
  <c r="I115" i="9"/>
  <c r="H115" i="9"/>
  <c r="G115" i="9"/>
  <c r="Q114" i="9"/>
  <c r="P114" i="9"/>
  <c r="F116" i="8" s="1"/>
  <c r="O114" i="9"/>
  <c r="E116" i="8" s="1"/>
  <c r="N114" i="9"/>
  <c r="M114" i="9"/>
  <c r="L114" i="9"/>
  <c r="K114" i="9"/>
  <c r="J114" i="9"/>
  <c r="I114" i="9"/>
  <c r="H114" i="9"/>
  <c r="G114" i="9"/>
  <c r="M79" i="9"/>
  <c r="V73" i="19"/>
  <c r="V72" i="19"/>
  <c r="V71" i="19"/>
  <c r="V70" i="19"/>
  <c r="V69" i="19"/>
  <c r="V68" i="19"/>
  <c r="V67" i="19"/>
  <c r="V66" i="19"/>
  <c r="V65" i="19"/>
  <c r="V64" i="19"/>
  <c r="V63" i="19"/>
  <c r="V62" i="19"/>
  <c r="V61" i="19"/>
  <c r="N67" i="17"/>
  <c r="M67" i="17"/>
  <c r="L67" i="17"/>
  <c r="K67" i="17"/>
  <c r="J67" i="17"/>
  <c r="H67" i="17"/>
  <c r="G67" i="17"/>
  <c r="E67" i="17"/>
  <c r="K16" i="27"/>
  <c r="K15" i="27"/>
  <c r="K14" i="27"/>
  <c r="K13" i="27"/>
  <c r="K12" i="27"/>
  <c r="N66" i="17"/>
  <c r="M66" i="17"/>
  <c r="L66" i="17"/>
  <c r="K66" i="17"/>
  <c r="J66" i="17"/>
  <c r="H66" i="17"/>
  <c r="G66" i="17"/>
  <c r="E66" i="17"/>
  <c r="J98" i="9" a="1"/>
  <c r="G116" i="8" l="1"/>
  <c r="G118" i="8"/>
  <c r="P33" i="11"/>
  <c r="P35" i="11"/>
  <c r="P34" i="11"/>
  <c r="J9" i="17" a="1"/>
  <c r="J9" i="17" s="1"/>
  <c r="K9" i="17" a="1"/>
  <c r="K9" i="17" s="1"/>
  <c r="B9" i="17" a="1"/>
  <c r="B9" i="17" s="1"/>
  <c r="B8" i="28" s="1"/>
  <c r="L9" i="17" a="1"/>
  <c r="L9" i="17" s="1"/>
  <c r="M9" i="17" a="1"/>
  <c r="M9" i="17" s="1"/>
  <c r="N9" i="17" a="1"/>
  <c r="N9" i="17" s="1"/>
  <c r="J98" i="9"/>
  <c r="F19" i="27"/>
  <c r="D17" i="27"/>
  <c r="F10" i="27"/>
  <c r="H8" i="27"/>
  <c r="E7" i="27"/>
  <c r="H11" i="27"/>
  <c r="G8" i="27"/>
  <c r="F8" i="27"/>
  <c r="H9" i="27"/>
  <c r="F9" i="27"/>
  <c r="H7" i="27"/>
  <c r="H10" i="27"/>
  <c r="G7" i="27"/>
  <c r="G10" i="27"/>
  <c r="F7" i="27"/>
  <c r="E19" i="27"/>
  <c r="E10" i="27"/>
  <c r="D7" i="27"/>
  <c r="F18" i="27"/>
  <c r="E8" i="27"/>
  <c r="E18" i="27"/>
  <c r="G9" i="27"/>
  <c r="L14" i="27"/>
  <c r="L13" i="27"/>
  <c r="D19" i="27"/>
  <c r="G11" i="27"/>
  <c r="D10" i="27"/>
  <c r="F11" i="27"/>
  <c r="E11" i="27"/>
  <c r="D8" i="27"/>
  <c r="D18" i="27"/>
  <c r="F17" i="27"/>
  <c r="E9" i="27"/>
  <c r="L12" i="27"/>
  <c r="D11" i="27"/>
  <c r="E17" i="27"/>
  <c r="D9" i="27"/>
  <c r="L15" i="27"/>
  <c r="N63" i="17"/>
  <c r="M63" i="17"/>
  <c r="L63" i="17"/>
  <c r="K63" i="17"/>
  <c r="J63" i="17"/>
  <c r="H63" i="17"/>
  <c r="G63" i="17"/>
  <c r="E63" i="17"/>
  <c r="I105" i="9"/>
  <c r="J105" i="9" s="1"/>
  <c r="K105" i="9" s="1"/>
  <c r="L105" i="9" s="1"/>
  <c r="M105" i="9" s="1"/>
  <c r="N105" i="9" s="1"/>
  <c r="O105" i="9" s="1"/>
  <c r="P105" i="9" s="1"/>
  <c r="Q105" i="9" s="1"/>
  <c r="N65" i="17"/>
  <c r="M65" i="17"/>
  <c r="L65" i="17"/>
  <c r="K65" i="17"/>
  <c r="J65" i="17"/>
  <c r="H65" i="17"/>
  <c r="G65" i="17"/>
  <c r="E65" i="17"/>
  <c r="L98" i="9" a="1"/>
  <c r="Q98" i="9" a="1"/>
  <c r="G98" i="9" a="1"/>
  <c r="M98" i="9" a="1"/>
  <c r="H98" i="9" a="1"/>
  <c r="O98" i="9" a="1"/>
  <c r="K98" i="9" a="1"/>
  <c r="N98" i="9" a="1"/>
  <c r="I98" i="9" a="1"/>
  <c r="P98" i="9" a="1"/>
  <c r="H98" i="9" l="1"/>
  <c r="O98" i="9"/>
  <c r="I98" i="9"/>
  <c r="H7" i="11" s="1"/>
  <c r="N98" i="9"/>
  <c r="M7" i="11" s="1"/>
  <c r="L98" i="9"/>
  <c r="K7" i="11" s="1"/>
  <c r="K98" i="9"/>
  <c r="J7" i="11" s="1"/>
  <c r="M98" i="9"/>
  <c r="L7" i="11" s="1"/>
  <c r="P98" i="9"/>
  <c r="O7" i="11" s="1"/>
  <c r="Q98" i="9"/>
  <c r="P7" i="11" s="1"/>
  <c r="G98" i="9"/>
  <c r="F7" i="11" s="1"/>
  <c r="I7" i="11"/>
  <c r="N7" i="11"/>
  <c r="G7" i="11"/>
  <c r="AN292" i="8"/>
  <c r="AN282" i="8"/>
  <c r="G64" i="17"/>
  <c r="H64" i="17"/>
  <c r="J64" i="17"/>
  <c r="K64" i="17"/>
  <c r="L64" i="17"/>
  <c r="M64" i="17"/>
  <c r="N64" i="17"/>
  <c r="E68" i="17"/>
  <c r="G68" i="17"/>
  <c r="H68" i="17"/>
  <c r="J68" i="17"/>
  <c r="K68" i="17"/>
  <c r="L68" i="17"/>
  <c r="M68" i="17"/>
  <c r="N68" i="17"/>
  <c r="E64" i="17"/>
  <c r="Q86" i="28" l="1"/>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s="1"/>
  <c r="J74" i="28" s="1"/>
  <c r="K74" i="28" s="1"/>
  <c r="L74" i="28" s="1"/>
  <c r="M74" i="28" s="1"/>
  <c r="N74" i="28" s="1"/>
  <c r="O74" i="28" s="1"/>
  <c r="P74" i="28" s="1"/>
  <c r="Q74" i="28" s="1"/>
  <c r="H25" i="17"/>
  <c r="N36" i="17"/>
  <c r="M36" i="17"/>
  <c r="L36" i="17"/>
  <c r="K36" i="17"/>
  <c r="J36" i="17"/>
  <c r="E36" i="17"/>
  <c r="N35" i="17"/>
  <c r="M35" i="17"/>
  <c r="L35" i="17"/>
  <c r="K35" i="17"/>
  <c r="J35" i="17"/>
  <c r="E35" i="17"/>
  <c r="N34" i="17"/>
  <c r="M34" i="17"/>
  <c r="L34" i="17"/>
  <c r="K34" i="17"/>
  <c r="J34" i="17"/>
  <c r="I34" i="17"/>
  <c r="H34" i="17"/>
  <c r="G34" i="17"/>
  <c r="E34" i="17"/>
  <c r="N33" i="17"/>
  <c r="L33" i="17"/>
  <c r="K33" i="17"/>
  <c r="J33" i="17"/>
  <c r="I33" i="17"/>
  <c r="H33" i="17"/>
  <c r="G33" i="17"/>
  <c r="E33" i="17"/>
  <c r="N32" i="17"/>
  <c r="M32" i="17"/>
  <c r="L32" i="17"/>
  <c r="K32" i="17"/>
  <c r="J32" i="17"/>
  <c r="I32" i="17"/>
  <c r="H32" i="17"/>
  <c r="G32" i="17"/>
  <c r="E32" i="17"/>
  <c r="N31" i="17"/>
  <c r="M31" i="17"/>
  <c r="L31" i="17"/>
  <c r="K31" i="17"/>
  <c r="J31" i="17"/>
  <c r="I31" i="17"/>
  <c r="H31" i="17"/>
  <c r="G31" i="17"/>
  <c r="E31" i="17"/>
  <c r="N41" i="17"/>
  <c r="M41" i="17"/>
  <c r="L41" i="17"/>
  <c r="K41" i="17"/>
  <c r="J41" i="17"/>
  <c r="I41" i="17"/>
  <c r="H41" i="17"/>
  <c r="G41" i="17"/>
  <c r="E41" i="17"/>
  <c r="N40" i="17"/>
  <c r="M40" i="17"/>
  <c r="L40" i="17"/>
  <c r="K40" i="17"/>
  <c r="J40" i="17"/>
  <c r="I40" i="17"/>
  <c r="H40" i="17"/>
  <c r="G40" i="17"/>
  <c r="E40" i="17"/>
  <c r="N48" i="17"/>
  <c r="M48" i="17"/>
  <c r="L48" i="17"/>
  <c r="K48" i="17"/>
  <c r="J48" i="17"/>
  <c r="I48" i="17"/>
  <c r="H48" i="17"/>
  <c r="G48" i="17"/>
  <c r="E48" i="17"/>
  <c r="N47" i="17"/>
  <c r="M47" i="17"/>
  <c r="L47" i="17"/>
  <c r="K47" i="17"/>
  <c r="J47" i="17"/>
  <c r="I47" i="17"/>
  <c r="H47" i="17"/>
  <c r="G47" i="17"/>
  <c r="E47" i="17"/>
  <c r="N46" i="17"/>
  <c r="M46" i="17"/>
  <c r="L46" i="17"/>
  <c r="K46" i="17"/>
  <c r="J46" i="17"/>
  <c r="I46" i="17"/>
  <c r="H46" i="17"/>
  <c r="G46" i="17"/>
  <c r="E46" i="17"/>
  <c r="O78" i="17"/>
  <c r="O77" i="17"/>
  <c r="O76" i="17"/>
  <c r="O69" i="17"/>
  <c r="N62" i="17"/>
  <c r="M62" i="17"/>
  <c r="L62" i="17"/>
  <c r="K62" i="17"/>
  <c r="J62" i="17"/>
  <c r="H62" i="17"/>
  <c r="G62" i="17"/>
  <c r="E62" i="17"/>
  <c r="N61" i="17"/>
  <c r="M61" i="17"/>
  <c r="L61" i="17"/>
  <c r="K61" i="17"/>
  <c r="J61" i="17"/>
  <c r="H61" i="17"/>
  <c r="G61" i="17"/>
  <c r="E61" i="17"/>
  <c r="D6" i="4"/>
  <c r="H60" i="28"/>
  <c r="I60" i="28" s="1"/>
  <c r="J60" i="28" s="1"/>
  <c r="K60" i="28" s="1"/>
  <c r="L60" i="28" s="1"/>
  <c r="M60" i="28" s="1"/>
  <c r="N60" i="28" s="1"/>
  <c r="O60" i="28" s="1"/>
  <c r="P60" i="28" s="1"/>
  <c r="Q60" i="28" s="1"/>
  <c r="H46" i="28"/>
  <c r="I46" i="28" s="1"/>
  <c r="J46" i="28" s="1"/>
  <c r="K46" i="28" s="1"/>
  <c r="L46" i="28" s="1"/>
  <c r="M46" i="28" s="1"/>
  <c r="N46" i="28" s="1"/>
  <c r="O46" i="28" s="1"/>
  <c r="P46" i="28" s="1"/>
  <c r="Q46" i="28" s="1"/>
  <c r="H18" i="28"/>
  <c r="I18" i="28" s="1"/>
  <c r="J18" i="28" s="1"/>
  <c r="K18" i="28" s="1"/>
  <c r="L18" i="28" s="1"/>
  <c r="M18" i="28" s="1"/>
  <c r="N18" i="28" s="1"/>
  <c r="O18" i="28" s="1"/>
  <c r="P18" i="28" s="1"/>
  <c r="Q18" i="28" s="1"/>
  <c r="H32" i="28"/>
  <c r="I32" i="28" s="1"/>
  <c r="J32" i="28" s="1"/>
  <c r="K32" i="28" s="1"/>
  <c r="L32" i="28" s="1"/>
  <c r="M32" i="28" s="1"/>
  <c r="N32" i="28" s="1"/>
  <c r="O32" i="28" s="1"/>
  <c r="P32" i="28" s="1"/>
  <c r="Q32" i="28" s="1"/>
  <c r="H4" i="28"/>
  <c r="D13" i="4" l="1"/>
  <c r="I4" i="28"/>
  <c r="J14" i="6"/>
  <c r="K14" i="6"/>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G17" i="19"/>
  <c r="H17" i="19" s="1"/>
  <c r="I17" i="19" s="1"/>
  <c r="H25" i="19"/>
  <c r="D27" i="19"/>
  <c r="D28" i="19" s="1"/>
  <c r="D29" i="19" s="1"/>
  <c r="D30" i="19" s="1"/>
  <c r="D31" i="19" s="1"/>
  <c r="D32" i="19" s="1"/>
  <c r="D33" i="19" s="1"/>
  <c r="O80" i="17"/>
  <c r="O71" i="17"/>
  <c r="O50" i="17"/>
  <c r="O44" i="17"/>
  <c r="O38" i="17"/>
  <c r="O59" i="17" s="1"/>
  <c r="H27" i="17"/>
  <c r="H26" i="17"/>
  <c r="H24" i="17"/>
  <c r="U9" i="19" a="1"/>
  <c r="G9" i="6" a="1"/>
  <c r="D6" i="19" a="1"/>
  <c r="J4" i="28" l="1"/>
  <c r="G9" i="6"/>
  <c r="G15" i="6"/>
  <c r="D6" i="19"/>
  <c r="U9" i="19"/>
  <c r="O47" i="11"/>
  <c r="P47" i="11" s="1"/>
  <c r="Q47" i="11" s="1"/>
  <c r="R47" i="11" s="1"/>
  <c r="G47" i="11"/>
  <c r="H47" i="11" s="1"/>
  <c r="I47" i="11" s="1"/>
  <c r="J47" i="11" s="1"/>
  <c r="K47" i="11" s="1"/>
  <c r="L47" i="11" s="1"/>
  <c r="M47" i="11" s="1"/>
  <c r="O38" i="11"/>
  <c r="P38" i="11" s="1"/>
  <c r="Q38" i="11" s="1"/>
  <c r="R38" i="11" s="1"/>
  <c r="G38" i="11"/>
  <c r="H38" i="11" s="1"/>
  <c r="I38" i="11" s="1"/>
  <c r="J38" i="11" s="1"/>
  <c r="K38" i="11" s="1"/>
  <c r="L38" i="11" s="1"/>
  <c r="M38" i="11" s="1"/>
  <c r="O31" i="11"/>
  <c r="P31" i="11" s="1"/>
  <c r="Q31" i="11" s="1"/>
  <c r="R31" i="11" s="1"/>
  <c r="G31" i="11"/>
  <c r="H31" i="11" s="1"/>
  <c r="I31" i="11" s="1"/>
  <c r="J31" i="11" s="1"/>
  <c r="K31" i="11" s="1"/>
  <c r="L31" i="11" s="1"/>
  <c r="M31" i="11" s="1"/>
  <c r="O25" i="11"/>
  <c r="P25" i="11" s="1"/>
  <c r="Q25" i="11" s="1"/>
  <c r="R25" i="11" s="1"/>
  <c r="G25" i="11"/>
  <c r="H25" i="11" s="1"/>
  <c r="I25" i="11" s="1"/>
  <c r="J25" i="11" s="1"/>
  <c r="K25" i="11" s="1"/>
  <c r="L25" i="11" s="1"/>
  <c r="M25" i="11" s="1"/>
  <c r="O13" i="11"/>
  <c r="P13" i="11" s="1"/>
  <c r="Q13" i="11" s="1"/>
  <c r="R13" i="11" s="1"/>
  <c r="G13" i="11"/>
  <c r="H13" i="11" s="1"/>
  <c r="I13" i="11" s="1"/>
  <c r="J13" i="11" s="1"/>
  <c r="K13" i="11" s="1"/>
  <c r="L13" i="11" s="1"/>
  <c r="M13" i="11" s="1"/>
  <c r="G4" i="11"/>
  <c r="H4" i="11" s="1"/>
  <c r="I4" i="11" s="1"/>
  <c r="J4" i="11" s="1"/>
  <c r="K4" i="11" s="1"/>
  <c r="L4" i="11" s="1"/>
  <c r="M4" i="11" s="1"/>
  <c r="F11" i="3"/>
  <c r="O73" i="17"/>
  <c r="N56" i="17"/>
  <c r="M56" i="17"/>
  <c r="L56" i="17"/>
  <c r="K56" i="17"/>
  <c r="J56" i="17"/>
  <c r="I56" i="17"/>
  <c r="H56" i="17"/>
  <c r="G56" i="17"/>
  <c r="E56" i="17"/>
  <c r="N55" i="17"/>
  <c r="M55" i="17"/>
  <c r="L55" i="17"/>
  <c r="K55" i="17"/>
  <c r="J55" i="17"/>
  <c r="I55" i="17"/>
  <c r="H55" i="17"/>
  <c r="G55" i="17"/>
  <c r="E55" i="17"/>
  <c r="N54" i="17"/>
  <c r="M54" i="17"/>
  <c r="L54" i="17"/>
  <c r="K54" i="17"/>
  <c r="J54" i="17"/>
  <c r="I54" i="17"/>
  <c r="H54" i="17"/>
  <c r="G54" i="17"/>
  <c r="E54" i="17"/>
  <c r="N53" i="17"/>
  <c r="M53" i="17"/>
  <c r="L53" i="17"/>
  <c r="K53" i="17"/>
  <c r="J53" i="17"/>
  <c r="I53" i="17"/>
  <c r="H53" i="17"/>
  <c r="G53" i="17"/>
  <c r="E53" i="17"/>
  <c r="N52" i="17"/>
  <c r="M52" i="17"/>
  <c r="L52" i="17"/>
  <c r="K52" i="17"/>
  <c r="J52" i="17"/>
  <c r="I52" i="17"/>
  <c r="H52" i="17"/>
  <c r="G52" i="17"/>
  <c r="E52" i="17"/>
  <c r="N42" i="17"/>
  <c r="M42" i="17"/>
  <c r="L42" i="17"/>
  <c r="K42" i="17"/>
  <c r="J42" i="17"/>
  <c r="I42" i="17"/>
  <c r="H42" i="17"/>
  <c r="G42" i="17"/>
  <c r="E42" i="17"/>
  <c r="E99" i="17"/>
  <c r="A17" i="17"/>
  <c r="A16" i="17"/>
  <c r="A15" i="17"/>
  <c r="A14" i="17"/>
  <c r="A13" i="17"/>
  <c r="A11" i="17"/>
  <c r="A10" i="17"/>
  <c r="D91" i="17"/>
  <c r="A6" i="17" s="1"/>
  <c r="B6" i="17" s="1" a="1"/>
  <c r="B6" i="17" s="1"/>
  <c r="B6" i="28" s="1"/>
  <c r="Q53" i="11"/>
  <c r="R53" i="11" s="1"/>
  <c r="S203" i="8"/>
  <c r="R203" i="8"/>
  <c r="S202" i="8"/>
  <c r="R202" i="8"/>
  <c r="W8" i="8"/>
  <c r="W9" i="8" s="1"/>
  <c r="W10" i="8" s="1"/>
  <c r="W11" i="8" s="1"/>
  <c r="W12" i="8" s="1"/>
  <c r="W13" i="8" s="1"/>
  <c r="W14" i="8" s="1"/>
  <c r="H62" i="8"/>
  <c r="Q62" i="8"/>
  <c r="P62" i="8"/>
  <c r="O62" i="8"/>
  <c r="N62" i="8"/>
  <c r="M62" i="8"/>
  <c r="L62" i="8"/>
  <c r="K62" i="8"/>
  <c r="J62" i="8"/>
  <c r="I62" i="8"/>
  <c r="H111" i="9"/>
  <c r="I111" i="9" s="1"/>
  <c r="J111" i="9" s="1"/>
  <c r="K111" i="9" s="1"/>
  <c r="L111" i="9" s="1"/>
  <c r="M111" i="9" s="1"/>
  <c r="N111" i="9" s="1"/>
  <c r="O111" i="9" s="1"/>
  <c r="P111" i="9" s="1"/>
  <c r="Q111" i="9" s="1"/>
  <c r="N13" i="9"/>
  <c r="N67" i="9" s="1"/>
  <c r="M13" i="9"/>
  <c r="M67" i="9" s="1"/>
  <c r="I13" i="9"/>
  <c r="I67" i="9" s="1"/>
  <c r="P13" i="9"/>
  <c r="F50" i="8" s="1"/>
  <c r="L13" i="9"/>
  <c r="L67" i="9" s="1"/>
  <c r="K13" i="9"/>
  <c r="K67" i="9" s="1"/>
  <c r="J13" i="9"/>
  <c r="J67" i="9" s="1"/>
  <c r="H13" i="9"/>
  <c r="G13" i="9"/>
  <c r="N76" i="9"/>
  <c r="M58" i="11" s="1"/>
  <c r="M76" i="9"/>
  <c r="L58" i="11" s="1"/>
  <c r="I76" i="9"/>
  <c r="H58" i="11" s="1"/>
  <c r="G76" i="9"/>
  <c r="F58" i="11" s="1"/>
  <c r="Q76" i="9"/>
  <c r="H55" i="9"/>
  <c r="I55" i="9"/>
  <c r="L55" i="9"/>
  <c r="N55" i="9"/>
  <c r="I50" i="9"/>
  <c r="M50" i="9"/>
  <c r="Q50" i="9"/>
  <c r="H32" i="9"/>
  <c r="K32" i="9"/>
  <c r="L32" i="9"/>
  <c r="P55" i="9"/>
  <c r="M55" i="9"/>
  <c r="I17" i="9"/>
  <c r="G8" i="9"/>
  <c r="F21" i="11" s="1"/>
  <c r="Q49" i="11"/>
  <c r="Q54" i="19" s="1"/>
  <c r="B28" i="3" a="1"/>
  <c r="H67" i="9" l="1"/>
  <c r="M100" i="9"/>
  <c r="I100" i="9"/>
  <c r="K28" i="11"/>
  <c r="L99" i="9"/>
  <c r="J28" i="11"/>
  <c r="K99" i="9"/>
  <c r="G28" i="11"/>
  <c r="H99" i="9"/>
  <c r="C16" i="17" a="1"/>
  <c r="C16" i="17" s="1"/>
  <c r="B16" i="17" a="1"/>
  <c r="B16" i="17" s="1"/>
  <c r="C14" i="17" a="1"/>
  <c r="C14" i="17" s="1"/>
  <c r="B14" i="17" a="1"/>
  <c r="B14" i="17" s="1"/>
  <c r="B13" i="28" s="1"/>
  <c r="C17" i="17" a="1"/>
  <c r="C17" i="17" s="1"/>
  <c r="B17" i="17" a="1"/>
  <c r="B17" i="17" s="1"/>
  <c r="C15" i="17" a="1"/>
  <c r="C15" i="17" s="1"/>
  <c r="B15" i="17" a="1"/>
  <c r="B15" i="17" s="1"/>
  <c r="O17" i="17" a="1"/>
  <c r="O17" i="17" s="1"/>
  <c r="N17" i="17" a="1"/>
  <c r="N17" i="17" s="1"/>
  <c r="M17" i="17" a="1"/>
  <c r="M17" i="17" s="1"/>
  <c r="L17" i="17" a="1"/>
  <c r="L17" i="17" s="1"/>
  <c r="K17" i="17" a="1"/>
  <c r="K17" i="17" s="1"/>
  <c r="J17" i="17" a="1"/>
  <c r="J17" i="17" s="1"/>
  <c r="B37" i="3" a="1"/>
  <c r="B37" i="3" s="1"/>
  <c r="O16" i="17" a="1"/>
  <c r="O16" i="17" s="1"/>
  <c r="N16" i="17" a="1"/>
  <c r="N16" i="17" s="1"/>
  <c r="M16" i="17" a="1"/>
  <c r="M16" i="17" s="1"/>
  <c r="L16" i="17" a="1"/>
  <c r="L16" i="17" s="1"/>
  <c r="K16" i="17" a="1"/>
  <c r="K16" i="17" s="1"/>
  <c r="J16" i="17" a="1"/>
  <c r="J16" i="17" s="1"/>
  <c r="O15" i="17" a="1"/>
  <c r="O15" i="17" s="1"/>
  <c r="N15" i="17" a="1"/>
  <c r="N15" i="17" s="1"/>
  <c r="M15" i="17" a="1"/>
  <c r="M15" i="17" s="1"/>
  <c r="L15" i="17" a="1"/>
  <c r="L15" i="17" s="1"/>
  <c r="K15" i="17" a="1"/>
  <c r="K15" i="17" s="1"/>
  <c r="J15" i="17" a="1"/>
  <c r="J15" i="17" s="1"/>
  <c r="O14" i="17" a="1"/>
  <c r="O14" i="17" s="1"/>
  <c r="N14" i="17" a="1"/>
  <c r="N14" i="17" s="1"/>
  <c r="O13" i="17" a="1"/>
  <c r="O13" i="17" s="1"/>
  <c r="N13" i="17" a="1"/>
  <c r="N13" i="17" s="1"/>
  <c r="M13" i="17" a="1"/>
  <c r="M13" i="17" s="1"/>
  <c r="L13" i="17" a="1"/>
  <c r="L13" i="17" s="1"/>
  <c r="K13" i="17" a="1"/>
  <c r="K13" i="17" s="1"/>
  <c r="J13" i="17" a="1"/>
  <c r="J13" i="17" s="1"/>
  <c r="C13" i="17" a="1"/>
  <c r="C13" i="17" s="1"/>
  <c r="B13" i="17" a="1"/>
  <c r="B13" i="17" s="1"/>
  <c r="B12" i="28" s="1"/>
  <c r="O12" i="17" a="1"/>
  <c r="O12" i="17" s="1"/>
  <c r="N12" i="17" a="1"/>
  <c r="N12" i="17" s="1"/>
  <c r="M12" i="17" a="1"/>
  <c r="M12" i="17" s="1"/>
  <c r="L12" i="17" a="1"/>
  <c r="L12" i="17" s="1"/>
  <c r="K12" i="17" a="1"/>
  <c r="K12" i="17" s="1"/>
  <c r="J12" i="17" a="1"/>
  <c r="J12" i="17" s="1"/>
  <c r="C12" i="17" a="1"/>
  <c r="C12" i="17" s="1"/>
  <c r="J29" i="17" s="1"/>
  <c r="B12" i="17" a="1"/>
  <c r="B12" i="17" s="1"/>
  <c r="B11" i="28" s="1"/>
  <c r="O11" i="17" a="1"/>
  <c r="O11" i="17" s="1"/>
  <c r="N11" i="17" a="1"/>
  <c r="N11" i="17" s="1"/>
  <c r="M11" i="17" a="1"/>
  <c r="M11" i="17" s="1"/>
  <c r="L11" i="17" a="1"/>
  <c r="L11" i="17" s="1"/>
  <c r="K11" i="17" a="1"/>
  <c r="K11" i="17" s="1"/>
  <c r="J11" i="17" a="1"/>
  <c r="J11" i="17" s="1"/>
  <c r="C11" i="17" a="1"/>
  <c r="C11" i="17" s="1"/>
  <c r="B11" i="17" a="1"/>
  <c r="B11" i="17" s="1"/>
  <c r="B10" i="28" s="1"/>
  <c r="O10" i="17" a="1"/>
  <c r="O10" i="17" s="1"/>
  <c r="N10" i="17" a="1"/>
  <c r="N10" i="17" s="1"/>
  <c r="M10" i="17" a="1"/>
  <c r="M10" i="17" s="1"/>
  <c r="L10" i="17" a="1"/>
  <c r="L10" i="17" s="1"/>
  <c r="K10" i="17" a="1"/>
  <c r="K10" i="17" s="1"/>
  <c r="J10" i="17" a="1"/>
  <c r="J10" i="17" s="1"/>
  <c r="C10" i="17" a="1"/>
  <c r="C10" i="17" s="1"/>
  <c r="B10" i="17" a="1"/>
  <c r="B10" i="17" s="1"/>
  <c r="B9" i="28" s="1"/>
  <c r="C9" i="17" a="1"/>
  <c r="C9" i="17" s="1"/>
  <c r="B29" i="3" a="1"/>
  <c r="B29" i="3" s="1"/>
  <c r="B8" i="17" a="1"/>
  <c r="B8" i="17" s="1"/>
  <c r="B7" i="28" s="1"/>
  <c r="O8" i="17" a="1"/>
  <c r="O8" i="17" s="1"/>
  <c r="N8" i="17" a="1"/>
  <c r="N8" i="17" s="1"/>
  <c r="M8" i="17" a="1"/>
  <c r="M8" i="17" s="1"/>
  <c r="L8" i="17" a="1"/>
  <c r="L8" i="17" s="1"/>
  <c r="K8" i="17" a="1"/>
  <c r="K8" i="17" s="1"/>
  <c r="J8" i="17" a="1"/>
  <c r="J8" i="17" s="1"/>
  <c r="D127" i="17"/>
  <c r="G134" i="8"/>
  <c r="G240" i="8" s="1"/>
  <c r="P58" i="11"/>
  <c r="M113" i="9"/>
  <c r="I113" i="9"/>
  <c r="G154" i="8"/>
  <c r="E154" i="8"/>
  <c r="F154" i="8"/>
  <c r="G23" i="6"/>
  <c r="G19" i="6" s="1"/>
  <c r="D85" i="17" a="1"/>
  <c r="D85" i="17" s="1"/>
  <c r="O85" i="17" s="1"/>
  <c r="D74" i="17" a="1"/>
  <c r="D74" i="17" s="1"/>
  <c r="G32" i="9"/>
  <c r="Q55" i="9"/>
  <c r="Q100" i="9" s="1"/>
  <c r="K76" i="9"/>
  <c r="J58" i="11" s="1"/>
  <c r="G50" i="9"/>
  <c r="J76" i="9"/>
  <c r="I58" i="11" s="1"/>
  <c r="G12" i="9"/>
  <c r="L68" i="9"/>
  <c r="K4" i="28"/>
  <c r="H71" i="8"/>
  <c r="P32" i="9"/>
  <c r="P99" i="9" s="1"/>
  <c r="J17" i="9"/>
  <c r="M17" i="9"/>
  <c r="P68" i="9"/>
  <c r="F128" i="8" s="1"/>
  <c r="N17" i="9"/>
  <c r="O32" i="9"/>
  <c r="O99" i="9" s="1"/>
  <c r="L50" i="9"/>
  <c r="L100" i="9" s="1"/>
  <c r="J55" i="9"/>
  <c r="G55" i="9"/>
  <c r="H68" i="9"/>
  <c r="H76" i="9"/>
  <c r="G58" i="11" s="1"/>
  <c r="L76" i="9"/>
  <c r="K58" i="11" s="1"/>
  <c r="G37" i="9"/>
  <c r="L37" i="9"/>
  <c r="AH9" i="8"/>
  <c r="P67" i="9"/>
  <c r="G17" i="9"/>
  <c r="K17" i="9"/>
  <c r="H37" i="9"/>
  <c r="N32" i="9"/>
  <c r="H50" i="9"/>
  <c r="Q32" i="9"/>
  <c r="M32" i="9"/>
  <c r="I32" i="9"/>
  <c r="AI9" i="8"/>
  <c r="N50" i="9"/>
  <c r="N100" i="9" s="1"/>
  <c r="J50" i="9"/>
  <c r="I68" i="9"/>
  <c r="M68" i="9"/>
  <c r="Q68" i="9"/>
  <c r="P76" i="9"/>
  <c r="G67" i="9"/>
  <c r="J32" i="9"/>
  <c r="O50" i="9"/>
  <c r="K37" i="9"/>
  <c r="K50" i="9"/>
  <c r="P50" i="9"/>
  <c r="P100" i="9" s="1"/>
  <c r="O55" i="9"/>
  <c r="K55" i="9"/>
  <c r="G68" i="9"/>
  <c r="K68" i="9"/>
  <c r="O68" i="9"/>
  <c r="E128" i="8" s="1"/>
  <c r="O76" i="9"/>
  <c r="O13" i="9"/>
  <c r="E50" i="8" s="1"/>
  <c r="G50" i="8"/>
  <c r="H17" i="9"/>
  <c r="L17" i="9"/>
  <c r="J68" i="9"/>
  <c r="N68" i="9"/>
  <c r="G57" i="17"/>
  <c r="I27" i="17"/>
  <c r="I26" i="17"/>
  <c r="I25" i="17"/>
  <c r="I24" i="17"/>
  <c r="B28" i="3"/>
  <c r="L57" i="17"/>
  <c r="I57" i="17"/>
  <c r="E57" i="17"/>
  <c r="M57" i="17"/>
  <c r="F57" i="17"/>
  <c r="N57" i="17"/>
  <c r="H57" i="17"/>
  <c r="J57" i="17"/>
  <c r="K57" i="17"/>
  <c r="F123" i="8"/>
  <c r="Q39" i="9"/>
  <c r="P39" i="9"/>
  <c r="P46" i="9" s="1"/>
  <c r="O39" i="9"/>
  <c r="O46" i="9" s="1"/>
  <c r="N39" i="9"/>
  <c r="N46" i="9" s="1"/>
  <c r="M39" i="9"/>
  <c r="M46" i="9" s="1"/>
  <c r="L39" i="9"/>
  <c r="L46" i="9" s="1"/>
  <c r="K39" i="9"/>
  <c r="K46" i="9" s="1"/>
  <c r="J39" i="9"/>
  <c r="J46" i="9" s="1"/>
  <c r="I39" i="9"/>
  <c r="I46" i="9" s="1"/>
  <c r="H39" i="9"/>
  <c r="H46" i="9" s="1"/>
  <c r="G39" i="9"/>
  <c r="G46" i="9" s="1"/>
  <c r="O17" i="9"/>
  <c r="E62" i="8" s="1"/>
  <c r="P17" i="9"/>
  <c r="F62" i="8" s="1"/>
  <c r="G91" i="9"/>
  <c r="H91" i="9"/>
  <c r="I91" i="9"/>
  <c r="J91" i="9"/>
  <c r="K91" i="9"/>
  <c r="L91" i="9"/>
  <c r="M91" i="9"/>
  <c r="N91" i="9"/>
  <c r="O91" i="9"/>
  <c r="E161" i="8" s="1"/>
  <c r="P91" i="9"/>
  <c r="F161" i="8" s="1"/>
  <c r="Q91" i="9"/>
  <c r="Q53" i="9"/>
  <c r="M53" i="9"/>
  <c r="I53" i="9"/>
  <c r="H58" i="9"/>
  <c r="I58" i="9"/>
  <c r="L58" i="9"/>
  <c r="M58" i="9"/>
  <c r="N58" i="9"/>
  <c r="P58" i="9"/>
  <c r="Q58" i="9"/>
  <c r="Q17" i="9"/>
  <c r="O4" i="11"/>
  <c r="P4" i="11" s="1"/>
  <c r="Q4" i="11" s="1"/>
  <c r="H64" i="9"/>
  <c r="I64" i="9" s="1"/>
  <c r="J64" i="9" s="1"/>
  <c r="K64" i="9" s="1"/>
  <c r="L64" i="9" s="1"/>
  <c r="M64" i="9" s="1"/>
  <c r="N64" i="9" s="1"/>
  <c r="O64" i="9" s="1"/>
  <c r="P64" i="9" s="1"/>
  <c r="Q64" i="9" s="1"/>
  <c r="Q45" i="9"/>
  <c r="H45" i="9"/>
  <c r="H30" i="9"/>
  <c r="I30" i="9" s="1"/>
  <c r="J30" i="9" s="1"/>
  <c r="K30" i="9" s="1"/>
  <c r="L30" i="9" s="1"/>
  <c r="M30" i="9" s="1"/>
  <c r="N30" i="9" s="1"/>
  <c r="O30" i="9" s="1"/>
  <c r="P30" i="9" s="1"/>
  <c r="Q30" i="9" s="1"/>
  <c r="H4" i="9"/>
  <c r="E228" i="8"/>
  <c r="E255" i="8" s="1"/>
  <c r="P196" i="8"/>
  <c r="E168" i="8"/>
  <c r="E213" i="8" s="1"/>
  <c r="E121" i="8"/>
  <c r="E84" i="8"/>
  <c r="F28" i="8"/>
  <c r="F15" i="8"/>
  <c r="G15" i="8" s="1"/>
  <c r="H15" i="8" s="1"/>
  <c r="I15" i="8" s="1"/>
  <c r="J15" i="8" s="1"/>
  <c r="K15" i="8" s="1"/>
  <c r="L15" i="8" s="1"/>
  <c r="M15" i="8" s="1"/>
  <c r="N15" i="8" s="1"/>
  <c r="O15" i="8" s="1"/>
  <c r="P15" i="8" s="1"/>
  <c r="Q15" i="8" s="1"/>
  <c r="L10" i="8"/>
  <c r="C13" i="8" s="1"/>
  <c r="F10" i="8"/>
  <c r="B30" i="4"/>
  <c r="B29" i="4"/>
  <c r="I22" i="4"/>
  <c r="H22" i="4"/>
  <c r="G22" i="4"/>
  <c r="F22" i="4"/>
  <c r="E22" i="4"/>
  <c r="N21" i="4"/>
  <c r="M21" i="4"/>
  <c r="L21" i="4"/>
  <c r="K21" i="4"/>
  <c r="D21" i="4"/>
  <c r="N20" i="4"/>
  <c r="M20" i="4"/>
  <c r="L20" i="4"/>
  <c r="K20" i="4"/>
  <c r="D20" i="4"/>
  <c r="N18" i="4"/>
  <c r="M18" i="4"/>
  <c r="L18" i="4"/>
  <c r="K18" i="4"/>
  <c r="D18" i="4"/>
  <c r="N17" i="4"/>
  <c r="M17" i="4"/>
  <c r="L17" i="4"/>
  <c r="K17" i="4"/>
  <c r="D17" i="4"/>
  <c r="L15" i="4"/>
  <c r="M15" i="4" s="1"/>
  <c r="N15" i="4" s="1"/>
  <c r="F15" i="4"/>
  <c r="G15" i="4" s="1"/>
  <c r="H15" i="4" s="1"/>
  <c r="I15" i="4" s="1"/>
  <c r="I13" i="4"/>
  <c r="H13" i="4"/>
  <c r="G13" i="4"/>
  <c r="F13" i="4"/>
  <c r="E13" i="4"/>
  <c r="N10" i="4"/>
  <c r="M10" i="4"/>
  <c r="L10" i="4"/>
  <c r="K10" i="4"/>
  <c r="N9" i="4"/>
  <c r="M9" i="4"/>
  <c r="L9" i="4"/>
  <c r="K9" i="4"/>
  <c r="N8" i="4"/>
  <c r="M8" i="4"/>
  <c r="L8" i="4"/>
  <c r="K8" i="4"/>
  <c r="N7" i="4"/>
  <c r="M7" i="4"/>
  <c r="L7" i="4"/>
  <c r="K7" i="4"/>
  <c r="N6" i="4"/>
  <c r="M6" i="4"/>
  <c r="L6" i="4"/>
  <c r="K6" i="4"/>
  <c r="L4" i="4"/>
  <c r="M4" i="4" s="1"/>
  <c r="N4" i="4" s="1"/>
  <c r="F4" i="4"/>
  <c r="G11" i="3"/>
  <c r="G4" i="3"/>
  <c r="F69" i="8"/>
  <c r="G54" i="8"/>
  <c r="F54" i="8"/>
  <c r="E54" i="8"/>
  <c r="B32" i="3" a="1"/>
  <c r="B38" i="3" a="1"/>
  <c r="B30" i="3" a="1"/>
  <c r="B31" i="3" a="1"/>
  <c r="B36" i="3" a="1"/>
  <c r="B34" i="3" a="1"/>
  <c r="B35" i="3" a="1"/>
  <c r="B33" i="3" a="1"/>
  <c r="J100" i="9" l="1"/>
  <c r="G105" i="8"/>
  <c r="G113" i="8"/>
  <c r="K53" i="9"/>
  <c r="K100" i="9"/>
  <c r="O53" i="9"/>
  <c r="E113" i="8" s="1"/>
  <c r="O100" i="9"/>
  <c r="I28" i="11"/>
  <c r="J99" i="9"/>
  <c r="G128" i="8"/>
  <c r="H28" i="11"/>
  <c r="I99" i="9"/>
  <c r="L28" i="11"/>
  <c r="M99" i="9"/>
  <c r="Q99" i="9"/>
  <c r="H53" i="9"/>
  <c r="H100" i="9"/>
  <c r="M28" i="11"/>
  <c r="N99" i="9"/>
  <c r="G53" i="9"/>
  <c r="G100" i="9"/>
  <c r="D120" i="17"/>
  <c r="F28" i="11"/>
  <c r="G99" i="9"/>
  <c r="J80" i="17"/>
  <c r="J71" i="17"/>
  <c r="J50" i="17"/>
  <c r="J44" i="17"/>
  <c r="J38" i="17"/>
  <c r="J59" i="17" s="1"/>
  <c r="G161" i="8"/>
  <c r="O113" i="9"/>
  <c r="E88" i="8"/>
  <c r="N28" i="11"/>
  <c r="N37" i="19" s="1"/>
  <c r="J113" i="9"/>
  <c r="F88" i="8"/>
  <c r="O28" i="11"/>
  <c r="O37" i="19" s="1"/>
  <c r="F18" i="11"/>
  <c r="F51" i="11"/>
  <c r="F50" i="11"/>
  <c r="Q46" i="9"/>
  <c r="D116" i="17"/>
  <c r="D55" i="17" s="1"/>
  <c r="O55" i="17" s="1"/>
  <c r="F134" i="8"/>
  <c r="F240" i="8" s="1"/>
  <c r="O58" i="11"/>
  <c r="G88" i="8"/>
  <c r="P28" i="11"/>
  <c r="P37" i="19" s="1"/>
  <c r="G69" i="8"/>
  <c r="D102" i="17"/>
  <c r="G62" i="8"/>
  <c r="E134" i="8"/>
  <c r="E240" i="8" s="1"/>
  <c r="N58" i="11"/>
  <c r="J58" i="9"/>
  <c r="Q113" i="9"/>
  <c r="H113" i="9"/>
  <c r="H116" i="9" s="1"/>
  <c r="P113" i="9"/>
  <c r="L113" i="9"/>
  <c r="G51" i="8"/>
  <c r="E69" i="8"/>
  <c r="L53" i="9"/>
  <c r="K113" i="9"/>
  <c r="K116" i="9" s="1"/>
  <c r="N113" i="9"/>
  <c r="N116" i="9" s="1"/>
  <c r="F51" i="8"/>
  <c r="E139" i="8"/>
  <c r="G139" i="8"/>
  <c r="F126" i="8"/>
  <c r="G126" i="8"/>
  <c r="O36" i="11"/>
  <c r="O41" i="19" s="1"/>
  <c r="H45" i="8"/>
  <c r="E126" i="8"/>
  <c r="F36" i="11"/>
  <c r="J36" i="11"/>
  <c r="M36" i="11"/>
  <c r="H74" i="8"/>
  <c r="L36" i="11"/>
  <c r="E6" i="17"/>
  <c r="E18" i="17" s="1"/>
  <c r="E19" i="17" s="1"/>
  <c r="G28" i="3" a="1"/>
  <c r="H54" i="8"/>
  <c r="I54" i="8" s="1"/>
  <c r="D6" i="17"/>
  <c r="D18" i="17" s="1"/>
  <c r="D19" i="17" s="1"/>
  <c r="H39" i="8"/>
  <c r="G36" i="11"/>
  <c r="F139" i="8"/>
  <c r="H36" i="11"/>
  <c r="K36" i="11"/>
  <c r="N36" i="11"/>
  <c r="N41" i="19" s="1"/>
  <c r="I36" i="11"/>
  <c r="N19" i="19"/>
  <c r="V31" i="19"/>
  <c r="G10" i="6"/>
  <c r="C6" i="17" a="1"/>
  <c r="C6" i="17" s="1"/>
  <c r="H4" i="3"/>
  <c r="I4" i="3" s="1"/>
  <c r="G113" i="9"/>
  <c r="O37" i="9"/>
  <c r="E96" i="8" s="1"/>
  <c r="D67" i="17"/>
  <c r="O67" i="17" s="1"/>
  <c r="P53" i="9"/>
  <c r="F113" i="8" s="1"/>
  <c r="N37" i="9"/>
  <c r="P37" i="9"/>
  <c r="F96" i="8" s="1"/>
  <c r="D64" i="17"/>
  <c r="O64" i="17" s="1"/>
  <c r="D68" i="17"/>
  <c r="O68" i="17" s="1"/>
  <c r="D66" i="17"/>
  <c r="O66" i="17" s="1"/>
  <c r="D65" i="17"/>
  <c r="O65" i="17" s="1"/>
  <c r="J53" i="9"/>
  <c r="O58" i="9"/>
  <c r="K58" i="9"/>
  <c r="G25" i="17"/>
  <c r="G58" i="9"/>
  <c r="N53" i="9"/>
  <c r="Q37" i="9"/>
  <c r="L4" i="28"/>
  <c r="D61" i="17"/>
  <c r="O61" i="17" s="1"/>
  <c r="B34" i="3"/>
  <c r="B31" i="3"/>
  <c r="B38" i="3"/>
  <c r="B30" i="3"/>
  <c r="B33" i="3"/>
  <c r="B32" i="3"/>
  <c r="B36" i="3"/>
  <c r="B35" i="3"/>
  <c r="C9" i="27"/>
  <c r="D48" i="17"/>
  <c r="O48" i="17" s="1"/>
  <c r="N18" i="6"/>
  <c r="N17" i="6"/>
  <c r="N12" i="6"/>
  <c r="N16" i="6"/>
  <c r="N15" i="6"/>
  <c r="N9" i="6"/>
  <c r="N14" i="6"/>
  <c r="N13" i="6"/>
  <c r="N11" i="6"/>
  <c r="N10" i="6"/>
  <c r="D46" i="17"/>
  <c r="O46" i="17" s="1"/>
  <c r="D47" i="17"/>
  <c r="O47" i="17" s="1"/>
  <c r="H196" i="8"/>
  <c r="E99" i="8"/>
  <c r="G236" i="8"/>
  <c r="G186" i="8"/>
  <c r="E27" i="19"/>
  <c r="E186" i="8"/>
  <c r="E236" i="8"/>
  <c r="G99" i="8"/>
  <c r="G123" i="8"/>
  <c r="G184" i="8" s="1"/>
  <c r="E26" i="19"/>
  <c r="E31" i="8"/>
  <c r="E102" i="8"/>
  <c r="I28" i="19"/>
  <c r="F236" i="8"/>
  <c r="F186" i="8"/>
  <c r="F242" i="8"/>
  <c r="AC8" i="8" s="1"/>
  <c r="F257" i="8"/>
  <c r="AA8" i="8" s="1"/>
  <c r="D54" i="17"/>
  <c r="O54" i="17" s="1"/>
  <c r="E119" i="8"/>
  <c r="E34" i="8"/>
  <c r="E242" i="8"/>
  <c r="AC7" i="8" s="1"/>
  <c r="E28" i="19"/>
  <c r="D53" i="17"/>
  <c r="O53" i="17" s="1"/>
  <c r="G242" i="8"/>
  <c r="AC9" i="8" s="1"/>
  <c r="G257" i="8"/>
  <c r="AA9" i="8" s="1"/>
  <c r="F99" i="8"/>
  <c r="E257" i="8"/>
  <c r="AA7" i="8" s="1"/>
  <c r="F119" i="8"/>
  <c r="F102" i="8"/>
  <c r="F34" i="8"/>
  <c r="I37" i="9"/>
  <c r="M37" i="9"/>
  <c r="J116" i="9"/>
  <c r="Q116" i="9"/>
  <c r="M116" i="9"/>
  <c r="I116" i="9"/>
  <c r="D52" i="17"/>
  <c r="O52" i="17" s="1"/>
  <c r="O67" i="9"/>
  <c r="D22" i="4"/>
  <c r="N22" i="4"/>
  <c r="G34" i="8"/>
  <c r="G102" i="8"/>
  <c r="Q67" i="9"/>
  <c r="J37" i="9"/>
  <c r="M17" i="6"/>
  <c r="M10" i="6"/>
  <c r="M18" i="6"/>
  <c r="M15" i="6"/>
  <c r="M9" i="6"/>
  <c r="O74" i="17"/>
  <c r="M16" i="6"/>
  <c r="N11" i="3"/>
  <c r="G4" i="4"/>
  <c r="K13" i="4"/>
  <c r="L13" i="4"/>
  <c r="M13" i="4"/>
  <c r="N13" i="4"/>
  <c r="K22" i="4"/>
  <c r="L22" i="4"/>
  <c r="F168" i="8"/>
  <c r="F213" i="8" s="1"/>
  <c r="F121" i="8"/>
  <c r="F84" i="8"/>
  <c r="I45" i="9"/>
  <c r="J45" i="9"/>
  <c r="O45" i="9"/>
  <c r="E105" i="8" s="1"/>
  <c r="P45" i="9"/>
  <c r="F105" i="8" s="1"/>
  <c r="L48" i="9"/>
  <c r="M48" i="9"/>
  <c r="N48" i="9"/>
  <c r="O48" i="9"/>
  <c r="R4" i="11"/>
  <c r="H8" i="9"/>
  <c r="G21" i="11" s="1"/>
  <c r="J8" i="9"/>
  <c r="I21" i="11" s="1"/>
  <c r="L8" i="9"/>
  <c r="K21" i="11" s="1"/>
  <c r="M8" i="9"/>
  <c r="L21" i="11" s="1"/>
  <c r="N8" i="9"/>
  <c r="M21" i="11" s="1"/>
  <c r="K8" i="9"/>
  <c r="J21" i="11" s="1"/>
  <c r="I8" i="9"/>
  <c r="H21" i="11" s="1"/>
  <c r="O8" i="9"/>
  <c r="P8" i="9"/>
  <c r="Q8" i="9"/>
  <c r="G48" i="9"/>
  <c r="K48" i="9"/>
  <c r="G45" i="9"/>
  <c r="K45" i="9"/>
  <c r="L45" i="9"/>
  <c r="P48" i="9"/>
  <c r="M45" i="9"/>
  <c r="Q48" i="9"/>
  <c r="N45" i="9"/>
  <c r="I4" i="9"/>
  <c r="E94" i="8"/>
  <c r="G94" i="8"/>
  <c r="F94" i="8"/>
  <c r="G190" i="8"/>
  <c r="G43" i="8"/>
  <c r="F234" i="8"/>
  <c r="F184" i="8"/>
  <c r="G170" i="8"/>
  <c r="G40" i="8"/>
  <c r="G91" i="8"/>
  <c r="E111" i="8"/>
  <c r="F111" i="8"/>
  <c r="G111" i="8"/>
  <c r="G28" i="8"/>
  <c r="F228" i="8"/>
  <c r="F255" i="8" s="1"/>
  <c r="M22" i="4"/>
  <c r="L11" i="3"/>
  <c r="P11" i="3"/>
  <c r="J11" i="3"/>
  <c r="O11" i="3"/>
  <c r="H11" i="3"/>
  <c r="I11" i="3"/>
  <c r="K11" i="3"/>
  <c r="E11" i="3"/>
  <c r="M11" i="3"/>
  <c r="E51" i="8"/>
  <c r="P24" i="17" a="1"/>
  <c r="H84" i="17" a="1"/>
  <c r="G82" i="17" a="1"/>
  <c r="F83" i="17" a="1"/>
  <c r="I83" i="17" a="1"/>
  <c r="I84" i="17" a="1"/>
  <c r="M83" i="17" a="1"/>
  <c r="J82" i="17" a="1"/>
  <c r="L84" i="17" a="1"/>
  <c r="N82" i="17" a="1"/>
  <c r="G83" i="17" a="1"/>
  <c r="E84" i="17" a="1"/>
  <c r="K83" i="17" a="1"/>
  <c r="G84" i="17" a="1"/>
  <c r="D117" i="17" l="1"/>
  <c r="Q12" i="9"/>
  <c r="G96" i="8"/>
  <c r="H96" i="8" s="1"/>
  <c r="N19" i="6"/>
  <c r="G13" i="6" s="1"/>
  <c r="G16" i="6" s="1"/>
  <c r="G66" i="8"/>
  <c r="O44" i="11"/>
  <c r="D99" i="17"/>
  <c r="G36" i="8"/>
  <c r="P21" i="11"/>
  <c r="P31" i="19" s="1"/>
  <c r="F43" i="11"/>
  <c r="F44" i="11"/>
  <c r="E66" i="8"/>
  <c r="F36" i="8"/>
  <c r="O21" i="11"/>
  <c r="O31" i="19" s="1"/>
  <c r="E36" i="8"/>
  <c r="N21" i="11"/>
  <c r="N31" i="19" s="1"/>
  <c r="L116" i="9"/>
  <c r="D121" i="17"/>
  <c r="F66" i="8"/>
  <c r="G116" i="9"/>
  <c r="F45" i="11" s="1"/>
  <c r="H139" i="8"/>
  <c r="I139" i="8" s="1"/>
  <c r="J139" i="8" s="1"/>
  <c r="K139" i="8" s="1"/>
  <c r="H126" i="8"/>
  <c r="I126" i="8" s="1"/>
  <c r="J126" i="8" s="1"/>
  <c r="K126" i="8" s="1"/>
  <c r="H94" i="8"/>
  <c r="H103" i="8"/>
  <c r="H102" i="8"/>
  <c r="H101" i="8" s="1"/>
  <c r="H153" i="8" s="1"/>
  <c r="H161" i="8"/>
  <c r="P36" i="11"/>
  <c r="P41" i="19" s="1"/>
  <c r="H113" i="8"/>
  <c r="G28" i="3"/>
  <c r="G39" i="3" s="1"/>
  <c r="I34" i="3"/>
  <c r="I33" i="3"/>
  <c r="I32" i="3"/>
  <c r="I31" i="3"/>
  <c r="I38" i="3"/>
  <c r="I30" i="3"/>
  <c r="I37" i="3"/>
  <c r="I29" i="3"/>
  <c r="I36" i="3"/>
  <c r="I35" i="3"/>
  <c r="H111" i="8"/>
  <c r="I111" i="8" s="1"/>
  <c r="J54" i="8"/>
  <c r="K54" i="8" s="1"/>
  <c r="O19" i="19"/>
  <c r="N103" i="9"/>
  <c r="P19" i="19"/>
  <c r="J4" i="3"/>
  <c r="K4" i="3" s="1"/>
  <c r="L4" i="3" s="1"/>
  <c r="M4" i="3" s="1"/>
  <c r="N4" i="3" s="1"/>
  <c r="O4" i="3" s="1"/>
  <c r="P4" i="3" s="1"/>
  <c r="Q4" i="3" s="1"/>
  <c r="G103" i="9"/>
  <c r="G24" i="17"/>
  <c r="G27" i="17"/>
  <c r="G26" i="17"/>
  <c r="O116" i="9"/>
  <c r="K103" i="9"/>
  <c r="I103" i="9"/>
  <c r="AD8" i="8"/>
  <c r="G119" i="8"/>
  <c r="H119" i="8" s="1"/>
  <c r="H118" i="8" s="1"/>
  <c r="M4" i="28"/>
  <c r="P24" i="17"/>
  <c r="B82" i="28"/>
  <c r="M14" i="6"/>
  <c r="B79" i="28"/>
  <c r="M11" i="6"/>
  <c r="B80" i="28"/>
  <c r="M12" i="6"/>
  <c r="B81" i="28"/>
  <c r="M13" i="6"/>
  <c r="L29" i="17"/>
  <c r="B14" i="28"/>
  <c r="B84" i="28" s="1"/>
  <c r="K29" i="17"/>
  <c r="B83" i="28"/>
  <c r="N29" i="17"/>
  <c r="B16" i="28"/>
  <c r="B86" i="28" s="1"/>
  <c r="E29" i="17"/>
  <c r="B77" i="28"/>
  <c r="F29" i="17"/>
  <c r="B78" i="28"/>
  <c r="M29" i="17"/>
  <c r="B15" i="28"/>
  <c r="B85" i="28" s="1"/>
  <c r="L103" i="9"/>
  <c r="M83" i="17"/>
  <c r="J82" i="17"/>
  <c r="K83" i="17"/>
  <c r="I84" i="17"/>
  <c r="I83" i="17"/>
  <c r="L84" i="17"/>
  <c r="N82" i="17"/>
  <c r="G84" i="17"/>
  <c r="G83" i="17"/>
  <c r="G82" i="17"/>
  <c r="H84" i="17"/>
  <c r="F83" i="17"/>
  <c r="E84" i="17"/>
  <c r="H195" i="8"/>
  <c r="I71" i="8"/>
  <c r="D57" i="17"/>
  <c r="O57" i="17" s="1"/>
  <c r="J103" i="9"/>
  <c r="M103" i="9"/>
  <c r="AD9" i="8"/>
  <c r="AD7" i="8"/>
  <c r="G114" i="8"/>
  <c r="I26" i="19"/>
  <c r="I27" i="19"/>
  <c r="E188" i="8"/>
  <c r="G234" i="8"/>
  <c r="H103" i="9"/>
  <c r="H29" i="17"/>
  <c r="F190" i="8"/>
  <c r="E190" i="8"/>
  <c r="G57" i="8"/>
  <c r="E57" i="8"/>
  <c r="F57" i="8"/>
  <c r="P116" i="9"/>
  <c r="AE9" i="8"/>
  <c r="E123" i="8"/>
  <c r="I29" i="17"/>
  <c r="G29" i="17"/>
  <c r="O103" i="9"/>
  <c r="P44" i="11"/>
  <c r="P12" i="9"/>
  <c r="O43" i="11" s="1"/>
  <c r="O12" i="9"/>
  <c r="N44" i="11" s="1"/>
  <c r="I12" i="9"/>
  <c r="H45" i="11" s="1"/>
  <c r="K12" i="9"/>
  <c r="J45" i="11" s="1"/>
  <c r="N12" i="9"/>
  <c r="M12" i="9"/>
  <c r="L45" i="11" s="1"/>
  <c r="L12" i="9"/>
  <c r="J12" i="9"/>
  <c r="I44" i="11" s="1"/>
  <c r="H12" i="9"/>
  <c r="H4" i="4"/>
  <c r="J4" i="9"/>
  <c r="G84" i="8"/>
  <c r="G228" i="8"/>
  <c r="H28" i="8"/>
  <c r="G121" i="8"/>
  <c r="G168" i="8"/>
  <c r="G213" i="8" s="1"/>
  <c r="G188" i="8"/>
  <c r="F188" i="8"/>
  <c r="F84" i="17" a="1"/>
  <c r="J84" i="17" a="1"/>
  <c r="I82" i="17" a="1"/>
  <c r="M84" i="17" a="1"/>
  <c r="E83" i="17" a="1"/>
  <c r="L82" i="17" a="1"/>
  <c r="H83" i="17" a="1"/>
  <c r="K84" i="17" a="1"/>
  <c r="J83" i="17" a="1"/>
  <c r="H82" i="17" a="1"/>
  <c r="M82" i="17" a="1"/>
  <c r="N83" i="17" a="1"/>
  <c r="L83" i="17" a="1"/>
  <c r="N84" i="17" a="1"/>
  <c r="F82" i="17" a="1"/>
  <c r="K82" i="17" a="1"/>
  <c r="E82" i="17" a="1"/>
  <c r="J43" i="11" l="1"/>
  <c r="K51" i="11"/>
  <c r="K18" i="11"/>
  <c r="K50" i="11"/>
  <c r="H8" i="11"/>
  <c r="H6" i="11"/>
  <c r="K43" i="11"/>
  <c r="L51" i="11"/>
  <c r="L50" i="11"/>
  <c r="L18" i="11"/>
  <c r="L44" i="11"/>
  <c r="L43" i="11"/>
  <c r="P43" i="11"/>
  <c r="P49" i="19" s="1"/>
  <c r="J44" i="11"/>
  <c r="K45" i="11"/>
  <c r="K44" i="11"/>
  <c r="I45" i="11"/>
  <c r="H51" i="11"/>
  <c r="H18" i="11"/>
  <c r="H50" i="11"/>
  <c r="H43" i="11"/>
  <c r="H44" i="11"/>
  <c r="E47" i="8"/>
  <c r="N51" i="11"/>
  <c r="N56" i="19" s="1"/>
  <c r="N18" i="11"/>
  <c r="N29" i="19" s="1"/>
  <c r="N50" i="11"/>
  <c r="N55" i="19" s="1"/>
  <c r="G50" i="11"/>
  <c r="G51" i="11"/>
  <c r="G18" i="11"/>
  <c r="M50" i="11"/>
  <c r="M18" i="11"/>
  <c r="M51" i="11"/>
  <c r="D95" i="17"/>
  <c r="F6" i="17" s="1"/>
  <c r="F18" i="17" s="1"/>
  <c r="F19" i="17" s="1"/>
  <c r="F47" i="8"/>
  <c r="O18" i="11"/>
  <c r="O29" i="19" s="1"/>
  <c r="O51" i="11"/>
  <c r="O56" i="19" s="1"/>
  <c r="O50" i="11"/>
  <c r="O55" i="19" s="1"/>
  <c r="G63" i="8"/>
  <c r="O45" i="11"/>
  <c r="H50" i="8"/>
  <c r="H51" i="8" s="1"/>
  <c r="H138" i="8"/>
  <c r="K8" i="11"/>
  <c r="K6" i="11"/>
  <c r="E63" i="8"/>
  <c r="N45" i="11"/>
  <c r="F8" i="11"/>
  <c r="F6" i="11"/>
  <c r="G43" i="11"/>
  <c r="M43" i="11"/>
  <c r="G45" i="11"/>
  <c r="N8" i="11"/>
  <c r="N20" i="19" s="1"/>
  <c r="N6" i="11"/>
  <c r="N18" i="19" s="1"/>
  <c r="L8" i="11"/>
  <c r="L6" i="11"/>
  <c r="I8" i="11"/>
  <c r="I6" i="11"/>
  <c r="J6" i="11"/>
  <c r="J8" i="11"/>
  <c r="M6" i="11"/>
  <c r="M8" i="11"/>
  <c r="I50" i="11"/>
  <c r="I18" i="11"/>
  <c r="I51" i="11"/>
  <c r="J50" i="11"/>
  <c r="J18" i="11"/>
  <c r="J51" i="11"/>
  <c r="D100" i="17"/>
  <c r="G6" i="17" s="1"/>
  <c r="G18" i="17" s="1"/>
  <c r="G19" i="17" s="1"/>
  <c r="G47" i="8"/>
  <c r="P50" i="11"/>
  <c r="P55" i="19" s="1"/>
  <c r="P51" i="11"/>
  <c r="P56" i="19" s="1"/>
  <c r="P18" i="11"/>
  <c r="P29" i="19" s="1"/>
  <c r="G6" i="11"/>
  <c r="G8" i="11"/>
  <c r="N43" i="11"/>
  <c r="N49" i="19" s="1"/>
  <c r="P45" i="11"/>
  <c r="G44" i="11"/>
  <c r="M44" i="11"/>
  <c r="I43" i="11"/>
  <c r="M45" i="11"/>
  <c r="Q34" i="11"/>
  <c r="I102" i="8"/>
  <c r="J102" i="8" s="1"/>
  <c r="Q35" i="11"/>
  <c r="F63" i="8"/>
  <c r="I94" i="8"/>
  <c r="J94" i="8" s="1"/>
  <c r="O49" i="19"/>
  <c r="L126" i="8"/>
  <c r="M126" i="8" s="1"/>
  <c r="N126" i="8" s="1"/>
  <c r="H125" i="8"/>
  <c r="L139" i="8"/>
  <c r="M139" i="8" s="1"/>
  <c r="N139" i="8" s="1"/>
  <c r="I119" i="8"/>
  <c r="J119" i="8" s="1"/>
  <c r="K119" i="8" s="1"/>
  <c r="J111" i="8"/>
  <c r="L54" i="8"/>
  <c r="M54" i="8" s="1"/>
  <c r="Q11" i="3"/>
  <c r="J4" i="27"/>
  <c r="B13" i="27"/>
  <c r="B4" i="27"/>
  <c r="G97" i="8"/>
  <c r="N83" i="17"/>
  <c r="I82" i="17"/>
  <c r="N4" i="28"/>
  <c r="H136" i="8"/>
  <c r="C11" i="27"/>
  <c r="C10" i="27"/>
  <c r="C7" i="27"/>
  <c r="C8" i="27"/>
  <c r="H83" i="17"/>
  <c r="J83" i="17"/>
  <c r="F84" i="17"/>
  <c r="B39" i="28"/>
  <c r="B51" i="28"/>
  <c r="B23" i="28"/>
  <c r="B37" i="28"/>
  <c r="B65" i="28"/>
  <c r="B26" i="28"/>
  <c r="B40" i="28"/>
  <c r="B54" i="28"/>
  <c r="B68" i="28"/>
  <c r="B53" i="28"/>
  <c r="B67" i="28"/>
  <c r="B25" i="28"/>
  <c r="J84" i="17"/>
  <c r="M84" i="17"/>
  <c r="B52" i="28"/>
  <c r="B66" i="28"/>
  <c r="B24" i="28"/>
  <c r="B38" i="28"/>
  <c r="H82" i="17"/>
  <c r="K82" i="17"/>
  <c r="K84" i="17"/>
  <c r="L38" i="17"/>
  <c r="L59" i="17" s="1"/>
  <c r="L44" i="17"/>
  <c r="L50" i="17"/>
  <c r="K80" i="17"/>
  <c r="L71" i="17"/>
  <c r="F80" i="17"/>
  <c r="L80" i="17"/>
  <c r="K50" i="17"/>
  <c r="K71" i="17"/>
  <c r="N80" i="17"/>
  <c r="E38" i="17"/>
  <c r="E59" i="17" s="1"/>
  <c r="M50" i="17"/>
  <c r="M80" i="17"/>
  <c r="K38" i="17"/>
  <c r="K59" i="17" s="1"/>
  <c r="K44" i="17"/>
  <c r="E50" i="17"/>
  <c r="E71" i="17"/>
  <c r="E80" i="17"/>
  <c r="M38" i="17"/>
  <c r="M59" i="17" s="1"/>
  <c r="L83" i="17"/>
  <c r="F82" i="17"/>
  <c r="N84" i="17"/>
  <c r="L82" i="17"/>
  <c r="F44" i="17"/>
  <c r="F50" i="17"/>
  <c r="F71" i="17"/>
  <c r="N44" i="17"/>
  <c r="M44" i="17"/>
  <c r="N38" i="17"/>
  <c r="N59" i="17" s="1"/>
  <c r="M71" i="17"/>
  <c r="N50" i="17"/>
  <c r="B70" i="28"/>
  <c r="B56" i="28"/>
  <c r="B42" i="28"/>
  <c r="B28" i="28"/>
  <c r="E83" i="17"/>
  <c r="M82" i="17"/>
  <c r="E82" i="17"/>
  <c r="F38" i="17"/>
  <c r="F59" i="17" s="1"/>
  <c r="N71" i="17"/>
  <c r="E44" i="17"/>
  <c r="B71" i="28"/>
  <c r="B57" i="28"/>
  <c r="B43" i="28"/>
  <c r="B29" i="28"/>
  <c r="B63" i="28"/>
  <c r="B49" i="28"/>
  <c r="B35" i="28"/>
  <c r="B21" i="28"/>
  <c r="D29" i="17"/>
  <c r="B76" i="28"/>
  <c r="B22" i="28"/>
  <c r="B64" i="28"/>
  <c r="B50" i="28"/>
  <c r="B36" i="28"/>
  <c r="B30" i="28"/>
  <c r="B72" i="28"/>
  <c r="B58" i="28"/>
  <c r="B44" i="28"/>
  <c r="B55" i="28"/>
  <c r="B41" i="28"/>
  <c r="B27" i="28"/>
  <c r="B69" i="28"/>
  <c r="I195" i="8"/>
  <c r="J71" i="8"/>
  <c r="E37" i="8"/>
  <c r="G106" i="8"/>
  <c r="G37" i="8"/>
  <c r="F37" i="8"/>
  <c r="D56" i="17"/>
  <c r="O56" i="17" s="1"/>
  <c r="G80" i="17"/>
  <c r="G71" i="17"/>
  <c r="G50" i="17"/>
  <c r="G44" i="17"/>
  <c r="G38" i="17"/>
  <c r="G59" i="17" s="1"/>
  <c r="I80" i="17"/>
  <c r="I71" i="17"/>
  <c r="I50" i="17"/>
  <c r="I44" i="17"/>
  <c r="I38" i="17"/>
  <c r="I59" i="17" s="1"/>
  <c r="H80" i="17"/>
  <c r="H71" i="17"/>
  <c r="H50" i="17"/>
  <c r="H44" i="17"/>
  <c r="H38" i="17"/>
  <c r="H59" i="17" s="1"/>
  <c r="J16" i="9"/>
  <c r="I9" i="11" s="1"/>
  <c r="I16" i="9"/>
  <c r="H9" i="11" s="1"/>
  <c r="Q16" i="9"/>
  <c r="L16" i="9"/>
  <c r="K9" i="11" s="1"/>
  <c r="O16" i="9"/>
  <c r="N9" i="11" s="1"/>
  <c r="E234" i="8"/>
  <c r="E184" i="8"/>
  <c r="M16" i="9"/>
  <c r="L9" i="11" s="1"/>
  <c r="P16" i="9"/>
  <c r="N16" i="9"/>
  <c r="M9" i="11" s="1"/>
  <c r="G16" i="9"/>
  <c r="H16" i="9"/>
  <c r="K16" i="9"/>
  <c r="J9" i="11" s="1"/>
  <c r="P103" i="9"/>
  <c r="Q103" i="9"/>
  <c r="E106" i="8"/>
  <c r="F106" i="8"/>
  <c r="F91" i="8"/>
  <c r="F97" i="8"/>
  <c r="F43" i="8"/>
  <c r="F170" i="8"/>
  <c r="G31" i="8"/>
  <c r="F40" i="8"/>
  <c r="F114" i="8"/>
  <c r="I4" i="4"/>
  <c r="K4" i="9"/>
  <c r="G238" i="8"/>
  <c r="E238" i="8"/>
  <c r="H84" i="8"/>
  <c r="I28" i="8"/>
  <c r="H168" i="8"/>
  <c r="H213" i="8" s="1"/>
  <c r="H121" i="8"/>
  <c r="H228" i="8"/>
  <c r="I228" i="8" s="1"/>
  <c r="J228" i="8" s="1"/>
  <c r="K228" i="8" s="1"/>
  <c r="L228" i="8" s="1"/>
  <c r="M228" i="8" s="1"/>
  <c r="N228" i="8" s="1"/>
  <c r="O228" i="8" s="1"/>
  <c r="P228" i="8" s="1"/>
  <c r="Q228" i="8" s="1"/>
  <c r="G255" i="8"/>
  <c r="H255" i="8" s="1"/>
  <c r="I255" i="8" s="1"/>
  <c r="J255" i="8" s="1"/>
  <c r="K255" i="8" s="1"/>
  <c r="L255" i="8" s="1"/>
  <c r="M255" i="8" s="1"/>
  <c r="N255" i="8" s="1"/>
  <c r="O255" i="8" s="1"/>
  <c r="P255" i="8" s="1"/>
  <c r="Q255" i="8" s="1"/>
  <c r="F238" i="8"/>
  <c r="D84" i="17" a="1"/>
  <c r="D83" i="17" a="1"/>
  <c r="D82" i="17" a="1"/>
  <c r="J6" i="4" l="1"/>
  <c r="J11" i="4"/>
  <c r="H134" i="8"/>
  <c r="H100" i="8" s="1"/>
  <c r="H99" i="8" s="1"/>
  <c r="J13" i="4"/>
  <c r="J19" i="4"/>
  <c r="K94" i="8"/>
  <c r="L94" i="8" s="1"/>
  <c r="F49" i="11"/>
  <c r="F19" i="11"/>
  <c r="I49" i="11"/>
  <c r="I19" i="11"/>
  <c r="P9" i="11"/>
  <c r="P21" i="19" s="1"/>
  <c r="P6" i="11"/>
  <c r="P18" i="19" s="1"/>
  <c r="P8" i="11"/>
  <c r="P20" i="19" s="1"/>
  <c r="M19" i="11"/>
  <c r="M49" i="11"/>
  <c r="E59" i="8"/>
  <c r="N49" i="11"/>
  <c r="N54" i="19" s="1"/>
  <c r="N19" i="11"/>
  <c r="N30" i="19" s="1"/>
  <c r="F9" i="11"/>
  <c r="G49" i="11"/>
  <c r="G19" i="11"/>
  <c r="O8" i="11"/>
  <c r="O20" i="19" s="1"/>
  <c r="O9" i="11"/>
  <c r="O21" i="19" s="1"/>
  <c r="O6" i="11"/>
  <c r="O18" i="19" s="1"/>
  <c r="F59" i="8"/>
  <c r="O49" i="11"/>
  <c r="O54" i="19" s="1"/>
  <c r="O19" i="11"/>
  <c r="O30" i="19" s="1"/>
  <c r="K49" i="11"/>
  <c r="K19" i="11"/>
  <c r="K102" i="8"/>
  <c r="L102" i="8" s="1"/>
  <c r="H19" i="11"/>
  <c r="H49" i="11"/>
  <c r="G9" i="11"/>
  <c r="J49" i="11"/>
  <c r="J19" i="11"/>
  <c r="L49" i="11"/>
  <c r="L19" i="11"/>
  <c r="D101" i="17"/>
  <c r="G59" i="8"/>
  <c r="P49" i="11"/>
  <c r="P54" i="19" s="1"/>
  <c r="P19" i="11"/>
  <c r="P30" i="19" s="1"/>
  <c r="K22" i="9"/>
  <c r="J22" i="9"/>
  <c r="I20" i="11" s="1"/>
  <c r="P51" i="19"/>
  <c r="P50" i="19"/>
  <c r="M22" i="9"/>
  <c r="L20" i="11" s="1"/>
  <c r="L22" i="9"/>
  <c r="K20" i="11" s="1"/>
  <c r="N21" i="19"/>
  <c r="N51" i="19"/>
  <c r="N50" i="19"/>
  <c r="N22" i="9"/>
  <c r="M20" i="11" s="1"/>
  <c r="O51" i="19"/>
  <c r="O50" i="19"/>
  <c r="O139" i="8"/>
  <c r="P139" i="8" s="1"/>
  <c r="O126" i="8"/>
  <c r="P126" i="8" s="1"/>
  <c r="L119" i="8"/>
  <c r="N54" i="8"/>
  <c r="O54" i="8" s="1"/>
  <c r="K111" i="8"/>
  <c r="L111" i="8" s="1"/>
  <c r="R34" i="11"/>
  <c r="R35" i="11"/>
  <c r="G22" i="9"/>
  <c r="F20" i="11" s="1"/>
  <c r="D83" i="17"/>
  <c r="O83" i="17" s="1"/>
  <c r="O4" i="28"/>
  <c r="D84" i="17"/>
  <c r="O84" i="17" s="1"/>
  <c r="D82" i="17"/>
  <c r="O82" i="17" s="1"/>
  <c r="J22" i="4"/>
  <c r="D71" i="17"/>
  <c r="B48" i="28"/>
  <c r="B34" i="28"/>
  <c r="B20" i="28"/>
  <c r="B62" i="28"/>
  <c r="D38" i="17"/>
  <c r="D59" i="17" s="1"/>
  <c r="D80" i="17"/>
  <c r="D44" i="17"/>
  <c r="D50" i="17"/>
  <c r="J195" i="8"/>
  <c r="K71" i="8"/>
  <c r="E29" i="19"/>
  <c r="F48" i="8"/>
  <c r="E48" i="8"/>
  <c r="G48" i="8"/>
  <c r="J8" i="4"/>
  <c r="J17" i="4"/>
  <c r="J21" i="4"/>
  <c r="J18" i="4"/>
  <c r="J7" i="4"/>
  <c r="J24" i="9"/>
  <c r="M24" i="9"/>
  <c r="Q22" i="9"/>
  <c r="H22" i="9"/>
  <c r="G20" i="11" s="1"/>
  <c r="I22" i="9"/>
  <c r="H20" i="11" s="1"/>
  <c r="H123" i="8"/>
  <c r="H184" i="8" s="1"/>
  <c r="P22" i="9"/>
  <c r="O22" i="9"/>
  <c r="G171" i="8"/>
  <c r="H42" i="8"/>
  <c r="H105" i="8" s="1"/>
  <c r="H33" i="8"/>
  <c r="I136" i="8"/>
  <c r="L71" i="8"/>
  <c r="J20" i="4"/>
  <c r="J15" i="4"/>
  <c r="J4" i="4"/>
  <c r="J10" i="4"/>
  <c r="J9" i="4"/>
  <c r="L4" i="9"/>
  <c r="E171" i="8"/>
  <c r="I84" i="8"/>
  <c r="J28" i="8"/>
  <c r="I121" i="8"/>
  <c r="I168" i="8"/>
  <c r="I213" i="8" s="1"/>
  <c r="N24" i="9" l="1"/>
  <c r="Q24" i="9"/>
  <c r="J20" i="11"/>
  <c r="K24" i="9"/>
  <c r="K66" i="9" s="1"/>
  <c r="I138" i="8"/>
  <c r="I103" i="8"/>
  <c r="M94" i="8"/>
  <c r="N94" i="8" s="1"/>
  <c r="H93" i="8"/>
  <c r="H110" i="8"/>
  <c r="L24" i="9"/>
  <c r="K57" i="11" s="1"/>
  <c r="M102" i="8"/>
  <c r="N102" i="8" s="1"/>
  <c r="D103" i="17"/>
  <c r="G76" i="8"/>
  <c r="G79" i="8" s="1"/>
  <c r="P20" i="11"/>
  <c r="I57" i="11"/>
  <c r="I56" i="11"/>
  <c r="I10" i="11"/>
  <c r="I23" i="11"/>
  <c r="I15" i="11"/>
  <c r="K56" i="11"/>
  <c r="K15" i="11"/>
  <c r="K10" i="11"/>
  <c r="K23" i="11"/>
  <c r="L23" i="11"/>
  <c r="L57" i="11"/>
  <c r="L56" i="11"/>
  <c r="L10" i="11"/>
  <c r="L15" i="11"/>
  <c r="E76" i="8"/>
  <c r="N20" i="11"/>
  <c r="M56" i="11"/>
  <c r="M23" i="11"/>
  <c r="M57" i="11"/>
  <c r="M15" i="11"/>
  <c r="M10" i="11"/>
  <c r="F76" i="8"/>
  <c r="O20" i="11"/>
  <c r="J56" i="11"/>
  <c r="J23" i="11"/>
  <c r="J15" i="11"/>
  <c r="J10" i="11"/>
  <c r="J57" i="11"/>
  <c r="G117" i="9"/>
  <c r="G118" i="9" s="1"/>
  <c r="H117" i="9"/>
  <c r="H118" i="9" s="1"/>
  <c r="J117" i="9"/>
  <c r="J118" i="9" s="1"/>
  <c r="Q117" i="9"/>
  <c r="M117" i="9"/>
  <c r="M118" i="9" s="1"/>
  <c r="O117" i="9"/>
  <c r="O118" i="9" s="1"/>
  <c r="N117" i="9"/>
  <c r="N118" i="9" s="1"/>
  <c r="L117" i="9"/>
  <c r="L118" i="9" s="1"/>
  <c r="P117" i="9"/>
  <c r="P118" i="9" s="1"/>
  <c r="I117" i="9"/>
  <c r="I118" i="9" s="1"/>
  <c r="K117" i="9"/>
  <c r="K118" i="9" s="1"/>
  <c r="Q126" i="8"/>
  <c r="M14" i="17" a="1"/>
  <c r="M14" i="17" s="1"/>
  <c r="L14" i="17" a="1"/>
  <c r="L14" i="17" s="1"/>
  <c r="K14" i="17" a="1"/>
  <c r="K14" i="17" s="1"/>
  <c r="J14" i="17" a="1"/>
  <c r="J14" i="17" s="1"/>
  <c r="J6" i="17" a="1"/>
  <c r="J6" i="17" s="1"/>
  <c r="K6" i="17" a="1"/>
  <c r="K6" i="17" s="1"/>
  <c r="M6" i="17" a="1"/>
  <c r="M6" i="17" s="1"/>
  <c r="L6" i="17" a="1"/>
  <c r="L6" i="17" s="1"/>
  <c r="P54" i="8"/>
  <c r="Q54" i="8" s="1"/>
  <c r="M111" i="8"/>
  <c r="N111" i="8" s="1"/>
  <c r="Q139" i="8"/>
  <c r="M119" i="8"/>
  <c r="N119" i="8" s="1"/>
  <c r="G24" i="9"/>
  <c r="P4" i="28"/>
  <c r="D31" i="17"/>
  <c r="O31" i="17" s="1"/>
  <c r="D41" i="17"/>
  <c r="O41" i="17" s="1"/>
  <c r="D40" i="17"/>
  <c r="O40" i="17" s="1"/>
  <c r="H114" i="8"/>
  <c r="K195" i="8"/>
  <c r="G60" i="8"/>
  <c r="F60" i="8"/>
  <c r="E60" i="8"/>
  <c r="G230" i="8"/>
  <c r="G176" i="8"/>
  <c r="P24" i="9"/>
  <c r="L66" i="9"/>
  <c r="K63" i="11" s="1"/>
  <c r="I24" i="9"/>
  <c r="N66" i="9"/>
  <c r="M63" i="11" s="1"/>
  <c r="D42" i="17"/>
  <c r="O42" i="17" s="1"/>
  <c r="M66" i="9"/>
  <c r="L63" i="11" s="1"/>
  <c r="J63" i="11"/>
  <c r="J66" i="9"/>
  <c r="I63" i="11" s="1"/>
  <c r="O24" i="9"/>
  <c r="H24" i="9"/>
  <c r="I50" i="8"/>
  <c r="H173" i="8"/>
  <c r="H36" i="8"/>
  <c r="H47" i="8" s="1"/>
  <c r="E230" i="8"/>
  <c r="E176" i="8"/>
  <c r="F230" i="8"/>
  <c r="F176" i="8"/>
  <c r="J136" i="8"/>
  <c r="M71" i="8"/>
  <c r="M4" i="9"/>
  <c r="J84" i="8"/>
  <c r="J121" i="8"/>
  <c r="K28" i="8"/>
  <c r="J168" i="8"/>
  <c r="J213" i="8" s="1"/>
  <c r="H234" i="8"/>
  <c r="I39" i="3"/>
  <c r="I28" i="3"/>
  <c r="Q66" i="9" l="1"/>
  <c r="Q118" i="9"/>
  <c r="O94" i="8"/>
  <c r="P94" i="8" s="1"/>
  <c r="Q94" i="8" s="1"/>
  <c r="Q45" i="11"/>
  <c r="Q43" i="11"/>
  <c r="Q44" i="11"/>
  <c r="H59" i="8"/>
  <c r="H76" i="8" s="1"/>
  <c r="Q20" i="11" s="1"/>
  <c r="G56" i="11"/>
  <c r="G23" i="11"/>
  <c r="G57" i="11"/>
  <c r="G15" i="11"/>
  <c r="G10" i="11"/>
  <c r="D105" i="17"/>
  <c r="G81" i="8"/>
  <c r="P56" i="11"/>
  <c r="P23" i="11"/>
  <c r="P33" i="19" s="1"/>
  <c r="P57" i="11"/>
  <c r="P15" i="11"/>
  <c r="P26" i="19" s="1"/>
  <c r="P10" i="11"/>
  <c r="P22" i="19" s="1"/>
  <c r="G66" i="9"/>
  <c r="F63" i="11" s="1"/>
  <c r="F56" i="11"/>
  <c r="F23" i="11"/>
  <c r="F57" i="11"/>
  <c r="F15" i="11"/>
  <c r="F10" i="11"/>
  <c r="H57" i="11"/>
  <c r="H23" i="11"/>
  <c r="H15" i="11"/>
  <c r="H10" i="11"/>
  <c r="H56" i="11"/>
  <c r="D96" i="17"/>
  <c r="F81" i="8"/>
  <c r="O56" i="11"/>
  <c r="O23" i="11"/>
  <c r="O33" i="19" s="1"/>
  <c r="O57" i="11"/>
  <c r="O15" i="11"/>
  <c r="O26" i="19" s="1"/>
  <c r="O10" i="11"/>
  <c r="O22" i="19" s="1"/>
  <c r="E81" i="8"/>
  <c r="N57" i="11"/>
  <c r="N15" i="11"/>
  <c r="N26" i="19" s="1"/>
  <c r="N10" i="11"/>
  <c r="N22" i="19" s="1"/>
  <c r="N56" i="11"/>
  <c r="N23" i="11"/>
  <c r="N33" i="19" s="1"/>
  <c r="O102" i="8"/>
  <c r="P102" i="8" s="1"/>
  <c r="L18" i="17"/>
  <c r="L19" i="17" s="1"/>
  <c r="G182" i="8"/>
  <c r="AB9" i="8" s="1"/>
  <c r="M18" i="17"/>
  <c r="M19" i="17" s="1"/>
  <c r="E25" i="17"/>
  <c r="K25" i="17" s="1"/>
  <c r="N25" i="17" s="1" a="1"/>
  <c r="N25" i="17" s="1"/>
  <c r="E26" i="17"/>
  <c r="K26" i="17" s="1"/>
  <c r="N26" i="17" s="1" a="1"/>
  <c r="N26" i="17" s="1"/>
  <c r="E27" i="17"/>
  <c r="K27" i="17" s="1"/>
  <c r="N27" i="17" s="1" a="1"/>
  <c r="N27" i="17" s="1"/>
  <c r="E24" i="17"/>
  <c r="K24" i="17" s="1"/>
  <c r="N24" i="17" s="1" a="1"/>
  <c r="N24" i="17" s="1"/>
  <c r="K18" i="17"/>
  <c r="K19" i="17" s="1"/>
  <c r="D24" i="17"/>
  <c r="J24" i="17" s="1"/>
  <c r="M24" i="17" s="1" a="1"/>
  <c r="M24" i="17" s="1"/>
  <c r="D26" i="17"/>
  <c r="J26" i="17" s="1"/>
  <c r="M26" i="17" s="1" a="1"/>
  <c r="M26" i="17" s="1"/>
  <c r="D25" i="17"/>
  <c r="J25" i="17" s="1"/>
  <c r="M25" i="17" s="1" a="1"/>
  <c r="M25" i="17" s="1"/>
  <c r="D27" i="17"/>
  <c r="J27" i="17" s="1"/>
  <c r="M27" i="17" s="1" a="1"/>
  <c r="M27" i="17" s="1"/>
  <c r="J18" i="17"/>
  <c r="J19" i="17" s="1"/>
  <c r="O111" i="8"/>
  <c r="P111" i="8" s="1"/>
  <c r="Q111" i="8" s="1"/>
  <c r="H174" i="8"/>
  <c r="H172" i="8"/>
  <c r="O119" i="8"/>
  <c r="P119" i="8" s="1"/>
  <c r="I51" i="8"/>
  <c r="P66" i="9"/>
  <c r="O63" i="11" s="1"/>
  <c r="Q4" i="28"/>
  <c r="R81" i="28" s="1"/>
  <c r="R77" i="28"/>
  <c r="R76" i="28"/>
  <c r="D34" i="17"/>
  <c r="O34" i="17" s="1"/>
  <c r="L195" i="8"/>
  <c r="F28" i="19"/>
  <c r="F26" i="19"/>
  <c r="F27" i="19"/>
  <c r="G177" i="8"/>
  <c r="F177" i="8"/>
  <c r="I66" i="9"/>
  <c r="H63" i="11" s="1"/>
  <c r="H66" i="9"/>
  <c r="G63" i="11" s="1"/>
  <c r="J74" i="9"/>
  <c r="K74" i="9"/>
  <c r="N74" i="9"/>
  <c r="M74" i="9"/>
  <c r="L74" i="9"/>
  <c r="O66" i="9"/>
  <c r="N63" i="11" s="1"/>
  <c r="AH10" i="8"/>
  <c r="H171" i="8"/>
  <c r="H170" i="8" s="1"/>
  <c r="F79" i="8"/>
  <c r="F182" i="8" s="1"/>
  <c r="E79" i="8"/>
  <c r="H37" i="8"/>
  <c r="K136" i="8"/>
  <c r="N71" i="8"/>
  <c r="N4" i="9"/>
  <c r="K84" i="8"/>
  <c r="K121" i="8"/>
  <c r="L28" i="8"/>
  <c r="K168" i="8"/>
  <c r="K213" i="8" s="1"/>
  <c r="Q21" i="11"/>
  <c r="Q31" i="19" s="1"/>
  <c r="G74" i="9" l="1"/>
  <c r="P63" i="11"/>
  <c r="P42" i="19" s="1"/>
  <c r="O74" i="9"/>
  <c r="E130" i="8" s="1"/>
  <c r="N42" i="19"/>
  <c r="P74" i="9"/>
  <c r="F130" i="8" s="1"/>
  <c r="O42" i="19"/>
  <c r="H79" i="8"/>
  <c r="H78" i="8" s="1"/>
  <c r="H81" i="8" s="1"/>
  <c r="H6" i="17"/>
  <c r="N6" i="17" a="1"/>
  <c r="N6" i="17" s="1"/>
  <c r="N18" i="17" s="1"/>
  <c r="N19" i="17" s="1"/>
  <c r="F148" i="8"/>
  <c r="F151" i="8"/>
  <c r="G151" i="8"/>
  <c r="G148" i="8"/>
  <c r="I8" i="17"/>
  <c r="I6" i="17"/>
  <c r="O6" i="17" a="1"/>
  <c r="O6" i="17" s="1"/>
  <c r="E148" i="8"/>
  <c r="E151" i="8"/>
  <c r="E182" i="8"/>
  <c r="AB7" i="8" s="1"/>
  <c r="Q102" i="8"/>
  <c r="Q119" i="8"/>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34" i="28"/>
  <c r="R56" i="28"/>
  <c r="R53" i="28"/>
  <c r="R50" i="28"/>
  <c r="R72" i="28"/>
  <c r="R69" i="28"/>
  <c r="R66" i="28"/>
  <c r="R63" i="28"/>
  <c r="R84" i="28"/>
  <c r="R80" i="28"/>
  <c r="R4" i="28"/>
  <c r="R18" i="28"/>
  <c r="R32" i="28"/>
  <c r="R46" i="28"/>
  <c r="R60" i="28"/>
  <c r="R74" i="28"/>
  <c r="D63" i="17"/>
  <c r="O63" i="17" s="1"/>
  <c r="D62" i="17"/>
  <c r="O62" i="17" s="1"/>
  <c r="D33" i="17"/>
  <c r="O33" i="17" s="1"/>
  <c r="D32" i="17"/>
  <c r="O32" i="17" s="1"/>
  <c r="M195" i="8"/>
  <c r="H28" i="19"/>
  <c r="G192" i="8"/>
  <c r="X9" i="8" s="1"/>
  <c r="G82" i="8"/>
  <c r="G232" i="8"/>
  <c r="G244" i="8" s="1"/>
  <c r="E82" i="8"/>
  <c r="E232" i="8"/>
  <c r="E244" i="8" s="1"/>
  <c r="E159" i="8" s="1"/>
  <c r="H74" i="9"/>
  <c r="I74" i="9"/>
  <c r="F232" i="8"/>
  <c r="F244" i="8" s="1"/>
  <c r="F159" i="8" s="1"/>
  <c r="F82" i="8"/>
  <c r="Q74" i="9"/>
  <c r="AB8" i="8"/>
  <c r="F192" i="8"/>
  <c r="X8" i="8" s="1"/>
  <c r="L136" i="8"/>
  <c r="O71" i="8"/>
  <c r="O4" i="9"/>
  <c r="M28" i="8"/>
  <c r="L84" i="8"/>
  <c r="L121" i="8"/>
  <c r="L168" i="8"/>
  <c r="L213" i="8" s="1"/>
  <c r="G130" i="8" l="1"/>
  <c r="I79" i="8"/>
  <c r="I216" i="8" s="1"/>
  <c r="F258" i="8"/>
  <c r="F259" i="8" s="1"/>
  <c r="H216" i="8"/>
  <c r="Z7" i="8" s="1"/>
  <c r="E192" i="8"/>
  <c r="X7" i="8" s="1"/>
  <c r="E258" i="8"/>
  <c r="E259" i="8" s="1"/>
  <c r="G258" i="8"/>
  <c r="G259" i="8" s="1"/>
  <c r="H18" i="17"/>
  <c r="H19" i="17" s="1"/>
  <c r="H158" i="8"/>
  <c r="H156" i="8"/>
  <c r="G159" i="8"/>
  <c r="I18" i="17"/>
  <c r="I19" i="17" s="1"/>
  <c r="F27" i="17"/>
  <c r="L27" i="17" s="1"/>
  <c r="O27" i="17" s="1" a="1"/>
  <c r="O27" i="17" s="1"/>
  <c r="F26" i="17"/>
  <c r="L26" i="17" s="1"/>
  <c r="O26" i="17" s="1" a="1"/>
  <c r="O26" i="17" s="1"/>
  <c r="F25" i="17"/>
  <c r="L25" i="17" s="1"/>
  <c r="O25" i="17" s="1" a="1"/>
  <c r="O25" i="17" s="1"/>
  <c r="F24" i="17"/>
  <c r="L24" i="17" s="1"/>
  <c r="O24" i="17" s="1" a="1"/>
  <c r="O24" i="17" s="1"/>
  <c r="O18" i="17"/>
  <c r="O19" i="17" s="1"/>
  <c r="O147" i="8"/>
  <c r="N147" i="8"/>
  <c r="M147" i="8"/>
  <c r="K147" i="8"/>
  <c r="H150" i="8"/>
  <c r="J147" i="8"/>
  <c r="Q147" i="8"/>
  <c r="I147" i="8"/>
  <c r="L147" i="8"/>
  <c r="P147" i="8"/>
  <c r="H147" i="8"/>
  <c r="G21" i="6"/>
  <c r="G11" i="6" s="1"/>
  <c r="N195" i="8"/>
  <c r="H26" i="19"/>
  <c r="H27" i="19"/>
  <c r="Y8" i="8"/>
  <c r="B93" i="17"/>
  <c r="Y7" i="8"/>
  <c r="Y9" i="8"/>
  <c r="M136" i="8"/>
  <c r="P71" i="8"/>
  <c r="P4" i="9"/>
  <c r="H4" i="17" s="1"/>
  <c r="M84" i="8"/>
  <c r="M121" i="8"/>
  <c r="N28" i="8"/>
  <c r="M168" i="8"/>
  <c r="M213" i="8" s="1"/>
  <c r="H130" i="8"/>
  <c r="J79" i="8" l="1"/>
  <c r="J216" i="8" s="1"/>
  <c r="G26" i="19"/>
  <c r="H163" i="8"/>
  <c r="H242" i="8"/>
  <c r="AC10" i="8" s="1"/>
  <c r="Q61" i="11"/>
  <c r="H257" i="8"/>
  <c r="H261" i="8" s="1"/>
  <c r="H116" i="8"/>
  <c r="G25" i="6"/>
  <c r="Z8" i="8"/>
  <c r="O195" i="8"/>
  <c r="G27" i="19"/>
  <c r="D4" i="17"/>
  <c r="B94" i="17"/>
  <c r="N136" i="8"/>
  <c r="Q71" i="8"/>
  <c r="Q4" i="9"/>
  <c r="R74" i="9" s="1"/>
  <c r="N121" i="8"/>
  <c r="O28" i="8"/>
  <c r="N84" i="8"/>
  <c r="N168" i="8"/>
  <c r="N213" i="8" s="1"/>
  <c r="R118" i="9" l="1"/>
  <c r="R22" i="9"/>
  <c r="R50" i="9"/>
  <c r="R13" i="9"/>
  <c r="R53" i="9"/>
  <c r="R76" i="9"/>
  <c r="R68" i="9"/>
  <c r="R39" i="9"/>
  <c r="R119" i="9"/>
  <c r="R58" i="9"/>
  <c r="R115" i="9"/>
  <c r="R114" i="9"/>
  <c r="R120" i="9"/>
  <c r="R17" i="9"/>
  <c r="R47" i="9"/>
  <c r="R121" i="9"/>
  <c r="R32" i="9"/>
  <c r="R75" i="9"/>
  <c r="R83" i="9"/>
  <c r="R82" i="9"/>
  <c r="R6" i="9"/>
  <c r="R90" i="9"/>
  <c r="R43" i="9"/>
  <c r="R34" i="9"/>
  <c r="R113" i="9"/>
  <c r="R69" i="9"/>
  <c r="R81" i="9"/>
  <c r="R44" i="9"/>
  <c r="R49" i="9"/>
  <c r="R71" i="9"/>
  <c r="R9" i="9"/>
  <c r="R26" i="9"/>
  <c r="R116" i="9"/>
  <c r="R92" i="9"/>
  <c r="R51" i="9"/>
  <c r="R21" i="9"/>
  <c r="R91" i="9"/>
  <c r="R40" i="9"/>
  <c r="R11" i="9"/>
  <c r="R56" i="9"/>
  <c r="R15" i="9"/>
  <c r="R54" i="9"/>
  <c r="R62" i="9"/>
  <c r="R87" i="9"/>
  <c r="R78" i="9"/>
  <c r="R41" i="9"/>
  <c r="R67" i="9"/>
  <c r="R95" i="9"/>
  <c r="R85" i="9"/>
  <c r="R7" i="9"/>
  <c r="R57" i="9"/>
  <c r="R46" i="9"/>
  <c r="R20" i="9"/>
  <c r="R28" i="9"/>
  <c r="R23" i="9"/>
  <c r="R25" i="9"/>
  <c r="R73" i="9"/>
  <c r="R55" i="9"/>
  <c r="R42" i="9"/>
  <c r="R93" i="9"/>
  <c r="R80" i="9"/>
  <c r="R19" i="9"/>
  <c r="R38" i="9"/>
  <c r="R77" i="9"/>
  <c r="R27" i="9"/>
  <c r="R72" i="9"/>
  <c r="R18" i="9"/>
  <c r="R45" i="9"/>
  <c r="R59" i="9"/>
  <c r="R89" i="9"/>
  <c r="R10" i="9"/>
  <c r="R94" i="9"/>
  <c r="R33" i="9"/>
  <c r="R88" i="9"/>
  <c r="R35" i="9"/>
  <c r="R70" i="9"/>
  <c r="R14" i="9"/>
  <c r="R52" i="9"/>
  <c r="R86" i="9"/>
  <c r="R36" i="9"/>
  <c r="R48" i="9"/>
  <c r="R37" i="9"/>
  <c r="R12" i="9"/>
  <c r="R8" i="9"/>
  <c r="R16" i="9"/>
  <c r="R117" i="9"/>
  <c r="R66" i="9"/>
  <c r="R24" i="9"/>
  <c r="K79" i="8"/>
  <c r="L79" i="8" s="1"/>
  <c r="M79" i="8" s="1"/>
  <c r="H63" i="8"/>
  <c r="I9" i="8"/>
  <c r="L9" i="8" s="1"/>
  <c r="Z9" i="8"/>
  <c r="P195" i="8"/>
  <c r="G28" i="19"/>
  <c r="R204" i="8"/>
  <c r="B97" i="17"/>
  <c r="I4" i="17"/>
  <c r="E4" i="17"/>
  <c r="R111" i="9"/>
  <c r="O136" i="8"/>
  <c r="R4" i="9"/>
  <c r="R30" i="9"/>
  <c r="R64" i="9"/>
  <c r="O121" i="8"/>
  <c r="P28" i="8"/>
  <c r="O84" i="8"/>
  <c r="O168" i="8"/>
  <c r="O213" i="8" s="1"/>
  <c r="K216" i="8" l="1"/>
  <c r="Z10" i="8" s="1"/>
  <c r="N79" i="8"/>
  <c r="N216" i="8" s="1"/>
  <c r="M216" i="8"/>
  <c r="L216" i="8"/>
  <c r="C12" i="8"/>
  <c r="F9" i="8"/>
  <c r="Q195" i="8"/>
  <c r="E97" i="8"/>
  <c r="H97" i="8" s="1"/>
  <c r="E40" i="8"/>
  <c r="H40" i="8" s="1"/>
  <c r="E43" i="8"/>
  <c r="E170" i="8"/>
  <c r="E177" i="8"/>
  <c r="E91" i="8"/>
  <c r="H91" i="8" s="1"/>
  <c r="E114" i="8"/>
  <c r="F31" i="8"/>
  <c r="F171" i="8" s="1"/>
  <c r="P136" i="8"/>
  <c r="P168" i="8"/>
  <c r="P213" i="8" s="1"/>
  <c r="Q28" i="8"/>
  <c r="P84" i="8"/>
  <c r="P121" i="8"/>
  <c r="O79" i="8" l="1"/>
  <c r="O216" i="8" s="1"/>
  <c r="I91" i="8"/>
  <c r="J91" i="8" s="1"/>
  <c r="H90" i="8"/>
  <c r="H128" i="8" s="1"/>
  <c r="H132" i="8" s="1"/>
  <c r="I40" i="8"/>
  <c r="J40" i="8" s="1"/>
  <c r="I97" i="8"/>
  <c r="J97" i="8" s="1"/>
  <c r="Z11" i="8"/>
  <c r="Q22" i="11"/>
  <c r="Q32" i="19" s="1"/>
  <c r="Q136" i="8"/>
  <c r="Q168" i="8"/>
  <c r="Q213" i="8" s="1"/>
  <c r="Q84" i="8"/>
  <c r="Q121" i="8"/>
  <c r="P79" i="8" l="1"/>
  <c r="Q79" i="8" s="1"/>
  <c r="Q216" i="8" s="1"/>
  <c r="K91" i="8"/>
  <c r="K97" i="8"/>
  <c r="L97" i="8" s="1"/>
  <c r="K40" i="8"/>
  <c r="L40" i="8" s="1"/>
  <c r="Q60" i="11"/>
  <c r="Q57" i="11"/>
  <c r="Q55" i="11"/>
  <c r="Q58" i="11"/>
  <c r="Q63" i="11"/>
  <c r="Q62" i="11"/>
  <c r="R33" i="11"/>
  <c r="R36" i="11" s="1"/>
  <c r="R41" i="19" s="1"/>
  <c r="Z12" i="8"/>
  <c r="Q33" i="11"/>
  <c r="Q36" i="11" s="1"/>
  <c r="L91" i="8" l="1"/>
  <c r="M91" i="8" s="1"/>
  <c r="P216" i="8"/>
  <c r="M40" i="8"/>
  <c r="N40" i="8" s="1"/>
  <c r="M97" i="8"/>
  <c r="N97" i="8" s="1"/>
  <c r="E16" i="27"/>
  <c r="Z13" i="8"/>
  <c r="Q41" i="19"/>
  <c r="H236" i="8"/>
  <c r="H48" i="8"/>
  <c r="Q18" i="11" s="1"/>
  <c r="Q29" i="19" s="1"/>
  <c r="H230" i="8"/>
  <c r="Q49" i="19"/>
  <c r="Q50" i="11"/>
  <c r="Q55" i="19" s="1"/>
  <c r="R22" i="11"/>
  <c r="R32" i="19" s="1"/>
  <c r="O40" i="8" l="1"/>
  <c r="P40" i="8" s="1"/>
  <c r="O97" i="8"/>
  <c r="P97" i="8" s="1"/>
  <c r="Q97" i="8" s="1"/>
  <c r="N91" i="8"/>
  <c r="F16" i="27"/>
  <c r="D16" i="27"/>
  <c r="Z14" i="8"/>
  <c r="H186" i="8"/>
  <c r="H60" i="8"/>
  <c r="Q40" i="8" l="1"/>
  <c r="O91" i="8"/>
  <c r="F29" i="19"/>
  <c r="H179" i="8"/>
  <c r="Q19" i="11"/>
  <c r="Q30" i="19" s="1"/>
  <c r="P91" i="8" l="1"/>
  <c r="Q91" i="8" s="1"/>
  <c r="H178" i="8"/>
  <c r="H180" i="8"/>
  <c r="H177" i="8"/>
  <c r="H82" i="8"/>
  <c r="Q23" i="11" s="1"/>
  <c r="Q33" i="19" s="1"/>
  <c r="H232" i="8"/>
  <c r="Q220" i="8" l="1"/>
  <c r="Q221" i="8" s="1"/>
  <c r="H176" i="8"/>
  <c r="H182" i="8" s="1"/>
  <c r="AA10" i="8" l="1"/>
  <c r="AB10" i="8" l="1"/>
  <c r="G60" i="9" l="1"/>
  <c r="F42" i="11" s="1"/>
  <c r="K60" i="9"/>
  <c r="J42" i="11" s="1"/>
  <c r="H60" i="9"/>
  <c r="G42" i="11" s="1"/>
  <c r="L60" i="9"/>
  <c r="K42" i="11" s="1"/>
  <c r="O60" i="9"/>
  <c r="J60" i="9"/>
  <c r="I42" i="11" s="1"/>
  <c r="N60" i="9"/>
  <c r="M42" i="11" s="1"/>
  <c r="P60" i="9"/>
  <c r="M60" i="9"/>
  <c r="L42" i="11" s="1"/>
  <c r="Q60" i="9"/>
  <c r="R60" i="9" s="1"/>
  <c r="I60" i="9"/>
  <c r="H42" i="11" s="1"/>
  <c r="G79" i="9"/>
  <c r="G84" i="9" s="1"/>
  <c r="H79" i="9"/>
  <c r="I79" i="9"/>
  <c r="J79" i="9"/>
  <c r="K79" i="9"/>
  <c r="L79" i="9"/>
  <c r="N79" i="9"/>
  <c r="O79" i="9"/>
  <c r="E141" i="8" s="1"/>
  <c r="P79" i="9"/>
  <c r="F141" i="8" s="1"/>
  <c r="Q79" i="9"/>
  <c r="G141" i="8" l="1"/>
  <c r="R79" i="9"/>
  <c r="O42" i="11"/>
  <c r="O48" i="19" s="1"/>
  <c r="P42" i="11"/>
  <c r="P48" i="19" s="1"/>
  <c r="N42" i="11"/>
  <c r="N48" i="19" s="1"/>
  <c r="G61" i="9"/>
  <c r="I61" i="9"/>
  <c r="O61" i="9"/>
  <c r="N61" i="9"/>
  <c r="J61" i="9"/>
  <c r="Q61" i="9"/>
  <c r="AF9" i="8"/>
  <c r="AG9" i="8" s="1"/>
  <c r="AF10" i="8"/>
  <c r="H61" i="9"/>
  <c r="L61" i="9"/>
  <c r="M61" i="9"/>
  <c r="P61" i="9"/>
  <c r="K61" i="9"/>
  <c r="Q84" i="9"/>
  <c r="P84" i="9"/>
  <c r="F143" i="8" s="1"/>
  <c r="O84" i="9"/>
  <c r="E143" i="8" s="1"/>
  <c r="N84" i="9"/>
  <c r="M84" i="9"/>
  <c r="L84" i="9"/>
  <c r="K84" i="9"/>
  <c r="J84" i="9"/>
  <c r="I84" i="9"/>
  <c r="H84" i="9"/>
  <c r="R61" i="9" l="1"/>
  <c r="G143" i="8"/>
  <c r="R84" i="9"/>
  <c r="J11" i="11"/>
  <c r="J41" i="11"/>
  <c r="J40" i="11"/>
  <c r="J16" i="11"/>
  <c r="J17" i="11"/>
  <c r="N11" i="11"/>
  <c r="N23" i="19" s="1"/>
  <c r="N41" i="11"/>
  <c r="N47" i="19" s="1"/>
  <c r="N40" i="11"/>
  <c r="N46" i="19" s="1"/>
  <c r="N16" i="11"/>
  <c r="N27" i="19" s="1"/>
  <c r="N17" i="11"/>
  <c r="N28" i="19" s="1"/>
  <c r="O11" i="11"/>
  <c r="O23" i="19" s="1"/>
  <c r="O41" i="11"/>
  <c r="O47" i="19" s="1"/>
  <c r="O40" i="11"/>
  <c r="O46" i="19" s="1"/>
  <c r="O16" i="11"/>
  <c r="O27" i="19" s="1"/>
  <c r="O17" i="11"/>
  <c r="O28" i="19" s="1"/>
  <c r="H11" i="11"/>
  <c r="H41" i="11"/>
  <c r="H40" i="11"/>
  <c r="H17" i="11"/>
  <c r="H16" i="11"/>
  <c r="L11" i="11"/>
  <c r="L41" i="11"/>
  <c r="L40" i="11"/>
  <c r="L16" i="11"/>
  <c r="L17" i="11"/>
  <c r="D122" i="17"/>
  <c r="D75" i="17" s="1"/>
  <c r="P11" i="11"/>
  <c r="P23" i="19" s="1"/>
  <c r="P40" i="11"/>
  <c r="P46" i="19" s="1"/>
  <c r="P41" i="11"/>
  <c r="P47" i="19" s="1"/>
  <c r="P16" i="11"/>
  <c r="P27" i="19" s="1"/>
  <c r="P17" i="11"/>
  <c r="P28" i="19" s="1"/>
  <c r="F11" i="11"/>
  <c r="F41" i="11"/>
  <c r="F40" i="11"/>
  <c r="F17" i="11"/>
  <c r="F16" i="11"/>
  <c r="K11" i="11"/>
  <c r="K41" i="11"/>
  <c r="K40" i="11"/>
  <c r="K16" i="11"/>
  <c r="K17" i="11"/>
  <c r="I11" i="11"/>
  <c r="I40" i="11"/>
  <c r="I41" i="11"/>
  <c r="I16" i="11"/>
  <c r="I17" i="11"/>
  <c r="G11" i="11"/>
  <c r="G40" i="11"/>
  <c r="G41" i="11"/>
  <c r="G16" i="11"/>
  <c r="G17" i="11"/>
  <c r="M11" i="11"/>
  <c r="M40" i="11"/>
  <c r="M41" i="11"/>
  <c r="M16" i="11"/>
  <c r="M17" i="11"/>
  <c r="H143" i="8" l="1"/>
  <c r="D36" i="17"/>
  <c r="O36" i="17" s="1"/>
  <c r="D35" i="17"/>
  <c r="O35" i="17" s="1"/>
  <c r="I29" i="19"/>
  <c r="O75" i="17"/>
  <c r="H190" i="8"/>
  <c r="Q51" i="11"/>
  <c r="Q56" i="19" s="1"/>
  <c r="H145" i="8" l="1"/>
  <c r="H165" i="8" s="1"/>
  <c r="Q50" i="19"/>
  <c r="Q51" i="19"/>
  <c r="H240" i="8"/>
  <c r="Q59" i="11" l="1"/>
  <c r="Q64" i="11"/>
  <c r="Q56" i="11"/>
  <c r="I134" i="8"/>
  <c r="I30" i="19" l="1"/>
  <c r="I100" i="8"/>
  <c r="I190" i="8"/>
  <c r="I240" i="8" s="1"/>
  <c r="J138" i="8" l="1"/>
  <c r="J134" i="8" s="1"/>
  <c r="I123" i="8"/>
  <c r="J100" i="8" l="1"/>
  <c r="I31" i="19"/>
  <c r="J190" i="8"/>
  <c r="J240" i="8" s="1"/>
  <c r="I234" i="8"/>
  <c r="I184" i="8"/>
  <c r="K138" i="8" l="1"/>
  <c r="K134" i="8" s="1"/>
  <c r="L198" i="8"/>
  <c r="K100" i="8" l="1"/>
  <c r="L138" i="8" s="1"/>
  <c r="K190" i="8"/>
  <c r="K240" i="8" s="1"/>
  <c r="I32" i="19"/>
  <c r="F6" i="27"/>
  <c r="L199" i="8"/>
  <c r="L134" i="8" l="1"/>
  <c r="I33" i="19" s="1"/>
  <c r="H6" i="27"/>
  <c r="G6" i="27"/>
  <c r="D6" i="27"/>
  <c r="E6" i="27"/>
  <c r="L100" i="8" l="1"/>
  <c r="M138" i="8" s="1"/>
  <c r="L190" i="8"/>
  <c r="L240" i="8" s="1"/>
  <c r="M134" i="8" l="1"/>
  <c r="M100" i="8" l="1"/>
  <c r="N138" i="8" s="1"/>
  <c r="M190" i="8"/>
  <c r="M240" i="8" s="1"/>
  <c r="N134" i="8" l="1"/>
  <c r="N100" i="8" l="1"/>
  <c r="O138" i="8" s="1"/>
  <c r="N190" i="8"/>
  <c r="N240" i="8" s="1"/>
  <c r="O134" i="8" l="1"/>
  <c r="O100" i="8" l="1"/>
  <c r="P138" i="8" s="1"/>
  <c r="O190" i="8"/>
  <c r="O240" i="8" s="1"/>
  <c r="P134" i="8" l="1"/>
  <c r="P100" i="8" l="1"/>
  <c r="Q138" i="8" s="1"/>
  <c r="P190" i="8"/>
  <c r="P240" i="8" s="1"/>
  <c r="Q134" i="8" l="1"/>
  <c r="Q100" i="8" l="1"/>
  <c r="Q190" i="8"/>
  <c r="Q240" i="8" s="1"/>
  <c r="C18" i="27" l="1"/>
  <c r="C19" i="27" l="1"/>
  <c r="C17" i="27"/>
  <c r="R49" i="11"/>
  <c r="R54" i="19" s="1"/>
  <c r="H188" i="8" l="1"/>
  <c r="H238" i="8" s="1"/>
  <c r="H244" i="8" l="1"/>
  <c r="I158" i="8" s="1"/>
  <c r="H192" i="8"/>
  <c r="H215" i="8" s="1"/>
  <c r="H88" i="8"/>
  <c r="Q27" i="11" s="1"/>
  <c r="Q42" i="19"/>
  <c r="H245" i="8" l="1"/>
  <c r="Q28" i="11"/>
  <c r="I156" i="8"/>
  <c r="R61" i="11" s="1"/>
  <c r="Y10" i="8"/>
  <c r="X10" i="8"/>
  <c r="G29" i="19" s="1"/>
  <c r="H193" i="8"/>
  <c r="Q43" i="19"/>
  <c r="I116" i="8" l="1"/>
  <c r="S204" i="8" s="1"/>
  <c r="I242" i="8"/>
  <c r="AD10" i="8"/>
  <c r="H29" i="19"/>
  <c r="R201" i="8"/>
  <c r="AI10" i="8"/>
  <c r="AE10" i="8"/>
  <c r="Q36" i="19"/>
  <c r="Q37" i="19"/>
  <c r="AC11" i="8" l="1"/>
  <c r="AG10" i="8"/>
  <c r="Q15" i="11"/>
  <c r="Q26" i="19" s="1"/>
  <c r="Q42" i="11"/>
  <c r="Q48" i="19" s="1"/>
  <c r="R42" i="11"/>
  <c r="R29" i="11"/>
  <c r="Q29" i="11"/>
  <c r="Q38" i="19" s="1"/>
  <c r="Q40" i="11" l="1"/>
  <c r="Q46" i="19" s="1"/>
  <c r="Q41" i="11"/>
  <c r="Q47" i="19" s="1"/>
  <c r="R40" i="11"/>
  <c r="R41" i="11"/>
  <c r="Q16" i="11"/>
  <c r="Q27" i="19" s="1"/>
  <c r="Q17" i="11"/>
  <c r="Q28" i="19" s="1"/>
  <c r="R46" i="19" l="1"/>
  <c r="R47" i="19"/>
  <c r="R48" i="19"/>
  <c r="R38" i="19"/>
  <c r="I161" i="8"/>
  <c r="I96" i="8"/>
  <c r="I74" i="8"/>
  <c r="I45" i="8"/>
  <c r="I130" i="8"/>
  <c r="I143" i="8"/>
  <c r="I113" i="8"/>
  <c r="I39" i="8"/>
  <c r="I125" i="8" s="1"/>
  <c r="I236" i="8" s="1"/>
  <c r="I173" i="8"/>
  <c r="I171" i="8"/>
  <c r="I170" i="8" s="1"/>
  <c r="I186" i="8" l="1"/>
  <c r="I118" i="8"/>
  <c r="I114" i="8"/>
  <c r="I90" i="8"/>
  <c r="I42" i="8"/>
  <c r="I105" i="8" s="1"/>
  <c r="E30" i="19"/>
  <c r="I33" i="8"/>
  <c r="I101" i="8"/>
  <c r="I172" i="8"/>
  <c r="I174" i="8"/>
  <c r="I145" i="8"/>
  <c r="I99" i="8" l="1"/>
  <c r="I153" i="8"/>
  <c r="I110" i="8"/>
  <c r="I93" i="8"/>
  <c r="I36" i="8"/>
  <c r="I63" i="8"/>
  <c r="I128" i="8" l="1"/>
  <c r="I188" i="8" s="1"/>
  <c r="I238" i="8" s="1"/>
  <c r="I47" i="8"/>
  <c r="I37" i="8"/>
  <c r="R21" i="11" s="1"/>
  <c r="R31" i="19" s="1"/>
  <c r="AF11" i="8"/>
  <c r="AH11" i="8"/>
  <c r="J103" i="8"/>
  <c r="J50" i="8"/>
  <c r="J123" i="8" l="1"/>
  <c r="J51" i="8"/>
  <c r="I59" i="8"/>
  <c r="R44" i="11"/>
  <c r="R43" i="11"/>
  <c r="R49" i="19" s="1"/>
  <c r="R51" i="11"/>
  <c r="R56" i="19" s="1"/>
  <c r="R50" i="11"/>
  <c r="R55" i="19" s="1"/>
  <c r="R45" i="11"/>
  <c r="I48" i="8"/>
  <c r="R18" i="11" s="1"/>
  <c r="R29" i="19" s="1"/>
  <c r="R51" i="19" l="1"/>
  <c r="R50" i="19"/>
  <c r="I76" i="8"/>
  <c r="I60" i="8"/>
  <c r="I78" i="8"/>
  <c r="I230" i="8"/>
  <c r="J234" i="8"/>
  <c r="J184" i="8"/>
  <c r="I179" i="8" l="1"/>
  <c r="F30" i="19"/>
  <c r="R19" i="11"/>
  <c r="R30" i="19" s="1"/>
  <c r="R20" i="11"/>
  <c r="I81" i="8"/>
  <c r="I132" i="8" l="1"/>
  <c r="R63" i="11" s="1"/>
  <c r="R42" i="19" s="1"/>
  <c r="I232" i="8"/>
  <c r="I244" i="8" s="1"/>
  <c r="I150" i="8"/>
  <c r="R16" i="11"/>
  <c r="R27" i="19" s="1"/>
  <c r="R15" i="11"/>
  <c r="R26" i="19" s="1"/>
  <c r="I82" i="8"/>
  <c r="R23" i="11" s="1"/>
  <c r="R33" i="19" s="1"/>
  <c r="I177" i="8"/>
  <c r="I176" i="8" s="1"/>
  <c r="I182" i="8" s="1"/>
  <c r="I180" i="8"/>
  <c r="I178" i="8"/>
  <c r="I192" i="8" l="1"/>
  <c r="R17" i="11"/>
  <c r="R28" i="19" s="1"/>
  <c r="AB11" i="8"/>
  <c r="H30" i="19" s="1"/>
  <c r="I257" i="8"/>
  <c r="I163" i="8"/>
  <c r="R62" i="11" s="1"/>
  <c r="J156" i="8"/>
  <c r="I245" i="8"/>
  <c r="Y11" i="8"/>
  <c r="J158" i="8"/>
  <c r="R60" i="11"/>
  <c r="R58" i="11"/>
  <c r="R55" i="11"/>
  <c r="R57" i="11"/>
  <c r="R59" i="11"/>
  <c r="I165" i="8" l="1"/>
  <c r="I88" i="8" s="1"/>
  <c r="J116" i="8"/>
  <c r="J242" i="8"/>
  <c r="AA11" i="8"/>
  <c r="I261" i="8"/>
  <c r="I193" i="8"/>
  <c r="T193" i="8"/>
  <c r="I215" i="8"/>
  <c r="X11" i="8"/>
  <c r="G30" i="19" s="1"/>
  <c r="R56" i="11" l="1"/>
  <c r="R64" i="11"/>
  <c r="R43" i="19" s="1"/>
  <c r="AC12" i="8"/>
  <c r="AE11" i="8"/>
  <c r="AG11" i="8" s="1"/>
  <c r="R27" i="11"/>
  <c r="R36" i="19" s="1"/>
  <c r="AD11" i="8"/>
  <c r="S201" i="8"/>
  <c r="AI11" i="8"/>
  <c r="R28" i="11"/>
  <c r="R37" i="19" s="1"/>
  <c r="J130" i="8"/>
  <c r="J45" i="8"/>
  <c r="J74" i="8"/>
  <c r="J161" i="8"/>
  <c r="J143" i="8"/>
  <c r="J96" i="8"/>
  <c r="J113" i="8"/>
  <c r="J173" i="8"/>
  <c r="J171" i="8"/>
  <c r="J170" i="8" s="1"/>
  <c r="J39" i="8"/>
  <c r="J125" i="8" s="1"/>
  <c r="J30" i="8"/>
  <c r="J33" i="8" l="1"/>
  <c r="J90" i="8"/>
  <c r="J42" i="8"/>
  <c r="J105" i="8" s="1"/>
  <c r="J101" i="8"/>
  <c r="E31" i="19"/>
  <c r="J118" i="8"/>
  <c r="J236" i="8"/>
  <c r="J186" i="8"/>
  <c r="J172" i="8"/>
  <c r="J174" i="8"/>
  <c r="J114" i="8"/>
  <c r="J145" i="8"/>
  <c r="J63" i="8" l="1"/>
  <c r="J153" i="8"/>
  <c r="J99" i="8"/>
  <c r="J93" i="8"/>
  <c r="J110" i="8"/>
  <c r="J36" i="8"/>
  <c r="J37" i="8" l="1"/>
  <c r="J47" i="8"/>
  <c r="J128" i="8"/>
  <c r="J188" i="8" s="1"/>
  <c r="J238" i="8" s="1"/>
  <c r="K50" i="8"/>
  <c r="K103" i="8"/>
  <c r="K51" i="8" l="1"/>
  <c r="K123" i="8"/>
  <c r="J48" i="8"/>
  <c r="J59" i="8"/>
  <c r="J78" i="8" l="1"/>
  <c r="J230" i="8"/>
  <c r="J76" i="8"/>
  <c r="J60" i="8"/>
  <c r="K234" i="8"/>
  <c r="K184" i="8"/>
  <c r="J81" i="8" l="1"/>
  <c r="J82" i="8" s="1"/>
  <c r="F31" i="19"/>
  <c r="J179" i="8"/>
  <c r="J150" i="8" l="1"/>
  <c r="J163" i="8" s="1"/>
  <c r="J132" i="8"/>
  <c r="J232" i="8"/>
  <c r="J244" i="8" s="1"/>
  <c r="K156" i="8" s="1"/>
  <c r="J178" i="8"/>
  <c r="J180" i="8"/>
  <c r="J177" i="8"/>
  <c r="J176" i="8" s="1"/>
  <c r="J182" i="8" s="1"/>
  <c r="J257" i="8" l="1"/>
  <c r="AA12" i="8" s="1"/>
  <c r="Y12" i="8"/>
  <c r="J245" i="8"/>
  <c r="K158" i="8"/>
  <c r="K242" i="8" s="1"/>
  <c r="AC13" i="8" s="1"/>
  <c r="J165" i="8"/>
  <c r="J88" i="8" s="1"/>
  <c r="AD12" i="8" s="1"/>
  <c r="AB12" i="8"/>
  <c r="H31" i="19" s="1"/>
  <c r="J192" i="8"/>
  <c r="J261" i="8"/>
  <c r="K116" i="8" l="1"/>
  <c r="X12" i="8"/>
  <c r="G31" i="19" s="1"/>
  <c r="J215" i="8"/>
  <c r="J193" i="8"/>
  <c r="U192" i="8"/>
  <c r="U193" i="8"/>
  <c r="K130" i="8"/>
  <c r="K45" i="8"/>
  <c r="K74" i="8"/>
  <c r="K161" i="8"/>
  <c r="K143" i="8"/>
  <c r="K96" i="8"/>
  <c r="K113" i="8"/>
  <c r="K173" i="8"/>
  <c r="K171" i="8"/>
  <c r="K170" i="8" s="1"/>
  <c r="K39" i="8"/>
  <c r="K125" i="8" s="1"/>
  <c r="K30" i="8"/>
  <c r="K33" i="8" l="1"/>
  <c r="K90" i="8"/>
  <c r="K42" i="8"/>
  <c r="K105" i="8" s="1"/>
  <c r="K101" i="8"/>
  <c r="E32" i="19"/>
  <c r="K118" i="8"/>
  <c r="K236" i="8"/>
  <c r="K186" i="8"/>
  <c r="K172" i="8"/>
  <c r="K174" i="8"/>
  <c r="K114" i="8"/>
  <c r="K145" i="8"/>
  <c r="K63" i="8" l="1"/>
  <c r="K153" i="8"/>
  <c r="K99" i="8"/>
  <c r="K93" i="8"/>
  <c r="K110" i="8"/>
  <c r="K36" i="8"/>
  <c r="K37" i="8" l="1"/>
  <c r="K47" i="8"/>
  <c r="K128" i="8"/>
  <c r="K188" i="8" s="1"/>
  <c r="K238" i="8" s="1"/>
  <c r="L50" i="8"/>
  <c r="L103" i="8"/>
  <c r="L51" i="8" l="1"/>
  <c r="L123" i="8"/>
  <c r="K48" i="8"/>
  <c r="K59" i="8"/>
  <c r="K230" i="8" l="1"/>
  <c r="K78" i="8"/>
  <c r="K76" i="8"/>
  <c r="K60" i="8"/>
  <c r="L234" i="8"/>
  <c r="L184" i="8"/>
  <c r="K81" i="8" l="1"/>
  <c r="K232" i="8" s="1"/>
  <c r="K244" i="8" s="1"/>
  <c r="F32" i="19"/>
  <c r="K179" i="8"/>
  <c r="K150" i="8" l="1"/>
  <c r="K163" i="8" s="1"/>
  <c r="K82" i="8"/>
  <c r="K132" i="8"/>
  <c r="K245" i="8"/>
  <c r="Y13" i="8"/>
  <c r="L158" i="8"/>
  <c r="L156" i="8"/>
  <c r="K180" i="8"/>
  <c r="K178" i="8"/>
  <c r="K177" i="8"/>
  <c r="K176" i="8" s="1"/>
  <c r="K182" i="8" s="1"/>
  <c r="K257" i="8" l="1"/>
  <c r="K261" i="8" s="1"/>
  <c r="K165" i="8"/>
  <c r="K88" i="8" s="1"/>
  <c r="AD13" i="8" s="1"/>
  <c r="AB13" i="8"/>
  <c r="H32" i="19" s="1"/>
  <c r="K192" i="8"/>
  <c r="L242" i="8"/>
  <c r="AC14" i="8" s="1"/>
  <c r="L116" i="8"/>
  <c r="AA13" i="8" l="1"/>
  <c r="X13" i="8"/>
  <c r="G32" i="19" s="1"/>
  <c r="K215" i="8"/>
  <c r="V192" i="8"/>
  <c r="K193" i="8"/>
  <c r="V193" i="8"/>
  <c r="M173" i="8"/>
  <c r="M171" i="8"/>
  <c r="N173" i="8"/>
  <c r="N171" i="8"/>
  <c r="O173" i="8"/>
  <c r="O171" i="8"/>
  <c r="P173" i="8"/>
  <c r="P171" i="8"/>
  <c r="L130" i="8"/>
  <c r="L45" i="8"/>
  <c r="L74" i="8"/>
  <c r="L161" i="8"/>
  <c r="L143" i="8"/>
  <c r="M143" i="8" s="1"/>
  <c r="M145" i="8" s="1"/>
  <c r="L96" i="8"/>
  <c r="L113" i="8"/>
  <c r="M113" i="8" s="1"/>
  <c r="Q173" i="8"/>
  <c r="Q171" i="8"/>
  <c r="L173" i="8"/>
  <c r="L171" i="8"/>
  <c r="L170" i="8" s="1"/>
  <c r="L39" i="8"/>
  <c r="L125" i="8" s="1"/>
  <c r="L30" i="8"/>
  <c r="M170" i="8" l="1"/>
  <c r="N170" i="8" s="1"/>
  <c r="O170" i="8" s="1"/>
  <c r="P170" i="8" s="1"/>
  <c r="Q170" i="8" s="1"/>
  <c r="M39" i="8"/>
  <c r="L33" i="8"/>
  <c r="L90" i="8"/>
  <c r="L42" i="8"/>
  <c r="L105" i="8" s="1"/>
  <c r="L101" i="8"/>
  <c r="M30" i="8"/>
  <c r="E33" i="19"/>
  <c r="L118" i="8"/>
  <c r="L236" i="8"/>
  <c r="L186" i="8"/>
  <c r="L172" i="8"/>
  <c r="L174" i="8"/>
  <c r="Q172" i="8"/>
  <c r="Q174" i="8"/>
  <c r="M114" i="8"/>
  <c r="N113" i="8"/>
  <c r="O113" i="8" s="1"/>
  <c r="L114" i="8"/>
  <c r="M96" i="8"/>
  <c r="N143" i="8"/>
  <c r="O143" i="8" s="1"/>
  <c r="O145" i="8" s="1"/>
  <c r="L145" i="8"/>
  <c r="M161" i="8"/>
  <c r="M74" i="8"/>
  <c r="M45" i="8"/>
  <c r="M130" i="8"/>
  <c r="P172" i="8"/>
  <c r="P174" i="8"/>
  <c r="O172" i="8"/>
  <c r="O174" i="8"/>
  <c r="N172" i="8"/>
  <c r="N174" i="8"/>
  <c r="M172" i="8"/>
  <c r="M174" i="8"/>
  <c r="M125" i="8" l="1"/>
  <c r="N39" i="8"/>
  <c r="N130" i="8"/>
  <c r="N45" i="8"/>
  <c r="N74" i="8"/>
  <c r="N161" i="8"/>
  <c r="N145" i="8"/>
  <c r="P143" i="8"/>
  <c r="N96" i="8"/>
  <c r="P113" i="8"/>
  <c r="L63" i="8"/>
  <c r="M33" i="8"/>
  <c r="M90" i="8"/>
  <c r="M101" i="8"/>
  <c r="M42" i="8"/>
  <c r="M118" i="8"/>
  <c r="M36" i="8"/>
  <c r="N30" i="8"/>
  <c r="L153" i="8"/>
  <c r="L99" i="8"/>
  <c r="M105" i="8"/>
  <c r="L110" i="8"/>
  <c r="L93" i="8"/>
  <c r="L36" i="8"/>
  <c r="L128" i="8" l="1"/>
  <c r="L188" i="8" s="1"/>
  <c r="L238" i="8" s="1"/>
  <c r="N125" i="8"/>
  <c r="O39" i="8"/>
  <c r="M236" i="8"/>
  <c r="M186" i="8"/>
  <c r="L37" i="8"/>
  <c r="L47" i="8"/>
  <c r="M50" i="8"/>
  <c r="M103" i="8"/>
  <c r="M99" i="8" s="1"/>
  <c r="N33" i="8"/>
  <c r="N90" i="8"/>
  <c r="N101" i="8"/>
  <c r="N42" i="8"/>
  <c r="N105" i="8" s="1"/>
  <c r="N118" i="8"/>
  <c r="N36" i="8"/>
  <c r="O30" i="8"/>
  <c r="N114" i="8"/>
  <c r="M37" i="8"/>
  <c r="M47" i="8"/>
  <c r="M153" i="8"/>
  <c r="M110" i="8"/>
  <c r="M93" i="8"/>
  <c r="Q113" i="8"/>
  <c r="O96" i="8"/>
  <c r="P96" i="8" s="1"/>
  <c r="P145" i="8"/>
  <c r="Q143" i="8"/>
  <c r="Q145" i="8" s="1"/>
  <c r="O161" i="8"/>
  <c r="P161" i="8" s="1"/>
  <c r="O74" i="8"/>
  <c r="P74" i="8" s="1"/>
  <c r="O45" i="8"/>
  <c r="P45" i="8" s="1"/>
  <c r="O130" i="8"/>
  <c r="P130" i="8" s="1"/>
  <c r="M128" i="8" l="1"/>
  <c r="M188" i="8" s="1"/>
  <c r="M238" i="8" s="1"/>
  <c r="N50" i="8"/>
  <c r="N51" i="8" s="1"/>
  <c r="O125" i="8"/>
  <c r="P39" i="8"/>
  <c r="N186" i="8"/>
  <c r="N236" i="8"/>
  <c r="Q130" i="8"/>
  <c r="Q45" i="8"/>
  <c r="Q74" i="8"/>
  <c r="Q161" i="8"/>
  <c r="Q96" i="8"/>
  <c r="M48" i="8"/>
  <c r="M59" i="8"/>
  <c r="O33" i="8"/>
  <c r="O90" i="8"/>
  <c r="O101" i="8"/>
  <c r="O42" i="8"/>
  <c r="O118" i="8"/>
  <c r="O36" i="8"/>
  <c r="P30" i="8"/>
  <c r="O114" i="8"/>
  <c r="N37" i="8"/>
  <c r="N47" i="8"/>
  <c r="O105" i="8"/>
  <c r="N153" i="8"/>
  <c r="N110" i="8"/>
  <c r="N93" i="8"/>
  <c r="N103" i="8"/>
  <c r="M51" i="8"/>
  <c r="M123" i="8"/>
  <c r="L48" i="8"/>
  <c r="L59" i="8"/>
  <c r="N128" i="8" l="1"/>
  <c r="N188" i="8" s="1"/>
  <c r="N238" i="8" s="1"/>
  <c r="N123" i="8"/>
  <c r="N184" i="8" s="1"/>
  <c r="Q39" i="8"/>
  <c r="Q125" i="8" s="1"/>
  <c r="P125" i="8"/>
  <c r="O236" i="8"/>
  <c r="O186" i="8"/>
  <c r="O50" i="8"/>
  <c r="L230" i="8"/>
  <c r="L78" i="8"/>
  <c r="L76" i="8"/>
  <c r="L60" i="8"/>
  <c r="M184" i="8"/>
  <c r="M234" i="8"/>
  <c r="O103" i="8"/>
  <c r="O99" i="8" s="1"/>
  <c r="N99" i="8"/>
  <c r="N48" i="8"/>
  <c r="N59" i="8"/>
  <c r="P33" i="8"/>
  <c r="P90" i="8"/>
  <c r="P101" i="8"/>
  <c r="P42" i="8"/>
  <c r="P105" i="8" s="1"/>
  <c r="P118" i="8"/>
  <c r="P36" i="8"/>
  <c r="Q30" i="8"/>
  <c r="P114" i="8"/>
  <c r="O37" i="8"/>
  <c r="O47" i="8"/>
  <c r="O153" i="8"/>
  <c r="O110" i="8"/>
  <c r="O93" i="8"/>
  <c r="M60" i="8"/>
  <c r="M179" i="8" s="1"/>
  <c r="M230" i="8"/>
  <c r="M78" i="8"/>
  <c r="M76" i="8"/>
  <c r="N234" i="8" l="1"/>
  <c r="L81" i="8"/>
  <c r="L82" i="8" s="1"/>
  <c r="O51" i="8"/>
  <c r="P50" i="8"/>
  <c r="P51" i="8" s="1"/>
  <c r="O123" i="8"/>
  <c r="O184" i="8" s="1"/>
  <c r="O128" i="8"/>
  <c r="O188" i="8" s="1"/>
  <c r="O238" i="8" s="1"/>
  <c r="P186" i="8"/>
  <c r="P236" i="8"/>
  <c r="M81" i="8"/>
  <c r="M150" i="8" s="1"/>
  <c r="Q186" i="8"/>
  <c r="Q236" i="8"/>
  <c r="M180" i="8"/>
  <c r="M178" i="8"/>
  <c r="M177" i="8"/>
  <c r="M176" i="8" s="1"/>
  <c r="M182" i="8" s="1"/>
  <c r="M192" i="8" s="1"/>
  <c r="O48" i="8"/>
  <c r="O59" i="8"/>
  <c r="Q33" i="8"/>
  <c r="Q90" i="8"/>
  <c r="Q101" i="8"/>
  <c r="Q42" i="8"/>
  <c r="Q118" i="8"/>
  <c r="Q36" i="8"/>
  <c r="Q114" i="8"/>
  <c r="P37" i="8"/>
  <c r="P47" i="8"/>
  <c r="Q105" i="8"/>
  <c r="P153" i="8"/>
  <c r="P110" i="8"/>
  <c r="P93" i="8"/>
  <c r="N60" i="8"/>
  <c r="N179" i="8" s="1"/>
  <c r="N230" i="8"/>
  <c r="N78" i="8"/>
  <c r="N76" i="8"/>
  <c r="P103" i="8"/>
  <c r="F33" i="19"/>
  <c r="L179" i="8"/>
  <c r="L132" i="8" l="1"/>
  <c r="L150" i="8"/>
  <c r="L257" i="8" s="1"/>
  <c r="L232" i="8"/>
  <c r="L244" i="8" s="1"/>
  <c r="M158" i="8" s="1"/>
  <c r="P123" i="8"/>
  <c r="P184" i="8" s="1"/>
  <c r="O234" i="8"/>
  <c r="Q50" i="8"/>
  <c r="Q123" i="8" s="1"/>
  <c r="M232" i="8"/>
  <c r="M82" i="8"/>
  <c r="N81" i="8"/>
  <c r="N82" i="8" s="1"/>
  <c r="M132" i="8"/>
  <c r="P128" i="8"/>
  <c r="P188" i="8" s="1"/>
  <c r="P238" i="8" s="1"/>
  <c r="L180" i="8"/>
  <c r="L178" i="8"/>
  <c r="L177" i="8"/>
  <c r="L176" i="8" s="1"/>
  <c r="L182" i="8" s="1"/>
  <c r="Q103" i="8"/>
  <c r="Q99" i="8" s="1"/>
  <c r="P99" i="8"/>
  <c r="N180" i="8"/>
  <c r="N178" i="8"/>
  <c r="N177" i="8"/>
  <c r="N176" i="8" s="1"/>
  <c r="N182" i="8" s="1"/>
  <c r="N192" i="8" s="1"/>
  <c r="P48" i="8"/>
  <c r="P59" i="8"/>
  <c r="Q37" i="8"/>
  <c r="Q47" i="8"/>
  <c r="Q153" i="8"/>
  <c r="Q110" i="8"/>
  <c r="Q93" i="8"/>
  <c r="O60" i="8"/>
  <c r="O179" i="8" s="1"/>
  <c r="O230" i="8"/>
  <c r="O78" i="8"/>
  <c r="O76" i="8"/>
  <c r="M193" i="8"/>
  <c r="X193" i="8"/>
  <c r="X192" i="8"/>
  <c r="M215" i="8"/>
  <c r="M257" i="8"/>
  <c r="M261" i="8" s="1"/>
  <c r="L163" i="8" l="1"/>
  <c r="L165" i="8" s="1"/>
  <c r="L88" i="8" s="1"/>
  <c r="AD14" i="8" s="1"/>
  <c r="Y14" i="8"/>
  <c r="L245" i="8"/>
  <c r="M156" i="8"/>
  <c r="M116" i="8" s="1"/>
  <c r="P234" i="8"/>
  <c r="N150" i="8"/>
  <c r="N257" i="8" s="1"/>
  <c r="N261" i="8" s="1"/>
  <c r="Q51" i="8"/>
  <c r="N132" i="8"/>
  <c r="O81" i="8"/>
  <c r="O232" i="8" s="1"/>
  <c r="N232" i="8"/>
  <c r="Q128" i="8"/>
  <c r="Q188" i="8" s="1"/>
  <c r="Q238" i="8" s="1"/>
  <c r="O180" i="8"/>
  <c r="O178" i="8"/>
  <c r="O177" i="8"/>
  <c r="O176" i="8" s="1"/>
  <c r="O182" i="8" s="1"/>
  <c r="O192" i="8" s="1"/>
  <c r="Q48" i="8"/>
  <c r="Q59" i="8"/>
  <c r="P60" i="8"/>
  <c r="P179" i="8" s="1"/>
  <c r="P230" i="8"/>
  <c r="P78" i="8"/>
  <c r="P76" i="8"/>
  <c r="Q184" i="8"/>
  <c r="Q234" i="8"/>
  <c r="Y193" i="8"/>
  <c r="Y192" i="8"/>
  <c r="N193" i="8"/>
  <c r="N215" i="8"/>
  <c r="AB14" i="8"/>
  <c r="H33" i="19" s="1"/>
  <c r="L192" i="8"/>
  <c r="AA14" i="8"/>
  <c r="L261" i="8"/>
  <c r="M242" i="8" l="1"/>
  <c r="M244" i="8" s="1"/>
  <c r="M245" i="8" s="1"/>
  <c r="M163" i="8"/>
  <c r="M165" i="8" s="1"/>
  <c r="M88" i="8" s="1"/>
  <c r="O132" i="8"/>
  <c r="O82" i="8"/>
  <c r="O150" i="8"/>
  <c r="O257" i="8" s="1"/>
  <c r="O261" i="8" s="1"/>
  <c r="P81" i="8"/>
  <c r="P132" i="8" s="1"/>
  <c r="M63" i="8"/>
  <c r="X14" i="8"/>
  <c r="G33" i="19" s="1"/>
  <c r="L215" i="8"/>
  <c r="W192" i="8"/>
  <c r="L193" i="8"/>
  <c r="W193" i="8"/>
  <c r="P180" i="8"/>
  <c r="P178" i="8"/>
  <c r="P177" i="8"/>
  <c r="P176" i="8" s="1"/>
  <c r="P182" i="8" s="1"/>
  <c r="P192" i="8" s="1"/>
  <c r="Q230" i="8"/>
  <c r="Q78" i="8"/>
  <c r="Q60" i="8"/>
  <c r="Q179" i="8" s="1"/>
  <c r="Q76" i="8"/>
  <c r="AA193" i="8"/>
  <c r="AA192" i="8"/>
  <c r="O193" i="8"/>
  <c r="O215" i="8"/>
  <c r="N156" i="8" l="1"/>
  <c r="N158" i="8"/>
  <c r="P150" i="8"/>
  <c r="P257" i="8" s="1"/>
  <c r="P261" i="8" s="1"/>
  <c r="Q81" i="8"/>
  <c r="Q82" i="8" s="1"/>
  <c r="P232" i="8"/>
  <c r="P82" i="8"/>
  <c r="Q180" i="8"/>
  <c r="Q178" i="8"/>
  <c r="Q177" i="8"/>
  <c r="Q176" i="8" s="1"/>
  <c r="Q182" i="8" s="1"/>
  <c r="Q192" i="8" s="1"/>
  <c r="AB193" i="8"/>
  <c r="AB192" i="8"/>
  <c r="P193" i="8"/>
  <c r="P215" i="8"/>
  <c r="N242" i="8" l="1"/>
  <c r="N244" i="8" s="1"/>
  <c r="N245" i="8" s="1"/>
  <c r="N116" i="8"/>
  <c r="N63" i="8" s="1"/>
  <c r="N163" i="8"/>
  <c r="N165" i="8" s="1"/>
  <c r="N88" i="8" s="1"/>
  <c r="Q150" i="8"/>
  <c r="Q257" i="8" s="1"/>
  <c r="Q261" i="8" s="1"/>
  <c r="Q263" i="8" s="1"/>
  <c r="Q264" i="8" s="1"/>
  <c r="Q132" i="8"/>
  <c r="Q232" i="8"/>
  <c r="Q218" i="8"/>
  <c r="Q219" i="8" s="1"/>
  <c r="Q193" i="8"/>
  <c r="AC193" i="8"/>
  <c r="AC192" i="8"/>
  <c r="Q215" i="8"/>
  <c r="Q198" i="8"/>
  <c r="O156" i="8" l="1"/>
  <c r="O158" i="8"/>
  <c r="Q222" i="8"/>
  <c r="Q223" i="8" s="1"/>
  <c r="Q224" i="8" s="1"/>
  <c r="Q226" i="8" s="1"/>
  <c r="Q267" i="8"/>
  <c r="Q269" i="8" s="1"/>
  <c r="Q265" i="8"/>
  <c r="R199" i="8"/>
  <c r="R200" i="8" s="1"/>
  <c r="Q199" i="8"/>
  <c r="Q200" i="8" s="1"/>
  <c r="Q205" i="8" s="1"/>
  <c r="Q208" i="8" s="1"/>
  <c r="S199" i="8"/>
  <c r="S200" i="8" s="1"/>
  <c r="O242" i="8" l="1"/>
  <c r="O244" i="8" s="1"/>
  <c r="P156" i="8" s="1"/>
  <c r="O116" i="8"/>
  <c r="O63" i="8" s="1"/>
  <c r="O163" i="8"/>
  <c r="O165" i="8" s="1"/>
  <c r="O88" i="8" s="1"/>
  <c r="O245" i="8"/>
  <c r="Q211" i="8"/>
  <c r="U11" i="19" s="1"/>
  <c r="U10" i="19"/>
  <c r="AO295" i="8"/>
  <c r="AO285" i="8"/>
  <c r="R205" i="8"/>
  <c r="Q8" i="11"/>
  <c r="Q20" i="19" s="1"/>
  <c r="Q6" i="11"/>
  <c r="Q18" i="19" s="1"/>
  <c r="Q9" i="11"/>
  <c r="Q21" i="19" s="1"/>
  <c r="R9" i="11"/>
  <c r="R21" i="19" s="1"/>
  <c r="R8" i="11"/>
  <c r="R20" i="19" s="1"/>
  <c r="R6" i="11"/>
  <c r="R18" i="19" s="1"/>
  <c r="S205" i="8"/>
  <c r="P158" i="8" l="1"/>
  <c r="R11" i="11"/>
  <c r="R23" i="19" s="1"/>
  <c r="R7" i="11"/>
  <c r="R19" i="19" s="1"/>
  <c r="R10" i="11"/>
  <c r="R22" i="19" s="1"/>
  <c r="Q10" i="11"/>
  <c r="Q22" i="19" s="1"/>
  <c r="Q7" i="11"/>
  <c r="Q19" i="19" s="1"/>
  <c r="Q11" i="11"/>
  <c r="Q23" i="19" s="1"/>
  <c r="P242" i="8"/>
  <c r="P244" i="8" s="1"/>
  <c r="P163" i="8"/>
  <c r="P165" i="8" s="1"/>
  <c r="P88" i="8" s="1"/>
  <c r="P116" i="8"/>
  <c r="P63" i="8" l="1"/>
  <c r="P245" i="8"/>
  <c r="Q158" i="8"/>
  <c r="Q156" i="8"/>
  <c r="Q242" i="8" l="1"/>
  <c r="Q244" i="8" s="1"/>
  <c r="Q163" i="8"/>
  <c r="Q165" i="8" s="1"/>
  <c r="Q88" i="8" s="1"/>
  <c r="Q116" i="8"/>
  <c r="Q63" i="8" s="1"/>
  <c r="Q247" i="8" l="1"/>
  <c r="Q248" i="8" s="1"/>
  <c r="Q245" i="8"/>
  <c r="Q249" i="8" l="1"/>
  <c r="Q251" i="8" s="1"/>
  <c r="Q253"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F6" authorId="0" shapeId="0" xr:uid="{00000000-0006-0000-0100-000001000000}">
      <text>
        <r>
          <rPr>
            <b/>
            <sz val="9"/>
            <color indexed="81"/>
            <rFont val="Tahoma"/>
            <family val="2"/>
          </rPr>
          <t xml:space="preserve">Company didn't disclose the data due to changes in accounting standards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Duarte Miguel Pais André</author>
  </authors>
  <commentList>
    <comment ref="E44" authorId="0" shapeId="0" xr:uid="{9CAEBFE9-14E3-4E9B-AF7D-FCA83914062F}">
      <text>
        <r>
          <rPr>
            <sz val="11"/>
            <color theme="1"/>
            <rFont val="Arial"/>
            <family val="2"/>
          </rPr>
          <t>The analog semiconductor industry has high capital requirements and technological barriers, but strong demand growth, innovation opportunities (e.g. AI, EVs, IoT), and access to foundries have lowered entry barriers. New niche players and startups are increasingly entering.</t>
        </r>
      </text>
    </comment>
    <comment ref="E51" authorId="0" shapeId="0" xr:uid="{A08F9D8F-2D60-4209-AD36-93610FCA9F0D}">
      <text>
        <r>
          <rPr>
            <sz val="11"/>
            <color theme="1"/>
            <rFont val="Arial"/>
            <family val="2"/>
          </rPr>
          <t>Specialized raw materials (like silicon wafers) and a limited number of foundry partners (e.g., TSMC) give suppliers moderate power. However, large firms like ADI can leverage scale to negotiate.</t>
        </r>
      </text>
    </comment>
    <comment ref="E57" authorId="0" shapeId="0" xr:uid="{47E2C3A9-7622-4A01-8899-18A5C997A50E}">
      <text>
        <r>
          <rPr>
            <sz val="11"/>
            <color theme="1"/>
            <rFont val="Arial"/>
            <family val="2"/>
          </rPr>
          <t>Customers are often large OEMs (e.g. Apple, automotive companies) with negotiation leverage, especially in high-volume orders. However, product differentiation and switching costs limit their power.</t>
        </r>
      </text>
    </comment>
    <comment ref="E63" authorId="0" shapeId="0" xr:uid="{F61DE65B-6415-4C42-9245-CD96716D2465}">
      <text>
        <r>
          <rPr>
            <sz val="11"/>
            <color theme="1"/>
            <rFont val="Arial"/>
            <family val="2"/>
          </rPr>
          <t>The industry is highly competitive with established players like Texas Instruments, NXP, and Microchip. Price competition is strong in some segments, though innovation and specialization mitigate full commoditization.</t>
        </r>
      </text>
    </comment>
    <comment ref="E69" authorId="0" shapeId="0" xr:uid="{01073F0E-C9B3-45DC-8258-60B335154D95}">
      <text>
        <r>
          <rPr>
            <sz val="11"/>
            <color theme="1"/>
            <rFont val="Arial"/>
            <family val="2"/>
          </rPr>
          <t>There are few true substitutes for analog chips in precision sensing, signal conversion, and power management. However, digital solutions can sometimes replace analog in lower-end applications.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Jorge Daniel Vieira Freitas</author>
  </authors>
  <commentList>
    <comment ref="B9" authorId="0" shapeId="0" xr:uid="{853419A1-5A88-4068-8880-C126CBF8C9AF}">
      <text>
        <r>
          <rPr>
            <sz val="11"/>
            <color theme="1"/>
            <rFont val="Arial"/>
            <family val="2"/>
          </rPr>
          <t>Company Description
Microchip Technology Incorporated is a semiconductor manufacturing company. The Company offers mixed-signal microcontrollers, microprocessors, analog, Flash-IP integrated circuits, and memory products for a wide variety of applications. Microchip Technology serves industrial, automotive, consumer, aerospace and defense, communications, and computing markets in the United States. 
Extended Company Description  (Source: Hoover's Inc., a Dun &amp; Bradstreet Company)
OVERVIEW
Microchip Technology is a leading provider of smart, connected, and secure embedded control solutions. The company offers a variety of semiconductor products, including 8-, 16-, and 32-bit mixed-signal microcontrollers, embedded mixed-signal microprocessors, analogs, and more. With over 30 years of technology leadership, its broad product portfolio offers a Total System Solution (TSS) for its customers that can provide a large portion of the silicon requirements in their applications. TSS is a combination of hardware, software, and services that help its customers increase their revenue, reduce their costs, and manage their risks. The company's solutions serve approximately 125,000 customers across the industrial, automotive, consumer, aerospace and defense, communications, and computing markets. Microchip gets about 70% of its revenue from customers outside the US.
Operations
The company has two operating segments: Semiconductor products (accounts for nearly all of its revenue) and Technology licensing (accounts for the rest). 
The Semiconductor product segment designs, develops, manufactures, and markets mixed-signal microcontrollers, development tools and analog, interface, mixed-signal, timing, wired and wireless connectivity devices, and memory products. The Technology licensing segment generates license fees and royalties associated with technology licenses for the use of its SuperFlash embedded flash and other technologies as well as engineering services related to these technologies. 
Microchip's two biggest product lines are mixed-signal microcontrollers (about 55% of its revenue), a family of proprietary general-purpose mixed-signal microcontroller products, and analog Products (about 25%), which consist of several families including power management, linear, mixed-signal, high voltage, thermal management, discrete diodes and MOSFETs, RF, drivers, safety, security, timing, USB, ethernet, wireless, and other interface products. 
Accounting for roughly 20% of revenue, other product line includes FPGA products, royalties associated with licenses for the use of its SuperFlash and other technologies, sales of its intellectual property, fees for engineering services, memory products, timing systems, manufacturing services (wafer foundry and assembly and test subcontracting), legacy application specific integrated circuits, and products for aerospace applications.
Geographic Reach
Chandler, Arizona-based Microchip has owned facilities in the US, the Philippines, Thailand, India, France, Germany, Ireland, China, and Taiwan. In addition, the company leases several manufacturing, research, and development facilities and sales offices in North America, Europe, and Asia. 
More than 45% of the company's revenue comes from Asia, about 30% from the Americas, and some 25% from Europe.
Sales and Marketing
Microchip markets and sells its products worldwide primarily through a network of direct sales personnel and distributors. It primarily gets its revenue from sales of semiconductor products to distributors and non-distributor customers (direct customers) and, to a lesser extent, from royalties paid by licensees of intellectual property. Its licensing division has dedicated sales, technology, design, product, test, and reliability personnel that support the requirements of its licensees. 
Overall, about 55% of its revenue comes from distributors and about 25% from direct customers. The rest of its revenue comes from its licensees. The company's largest distributor is Arrow Electronics, representing more than 10% of its revenue.
Financial Performance
Net sales for fiscal 2023 decreased by 10% to $7.6 billion compared to the prior year with $8.4 billion. The decrease in net sales in fiscal 2024 compared to fiscal 2023 was primarily due to adverse economic conditions, including slowing economic activity, increasing business uncertainty, persistent inflation and higher interest rates which factors resulted in many customers having higher levels of inventory. 
Net income for fiscal 2023 decreased to $1.9 billion compared to the prior year with $2.2 billion. The decrease was primarily due to lower revenues partially offset by the decrease in both cost of sales and operating expenses. 
Cash held by the company at the end of fiscal 2023 increased to $319.7 million. Cash provided by operations was $2.9 billion while cash used for investing and financing activities were $392.1 million and $2.4 billion, respectively. Main uses of cash were capital expenditures and repayment of senior notes.
Strategy
The company's strategic focus is on providing cost-effective embedded control solutions that also offer the advantages of small size, high performance, extreme low power usage, wide voltage range operation, mixed signal integration, and ease of development, thus enabling timely and cost-effective integration of its solutions by its customers in its end products.
Company Background
Investment firm Sequoia Capital acquired a washed-up semiconductor subsidiary from General Instrument in 1989. Sequoia executive Steve Sanghi, a veteran of Intel, was tapped to head the operation, Microchip Technology. Sanghi instituted a bare-bones operating budget and broadened the company's focus beyond low-cost memory products to include more profitable embedded microcontrollers. By 1992 Microchip turned a small profit. 
In 1995 Microchip acquired the rights to KEELOQ secure data transmission products, developed by South Africa's Nanoteq Ltd. The following year the company introduced its own line of secure data transmission products and its first flash memory microcontrollers. In 1997 Microchip unveiled the world's smallest erasable read-only memory, to be used in devices such as keyless entries, dimmers, and thermostats.
HISTORY
   Investment firm Sequoia Capital acquired a washed-up semiconductor subsidiary from General Instrument in 1989. Sequoia executive Steve Sanghi, a veteran of Intel, was tapped to head the operation, Microchip Technology. Sanghi instituted a bare-bones operating budget and broadened the company's focus beyond low-cost memory products to include more profitable embedded microcontrollers. By 1992 Microchip turned a small profit.          
   In 1995 Microchip acquired the rights to KEELOQ secure data transmission products, developed by South Africa's Nanoteq Ltd. The following year the company introduced its own line of secure data transmission products and its first flash memory microcontrollers. In 1997 Microchip unveiled the world's smallest erasable read-only memory, to be used in devices such as keyless entries, dimmers, and thermostats. In 1998 Microchip settled litigation with ROHM, whose Exel Microelectronics unit was an original KEELOQ licensee; ROHM surrendered its licensing rights to the technology.          
   Streamlining around its more cost-effective manufacturing operations, Microchip in 1999 closed a wafer fabrication plant (or fab) and a test facility. In 2001 the company beefed up its analog product line by acquiring TelCom Semiconductor, a maker of chips for wireless phones.          
   In 2002 Microchip paid $54 million in cash for privately held PowerSmart, a Duracell spinoff that made embedded controllers and battery sensors. Also that year the company acquired a large wafer fab in Oregon from Fujitsu for about $180 million in cash. Microchip launched a new e-commerce Web site in 2003.</t>
        </r>
      </text>
    </comment>
    <comment ref="F121" authorId="0" shapeId="0" xr:uid="{A02D21CC-B2BC-43AF-A3A8-371C88171E2B}">
      <text>
        <r>
          <rPr>
            <sz val="11"/>
            <color theme="1"/>
            <rFont val="Arial"/>
            <family val="2"/>
          </rPr>
          <t>84,4% Corporate bonds (6)
21,3% Preferred (1)
3,2% Loans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林伊婧</author>
  </authors>
  <commentList>
    <comment ref="O90" authorId="0" shapeId="0" xr:uid="{23FE9EFD-B2E4-4C4B-BEF6-C2B182D146F9}">
      <text>
        <r>
          <rPr>
            <sz val="10"/>
            <color rgb="FF000000"/>
            <rFont val="Arial"/>
            <family val="2"/>
          </rPr>
          <t xml:space="preserve">The RBA Validated Assessment Program (VAP) is the leading standard for onsite compliance verification and effective, shareable assessments conducted by independent, third-party firms.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Raul Vasconcelos</author>
    <author>Raul Vasconcelos da Silva</author>
    <author>tc={CB5C8E83-E3D0-4441-B6E0-D862C650B5F5}</author>
    <author>tc={CE396053-595E-4126-9C71-0875E5897884}</author>
    <author>tc={E2CDF95A-7B2F-4661-BCB3-C007122C6CFD}</author>
    <author>tc={CD092673-94DE-4108-B6AF-FC73424C056A}</author>
    <author>tc={62E50C66-BA1C-4031-B660-F25771E0B7AB}</author>
    <author>tc={9EF6C6D7-5E70-49FE-A672-ED08A0372EC5}</author>
  </authors>
  <commentList>
    <comment ref="B39" authorId="0" shapeId="0" xr:uid="{00000000-0006-0000-0600-000003000000}">
      <text>
        <r>
          <rPr>
            <b/>
            <sz val="9"/>
            <color indexed="81"/>
            <rFont val="Tahoma"/>
            <family val="2"/>
          </rPr>
          <t>Raul Vasconcelos:</t>
        </r>
        <r>
          <rPr>
            <sz val="9"/>
            <color indexed="81"/>
            <rFont val="Tahoma"/>
            <family val="2"/>
          </rPr>
          <t xml:space="preserve">
Forecast based on historical percentages or growth assumptions</t>
        </r>
      </text>
    </comment>
    <comment ref="B42" authorId="0" shapeId="0" xr:uid="{00000000-0006-0000-0600-000004000000}">
      <text>
        <r>
          <rPr>
            <b/>
            <sz val="9"/>
            <color indexed="81"/>
            <rFont val="Tahoma"/>
            <family val="2"/>
          </rPr>
          <t>Raul Vasconcelos:</t>
        </r>
        <r>
          <rPr>
            <sz val="9"/>
            <color indexed="81"/>
            <rFont val="Tahoma"/>
            <family val="2"/>
          </rPr>
          <t xml:space="preserve">
Forecast based on company policy, industry trends, or as a percentage of sales</t>
        </r>
      </text>
    </comment>
    <comment ref="B72" authorId="1" shapeId="0" xr:uid="{00000000-0006-0000-0600-000005000000}">
      <text>
        <r>
          <rPr>
            <sz val="11"/>
            <color theme="1"/>
            <rFont val="Arial"/>
            <family val="2"/>
          </rPr>
          <t>Forecast as % of revenue for maximum simplicity. It is encouraged to build a more complex model using bond yields, exchange rates and exposure to each region (not always necessary)</t>
        </r>
      </text>
    </comment>
    <comment ref="B106" authorId="1" shapeId="0" xr:uid="{00000000-0006-0000-0600-000006000000}">
      <text>
        <r>
          <rPr>
            <sz val="11"/>
            <color theme="1"/>
            <rFont val="Arial"/>
            <family val="2"/>
          </rPr>
          <t>Growth with R&amp;D or with part of the capex, should find what is the most reliable method for the company</t>
        </r>
      </text>
    </comment>
    <comment ref="B123" authorId="2" shapeId="0" xr:uid="{00000000-0006-0000-0600-000007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Chipotle does not have any Intangibles in its Balance Sheet, except for Goodwill. Hence Depreciation and Amortization are forecasted only as % of PP&amp;E.</t>
      </text>
    </comment>
    <comment ref="B125" authorId="1" shapeId="0" xr:uid="{00000000-0006-0000-0600-000008000000}">
      <text>
        <r>
          <rPr>
            <sz val="11"/>
            <color theme="1"/>
            <rFont val="Arial"/>
            <family val="2"/>
          </rPr>
          <t xml:space="preserve">Usually part of SG&amp;A expenses, but sometimes can be part of R&amp;D expenses, i.e. tech/engineering companies </t>
        </r>
      </text>
    </comment>
    <comment ref="B136" authorId="3" shapeId="0" xr:uid="{00000000-0006-0000-0600-00000900000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Forecasted based on net number of stores opening </t>
      </text>
    </comment>
    <comment ref="B141" authorId="1" shapeId="0" xr:uid="{00000000-0006-0000-0600-00000A000000}">
      <text>
        <r>
          <rPr>
            <sz val="11"/>
            <color theme="1"/>
            <rFont val="Arial"/>
            <family val="2"/>
          </rPr>
          <t>Forecast separately based on what you find to be the best factor</t>
        </r>
      </text>
    </comment>
    <comment ref="B153" authorId="4" shapeId="0" xr:uid="{00000000-0006-0000-0600-00000B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 ref="B156" authorId="5" shapeId="0" xr:uid="{00000000-0006-0000-0600-00000C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 ref="B158" authorId="6" shapeId="0" xr:uid="{00000000-0006-0000-0600-00000D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 ref="B165" authorId="7" shapeId="0" xr:uid="{00000000-0006-0000-0600-00000E00000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Payment for Right of Use Assets are recognized as occupancy costs under SG&amp;A expenses.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Raul Vasconcelos</author>
  </authors>
  <commentList>
    <comment ref="B7" authorId="0" shapeId="0" xr:uid="{00000000-0006-0000-0800-000001000000}">
      <text>
        <r>
          <rPr>
            <sz val="11"/>
            <color theme="1"/>
            <rFont val="Arial"/>
            <family val="2"/>
          </rPr>
          <t>Raul Vasconcelos da Silva:
Food, beverage and packaging</t>
        </r>
      </text>
    </comment>
    <comment ref="B50" authorId="1" shapeId="0" xr:uid="{00000000-0006-0000-08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1" shapeId="0" xr:uid="{00000000-0006-0000-08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2">
    <bk>
      <extLst>
        <ext uri="{3e2802c4-a4d2-4d8b-9148-e3be6c30e623}">
          <xlrd:rvb i="0"/>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futureMetadata>
  <futureMetadata name="XLDAPR" count="1">
    <bk>
      <extLst>
        <ext uri="{bdbb8cdc-fa1e-496e-a857-3c3f30c029c3}">
          <xda:dynamicArrayProperties fDynamic="1" fCollapsed="0"/>
        </ext>
      </extLst>
    </bk>
  </futureMetadata>
  <cellMetadata count="1">
    <bk>
      <rc t="2" v="0"/>
    </bk>
  </cell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<sst xmlns="http://schemas.openxmlformats.org/spreadsheetml/2006/main" count="5952" uniqueCount="1462">
  <si>
    <t xml:space="preserve">             |   EQUITY RESEARCH </t>
  </si>
  <si>
    <t>Lisbon Investment Society Equity Research</t>
  </si>
  <si>
    <t>March XX, 2025</t>
  </si>
  <si>
    <t>Hold</t>
  </si>
  <si>
    <t>EXCHANGE:(TICKER)</t>
  </si>
  <si>
    <t>Investment Thesis</t>
  </si>
  <si>
    <t>Operating Metrics</t>
  </si>
  <si>
    <t>Valuation Multiples</t>
  </si>
  <si>
    <t>Team Leader</t>
  </si>
  <si>
    <t>EV / Sales</t>
  </si>
  <si>
    <t>email</t>
  </si>
  <si>
    <t>Price / Sales</t>
  </si>
  <si>
    <t>(+351) 999 999 999</t>
  </si>
  <si>
    <t>EV / EBITDA</t>
  </si>
  <si>
    <t>Analyst 1</t>
  </si>
  <si>
    <t>EV / EBIT</t>
  </si>
  <si>
    <t>Price / Earnings</t>
  </si>
  <si>
    <t>Price / Book</t>
  </si>
  <si>
    <t>Analyst 2</t>
  </si>
  <si>
    <t>Year</t>
  </si>
  <si>
    <t>Net Sales</t>
  </si>
  <si>
    <t>EBIT Margin</t>
  </si>
  <si>
    <t>FCFF</t>
  </si>
  <si>
    <t>Net Capex</t>
  </si>
  <si>
    <t>Profitability Ratios</t>
  </si>
  <si>
    <t>Return on Assets</t>
  </si>
  <si>
    <t>Analyst 3</t>
  </si>
  <si>
    <t>Return on Equity</t>
  </si>
  <si>
    <t>Return on Total Capital</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</si>
  <si>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</si>
  <si>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</si>
  <si>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</si>
  <si>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</si>
  <si>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</si>
  <si>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</si>
  <si>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</si>
  <si>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</si>
  <si>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</si>
  <si>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</si>
  <si>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</si>
  <si>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</si>
  <si>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</si>
  <si>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</si>
  <si>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</si>
  <si>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t>Quick Ratio</t>
  </si>
  <si>
    <t>Major Holders</t>
  </si>
  <si>
    <t>Current Ratio</t>
  </si>
  <si>
    <t>Opportunities</t>
  </si>
  <si>
    <t>Threats</t>
  </si>
  <si>
    <t>Cash Flow Ratios</t>
  </si>
  <si>
    <t>Cash Conversion Cycle</t>
  </si>
  <si>
    <t>Net Income / Op Cash Flow</t>
  </si>
  <si>
    <t>Chg in Cash / Op Cash Flow</t>
  </si>
  <si>
    <t>Revenue by Region</t>
  </si>
  <si>
    <t>Revenue by Segment</t>
  </si>
  <si>
    <t>Leverage Ratios</t>
  </si>
  <si>
    <t>Total Debt / Equity</t>
  </si>
  <si>
    <t>Total Debt / Capital</t>
  </si>
  <si>
    <t>Total Liabilities / Total Assets</t>
  </si>
  <si>
    <t>Total Debt / EBITDA</t>
  </si>
  <si>
    <t>Board of Directors</t>
  </si>
  <si>
    <t>Total Debt / (EBITDA - Capex)</t>
  </si>
  <si>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</si>
  <si>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</si>
  <si>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</si>
  <si>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</si>
  <si>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</si>
  <si>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</si>
  <si>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</si>
  <si>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</si>
  <si>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</si>
  <si>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</si>
  <si>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</si>
  <si>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</si>
  <si>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</si>
  <si>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</si>
  <si>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</si>
  <si>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</si>
  <si>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</si>
  <si>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</si>
  <si>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</si>
  <si>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</si>
  <si>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</si>
  <si>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Extra Notes</t>
  </si>
  <si>
    <t>Segments</t>
  </si>
  <si>
    <t>Regions</t>
  </si>
  <si>
    <t>Weight</t>
  </si>
  <si>
    <t>China</t>
  </si>
  <si>
    <t>Europe</t>
  </si>
  <si>
    <t>Rest of Asia</t>
  </si>
  <si>
    <t>Japan</t>
  </si>
  <si>
    <t>Rest of North &amp; South America</t>
  </si>
  <si>
    <t>United States</t>
  </si>
  <si>
    <t>Total</t>
  </si>
  <si>
    <t>Industrial</t>
  </si>
  <si>
    <t>Communications</t>
  </si>
  <si>
    <t>Consumer</t>
  </si>
  <si>
    <t>Automotive</t>
  </si>
  <si>
    <t>Categories</t>
  </si>
  <si>
    <t>Description</t>
  </si>
  <si>
    <t>Graphs</t>
  </si>
  <si>
    <t>Factory automation, energy systems, healthcare instrumentation.</t>
  </si>
  <si>
    <t xml:space="preserve"> Advanced driver-assistance systems (ADAS), infotainment, vehicle electrification.</t>
  </si>
  <si>
    <t>Smartphones, wearable devices, smart home applications.</t>
  </si>
  <si>
    <t>Industry Overview</t>
  </si>
  <si>
    <t>Sales Growth Forecast</t>
  </si>
  <si>
    <t>Sources</t>
  </si>
  <si>
    <t>Weighted Average</t>
  </si>
  <si>
    <t>Key Drivers</t>
  </si>
  <si>
    <t>Recovery in Industrial and Automotive Demand</t>
  </si>
  <si>
    <t>After a period of inventory corrections, demand in the industrial and automotive sectors is rebounding. Analog Devices is experiencing sequential growth in these markets, positioning the company to benefit from a multi-year semiconductor upcycle.</t>
  </si>
  <si>
    <t>Expansion in Consumer Electronics</t>
  </si>
  <si>
    <t>The consumer segment has shown robust growth, driven by increased demand for AI-driven devices, premium smartphones, and smart home products. In Q1 2025, Analog Devices' consumer segment revenue rose by 19%, highlighting the company's strength in this area.</t>
  </si>
  <si>
    <t>Advancements in AI and IoT Applications</t>
  </si>
  <si>
    <t>The proliferation of AI and IoT technologies is increasing the demand for analog and mixed-signal solutions. ADI's portfolio is well-suited to support these applications, providing opportunities for growth in various end markets.</t>
  </si>
  <si>
    <t>Strategic Acquisitions Enhancing Product Portfolio</t>
  </si>
  <si>
    <t>ADI's acquisitions, such as Maxim Integrated, have expanded its product offerings and market reach, particularly in power management and signal conditioning, strengthening its position in the analog semiconductor market.</t>
  </si>
  <si>
    <t>Industry Trends</t>
  </si>
  <si>
    <t>Growth in Analog Semiconductor Market</t>
  </si>
  <si>
    <t>The analog semiconductor market is projected to grow significantly, with an estimated increase of USD 35.1 billion from 2025 to 2029, at a CAGR of 6.9%. This growth is driven by demand across automotive, industrial, and consumer electronics sectors.</t>
  </si>
  <si>
    <t>Integration of AI in Edge Devices</t>
  </si>
  <si>
    <t>The integration of AI capabilities into edge devices, such as smartphones and IoT gadgets, is transforming the semiconductor landscape. This trend necessitates advanced analog solutions for efficient processing, an area where ADI is actively involve</t>
  </si>
  <si>
    <t>Market Share</t>
  </si>
  <si>
    <t>Headquarters</t>
  </si>
  <si>
    <t>Revenues</t>
  </si>
  <si>
    <t>(in MM of USD)</t>
  </si>
  <si>
    <t>Others</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</si>
  <si>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</si>
  <si>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</si>
  <si>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</si>
  <si>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</si>
  <si>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</si>
  <si>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</si>
  <si>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</si>
  <si>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</si>
  <si>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</si>
  <si>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</si>
  <si>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</si>
  <si>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</si>
  <si>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</si>
  <si>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</si>
  <si>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</si>
  <si>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</si>
  <si>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</si>
  <si>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</si>
  <si>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</si>
  <si>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</si>
  <si>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</si>
  <si>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</si>
  <si>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</si>
  <si>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</si>
  <si>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</si>
  <si>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</si>
  <si>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</si>
  <si>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</si>
  <si>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</si>
  <si>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</si>
  <si>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</si>
  <si>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</si>
  <si>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</si>
  <si>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</si>
  <si>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</si>
  <si>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</si>
  <si>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</si>
  <si>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</si>
  <si>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</si>
  <si>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</si>
  <si>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</si>
  <si>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</si>
  <si>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</si>
  <si>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</si>
  <si>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</si>
  <si>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</si>
  <si>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</si>
  <si>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</si>
  <si>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</si>
  <si>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</si>
  <si>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</si>
  <si>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</si>
  <si>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</si>
  <si>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</si>
  <si>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</si>
  <si>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</si>
  <si>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</si>
  <si>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</si>
  <si>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</si>
  <si>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</si>
  <si>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</si>
  <si>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</si>
  <si>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</si>
  <si>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</si>
  <si>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</si>
  <si>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</si>
  <si>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</si>
  <si>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</si>
  <si>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</si>
  <si>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</si>
  <si>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</si>
  <si>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</si>
  <si>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</si>
  <si>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</si>
  <si>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</si>
  <si>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</si>
  <si>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</si>
  <si>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</si>
  <si>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</si>
  <si>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</si>
  <si>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</si>
  <si>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</si>
  <si>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</si>
  <si>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</si>
  <si>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</si>
  <si>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</si>
  <si>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</si>
  <si>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</si>
  <si>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</si>
  <si>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</si>
  <si>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</si>
  <si>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</si>
  <si>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</si>
  <si>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</si>
  <si>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</si>
  <si>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</si>
  <si>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</si>
  <si>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</si>
  <si>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</si>
  <si>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</si>
  <si>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</si>
  <si>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</si>
  <si>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</si>
  <si>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</si>
  <si>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</si>
  <si>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</si>
  <si>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</si>
  <si>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</si>
  <si>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</si>
  <si>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</si>
  <si>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</si>
  <si>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</si>
  <si>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</si>
  <si>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</si>
  <si>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</si>
  <si>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</si>
  <si>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</si>
  <si>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</si>
  <si>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</si>
  <si>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</si>
  <si>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</si>
  <si>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</si>
  <si>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</si>
  <si>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</si>
  <si>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</si>
  <si>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</si>
  <si>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</si>
  <si>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</si>
  <si>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</si>
  <si>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r>
      <rPr>
        <u/>
        <sz val="11"/>
        <rFont val="Arial"/>
        <family val="2"/>
      </rPr>
      <t>TXN</t>
    </r>
    <r>
      <rPr>
        <sz val="11"/>
        <rFont val="Arial"/>
        <family val="2"/>
      </rPr>
      <t xml:space="preserve">, </t>
    </r>
    <r>
      <rPr>
        <u/>
        <sz val="11"/>
        <rFont val="Arial"/>
        <family val="2"/>
      </rPr>
      <t>MCHP</t>
    </r>
    <r>
      <rPr>
        <sz val="11"/>
        <rFont val="Arial"/>
        <family val="2"/>
      </rPr>
      <t xml:space="preserve">, </t>
    </r>
    <r>
      <rPr>
        <u/>
        <sz val="11"/>
        <rFont val="Arial"/>
        <family val="2"/>
      </rPr>
      <t>MPWR</t>
    </r>
    <r>
      <rPr>
        <sz val="11"/>
        <rFont val="Arial"/>
        <family val="2"/>
      </rPr>
      <t xml:space="preserve">, </t>
    </r>
    <r>
      <rPr>
        <u/>
        <sz val="11"/>
        <rFont val="Arial"/>
        <family val="2"/>
      </rPr>
      <t>SWKS</t>
    </r>
    <r>
      <rPr>
        <sz val="11"/>
        <rFont val="Arial"/>
        <family val="2"/>
      </rPr>
      <t xml:space="preserve"> and </t>
    </r>
    <r>
      <rPr>
        <u/>
        <sz val="11"/>
        <rFont val="Arial"/>
        <family val="2"/>
      </rPr>
      <t>MTSI</t>
    </r>
    <r>
      <rPr>
        <sz val="11"/>
        <rFont val="Arial"/>
        <family val="2"/>
      </rPr>
      <t xml:space="preserve"> are </t>
    </r>
    <r>
      <rPr>
        <b/>
        <sz val="11"/>
        <rFont val="Arial"/>
        <family val="2"/>
      </rPr>
      <t>strong peers</t>
    </r>
    <r>
      <rPr>
        <sz val="11"/>
        <rFont val="Arial"/>
        <family val="2"/>
      </rPr>
      <t xml:space="preserve"> to Analog Devices Inc. because they specialize in </t>
    </r>
    <r>
      <rPr>
        <b/>
        <sz val="11"/>
        <rFont val="Arial"/>
        <family val="2"/>
      </rPr>
      <t>analog and mixed-signal semiconductors</t>
    </r>
    <r>
      <rPr>
        <sz val="11"/>
        <rFont val="Arial"/>
        <family val="2"/>
      </rPr>
      <t>, which are essential for processing real-world signals like sound, temperature, and pressure. Like Analog devices, they design precision analog integrated circuits, power management chips, and radio frequency components used in industrial, automotive, and communications systems. Their business models emphasize long product lifecycles, deep customer relationships, and high-margin, application-specific analog solutions, with those beeing core traits of the analog semiconductor industry.</t>
    </r>
  </si>
  <si>
    <r>
      <rPr>
        <u/>
        <sz val="11"/>
        <color rgb="FF000000"/>
        <rFont val="Arial"/>
        <family val="2"/>
      </rPr>
      <t>MVRL</t>
    </r>
    <r>
      <rPr>
        <sz val="11"/>
        <color rgb="FF000000"/>
        <rFont val="Arial"/>
        <family val="2"/>
      </rPr>
      <t xml:space="preserve">, </t>
    </r>
    <r>
      <rPr>
        <u/>
        <sz val="11"/>
        <color rgb="FF000000"/>
        <rFont val="Arial"/>
        <family val="2"/>
      </rPr>
      <t>INTC</t>
    </r>
    <r>
      <rPr>
        <sz val="11"/>
        <color rgb="FF000000"/>
        <rFont val="Arial"/>
        <family val="2"/>
      </rPr>
      <t xml:space="preserve">, </t>
    </r>
    <r>
      <rPr>
        <u/>
        <sz val="11"/>
        <color rgb="FF000000"/>
        <rFont val="Arial"/>
        <family val="2"/>
      </rPr>
      <t>MU</t>
    </r>
    <r>
      <rPr>
        <sz val="11"/>
        <color rgb="FF000000"/>
        <rFont val="Arial"/>
        <family val="2"/>
      </rPr>
      <t xml:space="preserve">, </t>
    </r>
    <r>
      <rPr>
        <u/>
        <sz val="11"/>
        <color rgb="FF000000"/>
        <rFont val="Arial"/>
        <family val="2"/>
      </rPr>
      <t>FSLR</t>
    </r>
    <r>
      <rPr>
        <sz val="11"/>
        <color rgb="FF000000"/>
        <rFont val="Arial"/>
        <family val="2"/>
      </rPr>
      <t xml:space="preserve"> and </t>
    </r>
    <r>
      <rPr>
        <u/>
        <sz val="11"/>
        <color rgb="FF000000"/>
        <rFont val="Arial"/>
        <family val="2"/>
      </rPr>
      <t>ALTR</t>
    </r>
    <r>
      <rPr>
        <sz val="11"/>
        <color rgb="FF000000"/>
        <rFont val="Arial"/>
        <family val="2"/>
      </rPr>
      <t xml:space="preserve"> </t>
    </r>
    <r>
      <rPr>
        <b/>
        <sz val="11"/>
        <color rgb="FF000000"/>
        <rFont val="Arial"/>
        <family val="2"/>
      </rPr>
      <t>aren’t strong peers</t>
    </r>
    <r>
      <rPr>
        <sz val="11"/>
        <color rgb="FF000000"/>
        <rFont val="Arial"/>
        <family val="2"/>
      </rPr>
      <t xml:space="preserve"> for Analog Devices Inc. due to their focus on </t>
    </r>
    <r>
      <rPr>
        <b/>
        <sz val="11"/>
        <color rgb="FF000000"/>
        <rFont val="Arial"/>
        <family val="2"/>
      </rPr>
      <t>digital technologies, memory, or entirely unrelated industries</t>
    </r>
    <r>
      <rPr>
        <sz val="11"/>
        <color rgb="FF000000"/>
        <rFont val="Arial"/>
        <family val="2"/>
      </rPr>
      <t>, unlike ADI’s core in precision analog and mixed-signal semiconductors. Their products typically process binary data or manage infrastructure, rather than real-world analog signals.</t>
    </r>
  </si>
  <si>
    <t>Environmental, Social and Governance Analysis</t>
  </si>
  <si>
    <t>Author:</t>
  </si>
  <si>
    <t>Cristina Lin</t>
  </si>
  <si>
    <t>Highlights</t>
  </si>
  <si>
    <t>Analog is in a industry that faces some challenges to reduce its emissions and consumption. However, there is notable commitment of Analog Devices and significant improvement on emissions and water and energy cinsumption</t>
  </si>
  <si>
    <t>Overview</t>
  </si>
  <si>
    <t>.</t>
  </si>
  <si>
    <t>Environmental commitment</t>
  </si>
  <si>
    <t>Last Update</t>
  </si>
  <si>
    <t>Analog Devices has a good interaction with their employees and has organized many activities and projects within the local community.</t>
  </si>
  <si>
    <t>Latest year with data</t>
  </si>
  <si>
    <t>Community involvement</t>
  </si>
  <si>
    <t>GICS Sector</t>
  </si>
  <si>
    <t>Semiconductor &amp; Semiconductor components</t>
  </si>
  <si>
    <t>GICS Industry Group</t>
  </si>
  <si>
    <t>Information technology</t>
  </si>
  <si>
    <t>Final Review</t>
  </si>
  <si>
    <t>Good</t>
  </si>
  <si>
    <t>ESG Scores</t>
  </si>
  <si>
    <t>GHG Scope 1 and 2 Emissions:</t>
  </si>
  <si>
    <t>Water, Waste, Energy Management:</t>
  </si>
  <si>
    <t>C+</t>
  </si>
  <si>
    <t>A</t>
  </si>
  <si>
    <t>Industry ESG Overview:</t>
  </si>
  <si>
    <t>While the IT and Semiconductor Components sectors face significant ESG challenges—ranging from high energy consumption and resource scarcity to labor practices and supply chain transparency—the industry is making notable progress in addressing these issues. Companies are increasingly adopting renewable energy, promoting diversity, improving supply chain traceability, and enhancing community engagement efforts. As ESG factors become more integral to the sector’s strategy, companies are thriving to achieve better sustainability performance and align with global ethical standards.</t>
  </si>
  <si>
    <t>ENVIRONMENTAL</t>
  </si>
  <si>
    <t>Targets</t>
  </si>
  <si>
    <t>Improvements</t>
  </si>
  <si>
    <t>Comments</t>
  </si>
  <si>
    <t>GHG (or CO2) Scope 1 Emissions</t>
  </si>
  <si>
    <t>N/A</t>
  </si>
  <si>
    <t>Emissions have decreased 20% in scope 1, 6% in scope 2 and 12% in scope 3, in 2023 vs. 2022</t>
  </si>
  <si>
    <t>Water Consumption</t>
  </si>
  <si>
    <t>Decreased significantly in 2023 and 2024.</t>
  </si>
  <si>
    <t>water withdrawn generally decreased.</t>
  </si>
  <si>
    <t>Energy Consumption</t>
  </si>
  <si>
    <t>N/a</t>
  </si>
  <si>
    <t>Renewable electricity from the purchase of unbundled Environmental Attribute Certificates increased 186%</t>
  </si>
  <si>
    <t>Natural gas heating consumption increased 3%, total electricity used increased 4%, non-renewable energy decreased 5.5%.</t>
  </si>
  <si>
    <t>Waste Management</t>
  </si>
  <si>
    <t>Total waste has increased 10%</t>
  </si>
  <si>
    <t>Other</t>
  </si>
  <si>
    <t>SOCIAL</t>
  </si>
  <si>
    <t>Important Sources:</t>
  </si>
  <si>
    <t>Annual Report</t>
  </si>
  <si>
    <t>https://investor.analog.com/static-files/cc2bbf08-9ebc-490b-8be3-e396d9ef5934</t>
  </si>
  <si>
    <t>Employee Turnover %</t>
  </si>
  <si>
    <t>The company only discloses new hires percentage.</t>
  </si>
  <si>
    <t>Sustainability Report</t>
  </si>
  <si>
    <t>https://www.analog.com/media/en/company-csr/2023-esg-report.pdf</t>
  </si>
  <si>
    <t>Proxy Statement</t>
  </si>
  <si>
    <t>https://investor.analog.com/static-files/8d9dcc9b-f9e5-492e-8a73-0b5ffc6a6c23</t>
  </si>
  <si>
    <t>Salaries &amp; Compensation</t>
  </si>
  <si>
    <t>In July 2023, implemented a new harmonized Global Recognition Program that resulted in more than 10,000 recorded recognition moments globally for the second half of 2023. Most recently, it has maintained a &lt;1% pay equity difference for females and males globally.</t>
  </si>
  <si>
    <t>A portion of employees at professional levels are eligible for stock awards and Corporate Bonus Plans and Sales Incentive Plan link employees’ compensation to ADI’s revenue and operational performance goals.</t>
  </si>
  <si>
    <t>Reputation</t>
  </si>
  <si>
    <t>The company had some lawsuits related to semiconductor patent infringement with AMD, in 2022, and with Analog Technologies in 2024. (https://law.justia.com/cases/federal/appellate-courts/ca1/23-1822/23-1822-2024-06-18.html)</t>
  </si>
  <si>
    <t>Discrimination Events</t>
  </si>
  <si>
    <t>Analog Devices Inc. has settled with a former sales specialist who said a manager discriminated against her and the company retaliated against her for reporting it, in 2023.</t>
  </si>
  <si>
    <t>Work Safety</t>
  </si>
  <si>
    <t>Injury and illness recordable rate decreased 0.1 and lost workday incident rate decreased 0.04.</t>
  </si>
  <si>
    <t>Damage to consumer health</t>
  </si>
  <si>
    <t>Pension Plan</t>
  </si>
  <si>
    <t>Retain executivetalentby providing financial protection and security</t>
  </si>
  <si>
    <t>The company has broad-based benefits for all employees, including medical, dental, and vision insurance, life and disability insurance, and retirement plans. They maintain a Deferred Compensation Plan (DCP), under which  executive officers and directors, along with employees, are eligible to defer receipt of some or all of their cash compensation. This plan offers many of the same investment options as 401(k) plan.</t>
  </si>
  <si>
    <t>Supply chain</t>
  </si>
  <si>
    <t>adopted the RBA Code of Conduct and use it in conjunction with our Code of Corporate Social Responsibility. We've established standards for our suppliers to ensure that ethical and legal commitments are applied to their entire supply chain.</t>
  </si>
  <si>
    <t>collaborate with supply chain-related organizations, such as the Responsible Business Alliance, including its Responsible Minerals Initiative and Responsible Labor Initiative, and the Semiconductor Industry Association. Collaborates with supply chain-related organizations, such as the Responsible Business Alliance, including its Responsible Minerals Initiative and Responsible Labor Initiative, and the Semiconductor Industry Association.</t>
  </si>
  <si>
    <t>Employee Networks foster community, accelerate professional development, and impact organizational policy. It currently has six networks organized around a dimension of diversity with dynamic activities and projects.</t>
  </si>
  <si>
    <t>Public Sector</t>
  </si>
  <si>
    <t>On January 16, 2025, the U.S. Department of Commerce and Analog Devices, Inc. (“ADI”) signed a non-binding preliminary memorandum of terms (PMT) to provide up to $105 million in proposed direct funding under the CHIPS and Science Act.</t>
  </si>
  <si>
    <t>Litigation</t>
  </si>
  <si>
    <t>Had a litigation related to 1 case of discrimitation in workplace</t>
  </si>
  <si>
    <t>GOVERNANCE</t>
  </si>
  <si>
    <t>Diversity (Gender, Age, Industry, Region)</t>
  </si>
  <si>
    <t>achieve 29% in women people managers, 26% in women engeneers, 9% in Black, Hispanic, and Latinx employees (U.S. only)</t>
  </si>
  <si>
    <t>global female manager population has increased to 25% and global female engineering population has increased to 22%.</t>
  </si>
  <si>
    <t>Global leadership positions are ≈80% held by man. 36% of directors are female. Regarding ethnicity, the company has a great diversity (33% asian, 52% white, 2% black, 5% hispanic/latinx)</t>
  </si>
  <si>
    <t>% Independence</t>
  </si>
  <si>
    <t>9of 11 directors are independent.</t>
  </si>
  <si>
    <t>Average time as independent directors</t>
  </si>
  <si>
    <t>Average time of tenure is 4.9 years</t>
  </si>
  <si>
    <t>Departures of C-level executives</t>
  </si>
  <si>
    <t xml:space="preserve">In May 2023, Prashanth Mahendra-Rajah announced his decision to step down as Executive Vice President and CFO after six years in the role. In January 2024, ADI appointed Richard C. Puccio, Jr. as the new Executive Vice President and CFO, effective February 5, 2024. </t>
  </si>
  <si>
    <t>CEO/Chairman duality</t>
  </si>
  <si>
    <t>The role both of CEO and Chairman are held by Vincent Roche.</t>
  </si>
  <si>
    <t>Transparency when reporting</t>
  </si>
  <si>
    <t>Time taken to report</t>
  </si>
  <si>
    <t>The sustainability report of 2023 was released in May 2024.</t>
  </si>
  <si>
    <t>CEO or Chairman in other boards?</t>
  </si>
  <si>
    <t>Mr. Roche also serves on the Board of Directors of the Semiconductor Industry Association and the MIT Presidential CEO Advisory Board, and is a member of the Massachusetts High Tech Leadership Council.</t>
  </si>
  <si>
    <t>Audit / Consulting</t>
  </si>
  <si>
    <t>Plan to have RBA audits in  facilities in Ireland, Philippines, and U.S. (Wilmington,
Massachusetts, facilities) in 2024</t>
  </si>
  <si>
    <t>The company has adopted and agreed to comply with the RBA Code of Conduct, and ensure
our suppliers comply with the RBA Code as well</t>
  </si>
  <si>
    <t>ADI’s most recent RBA VAP audit score is compared with the industry standard, and ADI remains above the industry standard. ADI’s most recent RBA VAP audit average score is 190 out of a possible 200.</t>
  </si>
  <si>
    <t>ESG-compensation related</t>
  </si>
  <si>
    <t>While the Compensation and Talent Committee continues to evaluate whether to link compensation elements to ESG metrics, it determined to make no changes during fiscal year 2023 given the intense company focus on ESG performance as part of its short- and long-term strategy. The financial metrics underlying our incentive compensation and PRSUs not only drive our Leadership Team to achieve those specified financial metrics, but also ESG performance given the strong alignment between the two.</t>
  </si>
  <si>
    <t>Management compensation schemes</t>
  </si>
  <si>
    <t>The remuneration consists in base salary, bonus, stock awards, option awards, non-equity incentive plan compensation, where stock awards weight the most (≈80% of total reward).</t>
  </si>
  <si>
    <t>ESG Inputs</t>
  </si>
  <si>
    <t>x</t>
  </si>
  <si>
    <t>Total GHG Scope 1 Emissions</t>
  </si>
  <si>
    <t>—</t>
  </si>
  <si>
    <t>Total GHG Scope 2 (Location-Based) Emissions</t>
  </si>
  <si>
    <t>Total Energy Usage</t>
  </si>
  <si>
    <t>Total Water Consumption</t>
  </si>
  <si>
    <t>Total Waste Production</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</si>
  <si>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</si>
  <si>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</si>
  <si>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</si>
  <si>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</si>
  <si>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</si>
  <si>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</si>
  <si>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</si>
  <si>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</si>
  <si>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</si>
  <si>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</si>
  <si>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</si>
  <si>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</si>
  <si>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</si>
  <si>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</si>
  <si>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</si>
  <si>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</si>
  <si>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WACC</t>
  </si>
  <si>
    <t>Most Recent Quarter End Date</t>
  </si>
  <si>
    <t>TGR</t>
  </si>
  <si>
    <t>Valuation Date</t>
  </si>
  <si>
    <t xml:space="preserve">
</t>
  </si>
  <si>
    <t>Operating Assumptions</t>
  </si>
  <si>
    <t>Number of Locations (Beginning)</t>
  </si>
  <si>
    <t>Net Locations Opened/Acquired</t>
  </si>
  <si>
    <t>Capex per Net Additions</t>
  </si>
  <si>
    <t>Locations Opened/Acquired</t>
  </si>
  <si>
    <t>Locations Closed/Sold</t>
  </si>
  <si>
    <t>Number of Locations (End)</t>
  </si>
  <si>
    <t>Average Sales per Location</t>
  </si>
  <si>
    <t>Same Store Sales Growth</t>
  </si>
  <si>
    <t>Beginning Locations Total Sales</t>
  </si>
  <si>
    <t>New Locations Total Sales (Estimate)</t>
  </si>
  <si>
    <t>In millions of USD</t>
  </si>
  <si>
    <t>Revenue (Sales)</t>
  </si>
  <si>
    <t>% of growth</t>
  </si>
  <si>
    <t>% of revenue</t>
  </si>
  <si>
    <t>SG&amp;A (Selling, General &amp; Administrative)</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</si>
  <si>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</si>
  <si>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</si>
  <si>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</si>
  <si>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</si>
  <si>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</si>
  <si>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</si>
  <si>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</si>
  <si>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</si>
  <si>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</si>
  <si>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</si>
  <si>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</si>
  <si>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</si>
  <si>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</si>
  <si>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</si>
  <si>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</si>
  <si>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</si>
  <si>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</si>
  <si>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</si>
  <si>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</si>
  <si>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</si>
  <si>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</si>
  <si>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</si>
  <si>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</si>
  <si>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</si>
  <si>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</si>
  <si>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</si>
  <si>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with % of R&amp;D</t>
  </si>
  <si>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</si>
  <si>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</si>
  <si>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</si>
  <si>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</si>
  <si>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</si>
  <si>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</si>
  <si>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</si>
  <si>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</si>
  <si>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</si>
  <si>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</si>
  <si>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</si>
  <si>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</si>
  <si>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</si>
  <si>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</si>
  <si>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</si>
  <si>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</si>
  <si>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</si>
  <si>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</si>
  <si>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</si>
  <si>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</si>
  <si>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</si>
  <si>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</si>
  <si>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</si>
  <si>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</si>
  <si>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</si>
  <si>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</si>
  <si>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</si>
  <si>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</si>
  <si>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FCFF 2025</t>
  </si>
  <si>
    <t>Present Value of FCFF</t>
  </si>
  <si>
    <t>FCFF 2026</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</si>
  <si>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</si>
  <si>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</si>
  <si>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</si>
  <si>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</si>
  <si>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</si>
  <si>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</si>
  <si>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</si>
  <si>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</si>
  <si>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</si>
  <si>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</si>
  <si>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</si>
  <si>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</si>
  <si>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</si>
  <si>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</si>
  <si>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</si>
  <si>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</si>
  <si>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</si>
  <si>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</si>
  <si>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</si>
  <si>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</si>
  <si>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</si>
  <si>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</si>
  <si>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</si>
  <si>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</si>
  <si>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</si>
  <si>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</si>
  <si>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</si>
  <si>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</si>
  <si>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Company's Strategy / Extra Notes</t>
  </si>
  <si>
    <t>Sensitivity Analysis</t>
  </si>
  <si>
    <t>Stock Price (in USD)</t>
  </si>
  <si>
    <t>Notes</t>
  </si>
  <si>
    <t>Inputs</t>
  </si>
  <si>
    <t>in millions of USD</t>
  </si>
  <si>
    <t>EPS diluted</t>
  </si>
  <si>
    <t>Basic Weighted Average Shares</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</si>
  <si>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</si>
  <si>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</si>
  <si>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</si>
  <si>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</si>
  <si>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</si>
  <si>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</si>
  <si>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</si>
  <si>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</si>
  <si>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</si>
  <si>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</si>
  <si>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</si>
  <si>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</si>
  <si>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</si>
  <si>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</si>
  <si>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</si>
  <si>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</si>
  <si>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</si>
  <si>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</si>
  <si>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</si>
  <si>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Inventories</t>
  </si>
  <si>
    <t>Increase (Decrease) in Other</t>
  </si>
  <si>
    <t>Net Change In PPE</t>
  </si>
  <si>
    <t>Acquisitions</t>
  </si>
  <si>
    <t>Divestitures</t>
  </si>
  <si>
    <t>Increase in LT Investment</t>
  </si>
  <si>
    <t>Decrease in LT Investment</t>
  </si>
  <si>
    <t>Effect of Foreign Exchange</t>
  </si>
  <si>
    <t>in millionsof USD</t>
  </si>
  <si>
    <t>Capital Structure</t>
  </si>
  <si>
    <t>Market Capitalization</t>
  </si>
  <si>
    <t>Preferred Stock</t>
  </si>
  <si>
    <t>Cash</t>
  </si>
  <si>
    <t>v</t>
  </si>
  <si>
    <t>Fixed</t>
  </si>
  <si>
    <t>Floating</t>
  </si>
  <si>
    <t>Additional</t>
  </si>
  <si>
    <t>Net Debt</t>
  </si>
  <si>
    <t>Effective Tax Rate</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</si>
  <si>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</si>
  <si>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</si>
  <si>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</si>
  <si>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</si>
  <si>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</si>
  <si>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</si>
  <si>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millions)</t>
    </r>
  </si>
  <si>
    <t>% of Equity</t>
  </si>
  <si>
    <t>Cost of Equity</t>
  </si>
  <si>
    <t>Risk-Free Rate</t>
  </si>
  <si>
    <t>Unlevered Beta</t>
  </si>
  <si>
    <t>0,992</t>
  </si>
  <si>
    <t>Equity Risk Premium</t>
  </si>
  <si>
    <t>Unlevered Cost of Equity</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</si>
  <si>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</si>
  <si>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</si>
  <si>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</si>
  <si>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</si>
  <si>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</si>
  <si>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</si>
  <si>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</si>
  <si>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</si>
  <si>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</si>
  <si>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</si>
  <si>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</si>
  <si>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</si>
  <si>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</si>
  <si>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</si>
  <si>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Variables</t>
  </si>
  <si>
    <t>St Dev</t>
  </si>
  <si>
    <t>Simulations: 10,000</t>
  </si>
  <si>
    <t>Upside</t>
  </si>
  <si>
    <t>min</t>
  </si>
  <si>
    <t>mean</t>
  </si>
  <si>
    <t>median</t>
  </si>
  <si>
    <t>max</t>
  </si>
  <si>
    <t>st dev</t>
  </si>
  <si>
    <t>Iterations</t>
  </si>
  <si>
    <t>Mln USD</t>
  </si>
  <si>
    <t>ADI US Equity</t>
  </si>
  <si>
    <t>TXN US Equity</t>
  </si>
  <si>
    <t>INTC US Equity</t>
  </si>
  <si>
    <t>MU US Equity</t>
  </si>
  <si>
    <t>MTVL US Equity</t>
  </si>
  <si>
    <t>MPWR US Equity</t>
  </si>
  <si>
    <t>MCHP US Equity</t>
  </si>
  <si>
    <t>FSLR US Equity</t>
  </si>
  <si>
    <t>ALTR US Equity</t>
  </si>
  <si>
    <t>SWKS US Equity</t>
  </si>
  <si>
    <t>MTSI US Equity</t>
  </si>
  <si>
    <t>Revenue (2022)</t>
  </si>
  <si>
    <t>Revenue (2023)</t>
  </si>
  <si>
    <t>IS_OPERATING_EXPENSES_RD</t>
  </si>
  <si>
    <t>CASH_CASH_EQTY_STI_DETAILED</t>
  </si>
  <si>
    <t>BS_ACCT_NOTE_RCV</t>
  </si>
  <si>
    <t>BS_INVENTORIES</t>
  </si>
  <si>
    <t>BS_CUR_ASSET_REPORT</t>
  </si>
  <si>
    <t>BS_NET_FIX_ASSET</t>
  </si>
  <si>
    <t>BS_TOT_ASSET</t>
  </si>
  <si>
    <t>ACCT_PAYABLE_ACCRUALS_DETAILED</t>
  </si>
  <si>
    <t>BS_CUR_LIAB</t>
  </si>
  <si>
    <t>BS_LT_BORROW</t>
  </si>
  <si>
    <t>SHORT_AND_LONG_TERM_DEBT</t>
  </si>
  <si>
    <t>TOTAL_EQUITY</t>
  </si>
  <si>
    <t>CF_CASH_FROM_OPER</t>
  </si>
  <si>
    <t>FIXED_INTANG_ASST_CHANGE</t>
  </si>
  <si>
    <t>CF_CASH_FROM_INV_ACT</t>
  </si>
  <si>
    <t>DEBT BORROWING</t>
  </si>
  <si>
    <t>DEBT REPAYMENT</t>
  </si>
  <si>
    <t>CFF_ACTIVITIES_DETAILED</t>
  </si>
  <si>
    <t>CF_NET_CHNG_CASH</t>
  </si>
  <si>
    <t xml:space="preserve"> (ADI US) - Destaques GAAP</t>
  </si>
  <si>
    <t>Em Milhões de USD exceto Por ação</t>
  </si>
  <si>
    <t>FY 2015</t>
  </si>
  <si>
    <t>FY 2016</t>
  </si>
  <si>
    <t>FY 2017</t>
  </si>
  <si>
    <t>FY 2018</t>
  </si>
  <si>
    <t>FY 2019</t>
  </si>
  <si>
    <t>FY 2020</t>
  </si>
  <si>
    <t>FY 2021</t>
  </si>
  <si>
    <t>FY 2022</t>
  </si>
  <si>
    <t>FY 2023</t>
  </si>
  <si>
    <t>FY 2024</t>
  </si>
  <si>
    <t>Término de 12 meses</t>
  </si>
  <si>
    <t>Receitas totais</t>
  </si>
  <si>
    <t>Lucro operacional</t>
  </si>
  <si>
    <t>Lucro líquido a ações ordinárias</t>
  </si>
  <si>
    <t>Lcr/Aç básica, GAAP</t>
  </si>
  <si>
    <t>Lrc/Aç diluída, GAAP</t>
  </si>
  <si>
    <t xml:space="preserve">  Méd pond de ações básicas</t>
  </si>
  <si>
    <t xml:space="preserve">  Méd pond de ações diluídas</t>
  </si>
  <si>
    <t>Caixa e equivalentes</t>
  </si>
  <si>
    <t>Ativo circulante</t>
  </si>
  <si>
    <t>Ativo total</t>
  </si>
  <si>
    <t>Passivo circulante</t>
  </si>
  <si>
    <t>Passivo total</t>
  </si>
  <si>
    <t>Patrimônio total</t>
  </si>
  <si>
    <t xml:space="preserve">  Ações em circ no balanço patrim</t>
  </si>
  <si>
    <t xml:space="preserve">  Ações em circ cobert registro</t>
  </si>
  <si>
    <t>Fluxo de caixa de operações</t>
  </si>
  <si>
    <t>Caixa de investimentos</t>
  </si>
  <si>
    <t>Cx de financiamentos</t>
  </si>
  <si>
    <t>Fonte: Bloomberg</t>
  </si>
  <si>
    <t>Clique botão direito p/exibir a transp de dados (não suportado p/tds valores)</t>
  </si>
  <si>
    <t xml:space="preserve"> (ADI US) - Lucros</t>
  </si>
  <si>
    <t>FY 2025 Est</t>
  </si>
  <si>
    <t>FY 2026 Est</t>
  </si>
  <si>
    <t>Receita</t>
  </si>
  <si>
    <t>Estimativa de consenso</t>
  </si>
  <si>
    <t>Real comparável</t>
  </si>
  <si>
    <t xml:space="preserve">  % surpresa de receita</t>
  </si>
  <si>
    <t xml:space="preserve">  Real GAAP</t>
  </si>
  <si>
    <t xml:space="preserve">  Real ajustado</t>
  </si>
  <si>
    <t>Lcr por ação</t>
  </si>
  <si>
    <t xml:space="preserve">  % surpresa LPA</t>
  </si>
  <si>
    <t xml:space="preserve">  % surpresa EBIT</t>
  </si>
  <si>
    <t xml:space="preserve">  % surpresa EBITDA</t>
  </si>
  <si>
    <t>% Margem bruta</t>
  </si>
  <si>
    <t xml:space="preserve">  % surpresa margem bruta</t>
  </si>
  <si>
    <t>Lucro (Prejuízo) antes de impostos</t>
  </si>
  <si>
    <t xml:space="preserve">  Lucro(Prej) antes de impostos %Surpresa</t>
  </si>
  <si>
    <t>Lucro líquido</t>
  </si>
  <si>
    <t xml:space="preserve">  % surpresa lucro líquido</t>
  </si>
  <si>
    <t xml:space="preserve"> (ADI US) - Valor da empresa</t>
  </si>
  <si>
    <t>Atual</t>
  </si>
  <si>
    <t>Capitalização de mercado</t>
  </si>
  <si>
    <t xml:space="preserve">  - Caixa e equivalente</t>
  </si>
  <si>
    <t xml:space="preserve">  + Capital em preferreds</t>
  </si>
  <si>
    <t xml:space="preserve">  + Participação minoritária</t>
  </si>
  <si>
    <t xml:space="preserve">  + Dív total</t>
  </si>
  <si>
    <t>Valor da empresa</t>
  </si>
  <si>
    <t>Capital total</t>
  </si>
  <si>
    <t>Dívida total/Total Capital</t>
  </si>
  <si>
    <t>Dív total/Val merc</t>
  </si>
  <si>
    <t>Vendas/VE</t>
  </si>
  <si>
    <t>VE/EBITDA</t>
  </si>
  <si>
    <t>VE/EBIT</t>
  </si>
  <si>
    <t>VE/Fluxo de caixa/empresa</t>
  </si>
  <si>
    <t>VE/Fluxo de caixa livre/empresa</t>
  </si>
  <si>
    <t>Cap de mercado dilúido</t>
  </si>
  <si>
    <t>Valor de mercado da empresa diluído</t>
  </si>
  <si>
    <t>VE por ação</t>
  </si>
  <si>
    <t>Itens de referência</t>
  </si>
  <si>
    <t>Valores últ 12 meses para índices</t>
  </si>
  <si>
    <t>Adesão IFRS16/ASC 842</t>
  </si>
  <si>
    <t>Não</t>
  </si>
  <si>
    <t>Sim</t>
  </si>
  <si>
    <t>Vendas</t>
  </si>
  <si>
    <t>Fluxo de caixa a Empresa</t>
  </si>
  <si>
    <t>Fluxo de caixa livre por empresa</t>
  </si>
  <si>
    <t xml:space="preserve"> (ADI US) - Múltiplos</t>
  </si>
  <si>
    <t>P/L</t>
  </si>
  <si>
    <t xml:space="preserve">  Média</t>
  </si>
  <si>
    <t xml:space="preserve">  Máx</t>
  </si>
  <si>
    <t xml:space="preserve">  Mín</t>
  </si>
  <si>
    <t>Prç/valor cont</t>
  </si>
  <si>
    <t>P/Livro tangível</t>
  </si>
  <si>
    <t>P/Vendas</t>
  </si>
  <si>
    <t>P/Cash Flow</t>
  </si>
  <si>
    <t>P/Fluxo de caixa livre</t>
  </si>
  <si>
    <t>Preço/Ação</t>
  </si>
  <si>
    <t xml:space="preserve"> (ADI US) - Cf. divulgado</t>
  </si>
  <si>
    <t>Demonstração de resultados</t>
  </si>
  <si>
    <t xml:space="preserve">  Receitas</t>
  </si>
  <si>
    <t>Receitas</t>
  </si>
  <si>
    <t>Receita total</t>
  </si>
  <si>
    <t xml:space="preserve">  Despesas operacionais</t>
  </si>
  <si>
    <t>Total de despesas operacionais</t>
  </si>
  <si>
    <t>Custo de bens vendidos</t>
  </si>
  <si>
    <t>Despesas P&amp;D</t>
  </si>
  <si>
    <t>Despesas com vendas, gerais e administrativas</t>
  </si>
  <si>
    <t>Outras despesas operacionais</t>
  </si>
  <si>
    <t>Despesas reestruturação</t>
  </si>
  <si>
    <t>Lucro bruto</t>
  </si>
  <si>
    <t>Amortização de ativos intangíveis</t>
  </si>
  <si>
    <t xml:space="preserve">  Non-Operating Expenses</t>
  </si>
  <si>
    <t>Despesa com juros</t>
  </si>
  <si>
    <t>Lucro com juros</t>
  </si>
  <si>
    <t>Despesas com imposto de renda (benefício)</t>
  </si>
  <si>
    <t>Lucro antes de impostos de renda</t>
  </si>
  <si>
    <t>G/P em extinção antec dívida-Não op</t>
  </si>
  <si>
    <t>Outras despesas(lucros) não operacionais - Líquido</t>
  </si>
  <si>
    <t xml:space="preserve">  Extraordinary Items</t>
  </si>
  <si>
    <t xml:space="preserve">  Resultados</t>
  </si>
  <si>
    <t>Dividendos por ação</t>
  </si>
  <si>
    <t>LPA base</t>
  </si>
  <si>
    <t>Méd ponderada Ações - Básicas</t>
  </si>
  <si>
    <t>LPA diluído</t>
  </si>
  <si>
    <t>Méd ponderada Ações - Diluídas</t>
  </si>
  <si>
    <t>Lucro líquido disponível a acionistas de ações ordinárias</t>
  </si>
  <si>
    <t>Lucro após tributação antes de participação minoritária</t>
  </si>
  <si>
    <t>Renda líquida acumulada</t>
  </si>
  <si>
    <t xml:space="preserve">  Lucros abrangentes</t>
  </si>
  <si>
    <t>Lucro líquido - lucro abrangente</t>
  </si>
  <si>
    <t xml:space="preserve">  Outros</t>
  </si>
  <si>
    <t xml:space="preserve">  Itens de referência</t>
  </si>
  <si>
    <t>Despesas amortização</t>
  </si>
  <si>
    <t>Despesa de depreciação</t>
  </si>
  <si>
    <t>Despesas administrativas, gerais, e com vendas</t>
  </si>
  <si>
    <t>Depreciação e amortização</t>
  </si>
  <si>
    <t>Despesas com juros</t>
  </si>
  <si>
    <t>Baixa val cont/desval ativos</t>
  </si>
  <si>
    <t>Outras despesas única vez</t>
  </si>
  <si>
    <t>Despesa de imposto de renda (benefício)</t>
  </si>
  <si>
    <t>Ajuste de conversão de moeda estrangeira</t>
  </si>
  <si>
    <t>Lucro(perda) não realiz de ativos</t>
  </si>
  <si>
    <t>Variação em valor justo de derivativos</t>
  </si>
  <si>
    <t>ARDR Ajustes relacionados à pensão</t>
  </si>
  <si>
    <t>Reajustes de reclassificação</t>
  </si>
  <si>
    <t>Dividendos pagos em caixa</t>
  </si>
  <si>
    <t>Projeção de obrigações de benefícios</t>
  </si>
  <si>
    <t>Valor justo de ativos de plano</t>
  </si>
  <si>
    <t>Outros ajustes</t>
  </si>
  <si>
    <t>LPA básico</t>
  </si>
  <si>
    <t>Despesas de pensão (renda)</t>
  </si>
  <si>
    <t>Custo de serviço</t>
  </si>
  <si>
    <t>Pensão (sobre/sub) financiada</t>
  </si>
  <si>
    <t>Retorno esperado sobre ativos do plano - Pensão %</t>
  </si>
  <si>
    <t>Taxa desconto usada em plano de passiva-pensão%</t>
  </si>
  <si>
    <t>Taxa de aumento da remuneração (pensão) -%</t>
  </si>
  <si>
    <t>Atual retorno/(perda) em ativos de plano de pensão</t>
  </si>
  <si>
    <t>Despesas de aluguel atual</t>
  </si>
  <si>
    <t>Despesas compensação com base em ações</t>
  </si>
  <si>
    <t>Despesas de fusão/aquisição</t>
  </si>
  <si>
    <t>Amortização ativos intangíveis.</t>
  </si>
  <si>
    <t>L/P s/ext antec dív não op</t>
  </si>
  <si>
    <t>Despesa (benefício) de imposto de renda atual</t>
  </si>
  <si>
    <t>Despesa de imposto de renda diferido (benefício)</t>
  </si>
  <si>
    <t>Lucro líquido disponível para acionistas ordinários</t>
  </si>
  <si>
    <t>Ganhos ou perdas atuariais - Desp pensão</t>
  </si>
  <si>
    <t>Custos de serviço anterior não reconhecido - RBO</t>
  </si>
  <si>
    <t>Taxa de impostos em vigor - %</t>
  </si>
  <si>
    <t>Contribuições do empregador (previdência)</t>
  </si>
  <si>
    <t>Benefícios pagos (pensão)</t>
  </si>
  <si>
    <t>Custo dos juros (Pensão)</t>
  </si>
  <si>
    <t>Retorno previsto em ativos de plano de pensão</t>
  </si>
  <si>
    <t>Lucro/Ação ajustado</t>
  </si>
  <si>
    <t>Taxa total paga para empresas de auditoria</t>
  </si>
  <si>
    <t>Despesa auditor - auditoria</t>
  </si>
  <si>
    <t>Despesa auditor - exc auditoria</t>
  </si>
  <si>
    <t>Obrigações de benefícios acumulados (Pensão)</t>
  </si>
  <si>
    <t>Em atraso</t>
  </si>
  <si>
    <t>Taxa tributária estatutária - %</t>
  </si>
  <si>
    <t>Provisão/Benefício imposto - Não recorrente</t>
  </si>
  <si>
    <t>Despesas com publicidade</t>
  </si>
  <si>
    <t>Categoria de ativo de plano de pensão - Ações (valor)</t>
  </si>
  <si>
    <t>Categoria de ativo de plano de pensão - Dívida (valor)</t>
  </si>
  <si>
    <t>Categoria de ativo de plano de pensão - Imóveis (valor)</t>
  </si>
  <si>
    <t>Categoria de ativo de plano de pensão - Aç empr (valor)</t>
  </si>
  <si>
    <t>Categoria de ativo de plano de pensão - Dinheiro (valor)</t>
  </si>
  <si>
    <t>Pagamentos de benefícios de pensão previstos - ano 1</t>
  </si>
  <si>
    <t>Pagamentos de benefícios de pensão previstos - ano 2</t>
  </si>
  <si>
    <t>Pagamentos de benefícios de pensão previstos - ano 3</t>
  </si>
  <si>
    <t>Pagamentos de benefícios de pensão previstos - ano 4</t>
  </si>
  <si>
    <t>Pagamentos de benefícios de pensão previstos - ano 5</t>
  </si>
  <si>
    <t>Pagamentos de benefícios de pensão previstos - acima de 5 anos</t>
  </si>
  <si>
    <t>EBIT ajustado/Renda operacional não -GAAP</t>
  </si>
  <si>
    <t>Compensação baseada em ação atribuída ao P&amp;D</t>
  </si>
  <si>
    <t>Remuneração com base em ações atrib a SG&amp;A</t>
  </si>
  <si>
    <t>Compensação baseada em ação atribuída ao Custo de bens vendidos (COGS)</t>
  </si>
  <si>
    <t>Ações baseadas em remuneração atribuível a outro</t>
  </si>
  <si>
    <t>Desp de imposto de renda - Impostos atuais (intl)</t>
  </si>
  <si>
    <t>Desp de imposto de renda - Impostos atuais (nacional)</t>
  </si>
  <si>
    <t>Desp de imposto de renda - Impostos atuais (local)</t>
  </si>
  <si>
    <t>Desp de imposto de renda - Impostos diferidos (intl)</t>
  </si>
  <si>
    <t>Desp de imposto de renda - Impostos diferidos (nacional)</t>
  </si>
  <si>
    <t>Desp de imposto de renda - Impostos diferidos (local)</t>
  </si>
  <si>
    <t>Receita não GAAP</t>
  </si>
  <si>
    <t>Lucro bruto não GAAP</t>
  </si>
  <si>
    <t>% Margem bruta não GAAP</t>
  </si>
  <si>
    <t>Despesas operacionais não GAAP</t>
  </si>
  <si>
    <t>Outras rendas não GAAP</t>
  </si>
  <si>
    <t>Outras despesas não GAAP</t>
  </si>
  <si>
    <t>Lucro antes de impostos não-GAAP</t>
  </si>
  <si>
    <t>Encargos relacionados a aquisição - COGS não GAAP</t>
  </si>
  <si>
    <t>Compensação com base em ação - COGS não GAAP</t>
  </si>
  <si>
    <t>Efeito fiscal sobre ajustes não GAAP</t>
  </si>
  <si>
    <t>Outras despesas ou receitas - Pensão</t>
  </si>
  <si>
    <t>ARDR Despesas relacionadas com  aquisição Não-GAAP EPS</t>
  </si>
  <si>
    <t>ARDR Benefício da provisão de impostos  Não-GAAP EPS</t>
  </si>
  <si>
    <t>Lucro antes de juros e impostos</t>
  </si>
  <si>
    <t>ARDR Valor categoria ativos plano pensão em invest alternativos</t>
  </si>
  <si>
    <t>ARDR Margem EBIT</t>
  </si>
  <si>
    <t>ARDR Margem bruta</t>
  </si>
  <si>
    <t>ARDR Fluxo caixa livre</t>
  </si>
  <si>
    <t>ARDR Margem operacional ajustada</t>
  </si>
  <si>
    <t>Despesas de capital conforme divulgadas</t>
  </si>
  <si>
    <t>ARDR CF compensação com base na ação antes de imposto</t>
  </si>
  <si>
    <t>ARDR Despesas com imposto de renda não GAAP</t>
  </si>
  <si>
    <t>Balanço Patrimonial</t>
  </si>
  <si>
    <t xml:space="preserve">  Ativo circulante</t>
  </si>
  <si>
    <t>Contas a receber - Comércio</t>
  </si>
  <si>
    <t>Estoques</t>
  </si>
  <si>
    <t>Despesas antecipadas (CP)</t>
  </si>
  <si>
    <t>Despesas antecipadas e outras</t>
  </si>
  <si>
    <t>Ativo de imposto de renda diferido (CP)</t>
  </si>
  <si>
    <t>Outros ativos circulantes</t>
  </si>
  <si>
    <t>Provisão para contas duvidosas</t>
  </si>
  <si>
    <t>Investimentos em curto prazo</t>
  </si>
  <si>
    <t>Total de ativos atuais</t>
  </si>
  <si>
    <t xml:space="preserve">  Ativos realiz a longo prz</t>
  </si>
  <si>
    <t>Investimentos de LP</t>
  </si>
  <si>
    <t>Terras e construções</t>
  </si>
  <si>
    <t>Melhorias em locais arrendados</t>
  </si>
  <si>
    <t>Móveis/Maquinário/Equipamento</t>
  </si>
  <si>
    <t>Ativo imobilizado - Bruto</t>
  </si>
  <si>
    <t>Depreciação acumulada</t>
  </si>
  <si>
    <t>Ativo imobilizado - Líquido</t>
  </si>
  <si>
    <t>Ativo de imposto de renda diferido (LP)</t>
  </si>
  <si>
    <t>Outros ativos intangíveis</t>
  </si>
  <si>
    <t>Outros ativos não circulantes</t>
  </si>
  <si>
    <t>Total de ativos não circulantes</t>
  </si>
  <si>
    <t>Ativos totais</t>
  </si>
  <si>
    <t xml:space="preserve">  Passivo circulante</t>
  </si>
  <si>
    <t>Contas a pagar - Comércio</t>
  </si>
  <si>
    <t>Parcela atual de dívida de LP</t>
  </si>
  <si>
    <t>Empréstimos de curto prazo</t>
  </si>
  <si>
    <t>Despesas acumuladas</t>
  </si>
  <si>
    <t>Receitas diferidas/não recebidas (CP)</t>
  </si>
  <si>
    <t>Outros passivos circulantes</t>
  </si>
  <si>
    <t>Imposto de renda acumulado/ a pagar</t>
  </si>
  <si>
    <t>Total de passivos atuais</t>
  </si>
  <si>
    <t xml:space="preserve">  Passivos não circulantes</t>
  </si>
  <si>
    <t>Passivo não circulante total</t>
  </si>
  <si>
    <t>Dívida LP</t>
  </si>
  <si>
    <t>Impostos de renda diferidos (passivos)</t>
  </si>
  <si>
    <t>Remuneração diferida</t>
  </si>
  <si>
    <t>Outros passivos não circulantes</t>
  </si>
  <si>
    <t>Provisão para impostos</t>
  </si>
  <si>
    <t>Passivos totais</t>
  </si>
  <si>
    <t xml:space="preserve">  Total do patrim líq</t>
  </si>
  <si>
    <t>Ação preferencial</t>
  </si>
  <si>
    <t>Ações ordinárias</t>
  </si>
  <si>
    <t>Capital integralizado adicional</t>
  </si>
  <si>
    <t>Outra receita total acumulada</t>
  </si>
  <si>
    <t>Lucros retidos (déficit acumulado)</t>
  </si>
  <si>
    <t>Ações em circulação</t>
  </si>
  <si>
    <t>Valor par</t>
  </si>
  <si>
    <t>Patrimônio líquido</t>
  </si>
  <si>
    <t>Ações autorizadas</t>
  </si>
  <si>
    <t>Ações Preferenciais em circulação</t>
  </si>
  <si>
    <t>Patrimônio líquido excluindo os minoritários</t>
  </si>
  <si>
    <t>Total de passivos e patrimônio líquido dos acionistas</t>
  </si>
  <si>
    <t>ARDR Número de RSU no início do período</t>
  </si>
  <si>
    <t>ARDR Número de unidades de ações restritas atribuídas</t>
  </si>
  <si>
    <t>ARDR Número de RSU canceladas</t>
  </si>
  <si>
    <t>Investimentos longo prazo</t>
  </si>
  <si>
    <t>Terrenos e prédios</t>
  </si>
  <si>
    <t>Benfeitorias</t>
  </si>
  <si>
    <t>Móveis/máquinas/equipamentos</t>
  </si>
  <si>
    <t>Propriedade, planta e equipamentos - Bruto</t>
  </si>
  <si>
    <t xml:space="preserve"> Propriedade, planta e equipamentos - Líquido</t>
  </si>
  <si>
    <t>Total ativo intangível - Líq</t>
  </si>
  <si>
    <t>Pensões pagas antecip/benef pós aposent</t>
  </si>
  <si>
    <t>Patentes/Marcas/Direitos</t>
  </si>
  <si>
    <t>Receita diferida/não realizada (CP)</t>
  </si>
  <si>
    <t>Impostos de renda (passivos) diferidos</t>
  </si>
  <si>
    <t>Passivo pensão/pós-aposentadoria</t>
  </si>
  <si>
    <t>Capital adicional pago</t>
  </si>
  <si>
    <t>Outras receitas totais acumuladas</t>
  </si>
  <si>
    <t>Valor nominal</t>
  </si>
  <si>
    <t>matérias-primas</t>
  </si>
  <si>
    <t>Em progresso</t>
  </si>
  <si>
    <t>produtos acabados</t>
  </si>
  <si>
    <t>Linha de crédito total</t>
  </si>
  <si>
    <t>Linha créd total disponível</t>
  </si>
  <si>
    <t>Obrigações mínimas de arrendamento operacional futuro</t>
  </si>
  <si>
    <t>Despesas de aluguel - Ano 1</t>
  </si>
  <si>
    <t>Despesas de aluguel - Ano 2</t>
  </si>
  <si>
    <t>Despesas de aluguel - Ano 3</t>
  </si>
  <si>
    <t>Despesas de aluguel - Ano 4</t>
  </si>
  <si>
    <t>Despesas de aluguel - Ano 5</t>
  </si>
  <si>
    <t>Despesas aluguel além do ano 5</t>
  </si>
  <si>
    <t>Provisão p/dívidas duvidosas</t>
  </si>
  <si>
    <t>Derivativos de ativos curto prazo</t>
  </si>
  <si>
    <t>Commercial paper em circulação</t>
  </si>
  <si>
    <t>Ações em circ da página de rosto</t>
  </si>
  <si>
    <t>Listas de clientes ref /Contratos</t>
  </si>
  <si>
    <t>Amortização acumulada - Outros ativos intag</t>
  </si>
  <si>
    <t>Opções concedidas durante período</t>
  </si>
  <si>
    <t>Contratos opção em aberto final período</t>
  </si>
  <si>
    <t>Opções exercíveis durante o período</t>
  </si>
  <si>
    <t>Opções vencidas durante o período</t>
  </si>
  <si>
    <t>Passivo de imposto de renda diferido de longo prazo</t>
  </si>
  <si>
    <t>Crédito total utilizado</t>
  </si>
  <si>
    <t>Obrigações de compras</t>
  </si>
  <si>
    <t>Programação de dívida em ano 1</t>
  </si>
  <si>
    <t>Programação de dívida em ano 2</t>
  </si>
  <si>
    <t>Programação de dívida em ano 3</t>
  </si>
  <si>
    <t>Programação de dívida em ano 4</t>
  </si>
  <si>
    <t>Programação de dívida em ano 5</t>
  </si>
  <si>
    <t>Programação de dívida adiante</t>
  </si>
  <si>
    <t>Programa de dívida - Dívida total</t>
  </si>
  <si>
    <t>Programação de dívida - total de dívidas de longo prazo</t>
  </si>
  <si>
    <t>Número de ações ordinárias recompradas</t>
  </si>
  <si>
    <t>Valor ações ordinárias recompradas</t>
  </si>
  <si>
    <t>ARDR Total de passivos operacionais</t>
  </si>
  <si>
    <t>Valor Justo ativos recorrentes - Nível 1</t>
  </si>
  <si>
    <t>Valor Justo ativos recorrentes - Nível 2</t>
  </si>
  <si>
    <t>Ativos de valor justo recorrentes - Nível 3</t>
  </si>
  <si>
    <t>Valor Justo ativos recorrentes - Total</t>
  </si>
  <si>
    <t>Valor Justo passivos recorrentes - Nível 1</t>
  </si>
  <si>
    <t>Valor Justo passivos recorrentes - Nível 2</t>
  </si>
  <si>
    <t>Valor Justo passivos recorrentes - Nível 3</t>
  </si>
  <si>
    <t>Valor Justo passivos recorrentes - Total</t>
  </si>
  <si>
    <t>ARDR Opções canceladas ou confiscadas</t>
  </si>
  <si>
    <t>Total obrigações contratuais - ano 1</t>
  </si>
  <si>
    <t>Total obrigações contratuais - anos 2 e 3</t>
  </si>
  <si>
    <t>Total obrigações contratuais - anos 4 e 5</t>
  </si>
  <si>
    <t>Total obrigações contratuais - acima ano 5</t>
  </si>
  <si>
    <t>Total obrigações contratuais</t>
  </si>
  <si>
    <t>Cobranças fixas - índice cobertura</t>
  </si>
  <si>
    <t>Despesas com aluguel - Ano 2 a 3</t>
  </si>
  <si>
    <t>Despesas com aluguel - Ano 4 a 5</t>
  </si>
  <si>
    <t>Valor presente das obrigações mínimas de arrendamento oper futuro</t>
  </si>
  <si>
    <t>Programação de dívida - anos 2- 3</t>
  </si>
  <si>
    <t>Programação de dívida - anos 4- 5</t>
  </si>
  <si>
    <t>Passivos (circulantes) de pensão e pós aposentadoria</t>
  </si>
  <si>
    <t>Custo médio ponderado de opções garantidas</t>
  </si>
  <si>
    <t>Avaliação de opções de ações - taxa livre de risco (%)</t>
  </si>
  <si>
    <t>Avaliação de opções de ações - expectativa de vida (anos)</t>
  </si>
  <si>
    <t>Avaliação de opções de ações - expectativa de volatilidade (%)</t>
  </si>
  <si>
    <t>Avaliação de opções de ações - rendimento dividendos (%)</t>
  </si>
  <si>
    <t>Preço médio de exercício (opções exercíveis)</t>
  </si>
  <si>
    <t>Preço médio de exercício (opções aberto)</t>
  </si>
  <si>
    <t>Opções exercíveis fim do período</t>
  </si>
  <si>
    <t>Ativo de imposto diferido - avaliação permitida</t>
  </si>
  <si>
    <t xml:space="preserve"> Ações autorizadas para valor de recompra</t>
  </si>
  <si>
    <t xml:space="preserve"> Restante de ações autorizadas para valor de recompra</t>
  </si>
  <si>
    <t>Ativos VJ rec N1: Tesouros AFS</t>
  </si>
  <si>
    <t>Ativos VJ rec N1: Títulos privados AFS</t>
  </si>
  <si>
    <t>Ativos VJ rec N1: Outros AFS</t>
  </si>
  <si>
    <t>Ativos VJ rec N1: Derivativos</t>
  </si>
  <si>
    <t>Ativos VJ rec N1: Outros</t>
  </si>
  <si>
    <t>Ativos VJ rec N2: Tesouros AFS</t>
  </si>
  <si>
    <t>Ativos VJ rec N2: Títulos privados AFS</t>
  </si>
  <si>
    <t>Ativos VJ rec N2: Outros AFS</t>
  </si>
  <si>
    <t>Ativos VJ rec N2: Derivativos</t>
  </si>
  <si>
    <t>Ativos VJ rec N2: Outros</t>
  </si>
  <si>
    <t>Ativos VJ rec N3: Tesouros AFS</t>
  </si>
  <si>
    <t>Ativos VJ rec N3: Títulos privados AFS</t>
  </si>
  <si>
    <t>Ativos VJ rec N3: Outros AFS</t>
  </si>
  <si>
    <t>Ativos VJ rec N3: Derivativos</t>
  </si>
  <si>
    <t>Ativos VJ rec N3: Outros</t>
  </si>
  <si>
    <t>Total ativos VJ rec: AFS</t>
  </si>
  <si>
    <t>Total ativos VJ rec: Derivativos</t>
  </si>
  <si>
    <t>Total ativos VJ rec: Outros</t>
  </si>
  <si>
    <t>Passivos VJ rec N1: Derivativos</t>
  </si>
  <si>
    <t>Passivos VJ rec N1: Outros</t>
  </si>
  <si>
    <t>Passivos VJ rec N2: Derivativos</t>
  </si>
  <si>
    <t>Passivos VJ rec N2: Empréstimos LP</t>
  </si>
  <si>
    <t>Passivos VJ rec N2: Outros</t>
  </si>
  <si>
    <t>Passivos VJ rec N3: Derivativos</t>
  </si>
  <si>
    <t>Passivos VJ rec N3: Outros</t>
  </si>
  <si>
    <t>Total passivos VJ rec: Derivativos</t>
  </si>
  <si>
    <t>Total passivos VJ rec: Empréstimos LP</t>
  </si>
  <si>
    <t>Total passivos VJ rec: Outros</t>
  </si>
  <si>
    <t>DTA - Transporte de prejuízos líquidos operacionais</t>
  </si>
  <si>
    <t>Ativos de imposto diferido - Crédito de imposto</t>
  </si>
  <si>
    <t>ref opções no início do período</t>
  </si>
  <si>
    <t>Preço médio por ação recomprada</t>
  </si>
  <si>
    <t>Ativos/Passivos de imposto diferido em intangíveis</t>
  </si>
  <si>
    <t>Saldo UTB no início do período</t>
  </si>
  <si>
    <t>Saldo UTB no final do período</t>
  </si>
  <si>
    <t>Adições para posições tributrárias do ano corrente</t>
  </si>
  <si>
    <t>Somas para posições de impostos de anos anteriores</t>
  </si>
  <si>
    <t>Reduções para posições tributárias de anos anteriores</t>
  </si>
  <si>
    <t>Estatutos de limitações abaixo UTB</t>
  </si>
  <si>
    <t>Outros ajustes para UTB</t>
  </si>
  <si>
    <t>ref lucros não remetidos</t>
  </si>
  <si>
    <t>Conforme dados divulgados Unidades de ações de referência restritas</t>
  </si>
  <si>
    <t>ARDR VJ da média ponderada de ações restritas PS</t>
  </si>
  <si>
    <t>ARDR CP disponível para emissão</t>
  </si>
  <si>
    <t>ARDR Funcionários em tempo integral</t>
  </si>
  <si>
    <t>Conforme dados de referência divulgados Caixa mantido no exterior</t>
  </si>
  <si>
    <t>Total de commercial paper tamanho do programa</t>
  </si>
  <si>
    <t>ARDR Número ações recompradas sob o programa de recompra</t>
  </si>
  <si>
    <t>Fluxo caixa</t>
  </si>
  <si>
    <t xml:space="preserve">  Caixa de operações</t>
  </si>
  <si>
    <t>Lucro líquido - CF</t>
  </si>
  <si>
    <t>Depreciação</t>
  </si>
  <si>
    <t>Imposto de renda diferido - CF</t>
  </si>
  <si>
    <t>Alienação/Venda de ativos</t>
  </si>
  <si>
    <t>Compensação com base em ações</t>
  </si>
  <si>
    <t>Outros itens exceto caixa</t>
  </si>
  <si>
    <t>Variação em estoques</t>
  </si>
  <si>
    <t>Variação em contas a receber</t>
  </si>
  <si>
    <t>Variação em despesas antecipadas</t>
  </si>
  <si>
    <t>Variação em contas a pagar e despesas acumuladas</t>
  </si>
  <si>
    <t>Variação em imposto de renda a pagar (a receber)</t>
  </si>
  <si>
    <t>Variação em outros ativos circulantes</t>
  </si>
  <si>
    <t>Reduções</t>
  </si>
  <si>
    <t>Benefícios fiscais do exercício de opções de ações - operacional</t>
  </si>
  <si>
    <t>Amortização de intangíveis</t>
  </si>
  <si>
    <t>Variação em outros passivos</t>
  </si>
  <si>
    <t>Fluxo de caixa total de operações</t>
  </si>
  <si>
    <t>Alteração em outros ativos e passivos</t>
  </si>
  <si>
    <t>Variação em outros ativos e passivos atuais</t>
  </si>
  <si>
    <t>Ganhos /(Perdas) na extinção antecipada de dívida</t>
  </si>
  <si>
    <t xml:space="preserve">  Caixa de investimentos</t>
  </si>
  <si>
    <t>Venda de imobilizados</t>
  </si>
  <si>
    <t>Despesas de capital (PP&amp;E)</t>
  </si>
  <si>
    <t>Recursos de investimentos de curto prazo</t>
  </si>
  <si>
    <t>Compra de investimentos de curto prazo</t>
  </si>
  <si>
    <t>Recursos de investimentos</t>
  </si>
  <si>
    <t>Aquisição de negócio</t>
  </si>
  <si>
    <t>Outras atividades de investimento</t>
  </si>
  <si>
    <t>Variação no capital de giro não relac ao fluxo de caixa-Invest</t>
  </si>
  <si>
    <t>Fluxo de caixa total de investimentos</t>
  </si>
  <si>
    <t xml:space="preserve">  Caixa de atividades financeiras</t>
  </si>
  <si>
    <t>Dividendos pagos</t>
  </si>
  <si>
    <t>Aumento em empréstimos de CP</t>
  </si>
  <si>
    <t>Redução em empréstimos de CP</t>
  </si>
  <si>
    <t>Aumento em empréstimos de LP</t>
  </si>
  <si>
    <t>Redução em empréstimos de LP</t>
  </si>
  <si>
    <t>Recompra de ações ordinárias</t>
  </si>
  <si>
    <t>Efeito de taxas de câmbio no caixa</t>
  </si>
  <si>
    <t>Outras atividades financeiras</t>
  </si>
  <si>
    <t>Exercício de opções de ações</t>
  </si>
  <si>
    <t>Variações líquidas de caixa</t>
  </si>
  <si>
    <t>Caixa e equivalentes de caixa (final do período)</t>
  </si>
  <si>
    <t>Caixa e equivalentes de caixa (início do período)</t>
  </si>
  <si>
    <t>Benefícios fiscais de opções de ações - financiamento</t>
  </si>
  <si>
    <t>Fluxo de caixa total de financiamentos</t>
  </si>
  <si>
    <t>Caixa pago a impostos</t>
  </si>
  <si>
    <t>Caixa pago a juros</t>
  </si>
  <si>
    <t xml:space="preserve"> (ADI US) - Cresc</t>
  </si>
  <si>
    <t>Cresc 1 ano</t>
  </si>
  <si>
    <t>Lc/Aç diluído</t>
  </si>
  <si>
    <t>Lc/Aç dil antes itens extr</t>
  </si>
  <si>
    <t>Lc/Aç dil antes itens anorm</t>
  </si>
  <si>
    <t>Contas a receber</t>
  </si>
  <si>
    <t>Estoque</t>
  </si>
  <si>
    <t>Imobilizado</t>
  </si>
  <si>
    <t>Capital de giro modificado</t>
  </si>
  <si>
    <t>Capital de giro</t>
  </si>
  <si>
    <t>Funcionários</t>
  </si>
  <si>
    <t>Fornecedores</t>
  </si>
  <si>
    <t>Dívida curto prazo</t>
  </si>
  <si>
    <t>Dív total</t>
  </si>
  <si>
    <t>Patrimônio</t>
  </si>
  <si>
    <t>Capital</t>
  </si>
  <si>
    <t>Valor contábil por ação</t>
  </si>
  <si>
    <t>Despesas de capital</t>
  </si>
  <si>
    <t>Var líq caixa</t>
  </si>
  <si>
    <t>Fluxo de caixa livre</t>
  </si>
  <si>
    <t>Cash Flow to Firm</t>
  </si>
  <si>
    <t>Free Cash Flow to Firm</t>
  </si>
  <si>
    <t>Cresc 5 anos</t>
  </si>
  <si>
    <t>Crescimento do capital total em 5 anos</t>
  </si>
  <si>
    <t>Crescimento sequencial</t>
  </si>
  <si>
    <t xml:space="preserve"> (ADI US) - Crédito</t>
  </si>
  <si>
    <t>Dívida total</t>
  </si>
  <si>
    <t xml:space="preserve">  Dívida curto prazo</t>
  </si>
  <si>
    <t xml:space="preserve">  Dívida LP</t>
  </si>
  <si>
    <t>Dívida total/EBITDA</t>
  </si>
  <si>
    <t>Dívida líquida/EBITDA</t>
  </si>
  <si>
    <t>Total de dívida/EBIT</t>
  </si>
  <si>
    <t>Dívida líquida/EBIT</t>
  </si>
  <si>
    <t>EBITDA/Despesa com juros</t>
  </si>
  <si>
    <t>EBITDA-CapEx/Despesas de juros</t>
  </si>
  <si>
    <t>EBIT para despesas de juros</t>
  </si>
  <si>
    <t>EBITDA/Juros pagos em dinheiro</t>
  </si>
  <si>
    <t>EBITDA-CapEx/Juros pagos em dinheiro</t>
  </si>
  <si>
    <t>EBIT/Juros pagos em dinheiro</t>
  </si>
  <si>
    <t>Juros pagos (em dinh)</t>
  </si>
  <si>
    <t>Ação ordinária/Total ativos</t>
  </si>
  <si>
    <t>Dívida/ações long prazo</t>
  </si>
  <si>
    <t>Dív/capital longo prazo</t>
  </si>
  <si>
    <t>Total ativos/dívida longo prazo</t>
  </si>
  <si>
    <t>Total dív/ações</t>
  </si>
  <si>
    <t>Total dív/capital</t>
  </si>
  <si>
    <t>Dívida total/Total ativos</t>
  </si>
  <si>
    <t>Dívida líq/ação</t>
  </si>
  <si>
    <t>Dívida líq/capital</t>
  </si>
  <si>
    <t>EBITDA-CapEx</t>
  </si>
  <si>
    <t xml:space="preserve"> (ADI US) - Liquidez</t>
  </si>
  <si>
    <t>Ratio de caixa</t>
  </si>
  <si>
    <t>Ratio de circulante</t>
  </si>
  <si>
    <t>Ratio rápido</t>
  </si>
  <si>
    <t>CFO/Média de passivos atuais</t>
  </si>
  <si>
    <t>CFO/Total passivo</t>
  </si>
  <si>
    <t>CFO/CapEx</t>
  </si>
  <si>
    <t>Z-Score de Altman</t>
  </si>
  <si>
    <t xml:space="preserve">  Total de linha de crédito disponível</t>
  </si>
  <si>
    <t xml:space="preserve">  Total linhas créd sacadas</t>
  </si>
  <si>
    <t>Total commercial paper em circul</t>
  </si>
  <si>
    <t xml:space="preserve"> (ADI US) - Análise de rendimento</t>
  </si>
  <si>
    <t>Fluxo cx últ12 p/ ações</t>
  </si>
  <si>
    <t>+ Fluxo de caixa de operações</t>
  </si>
  <si>
    <t>+ Despesas de capital</t>
  </si>
  <si>
    <t>Rendimento de fluxo de caixa livre</t>
  </si>
  <si>
    <t>Recomp líq de ações</t>
  </si>
  <si>
    <t>Repagamento líq dív CP</t>
  </si>
  <si>
    <t>Repagamento líq dív LP</t>
  </si>
  <si>
    <t>Outras ativ financ</t>
  </si>
  <si>
    <t>Dinheiro últ12 p/ fornec capital</t>
  </si>
  <si>
    <t>Rend acionista últ12</t>
  </si>
  <si>
    <t>- Dividendos pagos</t>
  </si>
  <si>
    <t>- Recomp líq de ações</t>
  </si>
  <si>
    <t>Dinh últ12 p/ acionistas</t>
  </si>
  <si>
    <t>Rendimento acionistas Últ12M, exc dívidas</t>
  </si>
  <si>
    <t>Dinheiro últ12 p/ empresa</t>
  </si>
  <si>
    <t>+ Despesas de juros após impostos</t>
  </si>
  <si>
    <t>Fluxo caixa livre últimos 12M a Empresa</t>
  </si>
  <si>
    <t>Valor de mercado da empresa periódico</t>
  </si>
  <si>
    <t>Rendimento FCFF Q12</t>
  </si>
  <si>
    <t>- Repagamento líq dív CP</t>
  </si>
  <si>
    <t>- Repagamento líq dív LP</t>
  </si>
  <si>
    <t>- Outras ativ financ</t>
  </si>
  <si>
    <t>Rend capital últ12</t>
  </si>
  <si>
    <t xml:space="preserve"> (ADI US) - Análise DuPont</t>
  </si>
  <si>
    <t>Carga tributária</t>
  </si>
  <si>
    <t xml:space="preserve">  Lcr líq a com/% antes impostos</t>
  </si>
  <si>
    <t>Fator de ajuste</t>
  </si>
  <si>
    <t xml:space="preserve">  Lc líq normaliz/Lcr líq a com</t>
  </si>
  <si>
    <t>Carga de juros</t>
  </si>
  <si>
    <t xml:space="preserve">  Lucro antes de impostos/% EBIT</t>
  </si>
  <si>
    <t>Margem operac</t>
  </si>
  <si>
    <t xml:space="preserve">  EBIT/% Receita</t>
  </si>
  <si>
    <t>Giro de ativo</t>
  </si>
  <si>
    <t xml:space="preserve">  Receita/Média de ativos</t>
  </si>
  <si>
    <t>Índ de alavancagem</t>
  </si>
  <si>
    <t xml:space="preserve">  Média de ativos/Média de ações</t>
  </si>
  <si>
    <t>Retorno ajustado em ações</t>
  </si>
  <si>
    <t>Ajst ROE médio 5 anos</t>
  </si>
  <si>
    <t>% distrib lucros</t>
  </si>
  <si>
    <t>Taxa de crescimento sustentável</t>
  </si>
  <si>
    <t xml:space="preserve"> (ADI US) - Por medida</t>
  </si>
  <si>
    <t xml:space="preserve">  Industrial</t>
  </si>
  <si>
    <t xml:space="preserve">  Automotive</t>
  </si>
  <si>
    <t xml:space="preserve">  Consumer</t>
  </si>
  <si>
    <t xml:space="preserve">  Communications</t>
  </si>
  <si>
    <t>Receita por canal de distribuição</t>
  </si>
  <si>
    <t xml:space="preserve">  Distributors</t>
  </si>
  <si>
    <t xml:space="preserve">  Direct Customers</t>
  </si>
  <si>
    <t xml:space="preserve">  Other</t>
  </si>
  <si>
    <t>Porcentagem de receita</t>
  </si>
  <si>
    <t>% cresc receita</t>
  </si>
  <si>
    <t xml:space="preserve"> (ADI US) - Por área geográfica</t>
  </si>
  <si>
    <t xml:space="preserve">  Foreign Countries</t>
  </si>
  <si>
    <t xml:space="preserve">    China</t>
  </si>
  <si>
    <t xml:space="preserve">    Europe</t>
  </si>
  <si>
    <t xml:space="preserve">    Rest of Asia</t>
  </si>
  <si>
    <t xml:space="preserve">    Japan</t>
  </si>
  <si>
    <t xml:space="preserve">    Rest of North &amp; South America</t>
  </si>
  <si>
    <t xml:space="preserve">  United States</t>
  </si>
  <si>
    <t>Lucro antes de impostos</t>
  </si>
  <si>
    <t xml:space="preserve">  China</t>
  </si>
  <si>
    <t xml:space="preserve">  Rest of Asia</t>
  </si>
  <si>
    <t xml:space="preserve">  Japan</t>
  </si>
  <si>
    <t xml:space="preserve">  Rest of North &amp; South America</t>
  </si>
  <si>
    <t xml:space="preserve">  Europe</t>
  </si>
  <si>
    <t>Propriedade/planta/equipamento</t>
  </si>
  <si>
    <t xml:space="preserve">    Ireland</t>
  </si>
  <si>
    <t xml:space="preserve">    Philippines</t>
  </si>
  <si>
    <t xml:space="preserve">    Thailand</t>
  </si>
  <si>
    <t xml:space="preserve">    All Other Countries</t>
  </si>
  <si>
    <t xml:space="preserve">    Malaysia</t>
  </si>
  <si>
    <t xml:space="preserve">    Singapore</t>
  </si>
  <si>
    <t xml:space="preserve"> (ADI US) - Por segmento</t>
  </si>
  <si>
    <t xml:space="preserve">  Receita</t>
  </si>
  <si>
    <t xml:space="preserve">  % cresc receita</t>
  </si>
  <si>
    <t xml:space="preserve">  Porcentagem de receita</t>
  </si>
  <si>
    <t>Distributors</t>
  </si>
  <si>
    <t xml:space="preserve">  Receita por canal de distribuição</t>
  </si>
  <si>
    <t>Direct Customers</t>
  </si>
  <si>
    <t xml:space="preserve"> (ADI US) - Resumo</t>
  </si>
  <si>
    <t>Scores de materialidade financeira ESG</t>
  </si>
  <si>
    <t>Score ESG BESG</t>
  </si>
  <si>
    <t>Score do pilar ambiental BESG</t>
  </si>
  <si>
    <t>Score do pilar social BESG</t>
  </si>
  <si>
    <t>Score do pilar de governança BESG</t>
  </si>
  <si>
    <t>Scores de divulgação ESG</t>
  </si>
  <si>
    <t>Score de divulgação ESG</t>
  </si>
  <si>
    <t>Score de divulgação ambiental</t>
  </si>
  <si>
    <t>Score de divulgação social</t>
  </si>
  <si>
    <t>Score de divulgação de governança</t>
  </si>
  <si>
    <t>Meio ambiente</t>
  </si>
  <si>
    <t>Qualidade do ar</t>
  </si>
  <si>
    <t>Mudanças climáticas</t>
  </si>
  <si>
    <t>Iniciativas de redução de emissão</t>
  </si>
  <si>
    <t>n/a</t>
  </si>
  <si>
    <t>Reivindicação de plano de transição</t>
  </si>
  <si>
    <t>Política sobre mudança no clima</t>
  </si>
  <si>
    <t>Oportunidades de mudanças climáticas discutidas</t>
  </si>
  <si>
    <t>Riscos de mudanças climáticas discutidos</t>
  </si>
  <si>
    <t>CO2 Escopo 1</t>
  </si>
  <si>
    <t>GEE Escopo 1</t>
  </si>
  <si>
    <t>GEE Escopo 2 com base em localização</t>
  </si>
  <si>
    <t>GHG Escopo 2 com base no mercado</t>
  </si>
  <si>
    <t>GEE Escopo 3</t>
  </si>
  <si>
    <t>Escopo da divulgação</t>
  </si>
  <si>
    <t>Energia</t>
  </si>
  <si>
    <t>Política de eficiência de energia</t>
  </si>
  <si>
    <t>Consumo total de energia</t>
  </si>
  <si>
    <t>Energia renovável utilizada</t>
  </si>
  <si>
    <t>Eletricidade utilizada</t>
  </si>
  <si>
    <t>Eletricidade renovável autogerada</t>
  </si>
  <si>
    <t>Combustível usado=carvão/lignito</t>
  </si>
  <si>
    <t>Combustível usado-gás natural</t>
  </si>
  <si>
    <t>Combustível usado-petróleo bruto/diesel</t>
  </si>
  <si>
    <t>Materiais e resíduos</t>
  </si>
  <si>
    <t>Política redução desperdício</t>
  </si>
  <si>
    <t>Resíduos perigosos</t>
  </si>
  <si>
    <t>Total de resíduos</t>
  </si>
  <si>
    <t>Resíduos reciclados</t>
  </si>
  <si>
    <t>Lixo enviado para terrenos</t>
  </si>
  <si>
    <t>Cadeia de fornecimento</t>
  </si>
  <si>
    <t>Gestão da cadeia de fornecimento ambiental</t>
  </si>
  <si>
    <t>Água</t>
  </si>
  <si>
    <t>Política da água</t>
  </si>
  <si>
    <t>Total de água retirada</t>
  </si>
  <si>
    <t>Total de água descartada</t>
  </si>
  <si>
    <t>Consumo de água</t>
  </si>
  <si>
    <t>Impactos ecológicos e de biodiversidade</t>
  </si>
  <si>
    <t>Política de biodiversidade</t>
  </si>
  <si>
    <t>Adota recomendações TNFD</t>
  </si>
  <si>
    <t>Política de desmatamento zero</t>
  </si>
  <si>
    <t>Supervisão de nível de diretoria de biodiversidade</t>
  </si>
  <si>
    <t>Supervisão de nível executivo de biodiversidade</t>
  </si>
  <si>
    <t>Social</t>
  </si>
  <si>
    <t>Comunidade e clientes</t>
  </si>
  <si>
    <t>Política direitos humanos</t>
  </si>
  <si>
    <t>Política contra trabalho infantil</t>
  </si>
  <si>
    <t>Política de controle de qualidade e recall</t>
  </si>
  <si>
    <t>Política de proteção de dados do consumidor</t>
  </si>
  <si>
    <t>Gastos comunitários</t>
  </si>
  <si>
    <t>Diversidade</t>
  </si>
  <si>
    <t>Política de igualdade de oportunidade</t>
  </si>
  <si>
    <t>Gender Pay Gap Breakout</t>
  </si>
  <si>
    <t>Mulheres na gestão sênior em %</t>
  </si>
  <si>
    <t>Mulheres na gestão intermediária e/ou outra gestão em %</t>
  </si>
  <si>
    <t>Mulheres na força de trabalho em %</t>
  </si>
  <si>
    <t>Ética e compliance</t>
  </si>
  <si>
    <t>Política ética de negócios</t>
  </si>
  <si>
    <t>Política de ética anti-suborno</t>
  </si>
  <si>
    <t>Doações políticas</t>
  </si>
  <si>
    <t>Saúde e segurança</t>
  </si>
  <si>
    <t>Política de saúde e segurança</t>
  </si>
  <si>
    <t>Fatalidades - Funcionários</t>
  </si>
  <si>
    <t>Fatalidades - Contratados</t>
  </si>
  <si>
    <t>Fatalidades - Total</t>
  </si>
  <si>
    <t>Taxa de tempo perdido por incidentes - funcionários</t>
  </si>
  <si>
    <t>Taxa de tempo perdido por incidentes - força de trabalho</t>
  </si>
  <si>
    <t>Taxa de tempo perdido por incidentes - prestadores de serviços</t>
  </si>
  <si>
    <t>Taxa total de incidentes registrados - força de trabalho</t>
  </si>
  <si>
    <t>Capital humano</t>
  </si>
  <si>
    <t>Política treinamento</t>
  </si>
  <si>
    <t>Política de remuneração justa</t>
  </si>
  <si>
    <t>Número de funcionários - CSR</t>
  </si>
  <si>
    <t>Funcionários sindicalizados %</t>
  </si>
  <si>
    <t>Funcionário-Custo treinamento</t>
  </si>
  <si>
    <t>Total de horas utilizadas pela empresa - treinamento de funcionários</t>
  </si>
  <si>
    <t>Score empresa divulga engajamento de funcionários</t>
  </si>
  <si>
    <t>Gestão da cadeia de fornecimento social</t>
  </si>
  <si>
    <t>Governança</t>
  </si>
  <si>
    <t>Risco de auditoria e supervisão</t>
  </si>
  <si>
    <t>Anos de auditor empregado</t>
  </si>
  <si>
    <t>Tamanho do comitê de auditoria</t>
  </si>
  <si>
    <t>Número de diretores não executivos no comitê de auditoria</t>
  </si>
  <si>
    <t>Reuniões de comité de auditoria</t>
  </si>
  <si>
    <t>Presença em reunião de comitê de auditoria em %</t>
  </si>
  <si>
    <t>Composição da diretoria</t>
  </si>
  <si>
    <t>Empresa realiza avaliações do conselho</t>
  </si>
  <si>
    <t>Tamanho da diretoria</t>
  </si>
  <si>
    <t>Número de executivos / gerentes de empresa</t>
  </si>
  <si>
    <t>Número de diretores não executivos na diretoria</t>
  </si>
  <si>
    <t>Número de reuniões do conselho neste ano</t>
  </si>
  <si>
    <t>Participação em reuniões da diretoria %</t>
  </si>
  <si>
    <t>Remuneração</t>
  </si>
  <si>
    <t>Empresa tem diretrizes relativas a propriedade de ações de executivos</t>
  </si>
  <si>
    <t>Diretrizes de propriedade de ações para diretores</t>
  </si>
  <si>
    <t>Tamanho do comitê de remuneração</t>
  </si>
  <si>
    <t>Número de diretores independentes no comitê de remuneração</t>
  </si>
  <si>
    <t>Número de reuniões do comitê de nomeação</t>
  </si>
  <si>
    <t>Presença reuniões comitê de remuneração %</t>
  </si>
  <si>
    <t>Número de executivas mulheres</t>
  </si>
  <si>
    <t>Número de mulheres na diretoria</t>
  </si>
  <si>
    <t>Idade do diretor mais novo</t>
  </si>
  <si>
    <t>Idade do diretor mais velho</t>
  </si>
  <si>
    <t>Independência</t>
  </si>
  <si>
    <t>Número de diretores independentes</t>
  </si>
  <si>
    <t>Nomeações e supervisão de governança</t>
  </si>
  <si>
    <t>Tamanho do comitê de nomeação</t>
  </si>
  <si>
    <t>Núm de diretores independentes no comitê de nomeação</t>
  </si>
  <si>
    <t>Presença reunião do comitê de nomeação %</t>
  </si>
  <si>
    <t>Governança de sustentabilidade</t>
  </si>
  <si>
    <t>Tipo de verificação</t>
  </si>
  <si>
    <t>Treinamento CSR de funcionário</t>
  </si>
  <si>
    <t>Cargo</t>
  </si>
  <si>
    <t>Duração diretoria(anos)</t>
  </si>
  <si>
    <t xml:space="preserve"> (ADI US) - ESG Índices</t>
  </si>
  <si>
    <t>Scores de divulgação</t>
  </si>
  <si>
    <t>Gases efeito estufa</t>
  </si>
  <si>
    <t>GHG Intensidade por vendas</t>
  </si>
  <si>
    <t>Intensidade GEE Escopo 1 por vendas</t>
  </si>
  <si>
    <t>Intensidade GEE por vendas Escopo 2</t>
  </si>
  <si>
    <t>GHG Intensidade por  EBITDA</t>
  </si>
  <si>
    <t>Intensidade CO2/GEE / Imobilizados brutos</t>
  </si>
  <si>
    <t>Intensidade CO2/GEE / Imobilizados líq</t>
  </si>
  <si>
    <t>GHG Intensidade por energia</t>
  </si>
  <si>
    <t>GHG Intensidade por funcionário</t>
  </si>
  <si>
    <t>GHG Intensity per Assets</t>
  </si>
  <si>
    <t>Escopo 3 GHG por funcionário</t>
  </si>
  <si>
    <t>Dióxido de carbono</t>
  </si>
  <si>
    <t>Emissões de viagem por vendas</t>
  </si>
  <si>
    <t>Emissões viagem p/funcionário</t>
  </si>
  <si>
    <t>Intensidade de energia por venda</t>
  </si>
  <si>
    <t>Intensidade de energia por EBITDA</t>
  </si>
  <si>
    <t>Intensidade de energia por funcionário</t>
  </si>
  <si>
    <t>Intensidade de energia por ativos</t>
  </si>
  <si>
    <t>Uso de combustível de biomassa %</t>
  </si>
  <si>
    <t>Intensidade de água por vendas</t>
  </si>
  <si>
    <t>Intensidade de água por EBITDA</t>
  </si>
  <si>
    <t>Intensidade da água por energia</t>
  </si>
  <si>
    <t>Intensidade de água por funcionário</t>
  </si>
  <si>
    <t>Intensidade de água por ativos</t>
  </si>
  <si>
    <t>Taxa de eficiência da utilização de água</t>
  </si>
  <si>
    <t>Exposição ao stress hídrico %</t>
  </si>
  <si>
    <t>Resíduos</t>
  </si>
  <si>
    <t>Waste Intensity per Employee</t>
  </si>
  <si>
    <t>Resíduo gerado por ativos</t>
  </si>
  <si>
    <t>Resíduo gerado por vendas</t>
  </si>
  <si>
    <t>Meio ambiente-outro</t>
  </si>
  <si>
    <t>Women Management to Employees Ratio</t>
  </si>
  <si>
    <t>Gastos comunitários% PTP</t>
  </si>
  <si>
    <t>Community Spend%EBITDA</t>
  </si>
  <si>
    <t>Community Spend%Equity</t>
  </si>
  <si>
    <t>Doações políticas % PTP</t>
  </si>
  <si>
    <t>Despesas com treinamento por funcionário</t>
  </si>
  <si>
    <t>Despesas com R&amp;D por fluxo de caixa</t>
  </si>
  <si>
    <t>Lucro líquido real por funcionário</t>
  </si>
  <si>
    <t>Fluxo de caixa real por funcionário</t>
  </si>
  <si>
    <t>Governance</t>
  </si>
  <si>
    <t>Diretores não executivos na diretoria em %</t>
  </si>
  <si>
    <t>Diretores independentes em %</t>
  </si>
  <si>
    <t>Mulheres na diretoria em %</t>
  </si>
  <si>
    <t>Executivas mulheres em %</t>
  </si>
  <si>
    <t>Faixa etária da diretoria</t>
  </si>
  <si>
    <t>Média de idade da diretoria</t>
  </si>
  <si>
    <t>Comparecimento de diretores independentes em reunião da diretoria %</t>
  </si>
  <si>
    <t>Diretores não executivos no comitê de auditoria %</t>
  </si>
  <si>
    <t>Diretores independentes no comitê de compensação em %</t>
  </si>
  <si>
    <t>Diretores independentes no comitê de nomeação %</t>
  </si>
  <si>
    <t>Propriedade necessária para reunião especial em %</t>
  </si>
  <si>
    <t>Período</t>
  </si>
  <si>
    <t>Títulos privados</t>
  </si>
  <si>
    <t>Valor disponível</t>
  </si>
  <si>
    <t>Analog Devices Inc (ADI US Equity) - Análise de Supply Chain (Forneced)</t>
  </si>
  <si>
    <t>Company Name</t>
  </si>
  <si>
    <t>Cost Category</t>
  </si>
  <si>
    <t>%Cost Category</t>
  </si>
  <si>
    <t>%Supplier Rev</t>
  </si>
  <si>
    <t>Relationship Value (Q) (Mln) (USD)</t>
  </si>
  <si>
    <t>Relationship Year</t>
  </si>
  <si>
    <t>Relationship Period</t>
  </si>
  <si>
    <t>Source</t>
  </si>
  <si>
    <t>As Of Date</t>
  </si>
  <si>
    <t>2330 TT Equity</t>
  </si>
  <si>
    <t>Taiwan Semiconductor Manufacturing Co Ltd</t>
  </si>
  <si>
    <t>COGS</t>
  </si>
  <si>
    <t>Q4</t>
  </si>
  <si>
    <t>Estimate (2330 TT)</t>
  </si>
  <si>
    <t>600584 CH Equity</t>
  </si>
  <si>
    <t>JCET Group Co Ltd</t>
  </si>
  <si>
    <t>Estimate (600584 CH)</t>
  </si>
  <si>
    <t>3711 TT Equity</t>
  </si>
  <si>
    <t>ASE Technology Holding Co Ltd</t>
  </si>
  <si>
    <t>Q2</t>
  </si>
  <si>
    <t>Estimate (3711 TT)</t>
  </si>
  <si>
    <t>8035 JP Equity</t>
  </si>
  <si>
    <t>Tokyo Electron Ltd</t>
  </si>
  <si>
    <t>CAPEX</t>
  </si>
  <si>
    <t>Q3</t>
  </si>
  <si>
    <t>Estimate (8035 JP)</t>
  </si>
  <si>
    <t>2303 TT Equity</t>
  </si>
  <si>
    <t>United Microelectronics Corp</t>
  </si>
  <si>
    <t>Estimate (2303 TT)</t>
  </si>
  <si>
    <t>GFS US Equity</t>
  </si>
  <si>
    <t>GLOBALFOUNDRIES Inc</t>
  </si>
  <si>
    <t>Estimate (GFS US)</t>
  </si>
  <si>
    <t>COHU US Equity</t>
  </si>
  <si>
    <t>Cohu Inc</t>
  </si>
  <si>
    <t>Estimate (COHU US)</t>
  </si>
  <si>
    <t>KLAC US Equity</t>
  </si>
  <si>
    <t>KLA Corp</t>
  </si>
  <si>
    <t>Estimate (KLAC US)</t>
  </si>
  <si>
    <t>SYPR US Equity</t>
  </si>
  <si>
    <t>Sypris Solutions Inc</t>
  </si>
  <si>
    <t>2023A CF (SYPR US)</t>
  </si>
  <si>
    <t>TER US Equity</t>
  </si>
  <si>
    <t>Teradyne Inc</t>
  </si>
  <si>
    <t>Estimate (TER US)</t>
  </si>
  <si>
    <t>PLAB US Equity</t>
  </si>
  <si>
    <t>Photronics Inc</t>
  </si>
  <si>
    <t>Estimate (PLAB US)</t>
  </si>
  <si>
    <t>KEYS US Equity</t>
  </si>
  <si>
    <t>Keysight Technologies Inc</t>
  </si>
  <si>
    <t>R&amp;D</t>
  </si>
  <si>
    <t>Estimate (KEYS US)</t>
  </si>
  <si>
    <t>000990 KS Equity</t>
  </si>
  <si>
    <t>DB HiTek Co Ltd</t>
  </si>
  <si>
    <t>Q1</t>
  </si>
  <si>
    <t>Estimate (000990 KS)</t>
  </si>
  <si>
    <t>PTC US Equity</t>
  </si>
  <si>
    <t>PTC Inc</t>
  </si>
  <si>
    <t>Estimate (PTC US)</t>
  </si>
  <si>
    <t>INTT US Equity</t>
  </si>
  <si>
    <t>inTEST Corp</t>
  </si>
  <si>
    <t>Estimate (INTT US)</t>
  </si>
  <si>
    <t>058470 KS Equity</t>
  </si>
  <si>
    <t>LEENO Industrial Inc</t>
  </si>
  <si>
    <t>Estimate (058470 KS)</t>
  </si>
  <si>
    <t>MTRN US Equity</t>
  </si>
  <si>
    <t>Materion Corp</t>
  </si>
  <si>
    <t>Estimate (MTRN US)</t>
  </si>
  <si>
    <t>2449 TT Equity</t>
  </si>
  <si>
    <t>King Yuan Electronics Co Ltd</t>
  </si>
  <si>
    <t>Estimate (2449 TT)</t>
  </si>
  <si>
    <t>AEHR US Equity</t>
  </si>
  <si>
    <t>Aehr Test Systems</t>
  </si>
  <si>
    <t>Estimate (AEHR US)</t>
  </si>
  <si>
    <t>DLB US Equity</t>
  </si>
  <si>
    <t>Dolby Laboratories Inc</t>
  </si>
  <si>
    <t>Estimate (DLB US)</t>
  </si>
  <si>
    <t>Fornecedores classificados por valor de relação (USD).</t>
  </si>
  <si>
    <t>Only quantified relationships are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</si>
</sst>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164" formatCode="_(* #,##0.00_);_(* \(#,##0.00\);_(* &quot;-&quot;??_);_(@_)"/>
    <numFmt numFmtId="165" formatCode="0&quot;A&quot;"/>
    <numFmt numFmtId="166" formatCode="0&quot;E&quot;"/>
    <numFmt numFmtId="167" formatCode="_-* #,##0.00\ _€_-;\-* #,##0.00\ _€_-;_-* &quot;-&quot;??\ _€_-;_-@_-"/>
    <numFmt numFmtId="168" formatCode="0.00\x"/>
    <numFmt numFmtId="169" formatCode="0.00&quot;M&quot;"/>
    <numFmt numFmtId="170" formatCode="0.0%"/>
    <numFmt numFmtId="171" formatCode="&quot;$&quot;#,##0"/>
    <numFmt numFmtId="172" formatCode="_(* #,##0_);_(* \(#,##0\);_(* &quot;-&quot;??_);_(@_)"/>
    <numFmt numFmtId="173" formatCode="0.0"/>
    <numFmt numFmtId="174" formatCode="&quot;$&quot;#,##0.00"/>
    <numFmt numFmtId="175" formatCode="_([$$-409]* #,##0_);_([$$-409]* \(#,##0\);_([$$-409]* &quot;-&quot;??_);_(@_)"/>
    <numFmt numFmtId="176" formatCode="_([$$-409]* #,##0.00_);_([$$-409]* \(#,##0.00\);_([$$-409]* &quot;-&quot;??_);_(@_)"/>
    <numFmt numFmtId="177" formatCode="#,##0.0"/>
    <numFmt numFmtId="178" formatCode="[$-409]d\-mmm;@"/>
    <numFmt numFmtId="179" formatCode="0.000%"/>
    <numFmt numFmtId="180" formatCode="0&quot;+&quot;"/>
  </numFmts>
  <fonts count="92" x14ac:knownFonts="1">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b/>
      <sz val="11"/>
      <color rgb="FFFFFFFF"/>
      <name val="Calibri"/>
      <family val="2"/>
    </font>
    <font>
      <b/>
      <sz val="16"/>
      <color rgb="FFFFFFFF"/>
      <name val="Arial"/>
      <family val="2"/>
    </font>
    <font>
      <sz val="10"/>
      <name val="Calibri"/>
      <family val="2"/>
    </font>
    <font>
      <b/>
      <sz val="10"/>
      <color rgb="FFFFFFFF"/>
      <name val="Arial"/>
      <family val="2"/>
    </font>
    <font>
      <b/>
      <sz val="10"/>
      <color rgb="FF000000"/>
      <name val="Arial"/>
      <family val="2"/>
    </font>
    <font>
      <sz val="10"/>
      <color rgb="FF333333"/>
      <name val="Arial"/>
      <family val="2"/>
    </font>
    <font>
      <sz val="10"/>
      <color rgb="FF000000"/>
      <name val="Arial"/>
      <family val="2"/>
    </font>
    <font>
      <i/>
      <sz val="10"/>
      <color rgb="FF000000"/>
      <name val="Arial"/>
      <family val="2"/>
    </font>
    <font>
      <i/>
      <sz val="10"/>
      <color rgb="FF333333"/>
      <name val="Arial"/>
      <family val="2"/>
    </font>
    <font>
      <sz val="11"/>
      <color rgb="FF000000"/>
      <name val="Calibri"/>
      <family val="2"/>
    </font>
    <font>
      <sz val="11"/>
      <color theme="1"/>
      <name val="Roboto"/>
      <charset val="1"/>
    </font>
    <font>
      <i/>
      <sz val="11"/>
      <color rgb="FF000000"/>
      <name val="Calibri"/>
      <family val="2"/>
    </font>
    <font>
      <b/>
      <sz val="11"/>
      <color rgb="FF000000"/>
      <name val="Calibri"/>
      <family val="2"/>
    </font>
    <font>
      <b/>
      <sz val="10"/>
      <color rgb="FF333333"/>
      <name val="Arial"/>
      <family val="2"/>
    </font>
    <font>
      <sz val="11"/>
      <color theme="0" tint="-0.14999847407452621"/>
      <name val="Arial"/>
      <family val="2"/>
    </font>
    <font>
      <u/>
      <sz val="11"/>
      <name val="Arial"/>
      <family val="2"/>
    </font>
    <font>
      <u/>
      <sz val="11"/>
      <color rgb="FF000000"/>
      <name val="Arial"/>
      <family val="2"/>
    </font>
    <font>
      <sz val="11"/>
      <color rgb="FF000000"/>
      <name val="Arial"/>
      <family val="2"/>
    </font>
  </fonts>
  <fills count="18">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4F81BD"/>
        <bgColor rgb="FF000000"/>
      </patternFill>
    </fill>
    <fill>
      <patternFill patternType="solid">
        <fgColor rgb="FFFFFFFF"/>
        <bgColor rgb="FF000000"/>
      </patternFill>
    </fill>
    <fill>
      <patternFill patternType="solid">
        <fgColor rgb="FFF2F2F2"/>
        <bgColor rgb="FF000000"/>
      </patternFill>
    </fill>
  </fills>
  <borders count="93">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dotted">
        <color rgb="FF000000"/>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rgb="FFC00000"/>
      </bottom>
      <diagonal/>
    </border>
    <border>
      <left/>
      <right/>
      <top style="thin">
        <color rgb="FFC00000"/>
      </top>
      <bottom style="thin">
        <color rgb="FFC00000"/>
      </bottom>
      <diagonal/>
    </border>
    <border>
      <left/>
      <right/>
      <top style="dashed">
        <color rgb="FF000000"/>
      </top>
      <bottom/>
      <diagonal/>
    </border>
    <border>
      <left/>
      <right style="dotted">
        <color theme="0"/>
      </right>
      <top style="dashed">
        <color rgb="FF000000"/>
      </top>
      <bottom/>
      <diagonal/>
    </border>
    <border>
      <left style="dotted">
        <color theme="0"/>
      </left>
      <right/>
      <top style="dashed">
        <color rgb="FF000000"/>
      </top>
      <bottom/>
      <diagonal/>
    </border>
    <border>
      <left/>
      <right style="dashed">
        <color rgb="FF7B1314"/>
      </right>
      <top/>
      <bottom/>
      <diagonal/>
    </border>
  </borders>
  <cellStyleXfs count="13">
    <xf numFmtId="0" fontId="0" fillId="0" borderId="0"/>
    <xf numFmtId="167"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44" fontId="2" fillId="0" borderId="0" applyFont="0" applyFill="0" applyBorder="0" applyAlignment="0" applyProtection="0"/>
    <xf numFmtId="0" fontId="1" fillId="0" borderId="0"/>
    <xf numFmtId="0" fontId="45" fillId="12" borderId="44">
      <alignment horizontal="right"/>
    </xf>
    <xf numFmtId="0" fontId="73" fillId="12" borderId="0"/>
  </cellStyleXfs>
  <cellXfs count="935">
    <xf numFmtId="0" fontId="0" fillId="0" borderId="0" xfId="0"/>
    <xf numFmtId="0" fontId="3" fillId="0" borderId="0" xfId="0" applyFont="1"/>
    <xf numFmtId="0" fontId="4" fillId="2" borderId="0" xfId="0" applyFont="1" applyFill="1"/>
    <xf numFmtId="0" fontId="5" fillId="2" borderId="0" xfId="0" applyFont="1" applyFill="1"/>
    <xf numFmtId="165" fontId="4" fillId="2" borderId="0" xfId="0" applyNumberFormat="1" applyFont="1" applyFill="1"/>
    <xf numFmtId="166"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5" fontId="4" fillId="2" borderId="1" xfId="0" applyNumberFormat="1" applyFont="1" applyFill="1" applyBorder="1"/>
    <xf numFmtId="0" fontId="10" fillId="0" borderId="0" xfId="0" applyFont="1"/>
    <xf numFmtId="0" fontId="11" fillId="0" borderId="0" xfId="0" applyFont="1"/>
    <xf numFmtId="3" fontId="11" fillId="0" borderId="0" xfId="1" applyNumberFormat="1" applyFont="1" applyBorder="1" applyAlignment="1">
      <alignment horizontal="right"/>
    </xf>
    <xf numFmtId="3" fontId="11" fillId="0" borderId="2"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8"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4" fontId="11" fillId="0" borderId="0" xfId="1" applyNumberFormat="1" applyFont="1" applyBorder="1" applyAlignment="1">
      <alignment horizontal="right"/>
    </xf>
    <xf numFmtId="4" fontId="11" fillId="0" borderId="2" xfId="1" applyNumberFormat="1" applyFont="1" applyBorder="1" applyAlignment="1">
      <alignment horizontal="right"/>
    </xf>
    <xf numFmtId="4" fontId="11" fillId="3" borderId="0" xfId="1" applyNumberFormat="1" applyFont="1" applyFill="1" applyAlignment="1">
      <alignment horizontal="right"/>
    </xf>
    <xf numFmtId="170"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5" fontId="16" fillId="0" borderId="4" xfId="0" applyNumberFormat="1" applyFont="1" applyBorder="1" applyAlignment="1">
      <alignment horizontal="center"/>
    </xf>
    <xf numFmtId="166" fontId="16" fillId="3" borderId="4" xfId="0" applyNumberFormat="1" applyFont="1" applyFill="1" applyBorder="1" applyAlignment="1">
      <alignment horizontal="center"/>
    </xf>
    <xf numFmtId="170"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164"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173" fontId="3" fillId="9" borderId="0" xfId="0" applyNumberFormat="1" applyFont="1" applyFill="1"/>
    <xf numFmtId="0" fontId="3" fillId="6" borderId="0" xfId="0" applyFont="1" applyFill="1" applyAlignment="1">
      <alignment horizontal="right"/>
    </xf>
    <xf numFmtId="9" fontId="3" fillId="10" borderId="0" xfId="0" applyNumberFormat="1"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11" borderId="0" xfId="0" applyFont="1" applyFill="1" applyAlignment="1">
      <alignment horizontal="center"/>
    </xf>
    <xf numFmtId="0" fontId="9" fillId="0" borderId="0" xfId="3"/>
    <xf numFmtId="10" fontId="0" fillId="3" borderId="0" xfId="2" applyNumberFormat="1" applyFont="1" applyFill="1"/>
    <xf numFmtId="2" fontId="0" fillId="3" borderId="0" xfId="2" applyNumberFormat="1" applyFont="1" applyFill="1"/>
    <xf numFmtId="10" fontId="0" fillId="0" borderId="0" xfId="2" applyNumberFormat="1" applyFont="1" applyAlignment="1">
      <alignment horizontal="center"/>
    </xf>
    <xf numFmtId="170" fontId="0" fillId="0" borderId="0" xfId="2" applyNumberFormat="1" applyFont="1"/>
    <xf numFmtId="10" fontId="3" fillId="0" borderId="0" xfId="2" applyNumberFormat="1" applyFont="1" applyFill="1"/>
    <xf numFmtId="10" fontId="3" fillId="0" borderId="0" xfId="2" applyNumberFormat="1" applyFont="1" applyAlignment="1">
      <alignment horizontal="center"/>
    </xf>
    <xf numFmtId="170"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3" fillId="0" borderId="0" xfId="0" applyNumberFormat="1" applyFont="1" applyAlignment="1">
      <alignment horizontal="center"/>
    </xf>
    <xf numFmtId="0" fontId="25" fillId="0" borderId="0" xfId="0" applyFont="1"/>
    <xf numFmtId="0" fontId="3" fillId="0" borderId="0" xfId="0" applyFont="1" applyAlignment="1">
      <alignment horizontal="center"/>
    </xf>
    <xf numFmtId="0" fontId="0" fillId="3" borderId="0" xfId="0" applyFill="1" applyAlignment="1">
      <alignment horizontal="center"/>
    </xf>
    <xf numFmtId="9" fontId="0" fillId="0" borderId="0" xfId="2" applyFont="1"/>
    <xf numFmtId="37" fontId="0" fillId="3" borderId="0" xfId="0" applyNumberFormat="1" applyFill="1"/>
    <xf numFmtId="170"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66" fontId="6" fillId="2" borderId="0" xfId="0" applyNumberFormat="1" applyFont="1" applyFill="1"/>
    <xf numFmtId="170" fontId="0" fillId="0" borderId="0" xfId="2" applyNumberFormat="1" applyFont="1" applyFill="1"/>
    <xf numFmtId="0" fontId="0" fillId="0" borderId="0" xfId="0" applyAlignment="1">
      <alignment vertical="center"/>
    </xf>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11" borderId="0" xfId="0" applyFont="1" applyFill="1" applyAlignment="1">
      <alignment horizontal="right"/>
    </xf>
    <xf numFmtId="0" fontId="5" fillId="5" borderId="0" xfId="0" applyFont="1" applyFill="1" applyAlignment="1">
      <alignment horizontal="right"/>
    </xf>
    <xf numFmtId="0" fontId="7" fillId="0" borderId="0" xfId="0" applyFont="1"/>
    <xf numFmtId="175" fontId="0" fillId="0" borderId="0" xfId="9" applyNumberFormat="1" applyFont="1" applyFill="1" applyAlignment="1">
      <alignment horizontal="right"/>
    </xf>
    <xf numFmtId="10" fontId="28" fillId="4" borderId="0" xfId="0" applyNumberFormat="1" applyFont="1" applyFill="1"/>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164" fontId="12" fillId="0" borderId="0" xfId="0" applyNumberFormat="1" applyFont="1"/>
    <xf numFmtId="165" fontId="6" fillId="2" borderId="0" xfId="0" applyNumberFormat="1" applyFont="1" applyFill="1"/>
    <xf numFmtId="165" fontId="6" fillId="2" borderId="26" xfId="0" applyNumberFormat="1" applyFont="1" applyFill="1" applyBorder="1"/>
    <xf numFmtId="0" fontId="13" fillId="5" borderId="26" xfId="0" applyFont="1" applyFill="1" applyBorder="1"/>
    <xf numFmtId="3" fontId="37" fillId="0" borderId="0" xfId="0" applyNumberFormat="1" applyFont="1"/>
    <xf numFmtId="3" fontId="37" fillId="0" borderId="26" xfId="0" applyNumberFormat="1" applyFont="1" applyBorder="1"/>
    <xf numFmtId="3" fontId="12" fillId="0" borderId="0" xfId="0" applyNumberFormat="1" applyFont="1"/>
    <xf numFmtId="3" fontId="35" fillId="5" borderId="0" xfId="0" applyNumberFormat="1" applyFont="1" applyFill="1"/>
    <xf numFmtId="0" fontId="39" fillId="0" borderId="0" xfId="0" applyFont="1"/>
    <xf numFmtId="4" fontId="36" fillId="0" borderId="0" xfId="0" applyNumberFormat="1" applyFont="1"/>
    <xf numFmtId="4" fontId="36" fillId="0" borderId="26" xfId="0" applyNumberFormat="1" applyFont="1" applyBorder="1"/>
    <xf numFmtId="4" fontId="35" fillId="5" borderId="0" xfId="0" applyNumberFormat="1" applyFont="1" applyFill="1"/>
    <xf numFmtId="4" fontId="37" fillId="0" borderId="0" xfId="0" applyNumberFormat="1" applyFont="1"/>
    <xf numFmtId="4" fontId="37" fillId="0" borderId="26" xfId="0" applyNumberFormat="1" applyFont="1" applyBorder="1"/>
    <xf numFmtId="2" fontId="12" fillId="0" borderId="0" xfId="0" applyNumberFormat="1" applyFont="1"/>
    <xf numFmtId="170" fontId="35" fillId="5" borderId="0" xfId="0" applyNumberFormat="1" applyFont="1" applyFill="1"/>
    <xf numFmtId="3" fontId="13" fillId="0" borderId="0" xfId="0" applyNumberFormat="1" applyFont="1"/>
    <xf numFmtId="3" fontId="13" fillId="0" borderId="26" xfId="0" applyNumberFormat="1" applyFont="1" applyBorder="1"/>
    <xf numFmtId="3" fontId="12" fillId="0" borderId="26" xfId="0" applyNumberFormat="1" applyFont="1" applyBorder="1"/>
    <xf numFmtId="0" fontId="40" fillId="0" borderId="0" xfId="0" applyFont="1"/>
    <xf numFmtId="0" fontId="13" fillId="0" borderId="26" xfId="0" applyFont="1" applyBorder="1"/>
    <xf numFmtId="166" fontId="6" fillId="0" borderId="0" xfId="0" applyNumberFormat="1" applyFont="1"/>
    <xf numFmtId="0" fontId="41" fillId="0" borderId="0" xfId="0" applyFont="1"/>
    <xf numFmtId="172" fontId="37" fillId="0" borderId="0" xfId="1" applyNumberFormat="1" applyFont="1" applyFill="1"/>
    <xf numFmtId="172" fontId="12" fillId="0" borderId="0" xfId="1" applyNumberFormat="1" applyFont="1" applyFill="1"/>
    <xf numFmtId="0" fontId="42" fillId="0" borderId="0" xfId="0" applyFont="1"/>
    <xf numFmtId="170" fontId="12" fillId="0" borderId="0" xfId="2" applyNumberFormat="1" applyFont="1" applyFill="1"/>
    <xf numFmtId="170" fontId="13" fillId="0" borderId="0" xfId="2" applyNumberFormat="1" applyFont="1" applyFill="1"/>
    <xf numFmtId="170" fontId="13" fillId="0" borderId="17" xfId="2" applyNumberFormat="1" applyFont="1" applyFill="1" applyBorder="1"/>
    <xf numFmtId="170" fontId="12" fillId="0" borderId="0" xfId="2" applyNumberFormat="1" applyFont="1" applyFill="1" applyBorder="1"/>
    <xf numFmtId="172" fontId="12" fillId="0" borderId="0" xfId="1" applyNumberFormat="1" applyFont="1" applyFill="1" applyBorder="1"/>
    <xf numFmtId="0" fontId="13" fillId="0" borderId="17" xfId="0" applyFont="1" applyBorder="1"/>
    <xf numFmtId="9" fontId="12" fillId="0" borderId="0" xfId="2" applyFont="1" applyFill="1" applyBorder="1"/>
    <xf numFmtId="170" fontId="35" fillId="0" borderId="0" xfId="2" applyNumberFormat="1" applyFont="1" applyFill="1"/>
    <xf numFmtId="37" fontId="12" fillId="0" borderId="0" xfId="1" applyNumberFormat="1" applyFont="1" applyFill="1" applyAlignment="1">
      <alignment wrapText="1"/>
    </xf>
    <xf numFmtId="170" fontId="13" fillId="0" borderId="26" xfId="2" applyNumberFormat="1" applyFont="1" applyFill="1" applyBorder="1"/>
    <xf numFmtId="165" fontId="6" fillId="2" borderId="17" xfId="0" applyNumberFormat="1" applyFont="1" applyFill="1" applyBorder="1"/>
    <xf numFmtId="0" fontId="42" fillId="11" borderId="0" xfId="0" applyFont="1" applyFill="1"/>
    <xf numFmtId="0" fontId="13" fillId="11"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2" fontId="13" fillId="0" borderId="0" xfId="0" applyNumberFormat="1" applyFont="1"/>
    <xf numFmtId="3" fontId="35" fillId="0" borderId="0" xfId="0" applyNumberFormat="1" applyFont="1"/>
    <xf numFmtId="3" fontId="35" fillId="0" borderId="17" xfId="0" applyNumberFormat="1" applyFont="1" applyBorder="1"/>
    <xf numFmtId="170" fontId="12" fillId="0" borderId="0" xfId="0" applyNumberFormat="1" applyFont="1"/>
    <xf numFmtId="0" fontId="37" fillId="11" borderId="0" xfId="0" applyFont="1" applyFill="1"/>
    <xf numFmtId="0" fontId="37" fillId="11" borderId="17" xfId="0" applyFont="1" applyFill="1" applyBorder="1"/>
    <xf numFmtId="172" fontId="36" fillId="0" borderId="0" xfId="1" applyNumberFormat="1" applyFont="1" applyFill="1"/>
    <xf numFmtId="172" fontId="12" fillId="0" borderId="17" xfId="1" applyNumberFormat="1" applyFont="1" applyFill="1" applyBorder="1"/>
    <xf numFmtId="172" fontId="13" fillId="0" borderId="0" xfId="1" applyNumberFormat="1" applyFont="1" applyFill="1"/>
    <xf numFmtId="170" fontId="13" fillId="0" borderId="0" xfId="2" applyNumberFormat="1" applyFont="1"/>
    <xf numFmtId="0" fontId="13" fillId="0" borderId="31" xfId="0" applyFont="1" applyBorder="1"/>
    <xf numFmtId="0" fontId="13" fillId="0" borderId="32" xfId="0" applyFont="1" applyBorder="1"/>
    <xf numFmtId="172" fontId="13" fillId="0" borderId="32" xfId="0" applyNumberFormat="1" applyFont="1" applyBorder="1"/>
    <xf numFmtId="172" fontId="13" fillId="0" borderId="0" xfId="1" applyNumberFormat="1" applyFont="1" applyFill="1" applyBorder="1"/>
    <xf numFmtId="172" fontId="12" fillId="0" borderId="26" xfId="1" applyNumberFormat="1" applyFont="1" applyFill="1" applyBorder="1"/>
    <xf numFmtId="0" fontId="13" fillId="0" borderId="34" xfId="0" applyFont="1" applyBorder="1"/>
    <xf numFmtId="0" fontId="13" fillId="0" borderId="35" xfId="0" applyFont="1" applyBorder="1"/>
    <xf numFmtId="172" fontId="13" fillId="0" borderId="35" xfId="0" applyNumberFormat="1" applyFont="1" applyBorder="1"/>
    <xf numFmtId="172" fontId="13" fillId="0" borderId="36" xfId="0" applyNumberFormat="1" applyFont="1" applyBorder="1"/>
    <xf numFmtId="0" fontId="13" fillId="0" borderId="37" xfId="0" applyFont="1" applyBorder="1"/>
    <xf numFmtId="0" fontId="13" fillId="0" borderId="7" xfId="0" applyFont="1" applyBorder="1"/>
    <xf numFmtId="0" fontId="13" fillId="0" borderId="38" xfId="0" applyFont="1" applyBorder="1"/>
    <xf numFmtId="172" fontId="13" fillId="0" borderId="7" xfId="0" applyNumberFormat="1" applyFont="1" applyBorder="1"/>
    <xf numFmtId="172" fontId="13" fillId="0" borderId="39"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2" fontId="36" fillId="0" borderId="0" xfId="1" applyNumberFormat="1" applyFont="1"/>
    <xf numFmtId="14" fontId="13" fillId="0" borderId="0" xfId="0" applyNumberFormat="1" applyFont="1"/>
    <xf numFmtId="172" fontId="13" fillId="0" borderId="0" xfId="1" applyNumberFormat="1" applyFont="1"/>
    <xf numFmtId="0" fontId="36" fillId="0" borderId="0" xfId="0" applyFont="1"/>
    <xf numFmtId="0" fontId="32" fillId="0" borderId="0" xfId="0" applyFont="1"/>
    <xf numFmtId="172" fontId="13" fillId="4" borderId="0" xfId="0" applyNumberFormat="1" applyFont="1" applyFill="1"/>
    <xf numFmtId="164" fontId="13" fillId="0" borderId="0" xfId="0" applyNumberFormat="1" applyFont="1"/>
    <xf numFmtId="176" fontId="13" fillId="0" borderId="0" xfId="0" applyNumberFormat="1" applyFont="1"/>
    <xf numFmtId="0" fontId="41" fillId="0" borderId="26" xfId="0" applyFont="1" applyBorder="1"/>
    <xf numFmtId="10" fontId="41" fillId="0" borderId="0" xfId="0" applyNumberFormat="1" applyFont="1"/>
    <xf numFmtId="0" fontId="13" fillId="11" borderId="26" xfId="0" applyFont="1" applyFill="1" applyBorder="1"/>
    <xf numFmtId="172"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2" fontId="13" fillId="0" borderId="0" xfId="0" applyNumberFormat="1" applyFont="1" applyAlignment="1">
      <alignment horizontal="left"/>
    </xf>
    <xf numFmtId="0" fontId="13" fillId="0" borderId="40" xfId="0" applyFont="1" applyBorder="1"/>
    <xf numFmtId="0" fontId="13" fillId="0" borderId="41" xfId="0" applyFont="1" applyBorder="1"/>
    <xf numFmtId="0" fontId="13" fillId="0" borderId="42" xfId="0" applyFont="1" applyBorder="1"/>
    <xf numFmtId="172" fontId="13" fillId="0" borderId="41" xfId="0" applyNumberFormat="1" applyFont="1" applyBorder="1"/>
    <xf numFmtId="9" fontId="41"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3"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37" fontId="7" fillId="4" borderId="0" xfId="0" applyNumberFormat="1" applyFont="1" applyFill="1" applyAlignment="1">
      <alignment horizontal="right"/>
    </xf>
    <xf numFmtId="37" fontId="43" fillId="3" borderId="0" xfId="0" applyNumberFormat="1" applyFont="1" applyFill="1" applyAlignment="1">
      <alignment horizontal="right"/>
    </xf>
    <xf numFmtId="0" fontId="3" fillId="0" borderId="20" xfId="0" applyFont="1" applyBorder="1"/>
    <xf numFmtId="37" fontId="3" fillId="0" borderId="20" xfId="0" applyNumberFormat="1" applyFont="1" applyBorder="1" applyAlignment="1">
      <alignment horizontal="right"/>
    </xf>
    <xf numFmtId="37" fontId="7" fillId="0" borderId="8" xfId="0" applyNumberFormat="1" applyFont="1" applyBorder="1" applyAlignment="1">
      <alignment horizontal="right"/>
    </xf>
    <xf numFmtId="37" fontId="0" fillId="0" borderId="0" xfId="0" applyNumberFormat="1" applyAlignment="1">
      <alignment horizontal="right"/>
    </xf>
    <xf numFmtId="2" fontId="0" fillId="0" borderId="0" xfId="0" applyNumberFormat="1" applyAlignment="1">
      <alignment horizontal="right"/>
    </xf>
    <xf numFmtId="0" fontId="32" fillId="3" borderId="0" xfId="0" applyFont="1" applyFill="1" applyAlignment="1">
      <alignment horizontal="right"/>
    </xf>
    <xf numFmtId="172"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0" fontId="12" fillId="0" borderId="0" xfId="4" applyNumberFormat="1" applyFont="1" applyFill="1" applyBorder="1" applyAlignment="1">
      <alignment horizontal="left"/>
    </xf>
    <xf numFmtId="170" fontId="38" fillId="0" borderId="0" xfId="4" applyNumberFormat="1" applyFont="1" applyFill="1" applyBorder="1" applyAlignment="1">
      <alignment horizontal="left"/>
    </xf>
    <xf numFmtId="0" fontId="13" fillId="0" borderId="0" xfId="0" applyFont="1" applyAlignment="1">
      <alignment horizontal="right"/>
    </xf>
    <xf numFmtId="170"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3"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6" fillId="3" borderId="0" xfId="0" applyNumberFormat="1" applyFont="1" applyFill="1" applyAlignment="1">
      <alignment horizontal="right"/>
    </xf>
    <xf numFmtId="37" fontId="47" fillId="4" borderId="0" xfId="0" applyNumberFormat="1" applyFont="1" applyFill="1" applyAlignment="1">
      <alignment horizontal="right"/>
    </xf>
    <xf numFmtId="0" fontId="3" fillId="0" borderId="19" xfId="0" applyFont="1" applyBorder="1"/>
    <xf numFmtId="37" fontId="43" fillId="3" borderId="19" xfId="0" applyNumberFormat="1" applyFont="1" applyFill="1" applyBorder="1" applyAlignment="1">
      <alignment horizontal="right"/>
    </xf>
    <xf numFmtId="0" fontId="3" fillId="0" borderId="48" xfId="0" applyFont="1" applyBorder="1"/>
    <xf numFmtId="37" fontId="43" fillId="0" borderId="19" xfId="0" applyNumberFormat="1" applyFont="1" applyBorder="1" applyAlignment="1">
      <alignment horizontal="right"/>
    </xf>
    <xf numFmtId="0" fontId="0" fillId="0" borderId="48" xfId="0" applyBorder="1"/>
    <xf numFmtId="37" fontId="43" fillId="3" borderId="48" xfId="0" applyNumberFormat="1" applyFont="1" applyFill="1" applyBorder="1" applyAlignment="1">
      <alignment horizontal="right"/>
    </xf>
    <xf numFmtId="172" fontId="37" fillId="0" borderId="26" xfId="1" applyNumberFormat="1" applyFont="1" applyFill="1" applyBorder="1"/>
    <xf numFmtId="0" fontId="42" fillId="4" borderId="0" xfId="0" applyFont="1" applyFill="1"/>
    <xf numFmtId="170" fontId="13" fillId="4" borderId="0" xfId="2" applyNumberFormat="1" applyFont="1" applyFill="1"/>
    <xf numFmtId="170" fontId="13" fillId="4" borderId="17" xfId="2" applyNumberFormat="1" applyFont="1" applyFill="1" applyBorder="1"/>
    <xf numFmtId="170" fontId="35" fillId="4" borderId="0" xfId="2" applyNumberFormat="1" applyFont="1" applyFill="1"/>
    <xf numFmtId="9" fontId="12" fillId="4" borderId="0" xfId="2" applyFont="1" applyFill="1" applyBorder="1"/>
    <xf numFmtId="0" fontId="13" fillId="0" borderId="0" xfId="0" applyFont="1" applyAlignment="1">
      <alignment horizontal="left" indent="1"/>
    </xf>
    <xf numFmtId="0" fontId="49" fillId="0" borderId="0" xfId="0" applyFont="1"/>
    <xf numFmtId="0" fontId="49" fillId="0" borderId="0" xfId="0" applyFont="1" applyAlignment="1">
      <alignment horizontal="left"/>
    </xf>
    <xf numFmtId="170" fontId="49" fillId="0" borderId="0" xfId="2" applyNumberFormat="1" applyFont="1" applyFill="1"/>
    <xf numFmtId="170" fontId="49" fillId="0" borderId="0" xfId="1" applyNumberFormat="1" applyFont="1" applyFill="1"/>
    <xf numFmtId="170" fontId="49" fillId="0" borderId="17" xfId="1" applyNumberFormat="1" applyFont="1" applyFill="1" applyBorder="1"/>
    <xf numFmtId="170" fontId="49" fillId="4" borderId="0" xfId="1" applyNumberFormat="1" applyFont="1" applyFill="1"/>
    <xf numFmtId="170" fontId="49" fillId="0" borderId="26" xfId="2" applyNumberFormat="1" applyFont="1" applyFill="1" applyBorder="1"/>
    <xf numFmtId="170" fontId="49" fillId="0" borderId="17" xfId="2" applyNumberFormat="1" applyFont="1" applyFill="1" applyBorder="1"/>
    <xf numFmtId="170" fontId="50" fillId="0" borderId="0" xfId="2" applyNumberFormat="1" applyFont="1" applyFill="1"/>
    <xf numFmtId="0" fontId="49" fillId="0" borderId="0" xfId="0" applyFont="1" applyAlignment="1">
      <alignment horizontal="left" indent="1"/>
    </xf>
    <xf numFmtId="0" fontId="50"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3" fontId="36" fillId="0" borderId="0" xfId="0" applyNumberFormat="1" applyFont="1"/>
    <xf numFmtId="3" fontId="36" fillId="0" borderId="26" xfId="0" applyNumberFormat="1" applyFont="1" applyBorder="1"/>
    <xf numFmtId="170" fontId="49" fillId="0" borderId="0" xfId="2" applyNumberFormat="1" applyFont="1"/>
    <xf numFmtId="170" fontId="49" fillId="0" borderId="26" xfId="2" applyNumberFormat="1" applyFont="1" applyBorder="1"/>
    <xf numFmtId="172" fontId="37" fillId="0" borderId="0" xfId="1" applyNumberFormat="1" applyFont="1"/>
    <xf numFmtId="172" fontId="37" fillId="0" borderId="26" xfId="1" applyNumberFormat="1" applyFont="1" applyBorder="1"/>
    <xf numFmtId="170" fontId="35" fillId="0" borderId="0" xfId="0" applyNumberFormat="1" applyFont="1"/>
    <xf numFmtId="170" fontId="49" fillId="0" borderId="0" xfId="2" applyNumberFormat="1" applyFont="1" applyFill="1" applyBorder="1"/>
    <xf numFmtId="0" fontId="13" fillId="0" borderId="0" xfId="0" applyFont="1" applyAlignment="1">
      <alignment horizontal="left" indent="2"/>
    </xf>
    <xf numFmtId="0" fontId="49" fillId="0" borderId="0" xfId="0" applyFont="1" applyAlignment="1">
      <alignment horizontal="left" indent="2"/>
    </xf>
    <xf numFmtId="0" fontId="42" fillId="0" borderId="0" xfId="0" applyFont="1" applyAlignment="1">
      <alignment horizontal="left" indent="2"/>
    </xf>
    <xf numFmtId="172" fontId="51" fillId="0" borderId="0" xfId="1" applyNumberFormat="1" applyFont="1" applyFill="1"/>
    <xf numFmtId="172" fontId="51" fillId="0" borderId="26" xfId="1" applyNumberFormat="1" applyFont="1" applyFill="1" applyBorder="1"/>
    <xf numFmtId="172" fontId="20" fillId="0" borderId="0" xfId="1" applyNumberFormat="1" applyFont="1" applyFill="1"/>
    <xf numFmtId="170" fontId="48" fillId="5" borderId="0" xfId="2" applyNumberFormat="1" applyFont="1" applyFill="1"/>
    <xf numFmtId="37" fontId="12" fillId="0" borderId="0" xfId="1" applyNumberFormat="1" applyFont="1" applyAlignment="1">
      <alignment wrapText="1"/>
    </xf>
    <xf numFmtId="170" fontId="32" fillId="5" borderId="0" xfId="2" applyNumberFormat="1" applyFont="1" applyFill="1"/>
    <xf numFmtId="170" fontId="48" fillId="5" borderId="0" xfId="0" applyNumberFormat="1" applyFont="1" applyFill="1"/>
    <xf numFmtId="170" fontId="49" fillId="0" borderId="0" xfId="0" applyNumberFormat="1" applyFont="1"/>
    <xf numFmtId="170" fontId="49" fillId="0" borderId="17" xfId="0" applyNumberFormat="1" applyFont="1" applyBorder="1"/>
    <xf numFmtId="1" fontId="48" fillId="5" borderId="0" xfId="0" applyNumberFormat="1" applyFont="1" applyFill="1"/>
    <xf numFmtId="177" fontId="49" fillId="0" borderId="0" xfId="0" applyNumberFormat="1" applyFont="1"/>
    <xf numFmtId="177" fontId="49" fillId="0" borderId="17" xfId="0" applyNumberFormat="1" applyFont="1" applyBorder="1"/>
    <xf numFmtId="177" fontId="48" fillId="5" borderId="0" xfId="0" applyNumberFormat="1" applyFont="1" applyFill="1"/>
    <xf numFmtId="0" fontId="42" fillId="0" borderId="0" xfId="0" applyFont="1" applyAlignment="1">
      <alignment horizontal="left" indent="1"/>
    </xf>
    <xf numFmtId="170" fontId="50" fillId="0" borderId="17" xfId="2" applyNumberFormat="1" applyFont="1" applyFill="1" applyBorder="1"/>
    <xf numFmtId="172" fontId="51" fillId="0" borderId="0" xfId="1" applyNumberFormat="1" applyFont="1" applyFill="1" applyAlignment="1">
      <alignment horizontal="right"/>
    </xf>
    <xf numFmtId="172" fontId="51" fillId="0" borderId="26" xfId="1" applyNumberFormat="1" applyFont="1" applyBorder="1" applyAlignment="1">
      <alignment horizontal="right"/>
    </xf>
    <xf numFmtId="172" fontId="42" fillId="0" borderId="0" xfId="0" applyNumberFormat="1" applyFont="1" applyAlignment="1">
      <alignment horizontal="right"/>
    </xf>
    <xf numFmtId="172" fontId="51" fillId="0" borderId="0" xfId="1" applyNumberFormat="1" applyFont="1"/>
    <xf numFmtId="172" fontId="51" fillId="0" borderId="26" xfId="1" applyNumberFormat="1" applyFont="1" applyBorder="1"/>
    <xf numFmtId="172" fontId="42" fillId="0" borderId="0" xfId="0" applyNumberFormat="1" applyFont="1"/>
    <xf numFmtId="172" fontId="37" fillId="0" borderId="0" xfId="1" applyNumberFormat="1" applyFont="1" applyBorder="1"/>
    <xf numFmtId="172" fontId="51" fillId="0" borderId="26" xfId="1" applyNumberFormat="1" applyFont="1" applyFill="1" applyBorder="1" applyAlignment="1">
      <alignment horizontal="right"/>
    </xf>
    <xf numFmtId="0" fontId="25" fillId="0" borderId="0" xfId="0" applyFont="1" applyAlignment="1">
      <alignment horizontal="left" indent="2"/>
    </xf>
    <xf numFmtId="170" fontId="12" fillId="4" borderId="0" xfId="0" applyNumberFormat="1" applyFont="1" applyFill="1"/>
    <xf numFmtId="170" fontId="12" fillId="4" borderId="17" xfId="0" applyNumberFormat="1" applyFont="1" applyFill="1" applyBorder="1"/>
    <xf numFmtId="170" fontId="35" fillId="4" borderId="0" xfId="0" applyNumberFormat="1" applyFont="1" applyFill="1"/>
    <xf numFmtId="170" fontId="12" fillId="0" borderId="26" xfId="0" applyNumberFormat="1" applyFont="1" applyBorder="1"/>
    <xf numFmtId="0" fontId="52" fillId="0" borderId="0" xfId="0" applyFont="1"/>
    <xf numFmtId="172" fontId="13" fillId="0" borderId="33" xfId="0" applyNumberFormat="1" applyFont="1" applyBorder="1"/>
    <xf numFmtId="172" fontId="13" fillId="0" borderId="49" xfId="0" applyNumberFormat="1" applyFont="1" applyBorder="1"/>
    <xf numFmtId="172" fontId="13" fillId="0" borderId="50" xfId="0" applyNumberFormat="1" applyFont="1" applyBorder="1"/>
    <xf numFmtId="170" fontId="48" fillId="0" borderId="0" xfId="0" applyNumberFormat="1" applyFont="1"/>
    <xf numFmtId="172" fontId="35" fillId="5" borderId="0" xfId="1" applyNumberFormat="1" applyFont="1" applyFill="1"/>
    <xf numFmtId="172" fontId="35" fillId="5" borderId="0" xfId="0" applyNumberFormat="1" applyFont="1" applyFill="1"/>
    <xf numFmtId="172" fontId="51" fillId="0" borderId="0" xfId="1" applyNumberFormat="1" applyFont="1" applyBorder="1"/>
    <xf numFmtId="9" fontId="49" fillId="0" borderId="0" xfId="0" applyNumberFormat="1" applyFont="1"/>
    <xf numFmtId="9" fontId="49" fillId="0" borderId="26" xfId="0" applyNumberFormat="1" applyFont="1" applyBorder="1"/>
    <xf numFmtId="9" fontId="48" fillId="5" borderId="0" xfId="0" applyNumberFormat="1" applyFont="1" applyFill="1"/>
    <xf numFmtId="172" fontId="37" fillId="0" borderId="0" xfId="1" applyNumberFormat="1" applyFont="1" applyFill="1" applyBorder="1"/>
    <xf numFmtId="0" fontId="13" fillId="0" borderId="22" xfId="0" applyFont="1" applyBorder="1"/>
    <xf numFmtId="172" fontId="37" fillId="0" borderId="22" xfId="1" applyNumberFormat="1" applyFont="1" applyBorder="1"/>
    <xf numFmtId="172" fontId="37" fillId="0" borderId="51" xfId="1" applyNumberFormat="1" applyFont="1" applyBorder="1"/>
    <xf numFmtId="172" fontId="13" fillId="0" borderId="22" xfId="0" applyNumberFormat="1" applyFont="1" applyBorder="1"/>
    <xf numFmtId="172" fontId="44" fillId="0" borderId="0" xfId="1" applyNumberFormat="1" applyFont="1" applyBorder="1"/>
    <xf numFmtId="172" fontId="44" fillId="0" borderId="26" xfId="1" applyNumberFormat="1" applyFont="1" applyBorder="1"/>
    <xf numFmtId="172" fontId="44" fillId="0" borderId="22" xfId="1" applyNumberFormat="1" applyFont="1" applyFill="1" applyBorder="1"/>
    <xf numFmtId="172" fontId="44" fillId="0" borderId="51" xfId="1" applyNumberFormat="1" applyFont="1" applyFill="1" applyBorder="1"/>
    <xf numFmtId="172" fontId="41" fillId="0" borderId="22" xfId="0" applyNumberFormat="1" applyFont="1" applyBorder="1"/>
    <xf numFmtId="172" fontId="41" fillId="0" borderId="0" xfId="0" applyNumberFormat="1" applyFont="1"/>
    <xf numFmtId="0" fontId="35" fillId="5" borderId="0" xfId="0" applyFont="1" applyFill="1" applyAlignment="1">
      <alignment horizontal="right"/>
    </xf>
    <xf numFmtId="14" fontId="35" fillId="5" borderId="0" xfId="0" applyNumberFormat="1" applyFont="1" applyFill="1" applyAlignment="1">
      <alignment horizontal="right"/>
    </xf>
    <xf numFmtId="165" fontId="4" fillId="2" borderId="2" xfId="0" applyNumberFormat="1" applyFont="1" applyFill="1" applyBorder="1"/>
    <xf numFmtId="168"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8"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3" fillId="0" borderId="0" xfId="0" applyFont="1"/>
    <xf numFmtId="37" fontId="46" fillId="0" borderId="0" xfId="1" applyNumberFormat="1" applyFont="1" applyBorder="1"/>
    <xf numFmtId="37" fontId="46" fillId="0" borderId="26" xfId="1" applyNumberFormat="1" applyFont="1" applyBorder="1"/>
    <xf numFmtId="37" fontId="46" fillId="0" borderId="0" xfId="1" applyNumberFormat="1" applyFont="1" applyFill="1" applyBorder="1"/>
    <xf numFmtId="37" fontId="46"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6" fontId="6" fillId="2" borderId="0" xfId="0" applyNumberFormat="1" applyFont="1" applyFill="1" applyAlignment="1">
      <alignment horizontal="right"/>
    </xf>
    <xf numFmtId="165" fontId="6" fillId="2" borderId="0" xfId="0" applyNumberFormat="1" applyFont="1" applyFill="1" applyAlignment="1">
      <alignment horizontal="right"/>
    </xf>
    <xf numFmtId="165" fontId="6" fillId="2" borderId="2" xfId="0" applyNumberFormat="1" applyFont="1" applyFill="1" applyBorder="1" applyAlignment="1">
      <alignment horizontal="right"/>
    </xf>
    <xf numFmtId="168" fontId="0" fillId="0" borderId="0" xfId="1" applyNumberFormat="1" applyFont="1" applyBorder="1" applyAlignment="1">
      <alignment horizontal="right"/>
    </xf>
    <xf numFmtId="0" fontId="54" fillId="0" borderId="0" xfId="5" applyFont="1"/>
    <xf numFmtId="0" fontId="29" fillId="0" borderId="0" xfId="5" applyFont="1"/>
    <xf numFmtId="0" fontId="29" fillId="5" borderId="0" xfId="5" applyFont="1" applyFill="1"/>
    <xf numFmtId="0" fontId="54" fillId="0" borderId="0" xfId="5" applyFont="1" applyAlignment="1">
      <alignment vertical="center"/>
    </xf>
    <xf numFmtId="0" fontId="13" fillId="0" borderId="8" xfId="0" applyFont="1" applyBorder="1"/>
    <xf numFmtId="172" fontId="37" fillId="0" borderId="8" xfId="1" applyNumberFormat="1" applyFont="1" applyFill="1" applyBorder="1"/>
    <xf numFmtId="172" fontId="37" fillId="0" borderId="23" xfId="1" applyNumberFormat="1" applyFont="1" applyFill="1" applyBorder="1"/>
    <xf numFmtId="172" fontId="13" fillId="0" borderId="8" xfId="0" applyNumberFormat="1" applyFont="1" applyBorder="1"/>
    <xf numFmtId="172" fontId="42" fillId="0" borderId="8" xfId="0" applyNumberFormat="1" applyFont="1" applyBorder="1"/>
    <xf numFmtId="0" fontId="29" fillId="0" borderId="0" xfId="5" applyFont="1" applyAlignment="1">
      <alignment vertical="center"/>
    </xf>
    <xf numFmtId="0" fontId="55" fillId="2" borderId="0" xfId="5" applyFont="1" applyFill="1" applyAlignment="1">
      <alignment horizontal="center" vertical="center"/>
    </xf>
    <xf numFmtId="0" fontId="56" fillId="2" borderId="21" xfId="5" applyFont="1" applyFill="1" applyBorder="1" applyAlignment="1">
      <alignment horizontal="center" vertical="center" wrapText="1"/>
    </xf>
    <xf numFmtId="0" fontId="56" fillId="2" borderId="56" xfId="5" applyFont="1" applyFill="1" applyBorder="1" applyAlignment="1">
      <alignment horizontal="center" vertical="center" wrapText="1"/>
    </xf>
    <xf numFmtId="0" fontId="56" fillId="2" borderId="0" xfId="5" applyFont="1" applyFill="1" applyAlignment="1">
      <alignment horizontal="center" vertical="center" wrapText="1"/>
    </xf>
    <xf numFmtId="0" fontId="56" fillId="2" borderId="26" xfId="5" applyFont="1" applyFill="1" applyBorder="1" applyAlignment="1">
      <alignment horizontal="center" vertical="center" wrapText="1"/>
    </xf>
    <xf numFmtId="0" fontId="57" fillId="5" borderId="21" xfId="5" applyFont="1" applyFill="1" applyBorder="1"/>
    <xf numFmtId="0" fontId="57" fillId="5" borderId="56" xfId="5" applyFont="1" applyFill="1" applyBorder="1"/>
    <xf numFmtId="0" fontId="57" fillId="5" borderId="0" xfId="5" applyFont="1" applyFill="1"/>
    <xf numFmtId="0" fontId="57" fillId="5" borderId="26" xfId="5" applyFont="1" applyFill="1" applyBorder="1"/>
    <xf numFmtId="2" fontId="29" fillId="5" borderId="0" xfId="2" applyNumberFormat="1" applyFont="1" applyFill="1" applyBorder="1" applyAlignment="1">
      <alignment horizontal="center" vertical="center"/>
    </xf>
    <xf numFmtId="10" fontId="7" fillId="3" borderId="24" xfId="2" applyNumberFormat="1" applyFont="1" applyFill="1" applyBorder="1"/>
    <xf numFmtId="164" fontId="41" fillId="0" borderId="0" xfId="0" applyNumberFormat="1" applyFont="1"/>
    <xf numFmtId="0" fontId="31" fillId="0" borderId="0" xfId="0" applyFont="1"/>
    <xf numFmtId="165" fontId="16" fillId="0" borderId="38"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5" xfId="5" applyFont="1" applyBorder="1"/>
    <xf numFmtId="0" fontId="5" fillId="0" borderId="55" xfId="5" applyFont="1" applyBorder="1"/>
    <xf numFmtId="0" fontId="4" fillId="5" borderId="54" xfId="5" applyFont="1" applyFill="1" applyBorder="1"/>
    <xf numFmtId="0" fontId="4" fillId="0" borderId="54"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3"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4" fontId="32" fillId="0" borderId="0" xfId="5" applyNumberFormat="1" applyFont="1" applyAlignment="1">
      <alignment vertical="center"/>
    </xf>
    <xf numFmtId="170" fontId="10" fillId="0" borderId="0" xfId="5" applyNumberFormat="1" applyFont="1" applyAlignment="1">
      <alignment vertical="center"/>
    </xf>
    <xf numFmtId="0" fontId="7" fillId="0" borderId="0" xfId="5" applyFont="1"/>
    <xf numFmtId="0" fontId="32" fillId="0" borderId="0" xfId="5" applyFont="1"/>
    <xf numFmtId="173" fontId="10" fillId="0" borderId="0" xfId="5" applyNumberFormat="1" applyFont="1"/>
    <xf numFmtId="4" fontId="10" fillId="0" borderId="0" xfId="5" applyNumberFormat="1" applyFont="1"/>
    <xf numFmtId="4" fontId="10" fillId="0" borderId="0" xfId="5" applyNumberFormat="1" applyFont="1" applyAlignment="1">
      <alignment horizontal="center"/>
    </xf>
    <xf numFmtId="9" fontId="10" fillId="0" borderId="0" xfId="2" applyFont="1" applyBorder="1" applyAlignment="1"/>
    <xf numFmtId="3" fontId="10" fillId="0" borderId="0" xfId="5" applyNumberFormat="1" applyFont="1"/>
    <xf numFmtId="2" fontId="10" fillId="0" borderId="0" xfId="5" applyNumberFormat="1" applyFont="1"/>
    <xf numFmtId="10" fontId="10" fillId="0" borderId="0" xfId="5" applyNumberFormat="1" applyFont="1"/>
    <xf numFmtId="174" fontId="32" fillId="0" borderId="0" xfId="5" applyNumberFormat="1" applyFont="1"/>
    <xf numFmtId="170"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4" fontId="10" fillId="0" borderId="0" xfId="5" applyNumberFormat="1" applyFont="1" applyAlignment="1">
      <alignment horizontal="center"/>
    </xf>
    <xf numFmtId="0" fontId="10" fillId="0" borderId="0" xfId="5" applyFont="1" applyAlignment="1">
      <alignment horizontal="center"/>
    </xf>
    <xf numFmtId="0" fontId="10" fillId="5" borderId="0" xfId="5" applyFont="1" applyFill="1" applyAlignment="1">
      <alignment horizontal="center"/>
    </xf>
    <xf numFmtId="0" fontId="2" fillId="0" borderId="0" xfId="0" applyFont="1"/>
    <xf numFmtId="170" fontId="10" fillId="0" borderId="0" xfId="5" applyNumberFormat="1" applyFont="1" applyAlignment="1">
      <alignment horizontal="center"/>
    </xf>
    <xf numFmtId="168"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7" xfId="8" applyNumberFormat="1" applyFont="1" applyFill="1" applyBorder="1" applyAlignment="1">
      <alignment horizontal="center"/>
    </xf>
    <xf numFmtId="37" fontId="32" fillId="3" borderId="23" xfId="8" applyNumberFormat="1" applyFont="1" applyFill="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6" xfId="8" applyNumberFormat="1" applyFont="1" applyFill="1" applyBorder="1" applyAlignment="1">
      <alignment horizontal="center"/>
    </xf>
    <xf numFmtId="37" fontId="32" fillId="3" borderId="26" xfId="8" applyNumberFormat="1" applyFont="1" applyFill="1" applyBorder="1" applyAlignment="1">
      <alignment horizontal="center"/>
    </xf>
    <xf numFmtId="37" fontId="32" fillId="3" borderId="0" xfId="5" applyNumberFormat="1" applyFont="1" applyFill="1" applyAlignment="1">
      <alignment horizontal="center"/>
    </xf>
    <xf numFmtId="37" fontId="32" fillId="3" borderId="56"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6" xfId="8" applyNumberFormat="1" applyFont="1" applyBorder="1" applyAlignment="1">
      <alignment horizontal="center" wrapText="1"/>
    </xf>
    <xf numFmtId="37" fontId="7" fillId="0" borderId="26" xfId="8" applyNumberFormat="1" applyFont="1" applyBorder="1" applyAlignment="1">
      <alignment horizontal="center" wrapText="1"/>
    </xf>
    <xf numFmtId="37" fontId="7" fillId="0" borderId="0" xfId="5" applyNumberFormat="1" applyFont="1" applyAlignment="1">
      <alignment horizontal="center"/>
    </xf>
    <xf numFmtId="37" fontId="32" fillId="3" borderId="26" xfId="8" applyNumberFormat="1" applyFont="1" applyFill="1" applyBorder="1" applyAlignment="1">
      <alignment horizontal="center" wrapText="1"/>
    </xf>
    <xf numFmtId="37" fontId="7" fillId="3" borderId="0" xfId="5" applyNumberFormat="1" applyFont="1" applyFill="1" applyAlignment="1">
      <alignment horizontal="center"/>
    </xf>
    <xf numFmtId="39" fontId="32" fillId="3" borderId="56" xfId="8" applyNumberFormat="1" applyFont="1" applyFill="1" applyBorder="1" applyAlignment="1">
      <alignment horizontal="center" wrapText="1"/>
    </xf>
    <xf numFmtId="39" fontId="32" fillId="3" borderId="26" xfId="8" applyNumberFormat="1" applyFont="1" applyFill="1" applyBorder="1" applyAlignment="1">
      <alignment horizontal="center" wrapText="1"/>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6"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6"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6" xfId="5" applyFont="1" applyFill="1" applyBorder="1"/>
    <xf numFmtId="0" fontId="10" fillId="5" borderId="26" xfId="5" applyFont="1" applyFill="1" applyBorder="1"/>
    <xf numFmtId="0" fontId="10" fillId="0" borderId="56" xfId="5" applyFont="1" applyBorder="1"/>
    <xf numFmtId="37" fontId="28" fillId="0" borderId="56" xfId="8" applyNumberFormat="1" applyFont="1" applyBorder="1" applyAlignment="1">
      <alignment horizontal="center"/>
    </xf>
    <xf numFmtId="0" fontId="36" fillId="0" borderId="0" xfId="0" applyFont="1" applyAlignment="1">
      <alignment horizontal="left" indent="1"/>
    </xf>
    <xf numFmtId="172" fontId="31" fillId="0" borderId="0" xfId="1" applyNumberFormat="1" applyFont="1" applyBorder="1"/>
    <xf numFmtId="0" fontId="36"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2" fontId="13" fillId="0" borderId="58" xfId="0" applyNumberFormat="1" applyFont="1" applyBorder="1"/>
    <xf numFmtId="0" fontId="4" fillId="2" borderId="59" xfId="5" applyFont="1" applyFill="1" applyBorder="1" applyAlignment="1">
      <alignment horizontal="center"/>
    </xf>
    <xf numFmtId="0" fontId="4" fillId="5" borderId="61" xfId="5" applyFont="1" applyFill="1" applyBorder="1"/>
    <xf numFmtId="170" fontId="29" fillId="0" borderId="0" xfId="5" applyNumberFormat="1" applyFont="1" applyAlignment="1">
      <alignment horizontal="center" vertical="center"/>
    </xf>
    <xf numFmtId="170" fontId="29" fillId="0" borderId="59" xfId="5" applyNumberFormat="1" applyFont="1" applyBorder="1" applyAlignment="1">
      <alignment horizontal="center" vertical="center"/>
    </xf>
    <xf numFmtId="0" fontId="29" fillId="0" borderId="59" xfId="5" applyFont="1" applyBorder="1"/>
    <xf numFmtId="170" fontId="10" fillId="0" borderId="0" xfId="5" applyNumberFormat="1" applyFont="1" applyAlignment="1">
      <alignment horizontal="center" vertical="center"/>
    </xf>
    <xf numFmtId="170" fontId="10" fillId="0" borderId="59" xfId="5" applyNumberFormat="1" applyFont="1" applyBorder="1" applyAlignment="1">
      <alignment horizontal="center" vertical="center"/>
    </xf>
    <xf numFmtId="170" fontId="29" fillId="5" borderId="0" xfId="5" applyNumberFormat="1" applyFont="1" applyFill="1" applyAlignment="1">
      <alignment horizontal="center" vertical="center"/>
    </xf>
    <xf numFmtId="170" fontId="29" fillId="5" borderId="59" xfId="5" applyNumberFormat="1" applyFont="1" applyFill="1" applyBorder="1" applyAlignment="1">
      <alignment horizontal="center" vertical="center"/>
    </xf>
    <xf numFmtId="170" fontId="10" fillId="5" borderId="0" xfId="5" applyNumberFormat="1" applyFont="1" applyFill="1" applyAlignment="1">
      <alignment horizontal="center" vertical="center"/>
    </xf>
    <xf numFmtId="170" fontId="10" fillId="5" borderId="59" xfId="5" applyNumberFormat="1" applyFont="1" applyFill="1" applyBorder="1" applyAlignment="1">
      <alignment horizontal="center" vertical="center"/>
    </xf>
    <xf numFmtId="0" fontId="4" fillId="2" borderId="62" xfId="5" applyFont="1" applyFill="1" applyBorder="1" applyAlignment="1">
      <alignment horizontal="center"/>
    </xf>
    <xf numFmtId="0" fontId="4" fillId="5" borderId="64" xfId="5" applyFont="1" applyFill="1" applyBorder="1"/>
    <xf numFmtId="170" fontId="29" fillId="4" borderId="62" xfId="5" applyNumberFormat="1" applyFont="1" applyFill="1" applyBorder="1" applyAlignment="1">
      <alignment horizontal="center" vertical="center"/>
    </xf>
    <xf numFmtId="170" fontId="29" fillId="4" borderId="59" xfId="5" applyNumberFormat="1" applyFont="1" applyFill="1" applyBorder="1" applyAlignment="1">
      <alignment horizontal="center" vertical="center"/>
    </xf>
    <xf numFmtId="173" fontId="10" fillId="4" borderId="62" xfId="5" applyNumberFormat="1" applyFont="1" applyFill="1" applyBorder="1"/>
    <xf numFmtId="173" fontId="10" fillId="4" borderId="59" xfId="5" applyNumberFormat="1" applyFont="1" applyFill="1" applyBorder="1"/>
    <xf numFmtId="170" fontId="10" fillId="0" borderId="62" xfId="5" applyNumberFormat="1" applyFont="1" applyBorder="1" applyAlignment="1">
      <alignment horizontal="center" vertical="center"/>
    </xf>
    <xf numFmtId="170" fontId="29" fillId="5" borderId="62" xfId="5" applyNumberFormat="1" applyFont="1" applyFill="1" applyBorder="1" applyAlignment="1">
      <alignment horizontal="center" vertical="center"/>
    </xf>
    <xf numFmtId="170" fontId="10" fillId="5" borderId="62" xfId="5" applyNumberFormat="1" applyFont="1" applyFill="1" applyBorder="1" applyAlignment="1">
      <alignment horizontal="center" vertical="center"/>
    </xf>
    <xf numFmtId="170" fontId="29" fillId="0" borderId="62" xfId="5" applyNumberFormat="1" applyFont="1" applyBorder="1" applyAlignment="1">
      <alignment horizontal="center" vertical="center"/>
    </xf>
    <xf numFmtId="173" fontId="10" fillId="0" borderId="62" xfId="5" applyNumberFormat="1" applyFont="1" applyBorder="1"/>
    <xf numFmtId="173" fontId="10" fillId="0" borderId="59" xfId="5" applyNumberFormat="1" applyFont="1" applyBorder="1"/>
    <xf numFmtId="170" fontId="10" fillId="0" borderId="62" xfId="2" applyNumberFormat="1" applyFont="1" applyBorder="1" applyAlignment="1">
      <alignment horizontal="center" vertical="center"/>
    </xf>
    <xf numFmtId="9" fontId="29" fillId="5" borderId="62" xfId="2" applyFont="1" applyFill="1" applyBorder="1" applyAlignment="1">
      <alignment horizontal="center" vertical="center"/>
    </xf>
    <xf numFmtId="9" fontId="29" fillId="5" borderId="59" xfId="2" applyFont="1" applyFill="1" applyBorder="1" applyAlignment="1">
      <alignment horizontal="center" vertical="center"/>
    </xf>
    <xf numFmtId="0" fontId="4" fillId="2" borderId="59" xfId="5" applyFont="1" applyFill="1" applyBorder="1"/>
    <xf numFmtId="2" fontId="10" fillId="0" borderId="62" xfId="5" applyNumberFormat="1" applyFont="1" applyBorder="1" applyAlignment="1">
      <alignment horizontal="center" vertical="center"/>
    </xf>
    <xf numFmtId="2" fontId="10" fillId="0" borderId="59" xfId="5" applyNumberFormat="1" applyFont="1" applyBorder="1" applyAlignment="1">
      <alignment horizontal="center" vertical="center"/>
    </xf>
    <xf numFmtId="2" fontId="29" fillId="5" borderId="62" xfId="2" applyNumberFormat="1" applyFont="1" applyFill="1" applyBorder="1" applyAlignment="1">
      <alignment horizontal="center" vertical="center"/>
    </xf>
    <xf numFmtId="2" fontId="29" fillId="5" borderId="59" xfId="2" applyNumberFormat="1" applyFont="1" applyFill="1" applyBorder="1" applyAlignment="1">
      <alignment horizontal="center" vertical="center"/>
    </xf>
    <xf numFmtId="2" fontId="10" fillId="5" borderId="59" xfId="5" applyNumberFormat="1" applyFont="1" applyFill="1" applyBorder="1" applyAlignment="1">
      <alignment horizontal="center" vertical="center"/>
    </xf>
    <xf numFmtId="0" fontId="4" fillId="2" borderId="62" xfId="5" applyFont="1" applyFill="1" applyBorder="1"/>
    <xf numFmtId="4" fontId="10" fillId="0" borderId="62" xfId="5" applyNumberFormat="1" applyFont="1" applyBorder="1" applyAlignment="1">
      <alignment horizontal="center" vertical="center"/>
    </xf>
    <xf numFmtId="2" fontId="10" fillId="0" borderId="59" xfId="2" applyNumberFormat="1" applyFont="1" applyBorder="1" applyAlignment="1">
      <alignment horizontal="center" vertical="center"/>
    </xf>
    <xf numFmtId="4" fontId="10" fillId="0" borderId="62" xfId="5" applyNumberFormat="1" applyFont="1" applyBorder="1" applyAlignment="1">
      <alignment horizontal="center"/>
    </xf>
    <xf numFmtId="2" fontId="10" fillId="0" borderId="59" xfId="2" applyNumberFormat="1" applyFont="1" applyBorder="1" applyAlignment="1">
      <alignment horizont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5" xfId="5" applyFont="1" applyFill="1" applyBorder="1"/>
    <xf numFmtId="2" fontId="10" fillId="0" borderId="65" xfId="5" applyNumberFormat="1" applyFont="1" applyBorder="1" applyAlignment="1">
      <alignment horizontal="center"/>
    </xf>
    <xf numFmtId="170"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4" fontId="5" fillId="0" borderId="0" xfId="5" applyNumberFormat="1" applyFont="1" applyAlignment="1">
      <alignment horizontal="center"/>
    </xf>
    <xf numFmtId="2" fontId="29" fillId="0" borderId="62" xfId="5" applyNumberFormat="1" applyFont="1" applyBorder="1" applyAlignment="1">
      <alignment horizontal="center" vertical="center"/>
    </xf>
    <xf numFmtId="2" fontId="29" fillId="0" borderId="59" xfId="5" applyNumberFormat="1" applyFont="1" applyBorder="1" applyAlignment="1">
      <alignment horizontal="center" vertical="center"/>
    </xf>
    <xf numFmtId="4" fontId="29" fillId="0" borderId="62" xfId="5" applyNumberFormat="1" applyFont="1" applyBorder="1" applyAlignment="1">
      <alignment horizontal="center" vertical="center"/>
    </xf>
    <xf numFmtId="2" fontId="29" fillId="0" borderId="59" xfId="2" applyNumberFormat="1" applyFont="1" applyBorder="1" applyAlignment="1">
      <alignment horizontal="center" vertical="center"/>
    </xf>
    <xf numFmtId="2" fontId="29" fillId="0" borderId="0" xfId="2" applyNumberFormat="1" applyFont="1" applyBorder="1" applyAlignment="1">
      <alignment horizontal="center" vertical="center"/>
    </xf>
    <xf numFmtId="4" fontId="29"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5" xfId="5" applyFont="1" applyBorder="1" applyAlignment="1">
      <alignment vertical="center"/>
    </xf>
    <xf numFmtId="0" fontId="32" fillId="0" borderId="55" xfId="5" applyFont="1" applyBorder="1" applyAlignment="1">
      <alignment vertical="center"/>
    </xf>
    <xf numFmtId="170" fontId="10" fillId="0" borderId="55" xfId="5" applyNumberFormat="1" applyFont="1" applyBorder="1" applyAlignment="1">
      <alignment horizontal="center" vertical="center"/>
    </xf>
    <xf numFmtId="170" fontId="10" fillId="0" borderId="60" xfId="5" applyNumberFormat="1" applyFont="1" applyBorder="1" applyAlignment="1">
      <alignment horizontal="center" vertical="center"/>
    </xf>
    <xf numFmtId="170" fontId="10" fillId="0" borderId="63" xfId="5" applyNumberFormat="1" applyFont="1" applyBorder="1" applyAlignment="1">
      <alignment horizontal="center" vertical="center"/>
    </xf>
    <xf numFmtId="170" fontId="10" fillId="0" borderId="63" xfId="2" applyNumberFormat="1" applyFont="1" applyBorder="1" applyAlignment="1">
      <alignment horizontal="center" vertical="center"/>
    </xf>
    <xf numFmtId="2" fontId="10" fillId="0" borderId="63" xfId="5" applyNumberFormat="1" applyFont="1" applyBorder="1" applyAlignment="1">
      <alignment horizontal="center" vertical="center"/>
    </xf>
    <xf numFmtId="2" fontId="10" fillId="0" borderId="60" xfId="5" applyNumberFormat="1" applyFont="1" applyBorder="1" applyAlignment="1">
      <alignment horizontal="center" vertical="center"/>
    </xf>
    <xf numFmtId="4" fontId="10" fillId="0" borderId="63" xfId="5" applyNumberFormat="1" applyFont="1" applyBorder="1" applyAlignment="1">
      <alignment horizontal="center" vertical="center"/>
    </xf>
    <xf numFmtId="2" fontId="10" fillId="0" borderId="60" xfId="2" applyNumberFormat="1" applyFont="1" applyBorder="1" applyAlignment="1">
      <alignment horizontal="center" vertical="center"/>
    </xf>
    <xf numFmtId="2" fontId="10" fillId="0" borderId="55" xfId="2" applyNumberFormat="1" applyFont="1" applyBorder="1" applyAlignment="1">
      <alignment horizontal="center" vertical="center"/>
    </xf>
    <xf numFmtId="4" fontId="10" fillId="0" borderId="55" xfId="5" applyNumberFormat="1" applyFont="1" applyBorder="1" applyAlignment="1">
      <alignment horizontal="center" vertical="center"/>
    </xf>
    <xf numFmtId="10" fontId="11" fillId="3" borderId="0" xfId="1" applyNumberFormat="1" applyFont="1" applyFill="1" applyAlignment="1">
      <alignment horizontal="right"/>
    </xf>
    <xf numFmtId="10" fontId="11" fillId="0" borderId="2" xfId="1" applyNumberFormat="1" applyFont="1" applyBorder="1" applyAlignment="1">
      <alignment horizontal="right"/>
    </xf>
    <xf numFmtId="10" fontId="11" fillId="0" borderId="0" xfId="1" applyNumberFormat="1" applyFont="1" applyBorder="1" applyAlignment="1">
      <alignment horizontal="right"/>
    </xf>
    <xf numFmtId="0" fontId="60" fillId="0" borderId="0" xfId="0" applyFont="1"/>
    <xf numFmtId="0" fontId="61" fillId="0" borderId="0" xfId="0" applyFont="1"/>
    <xf numFmtId="0" fontId="60" fillId="5" borderId="0" xfId="0" applyFont="1" applyFill="1"/>
    <xf numFmtId="0" fontId="62" fillId="0" borderId="0" xfId="0" applyFont="1" applyAlignment="1">
      <alignment horizontal="left" indent="2"/>
    </xf>
    <xf numFmtId="0" fontId="60" fillId="2" borderId="0" xfId="0" applyFont="1" applyFill="1"/>
    <xf numFmtId="0" fontId="61" fillId="2" borderId="0" xfId="0" applyFont="1" applyFill="1"/>
    <xf numFmtId="0" fontId="61" fillId="5" borderId="0" xfId="0" applyFont="1" applyFill="1"/>
    <xf numFmtId="0" fontId="63" fillId="0" borderId="0" xfId="0" applyFont="1"/>
    <xf numFmtId="0" fontId="64"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6" fontId="4" fillId="2" borderId="5" xfId="0" applyNumberFormat="1" applyFont="1" applyFill="1" applyBorder="1" applyAlignment="1">
      <alignment horizontal="right"/>
    </xf>
    <xf numFmtId="171" fontId="11" fillId="0" borderId="0" xfId="0" applyNumberFormat="1" applyFont="1" applyAlignment="1">
      <alignment horizontal="right"/>
    </xf>
    <xf numFmtId="170" fontId="11" fillId="0" borderId="5" xfId="2" applyNumberFormat="1" applyFont="1" applyBorder="1" applyAlignment="1">
      <alignment horizontal="right"/>
    </xf>
    <xf numFmtId="171" fontId="11" fillId="0" borderId="5" xfId="2" applyNumberFormat="1" applyFont="1" applyBorder="1" applyAlignment="1">
      <alignment horizontal="right"/>
    </xf>
    <xf numFmtId="171" fontId="11" fillId="0" borderId="5" xfId="1" applyNumberFormat="1" applyFont="1" applyBorder="1" applyAlignment="1">
      <alignment horizontal="right"/>
    </xf>
    <xf numFmtId="3" fontId="11" fillId="0" borderId="5" xfId="0" applyNumberFormat="1" applyFont="1" applyBorder="1" applyAlignment="1">
      <alignment horizontal="right"/>
    </xf>
    <xf numFmtId="170" fontId="11" fillId="0" borderId="66"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3" xfId="0" applyNumberFormat="1" applyFont="1" applyBorder="1" applyAlignment="1">
      <alignment horizontal="right"/>
    </xf>
    <xf numFmtId="170" fontId="11" fillId="0" borderId="6" xfId="2" applyNumberFormat="1" applyFont="1" applyBorder="1" applyAlignment="1">
      <alignment horizontal="right"/>
    </xf>
    <xf numFmtId="3" fontId="11" fillId="0" borderId="53"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0" fontId="11" fillId="3" borderId="66"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7" xfId="0" applyFont="1" applyFill="1" applyBorder="1"/>
    <xf numFmtId="0" fontId="17" fillId="5" borderId="68"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69" fontId="5" fillId="0" borderId="0" xfId="0" applyNumberFormat="1" applyFont="1"/>
    <xf numFmtId="170" fontId="13" fillId="5" borderId="27" xfId="2" applyNumberFormat="1" applyFont="1" applyFill="1" applyBorder="1"/>
    <xf numFmtId="170" fontId="13" fillId="5" borderId="28" xfId="2" applyNumberFormat="1" applyFont="1" applyFill="1" applyBorder="1"/>
    <xf numFmtId="170" fontId="12" fillId="5" borderId="29" xfId="2" applyNumberFormat="1" applyFont="1" applyFill="1" applyBorder="1"/>
    <xf numFmtId="170" fontId="12" fillId="5" borderId="30" xfId="2" applyNumberFormat="1" applyFont="1" applyFill="1" applyBorder="1"/>
    <xf numFmtId="170" fontId="13" fillId="5" borderId="29" xfId="2" applyNumberFormat="1" applyFont="1" applyFill="1" applyBorder="1"/>
    <xf numFmtId="170" fontId="13" fillId="5" borderId="30"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10" fontId="0" fillId="0" borderId="8" xfId="2" applyNumberFormat="1" applyFont="1" applyBorder="1"/>
    <xf numFmtId="0" fontId="65" fillId="0" borderId="0" xfId="0" applyFont="1" applyAlignment="1">
      <alignment horizontal="left" vertical="top" indent="1"/>
    </xf>
    <xf numFmtId="0" fontId="8" fillId="0" borderId="0" xfId="5" applyFont="1"/>
    <xf numFmtId="171" fontId="11" fillId="0" borderId="52"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170" fontId="46" fillId="0" borderId="0" xfId="0" applyNumberFormat="1" applyFont="1"/>
    <xf numFmtId="170" fontId="46" fillId="0" borderId="26" xfId="0" applyNumberFormat="1" applyFont="1" applyBorder="1"/>
    <xf numFmtId="0" fontId="12" fillId="0" borderId="0" xfId="0" applyFont="1" applyAlignment="1">
      <alignment horizontal="left" indent="1"/>
    </xf>
    <xf numFmtId="3" fontId="46" fillId="0" borderId="0" xfId="0" applyNumberFormat="1" applyFont="1"/>
    <xf numFmtId="3" fontId="46" fillId="0" borderId="26" xfId="0" applyNumberFormat="1" applyFont="1" applyBorder="1"/>
    <xf numFmtId="0" fontId="60" fillId="0" borderId="10" xfId="0" applyFont="1" applyBorder="1"/>
    <xf numFmtId="166" fontId="4" fillId="0" borderId="10" xfId="0" applyNumberFormat="1" applyFont="1" applyBorder="1"/>
    <xf numFmtId="168" fontId="0" fillId="0" borderId="10" xfId="1" applyNumberFormat="1" applyFont="1" applyFill="1" applyBorder="1" applyAlignment="1">
      <alignment horizontal="right"/>
    </xf>
    <xf numFmtId="0" fontId="0" fillId="0" borderId="10" xfId="0" applyBorder="1"/>
    <xf numFmtId="165" fontId="4" fillId="0" borderId="10" xfId="0" applyNumberFormat="1" applyFont="1" applyBorder="1"/>
    <xf numFmtId="0" fontId="67" fillId="0" borderId="0" xfId="3" applyFont="1" applyBorder="1" applyAlignment="1"/>
    <xf numFmtId="49" fontId="59" fillId="0" borderId="0" xfId="0" applyNumberFormat="1" applyFont="1"/>
    <xf numFmtId="0" fontId="0" fillId="0" borderId="47" xfId="0" applyBorder="1"/>
    <xf numFmtId="0" fontId="0" fillId="0" borderId="43" xfId="0" applyBorder="1"/>
    <xf numFmtId="0" fontId="0" fillId="0" borderId="13" xfId="0" applyBorder="1"/>
    <xf numFmtId="0" fontId="0" fillId="0" borderId="15" xfId="0" applyBorder="1"/>
    <xf numFmtId="172" fontId="13" fillId="0" borderId="74" xfId="0" applyNumberFormat="1" applyFont="1" applyBorder="1"/>
    <xf numFmtId="172" fontId="13" fillId="0" borderId="75" xfId="0" applyNumberFormat="1" applyFont="1" applyBorder="1"/>
    <xf numFmtId="172"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6"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11" borderId="0" xfId="0" applyNumberFormat="1" applyFont="1" applyFill="1"/>
    <xf numFmtId="9" fontId="13" fillId="11" borderId="0" xfId="0" applyNumberFormat="1" applyFont="1" applyFill="1" applyAlignment="1">
      <alignment horizontal="right"/>
    </xf>
    <xf numFmtId="9" fontId="13" fillId="11"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9" fontId="0" fillId="3" borderId="0" xfId="2" applyFont="1" applyFill="1"/>
    <xf numFmtId="0" fontId="0" fillId="0" borderId="0" xfId="0" applyAlignment="1">
      <alignment vertical="top"/>
    </xf>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6" xfId="5" applyFont="1" applyFill="1" applyBorder="1"/>
    <xf numFmtId="0" fontId="10" fillId="5" borderId="17" xfId="5" applyFont="1" applyFill="1" applyBorder="1"/>
    <xf numFmtId="37" fontId="32" fillId="3" borderId="45" xfId="8" applyNumberFormat="1" applyFont="1" applyFill="1" applyBorder="1" applyAlignment="1">
      <alignment horizontal="center" wrapText="1"/>
    </xf>
    <xf numFmtId="0" fontId="10" fillId="2" borderId="45" xfId="5" applyFont="1" applyFill="1" applyBorder="1"/>
    <xf numFmtId="0" fontId="10" fillId="5" borderId="45" xfId="5" applyFont="1" applyFill="1" applyBorder="1"/>
    <xf numFmtId="0" fontId="56" fillId="2" borderId="17" xfId="5" applyFont="1" applyFill="1" applyBorder="1" applyAlignment="1">
      <alignment horizontal="center" vertical="center" wrapText="1"/>
    </xf>
    <xf numFmtId="0" fontId="57" fillId="5" borderId="17" xfId="5" applyFont="1" applyFill="1" applyBorder="1"/>
    <xf numFmtId="37" fontId="32" fillId="3" borderId="77" xfId="8" applyNumberFormat="1" applyFont="1" applyFill="1" applyBorder="1" applyAlignment="1">
      <alignment horizontal="center"/>
    </xf>
    <xf numFmtId="37" fontId="32" fillId="3" borderId="17" xfId="8" applyNumberFormat="1" applyFont="1" applyFill="1" applyBorder="1" applyAlignment="1">
      <alignment horizontal="center"/>
    </xf>
    <xf numFmtId="37" fontId="32" fillId="3" borderId="17" xfId="8" applyNumberFormat="1" applyFont="1" applyFill="1" applyBorder="1" applyAlignment="1">
      <alignment horizontal="center" wrapText="1"/>
    </xf>
    <xf numFmtId="37" fontId="2" fillId="0" borderId="17" xfId="8" applyNumberFormat="1" applyFont="1" applyBorder="1" applyAlignment="1">
      <alignment horizontal="center" wrapText="1"/>
    </xf>
    <xf numFmtId="39"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6" fillId="2" borderId="45" xfId="5" applyFont="1" applyFill="1" applyBorder="1" applyAlignment="1">
      <alignment horizontal="center" vertical="center" wrapText="1"/>
    </xf>
    <xf numFmtId="0" fontId="57" fillId="5" borderId="45" xfId="5" applyFont="1" applyFill="1" applyBorder="1"/>
    <xf numFmtId="37" fontId="32" fillId="3" borderId="78" xfId="8" applyNumberFormat="1" applyFont="1" applyFill="1" applyBorder="1" applyAlignment="1">
      <alignment horizontal="center"/>
    </xf>
    <xf numFmtId="37" fontId="32" fillId="3" borderId="45" xfId="8" applyNumberFormat="1" applyFont="1" applyFill="1" applyBorder="1" applyAlignment="1">
      <alignment horizontal="center"/>
    </xf>
    <xf numFmtId="37" fontId="2" fillId="4" borderId="45" xfId="8" applyNumberFormat="1" applyFont="1" applyFill="1" applyBorder="1" applyAlignment="1">
      <alignment horizontal="center" wrapText="1"/>
    </xf>
    <xf numFmtId="39" fontId="32" fillId="3" borderId="45" xfId="8" applyNumberFormat="1" applyFont="1" applyFill="1" applyBorder="1" applyAlignment="1">
      <alignment horizontal="center" wrapText="1"/>
    </xf>
    <xf numFmtId="1" fontId="28" fillId="0" borderId="45" xfId="8" applyNumberFormat="1" applyFont="1" applyBorder="1" applyAlignment="1">
      <alignment horizontal="center" wrapText="1"/>
    </xf>
    <xf numFmtId="37" fontId="7" fillId="0" borderId="45" xfId="8" applyNumberFormat="1" applyFont="1" applyBorder="1" applyAlignment="1">
      <alignment horizontal="center"/>
    </xf>
    <xf numFmtId="37" fontId="7" fillId="3" borderId="45" xfId="8" applyNumberFormat="1" applyFont="1" applyFill="1" applyBorder="1" applyAlignment="1">
      <alignment horizontal="center" wrapText="1"/>
    </xf>
    <xf numFmtId="168" fontId="10" fillId="0" borderId="0" xfId="5" applyNumberFormat="1" applyFont="1" applyAlignment="1">
      <alignment horizontal="center"/>
    </xf>
    <xf numFmtId="10"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2" fontId="20" fillId="0" borderId="0" xfId="0" applyNumberFormat="1" applyFont="1"/>
    <xf numFmtId="0" fontId="19" fillId="8" borderId="0" xfId="5" applyFont="1" applyFill="1" applyAlignment="1">
      <alignment horizontal="center" vertical="center"/>
    </xf>
    <xf numFmtId="0" fontId="68" fillId="13" borderId="0" xfId="0" applyFont="1" applyFill="1"/>
    <xf numFmtId="0" fontId="69" fillId="13" borderId="0" xfId="0" applyFont="1" applyFill="1"/>
    <xf numFmtId="0" fontId="69"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5" fontId="4" fillId="0" borderId="0" xfId="0" applyNumberFormat="1" applyFont="1"/>
    <xf numFmtId="0" fontId="3" fillId="0" borderId="0" xfId="0" applyFont="1" applyAlignment="1">
      <alignment vertical="center"/>
    </xf>
    <xf numFmtId="170" fontId="12" fillId="0" borderId="0" xfId="4" applyNumberFormat="1" applyFont="1" applyAlignment="1"/>
    <xf numFmtId="0" fontId="29" fillId="2" borderId="0" xfId="5" applyFont="1" applyFill="1"/>
    <xf numFmtId="1" fontId="14" fillId="0" borderId="0" xfId="5" applyNumberFormat="1" applyAlignment="1">
      <alignment vertical="center"/>
    </xf>
    <xf numFmtId="1" fontId="3" fillId="8" borderId="11" xfId="0" applyNumberFormat="1" applyFont="1" applyFill="1" applyBorder="1"/>
    <xf numFmtId="0" fontId="3" fillId="6" borderId="0" xfId="0" applyFont="1" applyFill="1"/>
    <xf numFmtId="0" fontId="70" fillId="0" borderId="0" xfId="0" applyFont="1"/>
    <xf numFmtId="0" fontId="71" fillId="0" borderId="9" xfId="0" applyFont="1" applyBorder="1"/>
    <xf numFmtId="0" fontId="0" fillId="0" borderId="79"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2" fillId="0" borderId="0" xfId="0" applyFont="1"/>
    <xf numFmtId="176" fontId="0" fillId="0" borderId="16" xfId="0" applyNumberFormat="1" applyBorder="1"/>
    <xf numFmtId="0" fontId="17" fillId="5" borderId="0" xfId="0" applyFont="1" applyFill="1"/>
    <xf numFmtId="10" fontId="0" fillId="0" borderId="14" xfId="2" applyNumberFormat="1" applyFont="1" applyFill="1" applyBorder="1"/>
    <xf numFmtId="170" fontId="0" fillId="0" borderId="0" xfId="2" applyNumberFormat="1" applyFont="1" applyAlignment="1">
      <alignment horizontal="center"/>
    </xf>
    <xf numFmtId="170" fontId="0" fillId="0" borderId="15" xfId="2" applyNumberFormat="1" applyFont="1" applyBorder="1" applyAlignment="1">
      <alignment horizontal="center"/>
    </xf>
    <xf numFmtId="170" fontId="0" fillId="0" borderId="15" xfId="2" applyNumberFormat="1" applyFont="1" applyBorder="1"/>
    <xf numFmtId="171"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0" fontId="6" fillId="2"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6" fontId="0" fillId="0" borderId="15" xfId="0" applyNumberFormat="1" applyBorder="1"/>
    <xf numFmtId="0" fontId="3" fillId="0" borderId="14" xfId="0" applyFont="1" applyBorder="1"/>
    <xf numFmtId="176" fontId="3" fillId="0" borderId="0" xfId="0" applyNumberFormat="1" applyFont="1"/>
    <xf numFmtId="170" fontId="2" fillId="0" borderId="0" xfId="2" applyNumberFormat="1" applyFont="1"/>
    <xf numFmtId="3" fontId="10" fillId="0" borderId="0" xfId="0" applyNumberFormat="1" applyFont="1"/>
    <xf numFmtId="0" fontId="0" fillId="3" borderId="24" xfId="2" applyNumberFormat="1" applyFont="1" applyFill="1" applyBorder="1"/>
    <xf numFmtId="0" fontId="59" fillId="0" borderId="0" xfId="0" applyFont="1" applyAlignment="1">
      <alignment horizontal="left" indent="1"/>
    </xf>
    <xf numFmtId="0" fontId="65" fillId="0" borderId="8" xfId="0" applyFont="1" applyBorder="1" applyAlignment="1">
      <alignment horizontal="left" vertical="top" indent="1"/>
    </xf>
    <xf numFmtId="14" fontId="0" fillId="0" borderId="0" xfId="0" applyNumberFormat="1"/>
    <xf numFmtId="0" fontId="0" fillId="0" borderId="0" xfId="0" applyAlignment="1">
      <alignment wrapText="1"/>
    </xf>
    <xf numFmtId="14" fontId="0" fillId="0" borderId="0" xfId="0" applyNumberFormat="1" applyAlignment="1">
      <alignment wrapText="1"/>
    </xf>
    <xf numFmtId="4" fontId="0" fillId="0" borderId="0" xfId="0" applyNumberFormat="1" applyAlignment="1">
      <alignment wrapText="1"/>
    </xf>
    <xf numFmtId="0" fontId="74" fillId="15" borderId="0" xfId="0" applyFont="1" applyFill="1"/>
    <xf numFmtId="0" fontId="75" fillId="15" borderId="43" xfId="0" applyFont="1" applyFill="1" applyBorder="1" applyAlignment="1">
      <alignment readingOrder="1"/>
    </xf>
    <xf numFmtId="0" fontId="75" fillId="15" borderId="0" xfId="0" applyFont="1" applyFill="1" applyAlignment="1">
      <alignment readingOrder="1"/>
    </xf>
    <xf numFmtId="0" fontId="76" fillId="16" borderId="0" xfId="0" applyFont="1" applyFill="1"/>
    <xf numFmtId="0" fontId="77" fillId="15" borderId="81" xfId="0" applyFont="1" applyFill="1" applyBorder="1"/>
    <xf numFmtId="0" fontId="77" fillId="15" borderId="82" xfId="0" applyFont="1" applyFill="1" applyBorder="1"/>
    <xf numFmtId="0" fontId="77" fillId="15" borderId="44" xfId="0" applyFont="1" applyFill="1" applyBorder="1"/>
    <xf numFmtId="0" fontId="77" fillId="15" borderId="83" xfId="0" applyFont="1" applyFill="1" applyBorder="1"/>
    <xf numFmtId="14" fontId="77" fillId="15" borderId="83" xfId="0" applyNumberFormat="1" applyFont="1" applyFill="1" applyBorder="1"/>
    <xf numFmtId="0" fontId="78" fillId="16" borderId="84" xfId="0" applyFont="1" applyFill="1" applyBorder="1"/>
    <xf numFmtId="0" fontId="78" fillId="16" borderId="17" xfId="0" applyFont="1" applyFill="1" applyBorder="1"/>
    <xf numFmtId="0" fontId="79" fillId="16" borderId="84" xfId="0" applyFont="1" applyFill="1" applyBorder="1"/>
    <xf numFmtId="0" fontId="80" fillId="16" borderId="17" xfId="0" applyFont="1" applyFill="1" applyBorder="1"/>
    <xf numFmtId="0" fontId="80" fillId="16" borderId="45" xfId="0" applyFont="1" applyFill="1" applyBorder="1"/>
    <xf numFmtId="4" fontId="80" fillId="16" borderId="17" xfId="0" applyNumberFormat="1" applyFont="1" applyFill="1" applyBorder="1"/>
    <xf numFmtId="4" fontId="80" fillId="16" borderId="45" xfId="0" applyNumberFormat="1" applyFont="1" applyFill="1" applyBorder="1"/>
    <xf numFmtId="4" fontId="78" fillId="16" borderId="17" xfId="0" applyNumberFormat="1" applyFont="1" applyFill="1" applyBorder="1"/>
    <xf numFmtId="0" fontId="81" fillId="17" borderId="47" xfId="0" applyFont="1" applyFill="1" applyBorder="1"/>
    <xf numFmtId="0" fontId="81" fillId="17" borderId="0" xfId="0" applyFont="1" applyFill="1"/>
    <xf numFmtId="0" fontId="74" fillId="15" borderId="0" xfId="0" applyFont="1" applyFill="1" applyAlignment="1">
      <alignment wrapText="1"/>
    </xf>
    <xf numFmtId="0" fontId="75" fillId="15" borderId="43" xfId="0" applyFont="1" applyFill="1" applyBorder="1" applyAlignment="1">
      <alignment wrapText="1" readingOrder="1"/>
    </xf>
    <xf numFmtId="0" fontId="76" fillId="16" borderId="0" xfId="0" applyFont="1" applyFill="1" applyAlignment="1">
      <alignment wrapText="1"/>
    </xf>
    <xf numFmtId="0" fontId="77" fillId="15" borderId="81" xfId="0" applyFont="1" applyFill="1" applyBorder="1" applyAlignment="1">
      <alignment wrapText="1"/>
    </xf>
    <xf numFmtId="0" fontId="77" fillId="15" borderId="44" xfId="0" applyFont="1" applyFill="1" applyBorder="1" applyAlignment="1">
      <alignment wrapText="1"/>
    </xf>
    <xf numFmtId="0" fontId="78" fillId="16" borderId="84" xfId="0" applyFont="1" applyFill="1" applyBorder="1" applyAlignment="1">
      <alignment wrapText="1"/>
    </xf>
    <xf numFmtId="0" fontId="79" fillId="16" borderId="84" xfId="0" applyFont="1" applyFill="1" applyBorder="1" applyAlignment="1">
      <alignment wrapText="1"/>
    </xf>
    <xf numFmtId="0" fontId="81" fillId="17" borderId="47" xfId="0" applyFont="1" applyFill="1" applyBorder="1" applyAlignment="1">
      <alignment wrapText="1"/>
    </xf>
    <xf numFmtId="0" fontId="75" fillId="15" borderId="0" xfId="0" applyFont="1" applyFill="1" applyAlignment="1">
      <alignment wrapText="1" readingOrder="1"/>
    </xf>
    <xf numFmtId="0" fontId="77" fillId="15" borderId="82" xfId="0" applyFont="1" applyFill="1" applyBorder="1" applyAlignment="1">
      <alignment wrapText="1"/>
    </xf>
    <xf numFmtId="14" fontId="77" fillId="15" borderId="83" xfId="0" applyNumberFormat="1" applyFont="1" applyFill="1" applyBorder="1" applyAlignment="1">
      <alignment wrapText="1"/>
    </xf>
    <xf numFmtId="0" fontId="78" fillId="16" borderId="17" xfId="0" applyFont="1" applyFill="1" applyBorder="1" applyAlignment="1">
      <alignment wrapText="1"/>
    </xf>
    <xf numFmtId="0" fontId="80" fillId="16" borderId="17" xfId="0" applyFont="1" applyFill="1" applyBorder="1" applyAlignment="1">
      <alignment wrapText="1"/>
    </xf>
    <xf numFmtId="0" fontId="80" fillId="16" borderId="45" xfId="0" applyFont="1" applyFill="1" applyBorder="1" applyAlignment="1">
      <alignment wrapText="1"/>
    </xf>
    <xf numFmtId="4" fontId="80" fillId="16" borderId="45" xfId="0" applyNumberFormat="1" applyFont="1" applyFill="1" applyBorder="1" applyAlignment="1">
      <alignment wrapText="1"/>
    </xf>
    <xf numFmtId="4" fontId="78" fillId="16" borderId="45" xfId="0" applyNumberFormat="1" applyFont="1" applyFill="1" applyBorder="1" applyAlignment="1">
      <alignment wrapText="1"/>
    </xf>
    <xf numFmtId="0" fontId="78" fillId="16" borderId="45" xfId="0" applyFont="1" applyFill="1" applyBorder="1" applyAlignment="1">
      <alignment wrapText="1"/>
    </xf>
    <xf numFmtId="0" fontId="81" fillId="16" borderId="17" xfId="0" applyFont="1" applyFill="1" applyBorder="1"/>
    <xf numFmtId="4" fontId="81" fillId="16" borderId="17" xfId="0" applyNumberFormat="1" applyFont="1" applyFill="1" applyBorder="1"/>
    <xf numFmtId="0" fontId="79" fillId="16" borderId="84" xfId="0" quotePrefix="1" applyFont="1" applyFill="1" applyBorder="1" applyAlignment="1">
      <alignment wrapText="1"/>
    </xf>
    <xf numFmtId="0" fontId="82" fillId="16" borderId="84" xfId="0" applyFont="1" applyFill="1" applyBorder="1" applyAlignment="1">
      <alignment wrapText="1"/>
    </xf>
    <xf numFmtId="4" fontId="81" fillId="16" borderId="45" xfId="0" applyNumberFormat="1" applyFont="1" applyFill="1" applyBorder="1" applyAlignment="1">
      <alignment wrapText="1"/>
    </xf>
    <xf numFmtId="14" fontId="77" fillId="15" borderId="44" xfId="0" applyNumberFormat="1" applyFont="1" applyFill="1" applyBorder="1"/>
    <xf numFmtId="4" fontId="78" fillId="16" borderId="84" xfId="0" applyNumberFormat="1" applyFont="1" applyFill="1" applyBorder="1"/>
    <xf numFmtId="10" fontId="78" fillId="16" borderId="17" xfId="0" applyNumberFormat="1" applyFont="1" applyFill="1" applyBorder="1"/>
    <xf numFmtId="0" fontId="78" fillId="16" borderId="0" xfId="0" applyFont="1" applyFill="1"/>
    <xf numFmtId="4" fontId="78" fillId="16" borderId="0" xfId="0" applyNumberFormat="1" applyFont="1" applyFill="1"/>
    <xf numFmtId="0" fontId="80" fillId="16" borderId="84" xfId="0" applyFont="1" applyFill="1" applyBorder="1"/>
    <xf numFmtId="4" fontId="80" fillId="16" borderId="84" xfId="0" applyNumberFormat="1" applyFont="1" applyFill="1" applyBorder="1"/>
    <xf numFmtId="10" fontId="80" fillId="16" borderId="17" xfId="0" applyNumberFormat="1" applyFont="1" applyFill="1" applyBorder="1"/>
    <xf numFmtId="0" fontId="80" fillId="16" borderId="0" xfId="0" applyFont="1" applyFill="1"/>
    <xf numFmtId="4" fontId="80" fillId="16" borderId="0" xfId="0" applyNumberFormat="1" applyFont="1" applyFill="1"/>
    <xf numFmtId="0" fontId="83" fillId="0" borderId="0" xfId="0" applyFont="1"/>
    <xf numFmtId="10" fontId="83" fillId="0" borderId="0" xfId="0" applyNumberFormat="1" applyFont="1"/>
    <xf numFmtId="14" fontId="83" fillId="0" borderId="0" xfId="0" applyNumberFormat="1" applyFont="1"/>
    <xf numFmtId="0" fontId="0" fillId="7" borderId="0" xfId="0" applyFill="1" applyAlignment="1">
      <alignment wrapText="1"/>
    </xf>
    <xf numFmtId="4" fontId="0" fillId="7" borderId="0" xfId="0" applyNumberFormat="1" applyFill="1"/>
    <xf numFmtId="0" fontId="0" fillId="7" borderId="0" xfId="0" applyFill="1"/>
    <xf numFmtId="37" fontId="46" fillId="7" borderId="0" xfId="0" applyNumberFormat="1" applyFont="1" applyFill="1" applyAlignment="1">
      <alignment horizontal="right"/>
    </xf>
    <xf numFmtId="37" fontId="7" fillId="7" borderId="0" xfId="0" applyNumberFormat="1" applyFont="1" applyFill="1" applyAlignment="1">
      <alignment horizontal="right"/>
    </xf>
    <xf numFmtId="37" fontId="0" fillId="7" borderId="0" xfId="0" applyNumberFormat="1" applyFill="1" applyAlignment="1">
      <alignment horizontal="right"/>
    </xf>
    <xf numFmtId="39" fontId="0" fillId="7" borderId="0" xfId="0" applyNumberFormat="1" applyFill="1"/>
    <xf numFmtId="14" fontId="9" fillId="0" borderId="11" xfId="3" applyNumberFormat="1" applyBorder="1"/>
    <xf numFmtId="0" fontId="0" fillId="0" borderId="0" xfId="0" applyAlignment="1">
      <alignment horizontal="right" wrapText="1"/>
    </xf>
    <xf numFmtId="37" fontId="7" fillId="3" borderId="0" xfId="0" applyNumberFormat="1" applyFont="1" applyFill="1" applyAlignment="1">
      <alignment horizontal="right"/>
    </xf>
    <xf numFmtId="0" fontId="19" fillId="7" borderId="0" xfId="5" applyFont="1" applyFill="1" applyAlignment="1">
      <alignment vertical="center"/>
    </xf>
    <xf numFmtId="0" fontId="19" fillId="8" borderId="0" xfId="5" applyFont="1" applyFill="1" applyAlignment="1">
      <alignment vertical="center"/>
    </xf>
    <xf numFmtId="0" fontId="19" fillId="7" borderId="0" xfId="5" applyFont="1" applyFill="1" applyAlignment="1">
      <alignment horizontal="right" vertical="center"/>
    </xf>
    <xf numFmtId="0" fontId="19" fillId="8" borderId="0" xfId="5" applyFont="1" applyFill="1" applyAlignment="1">
      <alignment horizontal="right" vertical="center"/>
    </xf>
    <xf numFmtId="0" fontId="0" fillId="0" borderId="0" xfId="0" quotePrefix="1" applyAlignment="1">
      <alignment wrapText="1"/>
    </xf>
    <xf numFmtId="172" fontId="12" fillId="0" borderId="0" xfId="1" applyNumberFormat="1" applyFont="1" applyFill="1" applyAlignment="1">
      <alignment wrapText="1"/>
    </xf>
    <xf numFmtId="3" fontId="84" fillId="0" borderId="0" xfId="0" applyNumberFormat="1" applyFont="1"/>
    <xf numFmtId="172" fontId="49" fillId="0" borderId="0" xfId="0" applyNumberFormat="1" applyFont="1"/>
    <xf numFmtId="172" fontId="0" fillId="0" borderId="0" xfId="0" applyNumberFormat="1"/>
    <xf numFmtId="0" fontId="85" fillId="0" borderId="0" xfId="0" applyFont="1"/>
    <xf numFmtId="0" fontId="86" fillId="0" borderId="0" xfId="0" applyFont="1"/>
    <xf numFmtId="0" fontId="86" fillId="0" borderId="85" xfId="0" applyFont="1" applyBorder="1"/>
    <xf numFmtId="0" fontId="83" fillId="0" borderId="43" xfId="0" applyFont="1" applyBorder="1"/>
    <xf numFmtId="0" fontId="86" fillId="0" borderId="84" xfId="0" applyFont="1" applyBorder="1"/>
    <xf numFmtId="0" fontId="86" fillId="0" borderId="86" xfId="0" applyFont="1" applyBorder="1"/>
    <xf numFmtId="0" fontId="83" fillId="0" borderId="9" xfId="0" applyFont="1" applyBorder="1"/>
    <xf numFmtId="0" fontId="78" fillId="0" borderId="84" xfId="0" applyFont="1" applyBorder="1"/>
    <xf numFmtId="0" fontId="87" fillId="0" borderId="84" xfId="0" applyFont="1" applyBorder="1"/>
    <xf numFmtId="3" fontId="32" fillId="3" borderId="0" xfId="0" applyNumberFormat="1" applyFont="1" applyFill="1"/>
    <xf numFmtId="3" fontId="32" fillId="0" borderId="0" xfId="0" applyNumberFormat="1" applyFont="1"/>
    <xf numFmtId="0" fontId="29" fillId="0" borderId="88" xfId="5" applyFont="1" applyBorder="1" applyAlignment="1">
      <alignment wrapText="1"/>
    </xf>
    <xf numFmtId="0" fontId="7" fillId="0" borderId="89" xfId="5" applyFont="1" applyBorder="1" applyAlignment="1">
      <alignment vertical="center"/>
    </xf>
    <xf numFmtId="0" fontId="32" fillId="0" borderId="89" xfId="5" applyFont="1" applyBorder="1" applyAlignment="1">
      <alignment vertical="center"/>
    </xf>
    <xf numFmtId="170" fontId="10" fillId="0" borderId="89" xfId="5" applyNumberFormat="1" applyFont="1" applyBorder="1" applyAlignment="1">
      <alignment horizontal="center" vertical="center"/>
    </xf>
    <xf numFmtId="170" fontId="10" fillId="0" borderId="90" xfId="5" applyNumberFormat="1" applyFont="1" applyBorder="1" applyAlignment="1">
      <alignment horizontal="center" vertical="center"/>
    </xf>
    <xf numFmtId="170" fontId="10" fillId="0" borderId="91" xfId="5" applyNumberFormat="1" applyFont="1" applyBorder="1" applyAlignment="1">
      <alignment horizontal="center" vertical="center"/>
    </xf>
    <xf numFmtId="170" fontId="10" fillId="0" borderId="91" xfId="2" applyNumberFormat="1" applyFont="1" applyBorder="1" applyAlignment="1">
      <alignment horizontal="center" vertical="center"/>
    </xf>
    <xf numFmtId="2" fontId="10" fillId="0" borderId="91" xfId="5" applyNumberFormat="1" applyFont="1" applyBorder="1" applyAlignment="1">
      <alignment horizontal="center" vertical="center"/>
    </xf>
    <xf numFmtId="2" fontId="10" fillId="0" borderId="90" xfId="5" applyNumberFormat="1" applyFont="1" applyBorder="1" applyAlignment="1">
      <alignment horizontal="center" vertical="center"/>
    </xf>
    <xf numFmtId="4" fontId="10" fillId="0" borderId="91" xfId="5" applyNumberFormat="1" applyFont="1" applyBorder="1" applyAlignment="1">
      <alignment horizontal="center" vertical="center"/>
    </xf>
    <xf numFmtId="2" fontId="10" fillId="0" borderId="90" xfId="2" applyNumberFormat="1" applyFont="1" applyBorder="1" applyAlignment="1">
      <alignment horizontal="center" vertical="center"/>
    </xf>
    <xf numFmtId="2" fontId="10" fillId="0" borderId="89" xfId="2" applyNumberFormat="1" applyFont="1" applyBorder="1" applyAlignment="1">
      <alignment horizontal="center" vertical="center"/>
    </xf>
    <xf numFmtId="4" fontId="10" fillId="0" borderId="89" xfId="5" applyNumberFormat="1" applyFont="1" applyBorder="1" applyAlignment="1">
      <alignment horizontal="center" vertical="center"/>
    </xf>
    <xf numFmtId="0" fontId="4" fillId="2" borderId="0" xfId="5" applyFont="1" applyFill="1" applyAlignment="1">
      <alignment horizontal="center" vertical="center"/>
    </xf>
    <xf numFmtId="170" fontId="88" fillId="0" borderId="0" xfId="5" applyNumberFormat="1" applyFont="1" applyAlignment="1">
      <alignment horizontal="center"/>
    </xf>
    <xf numFmtId="10" fontId="10" fillId="0" borderId="0" xfId="2" applyNumberFormat="1" applyFont="1" applyBorder="1" applyAlignment="1">
      <alignment horizontal="center"/>
    </xf>
    <xf numFmtId="168" fontId="88" fillId="0" borderId="0" xfId="1" applyNumberFormat="1" applyFont="1" applyBorder="1" applyAlignment="1">
      <alignment horizontal="center"/>
    </xf>
    <xf numFmtId="2" fontId="88" fillId="0" borderId="0" xfId="1" applyNumberFormat="1" applyFont="1" applyBorder="1" applyAlignment="1">
      <alignment horizontal="center"/>
    </xf>
    <xf numFmtId="2" fontId="88" fillId="0" borderId="0" xfId="5" applyNumberFormat="1" applyFont="1" applyAlignment="1">
      <alignment horizontal="center"/>
    </xf>
    <xf numFmtId="10" fontId="88" fillId="0" borderId="0" xfId="2" applyNumberFormat="1" applyFont="1" applyBorder="1" applyAlignment="1">
      <alignment horizontal="center"/>
    </xf>
    <xf numFmtId="10" fontId="88" fillId="3" borderId="0" xfId="5" applyNumberFormat="1" applyFont="1" applyFill="1" applyAlignment="1">
      <alignment horizontal="center"/>
    </xf>
    <xf numFmtId="4" fontId="88" fillId="0" borderId="0" xfId="5" applyNumberFormat="1" applyFont="1" applyAlignment="1">
      <alignment horizontal="center"/>
    </xf>
    <xf numFmtId="2" fontId="10" fillId="0" borderId="0" xfId="2" applyNumberFormat="1" applyFont="1" applyBorder="1" applyAlignment="1">
      <alignment horizontal="center"/>
    </xf>
    <xf numFmtId="10" fontId="88" fillId="0" borderId="0" xfId="5" applyNumberFormat="1" applyFont="1" applyAlignment="1">
      <alignment horizontal="center"/>
    </xf>
    <xf numFmtId="174" fontId="88" fillId="0" borderId="0" xfId="5" applyNumberFormat="1" applyFont="1" applyAlignment="1">
      <alignment horizontal="center"/>
    </xf>
    <xf numFmtId="2" fontId="10" fillId="0" borderId="92" xfId="5" applyNumberFormat="1" applyFont="1" applyBorder="1" applyAlignment="1">
      <alignment horizontal="center"/>
    </xf>
    <xf numFmtId="170" fontId="10" fillId="0" borderId="92" xfId="5" applyNumberFormat="1" applyFont="1" applyBorder="1" applyAlignment="1">
      <alignment horizontal="center"/>
    </xf>
    <xf numFmtId="168" fontId="2" fillId="0" borderId="92" xfId="1" applyNumberFormat="1" applyFont="1" applyBorder="1" applyAlignment="1">
      <alignment horizontal="center"/>
    </xf>
    <xf numFmtId="2" fontId="2" fillId="0" borderId="92" xfId="1" applyNumberFormat="1" applyFont="1" applyBorder="1" applyAlignment="1">
      <alignment horizontal="center"/>
    </xf>
    <xf numFmtId="10" fontId="10" fillId="0" borderId="92" xfId="2" applyNumberFormat="1" applyFont="1" applyBorder="1" applyAlignment="1">
      <alignment horizontal="center"/>
    </xf>
    <xf numFmtId="10" fontId="32" fillId="3" borderId="92" xfId="5" applyNumberFormat="1" applyFont="1" applyFill="1" applyBorder="1" applyAlignment="1">
      <alignment horizontal="center"/>
    </xf>
    <xf numFmtId="4" fontId="10" fillId="0" borderId="92" xfId="5" applyNumberFormat="1" applyFont="1" applyBorder="1" applyAlignment="1">
      <alignment horizontal="center"/>
    </xf>
    <xf numFmtId="168" fontId="2" fillId="0" borderId="0" xfId="1" applyNumberFormat="1" applyFont="1" applyBorder="1" applyAlignment="1">
      <alignment horizontal="center"/>
    </xf>
    <xf numFmtId="2" fontId="2" fillId="0" borderId="0" xfId="1" applyNumberFormat="1" applyFont="1" applyBorder="1" applyAlignment="1">
      <alignment horizontal="center"/>
    </xf>
    <xf numFmtId="0" fontId="10" fillId="0" borderId="0" xfId="5" applyFont="1" applyAlignment="1">
      <alignment horizontal="left" vertical="top"/>
    </xf>
    <xf numFmtId="0" fontId="7" fillId="0" borderId="0" xfId="5" applyFont="1" applyAlignment="1">
      <alignment horizontal="left" vertical="top"/>
    </xf>
    <xf numFmtId="0" fontId="7" fillId="0" borderId="89" xfId="5" applyFont="1" applyBorder="1" applyAlignment="1">
      <alignment horizontal="left" vertical="top"/>
    </xf>
    <xf numFmtId="172" fontId="39" fillId="0" borderId="0" xfId="1" applyNumberFormat="1" applyFont="1" applyFill="1" applyAlignment="1">
      <alignment wrapText="1"/>
    </xf>
    <xf numFmtId="0" fontId="2" fillId="0" borderId="80" xfId="0" applyFont="1" applyBorder="1" applyAlignment="1">
      <alignment horizontal="center"/>
    </xf>
    <xf numFmtId="0" fontId="2" fillId="0" borderId="0" xfId="0" applyFont="1" applyAlignment="1">
      <alignment horizontal="center"/>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66" fillId="0" borderId="70" xfId="0" applyFont="1" applyBorder="1" applyAlignment="1">
      <alignment horizontal="left" vertical="center" wrapText="1"/>
    </xf>
    <xf numFmtId="0" fontId="66" fillId="0" borderId="71" xfId="0" applyFont="1" applyBorder="1" applyAlignment="1">
      <alignment horizontal="left" vertical="center" wrapText="1"/>
    </xf>
    <xf numFmtId="0" fontId="66" fillId="0" borderId="0" xfId="0" applyFont="1" applyAlignment="1">
      <alignment horizontal="left" vertical="center" wrapText="1"/>
    </xf>
    <xf numFmtId="0" fontId="66" fillId="0" borderId="69" xfId="0" applyFont="1" applyBorder="1" applyAlignment="1">
      <alignment horizontal="left" vertical="center" wrapText="1"/>
    </xf>
    <xf numFmtId="0" fontId="33" fillId="0" borderId="72" xfId="0" applyFont="1" applyBorder="1" applyAlignment="1">
      <alignment horizontal="left" vertical="center" wrapText="1"/>
    </xf>
    <xf numFmtId="0" fontId="66" fillId="0" borderId="73" xfId="0" applyFont="1" applyBorder="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vertical="center" wrapText="1"/>
    </xf>
    <xf numFmtId="0" fontId="6" fillId="2" borderId="0" xfId="0" applyFont="1" applyFill="1" applyAlignment="1">
      <alignment horizontal="center"/>
    </xf>
    <xf numFmtId="0" fontId="4" fillId="2" borderId="0" xfId="5" applyFont="1" applyFill="1" applyAlignment="1">
      <alignment horizontal="center"/>
    </xf>
    <xf numFmtId="0" fontId="4" fillId="2" borderId="59" xfId="5" applyFont="1" applyFill="1" applyBorder="1" applyAlignment="1">
      <alignment horizontal="center"/>
    </xf>
    <xf numFmtId="0" fontId="4" fillId="2" borderId="63" xfId="5" applyFont="1" applyFill="1" applyBorder="1" applyAlignment="1">
      <alignment horizontal="center"/>
    </xf>
    <xf numFmtId="0" fontId="4" fillId="2" borderId="60" xfId="5" applyFont="1" applyFill="1" applyBorder="1" applyAlignment="1">
      <alignment horizontal="center"/>
    </xf>
    <xf numFmtId="0" fontId="4" fillId="2" borderId="55" xfId="5" applyFont="1" applyFill="1" applyBorder="1" applyAlignment="1">
      <alignment horizontal="center"/>
    </xf>
    <xf numFmtId="0" fontId="10" fillId="0" borderId="87" xfId="5" applyFont="1" applyBorder="1" applyAlignment="1">
      <alignment horizontal="left" vertical="center" wrapText="1"/>
    </xf>
    <xf numFmtId="0" fontId="91" fillId="0" borderId="88" xfId="5" applyFont="1" applyBorder="1" applyAlignment="1">
      <alignment horizontal="left" vertical="center" wrapText="1"/>
    </xf>
    <xf numFmtId="0" fontId="10" fillId="0" borderId="88" xfId="5" applyFont="1" applyBorder="1" applyAlignment="1">
      <alignment horizontal="left" vertical="center" wrapText="1"/>
    </xf>
    <xf numFmtId="0" fontId="4" fillId="2" borderId="0" xfId="5" applyFont="1" applyFill="1" applyAlignment="1">
      <alignment horizontal="center" wrapText="1"/>
    </xf>
    <xf numFmtId="0" fontId="14" fillId="6" borderId="0" xfId="5" applyFill="1" applyAlignment="1">
      <alignment horizontal="center" vertical="center"/>
    </xf>
    <xf numFmtId="0" fontId="14" fillId="0" borderId="0" xfId="5" applyAlignment="1">
      <alignment horizontal="center" vertical="center" wrapText="1"/>
    </xf>
    <xf numFmtId="0" fontId="14" fillId="8" borderId="0" xfId="5" applyFill="1" applyAlignment="1">
      <alignment horizontal="center" vertical="center"/>
    </xf>
    <xf numFmtId="0" fontId="14" fillId="7" borderId="0" xfId="5" applyFill="1" applyAlignment="1">
      <alignment horizontal="center" vertical="center"/>
    </xf>
    <xf numFmtId="0" fontId="14" fillId="0" borderId="0" xfId="5" applyAlignment="1">
      <alignment horizontal="center" vertical="center"/>
    </xf>
    <xf numFmtId="0" fontId="58" fillId="9" borderId="0" xfId="5" applyFont="1" applyFill="1" applyAlignment="1">
      <alignment horizontal="center" vertical="center"/>
    </xf>
    <xf numFmtId="0" fontId="14" fillId="10" borderId="0" xfId="5" applyFill="1" applyAlignment="1">
      <alignment horizontal="center" vertical="center"/>
    </xf>
    <xf numFmtId="0" fontId="14" fillId="7" borderId="12" xfId="5" applyFill="1" applyBorder="1" applyAlignment="1">
      <alignment horizontal="center" vertical="center"/>
    </xf>
    <xf numFmtId="0" fontId="14" fillId="0" borderId="12" xfId="5"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left" vertical="top" wrapText="1"/>
    </xf>
    <xf numFmtId="0" fontId="3" fillId="0" borderId="0" xfId="0" applyFont="1" applyAlignment="1">
      <alignment horizontal="left" vertical="center"/>
    </xf>
    <xf numFmtId="0" fontId="75" fillId="15" borderId="43" xfId="0" applyFont="1" applyFill="1" applyBorder="1" applyAlignment="1">
      <alignment readingOrder="1"/>
    </xf>
    <xf numFmtId="0" fontId="81" fillId="17" borderId="47" xfId="0" applyFont="1" applyFill="1" applyBorder="1"/>
  </cellXfs>
  <cellStyles count="13">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10000000}"/>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2" xfId="4" xr:uid="{00000000-0005-0000-0000-000017000000}"/>
    <cellStyle name="Percentagem" xfId="2" builtinId="5"/>
    <cellStyle name="Porcentaje 3" xfId="7" xr:uid="{00000000-0005-0000-0000-000018000000}"/>
    <cellStyle name="Vírgula" xfId="1" builtinId="3"/>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 Target="richData/rdrichvalue.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ichStyles" Target="richData/richStyles.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microsoft.com/office/2017/06/relationships/rdRichValueStructure" Target="richData/rdrichvaluestructure.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43" Type="http://schemas.microsoft.com/office/2017/06/relationships/rdSupportingPropertyBagStructure" Target="richData/rdsupportingpropertybagstructur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 Id="rId46" Type="http://schemas.microsoft.com/office/2017/10/relationships/person" Target="persons/person.xml"/><Relationship Id="rId20" Type="http://schemas.openxmlformats.org/officeDocument/2006/relationships/worksheet" Target="worksheets/sheet20.xml"/><Relationship Id="rId41"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7827080005605301E-2"/>
          <c:y val="1.2444568999010804E-2"/>
          <c:w val="0.81827696383999604"/>
          <c:h val="0.77530987711723032"/>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B058-4611-999B-36A98E9EC690}"/>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B058-4611-999B-36A98E9EC690}"/>
              </c:ext>
            </c:extLst>
          </c:dPt>
          <c:dPt>
            <c:idx val="2"/>
            <c:bubble3D val="0"/>
            <c:spPr>
              <a:solidFill>
                <a:srgbClr val="7B1314"/>
              </a:solidFill>
              <a:ln w="19050">
                <a:solidFill>
                  <a:schemeClr val="lt1"/>
                </a:solidFill>
              </a:ln>
              <a:effectLst/>
            </c:spPr>
            <c:extLst>
              <c:ext xmlns:c16="http://schemas.microsoft.com/office/drawing/2014/chart" uri="{C3380CC4-5D6E-409C-BE32-E72D297353CC}">
                <c16:uniqueId val="{00000005-B058-4611-999B-36A98E9EC690}"/>
              </c:ext>
            </c:extLst>
          </c:dPt>
          <c:dPt>
            <c:idx val="3"/>
            <c:bubble3D val="0"/>
            <c:spPr>
              <a:solidFill>
                <a:srgbClr val="7B1314"/>
              </a:solidFill>
              <a:ln w="19050">
                <a:solidFill>
                  <a:schemeClr val="lt1"/>
                </a:solidFill>
              </a:ln>
              <a:effectLst/>
            </c:spPr>
            <c:extLst>
              <c:ext xmlns:c16="http://schemas.microsoft.com/office/drawing/2014/chart" uri="{C3380CC4-5D6E-409C-BE32-E72D297353CC}">
                <c16:uniqueId val="{00000007-B058-4611-999B-36A98E9EC690}"/>
              </c:ext>
            </c:extLst>
          </c:dPt>
          <c:dPt>
            <c:idx val="4"/>
            <c:bubble3D val="0"/>
            <c:spPr>
              <a:solidFill>
                <a:srgbClr val="7B1314"/>
              </a:solidFill>
              <a:ln w="19050">
                <a:solidFill>
                  <a:schemeClr val="lt1"/>
                </a:solidFill>
              </a:ln>
              <a:effectLst/>
            </c:spPr>
            <c:extLst>
              <c:ext xmlns:c16="http://schemas.microsoft.com/office/drawing/2014/chart" uri="{C3380CC4-5D6E-409C-BE32-E72D297353CC}">
                <c16:uniqueId val="{00000009-B058-4611-999B-36A98E9EC690}"/>
              </c:ext>
            </c:extLst>
          </c:dPt>
          <c:cat>
            <c:strLit>
              <c:ptCount val="5"/>
              <c:pt idx="0">
                <c:v>United States</c:v>
              </c:pt>
              <c:pt idx="1">
                <c:v>Canada and Europe</c:v>
              </c:pt>
              <c:pt idx="2">
                <c:v>-</c:v>
              </c:pt>
              <c:pt idx="3">
                <c:v>-</c:v>
              </c:pt>
              <c:pt idx="4">
                <c:v>-</c:v>
              </c:pt>
            </c:strLit>
          </c:cat>
          <c:val>
            <c:numLit>
              <c:formatCode>0.0%</c:formatCode>
              <c:ptCount val="5"/>
              <c:pt idx="0">
                <c:v>0.98213508695932328</c:v>
              </c:pt>
              <c:pt idx="1">
                <c:v>1.7864913040676774E-2</c:v>
              </c:pt>
              <c:pt idx="2" formatCode="General">
                <c:v>0</c:v>
              </c:pt>
              <c:pt idx="3" formatCode="General">
                <c:v>0</c:v>
              </c:pt>
              <c:pt idx="4" formatCode="General">
                <c:v>0</c:v>
              </c:pt>
            </c:numLit>
          </c:val>
          <c:extLst>
            <c:ext xmlns:c16="http://schemas.microsoft.com/office/drawing/2014/chart" uri="{C3380CC4-5D6E-409C-BE32-E72D297353CC}">
              <c16:uniqueId val="{0000000A-B058-4611-999B-36A98E9EC69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84039414564704851"/>
          <c:w val="0.96682457589059367"/>
          <c:h val="0.15960618687395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8383734549246683"/>
          <c:y val="2.8277260805995564E-2"/>
          <c:w val="0.60998885134394543"/>
          <c:h val="0.73875878730872724"/>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DDB5-499A-B104-6F6375BDBB19}"/>
              </c:ext>
            </c:extLst>
          </c:dPt>
          <c:dPt>
            <c:idx val="1"/>
            <c:bubble3D val="0"/>
            <c:spPr>
              <a:solidFill>
                <a:srgbClr val="FFA3A3"/>
              </a:solidFill>
              <a:ln w="19050">
                <a:solidFill>
                  <a:schemeClr val="lt1"/>
                </a:solidFill>
              </a:ln>
              <a:effectLst/>
            </c:spPr>
            <c:extLst>
              <c:ext xmlns:c16="http://schemas.microsoft.com/office/drawing/2014/chart" uri="{C3380CC4-5D6E-409C-BE32-E72D297353CC}">
                <c16:uniqueId val="{00000003-DDB5-499A-B104-6F6375BDBB19}"/>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DB5-499A-B104-6F6375BDBB19}"/>
              </c:ext>
            </c:extLst>
          </c:dPt>
          <c:dPt>
            <c:idx val="3"/>
            <c:bubble3D val="0"/>
            <c:spPr>
              <a:solidFill>
                <a:srgbClr val="7B1314"/>
              </a:solidFill>
              <a:ln w="19050">
                <a:solidFill>
                  <a:schemeClr val="lt1"/>
                </a:solidFill>
              </a:ln>
              <a:effectLst/>
            </c:spPr>
            <c:extLst>
              <c:ext xmlns:c16="http://schemas.microsoft.com/office/drawing/2014/chart" uri="{C3380CC4-5D6E-409C-BE32-E72D297353CC}">
                <c16:uniqueId val="{00000007-DDB5-499A-B104-6F6375BDBB19}"/>
              </c:ext>
            </c:extLst>
          </c:dPt>
          <c:dPt>
            <c:idx val="4"/>
            <c:bubble3D val="0"/>
            <c:spPr>
              <a:solidFill>
                <a:srgbClr val="7B1314"/>
              </a:solidFill>
              <a:ln w="19050">
                <a:solidFill>
                  <a:schemeClr val="lt1"/>
                </a:solidFill>
              </a:ln>
              <a:effectLst/>
            </c:spPr>
            <c:extLst>
              <c:ext xmlns:c16="http://schemas.microsoft.com/office/drawing/2014/chart" uri="{C3380CC4-5D6E-409C-BE32-E72D297353CC}">
                <c16:uniqueId val="{00000009-DDB5-499A-B104-6F6375BDBB19}"/>
              </c:ext>
            </c:extLst>
          </c:dPt>
          <c:cat>
            <c:strLit>
              <c:ptCount val="5"/>
              <c:pt idx="0">
                <c:v>Food and beverage</c:v>
              </c:pt>
              <c:pt idx="1">
                <c:v>Delivery service</c:v>
              </c:pt>
              <c:pt idx="2">
                <c:v>International/Royalties</c:v>
              </c:pt>
              <c:pt idx="3">
                <c:v>-</c:v>
              </c:pt>
              <c:pt idx="4">
                <c:v>-</c:v>
              </c:pt>
            </c:strLit>
          </c:cat>
          <c:val>
            <c:numLit>
              <c:formatCode>0.0%</c:formatCode>
              <c:ptCount val="5"/>
              <c:pt idx="0">
                <c:v>0.97627660532623162</c:v>
              </c:pt>
              <c:pt idx="1">
                <c:v>5.8584816330917505E-3</c:v>
              </c:pt>
              <c:pt idx="2">
                <c:v>1.7864913040676774E-2</c:v>
              </c:pt>
              <c:pt idx="3" formatCode="General">
                <c:v>0</c:v>
              </c:pt>
              <c:pt idx="4" formatCode="General">
                <c:v>0</c:v>
              </c:pt>
            </c:numLit>
          </c:val>
          <c:extLst>
            <c:ext xmlns:c16="http://schemas.microsoft.com/office/drawing/2014/chart" uri="{C3380CC4-5D6E-409C-BE32-E72D297353CC}">
              <c16:uniqueId val="{0000000A-DDB5-499A-B104-6F6375BDBB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78547588479925956"/>
          <c:w val="1"/>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Inputs!$B$108</c:f>
              <c:strCache>
                <c:ptCount val="1"/>
                <c:pt idx="0">
                  <c:v>Fixed</c:v>
                </c:pt>
              </c:strCache>
            </c:strRef>
          </c:tx>
          <c:spPr>
            <a:solidFill>
              <a:schemeClr val="accent1"/>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Inputs!$H$108:$Q$108</c:f>
              <c:numCache>
                <c:formatCode>General</c:formatCode>
                <c:ptCount val="10"/>
              </c:numCache>
            </c:numRef>
          </c:val>
          <c:extLst>
            <c:ext xmlns:c16="http://schemas.microsoft.com/office/drawing/2014/chart" uri="{C3380CC4-5D6E-409C-BE32-E72D297353CC}">
              <c16:uniqueId val="{00000000-C818-4D7E-86F0-AA705E8DA356}"/>
            </c:ext>
          </c:extLst>
        </c:ser>
        <c:ser>
          <c:idx val="1"/>
          <c:order val="1"/>
          <c:tx>
            <c:strRef>
              <c:f>Inputs!$B$108</c:f>
              <c:strCache>
                <c:ptCount val="1"/>
                <c:pt idx="0">
                  <c:v>Fixed</c:v>
                </c:pt>
              </c:strCache>
            </c:strRef>
          </c:tx>
          <c:spPr>
            <a:solidFill>
              <a:srgbClr val="002060"/>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Inputs!$H$109:$Q$109</c:f>
              <c:numCache>
                <c:formatCode>General</c:formatCode>
                <c:ptCount val="10"/>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04924280"/>
        <c:crosses val="autoZero"/>
        <c:auto val="1"/>
        <c:lblAlgn val="ctr"/>
        <c:lblOffset val="100"/>
        <c:noMultiLvlLbl val="0"/>
      </c:catAx>
      <c:valAx>
        <c:axId val="100492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5"/>
                <c:pt idx="0">
                  <c:v>China</c:v>
                </c:pt>
                <c:pt idx="1">
                  <c:v>Europe</c:v>
                </c:pt>
                <c:pt idx="2">
                  <c:v>Rest of Asia</c:v>
                </c:pt>
                <c:pt idx="3">
                  <c:v>Japan</c:v>
                </c:pt>
                <c:pt idx="4">
                  <c:v>Rest of North &amp; South America</c:v>
                </c:pt>
              </c:strCache>
            </c:strRef>
          </c:cat>
          <c:val>
            <c:numRef>
              <c:f>Segments!$D$6:$D$10</c:f>
              <c:numCache>
                <c:formatCode>0.0%</c:formatCode>
                <c:ptCount val="5"/>
                <c:pt idx="0">
                  <c:v>0.22581945475761109</c:v>
                </c:pt>
                <c:pt idx="1">
                  <c:v>0.22377214384215546</c:v>
                </c:pt>
                <c:pt idx="2">
                  <c:v>0.1273363742441922</c:v>
                </c:pt>
                <c:pt idx="3">
                  <c:v>0.11515858703723345</c:v>
                </c:pt>
                <c:pt idx="4">
                  <c:v>6.6086772037763858E-3</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458-4C4D-847F-D2D86AAD1B71}"/>
              </c:ext>
            </c:extLst>
          </c:dPt>
          <c:cat>
            <c:strRef>
              <c:f>Segments!$B$17:$B$21</c:f>
              <c:strCache>
                <c:ptCount val="4"/>
                <c:pt idx="0">
                  <c:v>Industrial</c:v>
                </c:pt>
                <c:pt idx="1">
                  <c:v>Communications</c:v>
                </c:pt>
                <c:pt idx="2">
                  <c:v>Consumer</c:v>
                </c:pt>
                <c:pt idx="3">
                  <c:v>Automotive</c:v>
                </c:pt>
              </c:strCache>
            </c:strRef>
          </c:cat>
          <c:val>
            <c:numRef>
              <c:f>Segments!$D$17:$D$21</c:f>
              <c:numCache>
                <c:formatCode>0.0%</c:formatCode>
                <c:ptCount val="5"/>
                <c:pt idx="0">
                  <c:v>0.45764869365976812</c:v>
                </c:pt>
                <c:pt idx="1">
                  <c:v>0.11461637194895567</c:v>
                </c:pt>
                <c:pt idx="2">
                  <c:v>0.12781237071846061</c:v>
                </c:pt>
                <c:pt idx="3">
                  <c:v>0.29992256367281561</c:v>
                </c:pt>
                <c:pt idx="4">
                  <c:v>0</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4</c:v>
                </c:pt>
                <c:pt idx="1">
                  <c:v>3</c:v>
                </c:pt>
                <c:pt idx="2">
                  <c:v>3</c:v>
                </c:pt>
                <c:pt idx="3">
                  <c:v>3.4</c:v>
                </c:pt>
                <c:pt idx="4">
                  <c:v>2.25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CN"/>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B0-439D-8074-43EAB194AB32}"/>
              </c:ext>
            </c:extLst>
          </c:dPt>
          <c:cat>
            <c:strRef>
              <c:f>Industry!$B$28:$B$39</c:f>
              <c:strCache>
                <c:ptCount val="12"/>
                <c:pt idx="0">
                  <c:v>ANALOG DEVICES, INC.</c:v>
                </c:pt>
                <c:pt idx="1">
                  <c:v>TEXAS INSTRUMENTS INCORPORATED</c:v>
                </c:pt>
                <c:pt idx="2">
                  <c:v>MICROCHIP TECHNOLOGY INCORPORATED</c:v>
                </c:pt>
                <c:pt idx="3">
                  <c:v>MONOLITHIC POWER SYSTEMS, INC.</c:v>
                </c:pt>
                <c:pt idx="4">
                  <c:v>SKYWORKS SOLUTIONS, INC.</c:v>
                </c:pt>
                <c:pt idx="5">
                  <c:v>MACOM TECHNOLOGY SOLUTIONS HOLDINGS, INC.</c:v>
                </c:pt>
                <c:pt idx="6">
                  <c:v>MARVELL TECHNOLOGY, INC.</c:v>
                </c:pt>
                <c:pt idx="7">
                  <c:v>#CAMPO!</c:v>
                </c:pt>
                <c:pt idx="8">
                  <c:v>#CAMPO!</c:v>
                </c:pt>
                <c:pt idx="9">
                  <c:v>#CAMPO!</c:v>
                </c:pt>
                <c:pt idx="10">
                  <c:v>#CAMPO!</c:v>
                </c:pt>
                <c:pt idx="11">
                  <c:v>Others</c:v>
                </c:pt>
              </c:strCache>
            </c:strRef>
          </c:cat>
          <c:val>
            <c:numRef>
              <c:f>Industry!$I$28:$I$39</c:f>
              <c:numCache>
                <c:formatCode>0%</c:formatCode>
                <c:ptCount val="12"/>
                <c:pt idx="0">
                  <c:v>0.10059972254828728</c:v>
                </c:pt>
                <c:pt idx="1">
                  <c:v>0.16690854764699606</c:v>
                </c:pt>
                <c:pt idx="2">
                  <c:v>8.1468359833528972E-2</c:v>
                </c:pt>
                <c:pt idx="3">
                  <c:v>2.3552449044925833E-2</c:v>
                </c:pt>
                <c:pt idx="4">
                  <c:v>4.4584355991889875E-2</c:v>
                </c:pt>
                <c:pt idx="5">
                  <c:v>7.7854871411802366E-3</c:v>
                </c:pt>
                <c:pt idx="6">
                  <c:v>5.8777078220040552E-2</c:v>
                </c:pt>
                <c:pt idx="7">
                  <c:v>0</c:v>
                </c:pt>
                <c:pt idx="8">
                  <c:v>0</c:v>
                </c:pt>
                <c:pt idx="9" formatCode="0.00%">
                  <c:v>0</c:v>
                </c:pt>
                <c:pt idx="10" formatCode="0.00%">
                  <c:v>0</c:v>
                </c:pt>
                <c:pt idx="11">
                  <c:v>0.51632399957315123</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0390149706"/>
          <c:y val="0.22126729854607483"/>
          <c:w val="0.59525806158563488"/>
          <c:h val="0.6866670256649665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pt idx="0">
                  <c:v>ANALOG DEVICES,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Inputs'!$G$76:$Q$76</c:f>
              <c:numCache>
                <c:formatCode>General</c:formatCode>
                <c:ptCount val="11"/>
                <c:pt idx="0">
                  <c:v>0</c:v>
                </c:pt>
                <c:pt idx="1">
                  <c:v>219</c:v>
                </c:pt>
                <c:pt idx="2">
                  <c:v>218</c:v>
                </c:pt>
                <c:pt idx="3">
                  <c:v>144</c:v>
                </c:pt>
                <c:pt idx="4">
                  <c:v>148</c:v>
                </c:pt>
                <c:pt idx="5">
                  <c:v>0</c:v>
                </c:pt>
                <c:pt idx="6">
                  <c:v>0</c:v>
                </c:pt>
                <c:pt idx="7">
                  <c:v>0</c:v>
                </c:pt>
                <c:pt idx="8">
                  <c:v>325</c:v>
                </c:pt>
                <c:pt idx="9">
                  <c:v>278</c:v>
                </c:pt>
                <c:pt idx="10">
                  <c:v>0</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pt idx="0">
                  <c:v>TEXAS INSTRUMENTS INCORPORATED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Inputs'!$G$77:$Q$77</c:f>
              <c:numCache>
                <c:formatCode>General</c:formatCode>
                <c:ptCount val="11"/>
                <c:pt idx="0">
                  <c:v>0</c:v>
                </c:pt>
                <c:pt idx="1">
                  <c:v>2471</c:v>
                </c:pt>
                <c:pt idx="2">
                  <c:v>1077</c:v>
                </c:pt>
                <c:pt idx="3">
                  <c:v>1184</c:v>
                </c:pt>
                <c:pt idx="4">
                  <c:v>2250</c:v>
                </c:pt>
                <c:pt idx="5">
                  <c:v>2070</c:v>
                </c:pt>
                <c:pt idx="6">
                  <c:v>1950</c:v>
                </c:pt>
                <c:pt idx="7">
                  <c:v>2080</c:v>
                </c:pt>
                <c:pt idx="8">
                  <c:v>2169</c:v>
                </c:pt>
                <c:pt idx="9">
                  <c:v>2220</c:v>
                </c:pt>
                <c:pt idx="10">
                  <c:v>0</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pt idx="0">
                  <c:v>MICROCHIP TECHNOLOGY INCORPORATED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Inputs'!$G$78:$Q$78</c:f>
              <c:numCache>
                <c:formatCode>General</c:formatCode>
                <c:ptCount val="11"/>
                <c:pt idx="0" formatCode="#,##0">
                  <c:v>0</c:v>
                </c:pt>
                <c:pt idx="1">
                  <c:v>1999</c:v>
                </c:pt>
                <c:pt idx="2">
                  <c:v>1623</c:v>
                </c:pt>
                <c:pt idx="3">
                  <c:v>2461</c:v>
                </c:pt>
                <c:pt idx="4">
                  <c:v>1600</c:v>
                </c:pt>
                <c:pt idx="5">
                  <c:v>1560</c:v>
                </c:pt>
                <c:pt idx="6">
                  <c:v>1320</c:v>
                </c:pt>
                <c:pt idx="7">
                  <c:v>1500</c:v>
                </c:pt>
                <c:pt idx="8">
                  <c:v>1530</c:v>
                </c:pt>
                <c:pt idx="9">
                  <c:v>893</c:v>
                </c:pt>
                <c:pt idx="10">
                  <c:v>0</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pt idx="0">
                  <c:v>MONOLITHIC POWER SYSTEMS,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Inputs'!$G$79:$Q$79</c:f>
              <c:numCache>
                <c:formatCode>General</c:formatCode>
                <c:ptCount val="11"/>
                <c:pt idx="0">
                  <c:v>0</c:v>
                </c:pt>
                <c:pt idx="1">
                  <c:v>3170</c:v>
                </c:pt>
                <c:pt idx="2">
                  <c:v>3784</c:v>
                </c:pt>
                <c:pt idx="3">
                  <c:v>5841</c:v>
                </c:pt>
                <c:pt idx="4">
                  <c:v>6124</c:v>
                </c:pt>
                <c:pt idx="5">
                  <c:v>6698</c:v>
                </c:pt>
                <c:pt idx="6">
                  <c:v>6670</c:v>
                </c:pt>
                <c:pt idx="7">
                  <c:v>7147</c:v>
                </c:pt>
                <c:pt idx="8">
                  <c:v>7610</c:v>
                </c:pt>
                <c:pt idx="9">
                  <c:v>6837</c:v>
                </c:pt>
                <c:pt idx="10">
                  <c:v>0</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pt idx="0">
                  <c:v>SKYWORKS SOLUTIONS,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Inputs'!$G$80:$Q$80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legend>
      <c:legendPos val="b"/>
      <c:layout>
        <c:manualLayout>
          <c:xMode val="edge"/>
          <c:yMode val="edge"/>
          <c:x val="1.2949953955591448E-2"/>
          <c:y val="0.84488196610549504"/>
          <c:w val="0.97702197074670194"/>
          <c:h val="0.15511803389450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ANALOG DEVICES,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pt idx="0">
                  <c:v>0</c:v>
                </c:pt>
                <c:pt idx="1">
                  <c:v>0</c:v>
                </c:pt>
                <c:pt idx="2">
                  <c:v>0</c:v>
                </c:pt>
                <c:pt idx="3">
                  <c:v>0</c:v>
                </c:pt>
                <c:pt idx="4">
                  <c:v>0</c:v>
                </c:pt>
                <c:pt idx="5">
                  <c:v>0</c:v>
                </c:pt>
                <c:pt idx="6">
                  <c:v>0</c:v>
                </c:pt>
                <c:pt idx="7">
                  <c:v>0</c:v>
                </c:pt>
                <c:pt idx="8" formatCode="#,##0">
                  <c:v>1109</c:v>
                </c:pt>
                <c:pt idx="9">
                  <c:v>833</c:v>
                </c:pt>
                <c:pt idx="10">
                  <c:v>0</c:v>
                </c:pt>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pt idx="0">
                  <c:v>MONOLITHIC POWER SYSTEMS,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pt idx="0">
                  <c:v>0</c:v>
                </c:pt>
                <c:pt idx="1">
                  <c:v>0</c:v>
                </c:pt>
                <c:pt idx="2">
                  <c:v>0</c:v>
                </c:pt>
                <c:pt idx="3">
                  <c:v>0</c:v>
                </c:pt>
                <c:pt idx="4" formatCode="#,##0">
                  <c:v>10343</c:v>
                </c:pt>
                <c:pt idx="5" formatCode="#,##0">
                  <c:v>11185</c:v>
                </c:pt>
                <c:pt idx="6" formatCode="#,##0">
                  <c:v>12196</c:v>
                </c:pt>
                <c:pt idx="7" formatCode="#,##0">
                  <c:v>12811</c:v>
                </c:pt>
                <c:pt idx="8" formatCode="#,##0">
                  <c:v>14590</c:v>
                </c:pt>
                <c:pt idx="9" formatCode="#,##0">
                  <c:v>14319</c:v>
                </c:pt>
                <c:pt idx="10">
                  <c:v>0</c:v>
                </c:pt>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pt idx="0">
                  <c:v>SKYWORKS SOLUTIONS,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pt idx="0">
                  <c:v>MICROCHIP TECHNOLOGY INCORPORATED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#,##0</c:formatCode>
                <c:ptCount val="11"/>
                <c:pt idx="0" formatCode="General">
                  <c:v>0</c:v>
                </c:pt>
                <c:pt idx="1">
                  <c:v>7465</c:v>
                </c:pt>
                <c:pt idx="2">
                  <c:v>7083</c:v>
                </c:pt>
                <c:pt idx="3">
                  <c:v>10289</c:v>
                </c:pt>
                <c:pt idx="4">
                  <c:v>11541</c:v>
                </c:pt>
                <c:pt idx="5">
                  <c:v>11028</c:v>
                </c:pt>
                <c:pt idx="6">
                  <c:v>13020</c:v>
                </c:pt>
                <c:pt idx="7">
                  <c:v>10791</c:v>
                </c:pt>
                <c:pt idx="8">
                  <c:v>9971</c:v>
                </c:pt>
                <c:pt idx="9">
                  <c:v>9860</c:v>
                </c:pt>
                <c:pt idx="10" formatCode="General">
                  <c:v>0</c:v>
                </c:pt>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pt idx="0">
                        <c:v>TEXAS INSTRUMENTS INCORPORATED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#,##0</c:formatCode>
                      <c:ptCount val="11"/>
                      <c:pt idx="0" formatCode="General">
                        <c:v>0</c:v>
                      </c:pt>
                      <c:pt idx="1">
                        <c:v>25704</c:v>
                      </c:pt>
                      <c:pt idx="2">
                        <c:v>25439</c:v>
                      </c:pt>
                      <c:pt idx="3">
                        <c:v>25098</c:v>
                      </c:pt>
                      <c:pt idx="4">
                        <c:v>2512</c:v>
                      </c:pt>
                      <c:pt idx="5">
                        <c:v>3047</c:v>
                      </c:pt>
                      <c:pt idx="6">
                        <c:v>2914</c:v>
                      </c:pt>
                      <c:pt idx="7">
                        <c:v>3662</c:v>
                      </c:pt>
                      <c:pt idx="8">
                        <c:v>5403</c:v>
                      </c:pt>
                      <c:pt idx="9">
                        <c:v>4071</c:v>
                      </c:pt>
                      <c:pt idx="10" formatCode="General">
                        <c:v>0</c:v>
                      </c:pt>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ANALOG DEVICES,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pt idx="0">
                  <c:v>0</c:v>
                </c:pt>
                <c:pt idx="1">
                  <c:v>3</c:v>
                </c:pt>
                <c:pt idx="2">
                  <c:v>3</c:v>
                </c:pt>
                <c:pt idx="3">
                  <c:v>3</c:v>
                </c:pt>
                <c:pt idx="4">
                  <c:v>3</c:v>
                </c:pt>
                <c:pt idx="5">
                  <c:v>5</c:v>
                </c:pt>
                <c:pt idx="6">
                  <c:v>4</c:v>
                </c:pt>
                <c:pt idx="7">
                  <c:v>5</c:v>
                </c:pt>
                <c:pt idx="8">
                  <c:v>5</c:v>
                </c:pt>
                <c:pt idx="9">
                  <c:v>6</c:v>
                </c:pt>
                <c:pt idx="10">
                  <c:v>0</c:v>
                </c:pt>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pt idx="0">
                  <c:v>MONOLITHIC POWER SYSTEMS,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pt idx="0">
                  <c:v>0</c:v>
                </c:pt>
                <c:pt idx="1">
                  <c:v>95</c:v>
                </c:pt>
                <c:pt idx="2">
                  <c:v>131</c:v>
                </c:pt>
                <c:pt idx="3">
                  <c:v>192</c:v>
                </c:pt>
                <c:pt idx="4">
                  <c:v>163</c:v>
                </c:pt>
                <c:pt idx="5">
                  <c:v>183</c:v>
                </c:pt>
                <c:pt idx="6">
                  <c:v>198</c:v>
                </c:pt>
                <c:pt idx="7">
                  <c:v>223</c:v>
                </c:pt>
                <c:pt idx="8">
                  <c:v>234</c:v>
                </c:pt>
                <c:pt idx="9">
                  <c:v>196</c:v>
                </c:pt>
                <c:pt idx="10">
                  <c:v>0</c:v>
                </c:pt>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pt idx="0">
                  <c:v>SKYWORKS SOLUTIONS,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pt idx="0">
                  <c:v>MACOM TECHNOLOGY SOLUTIONS HOLDINGS,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pt idx="0">
                  <c:v>0</c:v>
                </c:pt>
                <c:pt idx="1">
                  <c:v>0</c:v>
                </c:pt>
                <c:pt idx="2">
                  <c:v>0</c:v>
                </c:pt>
                <c:pt idx="3">
                  <c:v>0</c:v>
                </c:pt>
                <c:pt idx="4">
                  <c:v>0</c:v>
                </c:pt>
                <c:pt idx="5">
                  <c:v>0</c:v>
                </c:pt>
                <c:pt idx="6">
                  <c:v>0</c:v>
                </c:pt>
                <c:pt idx="7">
                  <c:v>0</c:v>
                </c:pt>
                <c:pt idx="8">
                  <c:v>1</c:v>
                </c:pt>
                <c:pt idx="9">
                  <c:v>1</c:v>
                </c:pt>
                <c:pt idx="10">
                  <c:v>0</c:v>
                </c:pt>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pt idx="0">
                  <c:v>MARVELL TECHNOLOGY, INC.</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pt idx="0">
                  <c:v>0</c:v>
                </c:pt>
                <c:pt idx="1">
                  <c:v>0</c:v>
                </c:pt>
                <c:pt idx="2">
                  <c:v>0</c:v>
                </c:pt>
                <c:pt idx="3">
                  <c:v>0</c:v>
                </c:pt>
                <c:pt idx="4">
                  <c:v>0</c:v>
                </c:pt>
                <c:pt idx="5">
                  <c:v>0</c:v>
                </c:pt>
                <c:pt idx="6">
                  <c:v>0</c:v>
                </c:pt>
                <c:pt idx="7">
                  <c:v>4</c:v>
                </c:pt>
                <c:pt idx="8">
                  <c:v>4</c:v>
                </c:pt>
                <c:pt idx="9">
                  <c:v>7</c:v>
                </c:pt>
                <c:pt idx="10">
                  <c:v>7</c:v>
                </c:pt>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pt idx="0">
                  <c:v>INTEL CORPORATION</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pt idx="0">
                  <c:v>22</c:v>
                </c:pt>
                <c:pt idx="1">
                  <c:v>22</c:v>
                </c:pt>
                <c:pt idx="2">
                  <c:v>28</c:v>
                </c:pt>
                <c:pt idx="3">
                  <c:v>22</c:v>
                </c:pt>
                <c:pt idx="4">
                  <c:v>23</c:v>
                </c:pt>
                <c:pt idx="5">
                  <c:v>42</c:v>
                </c:pt>
                <c:pt idx="6">
                  <c:v>45</c:v>
                </c:pt>
                <c:pt idx="7">
                  <c:v>53</c:v>
                </c:pt>
                <c:pt idx="8">
                  <c:v>48</c:v>
                </c:pt>
                <c:pt idx="9">
                  <c:v>52</c:v>
                </c:pt>
                <c:pt idx="10">
                  <c:v>0</c:v>
                </c:pt>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pt idx="0">
                  <c:v>MICRON TECHNOLOGY, INC.</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pt idx="0">
                  <c:v>FIRST SOLAR, INC.</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pt idx="0">
                  <c:v>0</c:v>
                </c:pt>
                <c:pt idx="1">
                  <c:v>0</c:v>
                </c:pt>
                <c:pt idx="2">
                  <c:v>0</c:v>
                </c:pt>
                <c:pt idx="3">
                  <c:v>0</c:v>
                </c:pt>
                <c:pt idx="4">
                  <c:v>0</c:v>
                </c:pt>
                <c:pt idx="5">
                  <c:v>3</c:v>
                </c:pt>
                <c:pt idx="6">
                  <c:v>0</c:v>
                </c:pt>
                <c:pt idx="7">
                  <c:v>0</c:v>
                </c:pt>
                <c:pt idx="8">
                  <c:v>0</c:v>
                </c:pt>
                <c:pt idx="9">
                  <c:v>0</c:v>
                </c:pt>
                <c:pt idx="10">
                  <c:v>0</c:v>
                </c:pt>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pt idx="0">
                  <c:v>ALTRI, S.G.P.S., S.A.</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pt idx="0">
                        <c:v>TEXAS INSTRUMENTS INCORPORATED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pt idx="0">
                        <c:v>33</c:v>
                      </c:pt>
                      <c:pt idx="1">
                        <c:v>33</c:v>
                      </c:pt>
                      <c:pt idx="2">
                        <c:v>32</c:v>
                      </c:pt>
                      <c:pt idx="3">
                        <c:v>37</c:v>
                      </c:pt>
                      <c:pt idx="4">
                        <c:v>37</c:v>
                      </c:pt>
                      <c:pt idx="5">
                        <c:v>37</c:v>
                      </c:pt>
                      <c:pt idx="6">
                        <c:v>42</c:v>
                      </c:pt>
                      <c:pt idx="7">
                        <c:v>46</c:v>
                      </c:pt>
                      <c:pt idx="8">
                        <c:v>51</c:v>
                      </c:pt>
                      <c:pt idx="9">
                        <c:v>51</c:v>
                      </c:pt>
                      <c:pt idx="10">
                        <c:v>0</c:v>
                      </c:pt>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pt idx="0">
                        <c:v>MICROCHIP TECHNOLOGY INCORPORATED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pt idx="0" formatCode="#,##0.00">
                        <c:v>144</c:v>
                      </c:pt>
                      <c:pt idx="1">
                        <c:v>129</c:v>
                      </c:pt>
                      <c:pt idx="2">
                        <c:v>160</c:v>
                      </c:pt>
                      <c:pt idx="3">
                        <c:v>183</c:v>
                      </c:pt>
                      <c:pt idx="4">
                        <c:v>186</c:v>
                      </c:pt>
                      <c:pt idx="5">
                        <c:v>351</c:v>
                      </c:pt>
                      <c:pt idx="6">
                        <c:v>376</c:v>
                      </c:pt>
                      <c:pt idx="7">
                        <c:v>312</c:v>
                      </c:pt>
                      <c:pt idx="8">
                        <c:v>282</c:v>
                      </c:pt>
                      <c:pt idx="9">
                        <c:v>265</c:v>
                      </c:pt>
                      <c:pt idx="10">
                        <c:v>0</c:v>
                      </c:pt>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ANALOG DEVICES,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pt idx="0">
                  <c:v>0</c:v>
                </c:pt>
                <c:pt idx="1">
                  <c:v>0</c:v>
                </c:pt>
                <c:pt idx="2">
                  <c:v>0</c:v>
                </c:pt>
                <c:pt idx="3">
                  <c:v>0</c:v>
                </c:pt>
                <c:pt idx="4">
                  <c:v>0</c:v>
                </c:pt>
                <c:pt idx="5">
                  <c:v>0</c:v>
                </c:pt>
                <c:pt idx="6">
                  <c:v>0</c:v>
                </c:pt>
                <c:pt idx="7">
                  <c:v>0</c:v>
                </c:pt>
                <c:pt idx="8" formatCode="#,##0">
                  <c:v>1109</c:v>
                </c:pt>
                <c:pt idx="9">
                  <c:v>833</c:v>
                </c:pt>
                <c:pt idx="10">
                  <c:v>0</c:v>
                </c:pt>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pt idx="0">
                  <c:v>TEXAS INSTRUMENTS INCORPORATED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#,##0</c:formatCode>
                <c:ptCount val="11"/>
                <c:pt idx="0" formatCode="General">
                  <c:v>0</c:v>
                </c:pt>
                <c:pt idx="1">
                  <c:v>25704</c:v>
                </c:pt>
                <c:pt idx="2">
                  <c:v>25439</c:v>
                </c:pt>
                <c:pt idx="3">
                  <c:v>25098</c:v>
                </c:pt>
                <c:pt idx="4">
                  <c:v>2512</c:v>
                </c:pt>
                <c:pt idx="5">
                  <c:v>3047</c:v>
                </c:pt>
                <c:pt idx="6">
                  <c:v>2914</c:v>
                </c:pt>
                <c:pt idx="7">
                  <c:v>3662</c:v>
                </c:pt>
                <c:pt idx="8">
                  <c:v>5403</c:v>
                </c:pt>
                <c:pt idx="9">
                  <c:v>4071</c:v>
                </c:pt>
                <c:pt idx="10" formatCode="General">
                  <c:v>0</c:v>
                </c:pt>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pt idx="0">
                  <c:v>MICROCHIP TECHNOLOGY INCORPORATED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#,##0</c:formatCode>
                <c:ptCount val="11"/>
                <c:pt idx="0" formatCode="General">
                  <c:v>0</c:v>
                </c:pt>
                <c:pt idx="1">
                  <c:v>7465</c:v>
                </c:pt>
                <c:pt idx="2">
                  <c:v>7083</c:v>
                </c:pt>
                <c:pt idx="3">
                  <c:v>10289</c:v>
                </c:pt>
                <c:pt idx="4">
                  <c:v>11541</c:v>
                </c:pt>
                <c:pt idx="5">
                  <c:v>11028</c:v>
                </c:pt>
                <c:pt idx="6">
                  <c:v>13020</c:v>
                </c:pt>
                <c:pt idx="7">
                  <c:v>10791</c:v>
                </c:pt>
                <c:pt idx="8">
                  <c:v>9971</c:v>
                </c:pt>
                <c:pt idx="9">
                  <c:v>9860</c:v>
                </c:pt>
                <c:pt idx="10" formatCode="General">
                  <c:v>0</c:v>
                </c:pt>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MONOLITHIC POWER SYSTEMS,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pt idx="0">
                  <c:v>0</c:v>
                </c:pt>
                <c:pt idx="1">
                  <c:v>0</c:v>
                </c:pt>
                <c:pt idx="2">
                  <c:v>0</c:v>
                </c:pt>
                <c:pt idx="3">
                  <c:v>0</c:v>
                </c:pt>
                <c:pt idx="4" formatCode="#,##0">
                  <c:v>10343</c:v>
                </c:pt>
                <c:pt idx="5" formatCode="#,##0">
                  <c:v>11185</c:v>
                </c:pt>
                <c:pt idx="6" formatCode="#,##0">
                  <c:v>12196</c:v>
                </c:pt>
                <c:pt idx="7" formatCode="#,##0">
                  <c:v>12811</c:v>
                </c:pt>
                <c:pt idx="8" formatCode="#,##0">
                  <c:v>14590</c:v>
                </c:pt>
                <c:pt idx="9" formatCode="#,##0">
                  <c:v>14319</c:v>
                </c:pt>
                <c:pt idx="10" formatCode="General">
                  <c:v>0</c:v>
                </c:pt>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pt idx="0">
                  <c:v>SKYWORKS SOLUTIONS, INC.</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pt idx="0">
                  <c:v>MACOM TECHNOLOGY SOLUTIONS HOLDINGS,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pt idx="0">
                  <c:v>MARVELL TECHNOLOGY, INC.</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pt idx="0">
                  <c:v>0</c:v>
                </c:pt>
                <c:pt idx="1">
                  <c:v>0</c:v>
                </c:pt>
                <c:pt idx="2">
                  <c:v>0</c:v>
                </c:pt>
                <c:pt idx="3">
                  <c:v>0</c:v>
                </c:pt>
                <c:pt idx="4">
                  <c:v>0</c:v>
                </c:pt>
                <c:pt idx="5">
                  <c:v>0</c:v>
                </c:pt>
                <c:pt idx="6">
                  <c:v>0</c:v>
                </c:pt>
                <c:pt idx="7" formatCode="#,##0">
                  <c:v>2088</c:v>
                </c:pt>
                <c:pt idx="8" formatCode="#,##0">
                  <c:v>2088</c:v>
                </c:pt>
                <c:pt idx="9" formatCode="#,##0">
                  <c:v>2339</c:v>
                </c:pt>
                <c:pt idx="10" formatCode="#,##0">
                  <c:v>3188</c:v>
                </c:pt>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C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7HpZc+U2kvVfcdTzRxv70tGeiAHvpl0qqVTLC0OlkgmS4AaAC/jrJ9V2d1eV3fbM+xeOKMcV7iWx
JPKcPCf//rz+7dm9PPkf1tZ14W/P689vbIzD3376KTzbl/Yp/NhWz74P/S/xx+e+/an/5Zfq+eWn
L/5pqbryJ4Iw++nZPvn4sr75r7/D08qXfvcUn/ZdrGK6m158evsSJhfDn47+h8EfXv7xmIc0vPz8
5rmfuvj6uLLquze/DZ19+fmNePPDT18/4Leh66cWfvXf7vNTVz199/2XpxB/fkPwj4hLihFGjEqE
sXzzw/LyOoL1j0QwLLTQRGuKBXvzQ9f7aH9+w8iPQiCtECEM/k8lf/ND6KfXIap/FIxppRGmQmIF
Q/+c123vUtl3/9qF3z7/0E3tbV91Mfz8Bp4z/Pqt10VJghU8XjOuGWFEEEJg/PnpLWw7fBn/v3Ea
q7GLRZkXtZ3vmi660ci5zva9G9bOfLUpf/AyQn/3Oo2k5gwxJWArKIEVf/M63tasTI3No+/Zh03H
6jOSox2NC1N/pTI2xcOiusqbviXL50BbVRpXkvk61UnQU9u5YjPVxOubtUil25c2THqnp6G+YxMT
eGejqFBeUN1eBBbbPm+7YTmbJ9R1eaV5g80qkPrQFGVfGJYKvppZEJ/yssB9bSSp20dufTsY7Gt6
1wjf3+qlnWEuY12ZsqnknLPo2LzLmKo++GIozxbphs7YTbUqD6xeNlNUw8AN8h3ReWwK8knTTI55
StI+Bs0FzhF22pm1a1dlOM8ylG9ZpO0OC5nJXDXDfF16178Pa9Fe9MtQvy076etTTRObc4e7YTJx
GaciRzMjmcmmcbydZ0nKPY4Jzy+1bEaxj3iLn8pe8xtb2I0e0ur5BxWmLJnZOyKMdmQRebZ14yNa
8FqdstDOs9maMt3JJnbtrktk6HM1ZONHwnTxvtKr63eIKycN71BYTIm2MeUULcsnhqqADbFYvSdp
XqlJa2w/t22qlkPPUqzMNIZQ5gEpNedrqfHdkpUtPbHIA9/JDU939UJFZsZlamNOp0plJko2o+Oy
imnKu8WrC4jaARnlk35QitgB4kXxzZTd0M1GZFJ8sqtgxLSRsKesDRnJ3VbTci+aZP2h82m8TUuc
P9d+mZiZ9BYn01fTyvOWhXk0DCnyjiHut7zZVnWYx3Gzx1guCeX9sqR3cVi6DtbP6sEIJuabubBu
M2Fu/ZgXtuc7nml56ESP1yONzL9UA+q7PSNx2TUEQuZSebvonHglvpR1VmOTXEIPXUlCtUPW+22f
hjmgE0Y+7C128/SBLbwRhiRLakMhO5K9a+TyqbTrOppiFTQY33sU83KUVWnYlAg3BVt0e9amwNyZ
YC7ZHMIk+6xqIe2OZFmIr1FXcBNiZeFkbVHHXaNSoGbFbujNZLPxnnoOyYH61XYHTFfm9qRhZM0Z
JeqW0EA6oxbNmnwcm9iYgRPf7OeNjr0ZsyoQg4bUNGbCTWgN0mL5RU/10JpFObjNMI0HTtdlPInK
BrknmDBq+iwNNl9Q0lkuWxfxgehlegjRU20gdfl+T6lqriTvB2qabFXX7dpldm83Pn7Z6DxtOS7w
JIwadZ/2XlbxaRBKVvDQspd7qxb3aUkx9oZMQ+F3RVXJcs+2kr4slLfxqh6SDId18KE/bhZX/Fxn
W/lg3TIse7J2vjvwaozPzm4i5tPcInoVU2jGvF9ntRjn7VQaGrbNGyac+LSJzMcdrT25iUKmR1kF
9DC4uXtbatuEHHk333LtON5voyLjjjdUtrt/pOKffgXHb4DguR+Sr0r7Gzr+6+N/Xf0TdP/++rN/
//0VYf/96WZ46e6jf3mJV0/D99/85oeAO7+9/xWcv/nwO6T+J2T9IYz/h8H/HVAr/BUovT7+G6Q+
PPn+5Yez4J66L+FrvH792a+AnYkfCRdKaUUQQLCS/wLsTAIqM0EBMLXUiqt/A7YgP1JNiYA/coI4
kupfgC0wDDEEMC+xoEhx/X8BbKy/QWzOOGYcUa6JklTBLXiF2K8Qu+47i9nUsbyCwLkLtcZnzJcP
hYrVfp5TcaZ9FfZk2ja4gxk/ElVX13XhyHlVN3Bz/bJTg7D3JWrYaavstVpkvERZbO5WLG+/2tw/
QHwKe/UVv/h1trAvEksNV5qI19V8NdtFDUXdZx3N1wKHx6JzWOZD79XDQHuxmJ4NojS1PiNkWHqz
sGl8a2ffrpDxa3wWqyqEvca0PdSWqhPljhpnHdxWDcnDGl5tkzZ1yl6atY7XaGzjdT3KwgyJNdYQ
Vm93VpBsN/Ubvx9UUfqc6Yxupi5aDle0RZsy/VzEd3bkU22IyJpbTAqUV04OJO984T7ppu2rv+BC
GALiu52B3SHANRSTnAE1+XZn4uI2xtuR5GOGDK9jOuhFtB8d0Vk4SRmqvFYFIma2+HoYqiiNlN36
MAyyb/MSKFK+DZXcO5Qs3ndiIHeAibo1GeftLjE6/sWEIUx/N2HOBMyVUyQxHOm3E0YMBxUEx7mn
ZXYfu8KdoZ6T5+hU542vuD1HZCjeVbzk0ciCqJMs6AMJGA2wlm0uzMr4payncswF4FNmForSIxpp
fCxaWGM+Fc0STCyCfTsPYb1b52lac78lYG1pTkPOpQaYWuhaf9pq4GbGFS7bR4IlkKi4YG8gTuyX
aRPNnNcz451BS6fyKcXkdmFdh7ttiXFfZMM05jJLzbpbpH2Q3VJ8mCiu81nY9m2s5PA0IVhGzbea
7DY9TKduBZTN11ZlHy2Z/ClhFb4ENwA7WZ2FyfetT7t5E/qKcpndLloON32bXGV0xNXdn9+s1/z0
ffxwpalA8N/r/XqNr69uVja23hcow/lCx+roZVF1RtawJdSpogJm5UWzX0hhTdYJte9wqQ9ymthb
YFeO51kmjAgon5mfbytZS7ZXFOGHcS7XzThFx5tSER1yQaPlgOxlfaXTQBYzboW3+wUP6Woq+tNg
O78YP1RwSIgVwOnCVOYLni9TEYDpczcx+FEWq3xM1u2tbSA5d9n06OZ+i4em6eEGhtJedd5t1pSi
qe+jEFQZoPgeWGVdNECryr6BRaUUcrZk6VKOjcEDG2qjigQswFK0pyg0eRNIewGMMlzJqefiMM7Z
eJ2akHa9ovJiKtNYmmqNrtltjo2XtnVkyCdR0duKiJssqHXXTd1kT2NzR6YRtUZv9gDkpTx0QyHf
i9TycBA9t/derd7tZJVdZKSISz6WYedbrB7F6NZL1lL3lmxarflfnP0fHL0mUguuEFKCfJdUHdka
gXAk+eQguKrk0WVDtbgehUbHDcjzTnEXPvebRVd//mb8WqD9u158zeecQ+2pMKVQsxL0mu+/irq2
3FTRLjXJA9QEe54N68f6dVs9JxdBze6MxWk8cj4DxVts7nQ27Eg12atMj2yvBwiVJaDu4s+nRf7g
MgisuYZ7ACun/Lu6Eq+sX5VLONdLRfeWyflYD8FDGSYns0FBdqADFXnbUp+Piy+NzEr3DkrAmPcW
aK6gUF5MvqA7UlJ0nlVS5BZqxMsFubU1rqPPwArGfAxQL/753CX6/ZYKmDkU+0JrBHT12y1NE2t9
YzXOi4zVl6Kr07ovMEndqWjwfVcAscvr2usPyLVZzOvG3zTD8Itt64KYhtt5MHKZZG0c0lAVuLZF
N6zBY30Q61DuSeXXg1u22vQ4yS1flrIKpuiWce8xnvap2sI17cS4K1ga9hz28b3jMuVYL3i/9Lio
DVQuw0XvU/pC0Oy1seu2XASf3dTFcrMJny05ErJ6IFGUcPCN9jfwPfdEU8G8ybCVV3WxVrtOte6M
1qx4y51br9uugshFyTBIVqb3Jb7IRNqgll20utCMsToHYlAdgqq3k28gUzEa0gcSlb13RY0/tBUm
q6mInWcon0lz3MKMTFfbDXaT+tnI5PQOpyB2xT/wYk4Wxv78BF8VnO8vhYSrJQii8pXsvJ7wV5ei
3gCAEsY4f0X7BzJhdnJdN+185+Z9iDLkfAt1DpkHXdB1q6Cgs8ismUrHls3zvkWlNbWTyGzrNOyj
HPBeZIId/3ye9A8iTUoJEK0l4SBKkW/nGco50ckigIy5bd6PI1UXWdYaWjJ86GohDhBB9IigYt1P
VpS5H8eP49ws51ot9ZFslYYYYzSPWW3zTmByFqd5vNiwMl0o6wNWlr0b08Z3YYtyX4oh3Q4WxCTt
Df/YzH19HVthj62c2pPPxuyvDuJbeQmyE+MCwJBgeDcIY4R+u8CsqgrVjgssEDfktvSsOUcTm3LU
FwH0HOnPeharS9yPK2DVjjoz67XaCzHDCiaOTDmJLwjw7K8uOf5dgoKZaf2KoBQRkPW+Y+2DaosO
iRbnGASDWya7eZ8lP+VYzmeNwu5U+U6bqD4IBBCJ2fk6Lfrw5+f/B7sjESiHDGkMeUZ8l2iqqo7r
yDTKh2F55hUTp1nP+NCScvurfPw7cssgukD0lAAR+rVQ+fYg1pDqzCGH81Cu7rYYh3CTIKed96Gi
hYkdH25BLwifeknLRyxECYX3SoKZQQm7IJRVQCC1w5+bfjqBNFNWZgTFTZgtoWi21m3HuqeiA+ZO
m/oo5mG7U72rH9BYD0Xe9P6pczI6g1E1nstSr2rPaH3zF/v5Gk7fgCHjioJ4y0HOpEKo78INirQZ
Vd2I8gXoza5bU5uDyNpdLlZt76bE2J6W61wCAJV1NGFhN/3MoJQfpoW2ebbY+1BLDpy1nevSFMgO
z4XX6b7a/AWafP/Q+i4E44a55ya1yj+NbFOPwAv4Yc7KPhrsGiDTfJ7MgguF9/UimNFjNe2UGETO
5gTyeSvpeWHt9Fj2Qn1wS6MuaEbk5yUyIMyD5vyyGYnoTdZP4kJOvB9NsM0ZKIcg+LSja7gZ1YOI
0/phWHHn9rp/B3XXjI+DBVWE4fqGtqjYcxtI9WvQ/n+h4g1WcEH/s6dw++SfyukpfS1S/OMnv6kU
nIFMITVoEeCPgFmAwaH41VfIQIwQIDgIkBxgBGgaJPrfjIXs1XTQmIEZASXnPwb/JVTAmf8IxQRV
8FAN/wqm/i9KxbfpRkCZyBjRFMgYBjkF0t+3OSABrwdluWzgErj7DpMJWFZL86Eo5a9i1jda1n82
Mf75JgESA2RXodl3pJTNjcDAnZp9I1O6HqBwu122hu37NfR/wdb+aFEUgS0jYAc5VF/fLoowcChI
hEUhi2+tgyo9w/zt6Iu/yC1weF+lll+XBFQQgUED0uvvCK3WfAx9o+t9A2nR5WGtuelAVb8YVOQg
F5TN+6+C6/bXrPX1Hn7LYX57IYc8BvxAS66+y9iQgFjF6qrZcyjDbnSvPtVL7a8yRdkB2Glm4HKH
v8JrJb+tJ+C1CgAHzkyBHQTl5PdBUrRhzHSgds8wk7fZnNxLN6RiXzWdPVFr1f28DgvUb0nuaQzD
qcLKna/DLK8LyFQ77qnb8aFp32tchUNd+uV8lkjcbrZUOTBrfmnT5M80yoYTLoW8r+dtAyq8ViaE
4Ip8a3WFTdsP8WKYnToXa9+ACsPbvSRWu7wZuz7kvhniDjht0YJIv+IPxTZHEEIa+XFGRXu0NIsM
MnzIbtTM1HOBCvaJwdFVRm5+MMDw19LEKULhWrTxSfbui23mOgdGeT0HWV9URM/5ODQa7zYaa9gP
Kc1agdwytnS9UN67E/AEYZpYZe8xs+qay3HZ43aOByHAx4PCW66PneThCCVhddMsigB2iAr0QR1P
HLVPqB/JqRiXrjTjHMrHV6r35CcoM4ZY8t6gtQEbpE3pGSncOyjhlDtsfJmOGStenThwhnaZmLg1
uhpggx2ppxteozEaMa7ucwSanBdRQFnteF/nYULNrmkz/2F2oXmLmVsepB3wmUo1B+thE+BXdOSz
2GiW1xXqTOjKiu62osouV1KqXVYhbvyipudSpMwUtsAPGR2mzKi+4FWeYgtFU++b09y64sxXCu3J
NpY7QNJwbkva3NTOl7cAZcUZlnGbDYY/nqb2VTupW+d2vk/80FQ1E6ZQawHKH5nPwXiJ91Dpj8K0
bbdgQMRWnsea248lGLPYQCHc59vsRL7ZZj3QDdFzLWn3RMoABWYfa/I8g/UwmaYN02l5FWiNjVDo
OHB8ThjoWG3G4NN+mkq8Y20/H1Ff3VRBbiEft+lLhBRw3q56Gg0SSxgMpR6/jQjE+gmhcFEXpTgT
CDZ344weqrCNNkfNYmfTjUvIB1K7Xe3i+GEUc3km5ppCqTTb/aQzK3d0mrcd2A6dmdtq29E0Lye9
Yv4Yl7m/JYMY97bsmrzoh+K9iludY1KLDxlr0blqbfPI0Qzi6Ti6TylTcj/2cjjWm3qJuOsOsavk
B9yDI8tFTA+Vbsu33czFpZiZfle04ICB1KOOoUTluY62u0Jw+9YcaCJ6R0G5uJnoUFxjXKnaxK1b
723B0a7pl+JLBW7Hzcq7Ot+SbC50tTZ3GQ/hg6KDjHcsDqPbZzCN8JxZNtg9SbqtT7FLqD8s3RwR
+IxAK2cDXmDRv/UNmLvHcibjeFKrWNu7GZHa7sYpG9GXTrvFHeg8T8WxA0emOxZcgbcGfkDfX1kU
ilNDg67fNQ2l2JTJoS9h1pM8JLSUaV9WrwLoqPqmvAJIgf3eyrVReZEi+7SNmYi7lWwSrMKmneIu
Kxq2nItqkMGIUt2i2J5kjTA/OsLKaLwe2AKKZMrqU8dhsk9KpumhmnvW7LjeGrnnYPZfKbWBz+YS
a5dzy5eiP+90mt93LWLzEYyK9amdwQcxIwsghI8krM8TqrPtOHWBPi5ToeV5I238pR1CuseptfSh
borI864V2QR2HNnsmc+yhu1a2Q7rha0pjjtgBO6tL0tlsgrE4KLxRzSwBjxSluVFiJcceb2DPobe
+CCL3RR9cZhnaEHwIJjuxn45L5U9jMUEAdel4pHOFRRKbV3/wmza8nmwzqRRDy6HcFrhi4OShmV9
PJacnvtOQQEwaXSRTWAiF7AfZ9mcvdRczpcjy4bbOFTgvjvoIchBvj712ZIMBP99A+HVRyDzJW5O
CN53xCuoKtHqhzCFGy/EqehaNcC7FDq0YzgOpTgnch13CgRD0xUM3xCWHqfXPQKzGBBor0Z/IeNy
IWx21g7ywq3ucVnGD8CxqyPom898xE8U/OY6siP28yUWwzuF7PwOcOg4JnFCogTX1ntuHPB6My2x
NQVZSlOW01nfgSlJeAY9DNtjk+DamKIsd4PcnlzlL/sGrNGJH6P2v4QeH3vKbhgbdq0b7vvR3XVU
d0YjdlwEPVbSTp8myA2mtUXYMSnO5LxVpukCu5674hfLlofKxxuJIUh0dzeQ6XqQxO97q9/7DFRU
DVKsSbFoD2UId2qAOJq3k0TjhXXjsUgjqDS1fV6RzocpmVK/TEOazMj1zm7usR+GaNxrNdM4KJia
ypmioDkeu0vO14+VkCfKeD6HNQf3KN8avHd1a1iMT36GGW/40jbppmX+3Nswmixh4JvDBt8YD8Ev
e5C5b2JYWsORuC57ArhPpyso78g9k34PyudxnNeHtlyaXHDfX42qOLW+hTgi7YlP+JAGTY106WMB
2mdeC3e+LHHPKuUMwa9tND10Giyz7ndLn7HjtI79rlxBa08ddFngxUPhqqDFRvJkiPZ5r1xmQNE4
9qMFDSj528zW43usZpUPlPmbqZK3dGbTAO4+7S/dNoGtNTJ3mKfqnFWz3tWjhWq5cQ8VB2qImu4K
BLny2LjuMG3VGRhcFzzYJ9c3XzqKwF9j5R7aUEB1I+S8BplnBuu8rER1r1t1Aeo4vYFmhC5XS6ZP
8AJYfN3tZZF2g6foIGPmD2C0v09FemFDDwSFiwncD9Cwkp1cvoUFWjAilndE1sN1hep251wPigvy
4GS10aw6m+5QHPSZ7vmHkIGcvIR0oWVdHIRDZ+PWomM5xPh29lNx6PtxObRZAUoAWZ5IttqrUW7y
fErLLbgep4SKKWeebFdNxs9GlfWnatnOfBnW3SqzTxSw/oSndTatwldg0Nx169KcPClXo1ldf2yQ
ym02XDurwwcLFVK+eIfMFMgxFcvbrg3NLk7Vh6hFOED/w4ck4I0gI4d8VetdmKvHHi9vW8Uu9BJK
o0kPPoYujsNCyDWW2dUiQTy2IoLjGe39mtA1pvMZbYc7TdP5VIXLGft1NZ3w607bbjmOvbrCm9v2
CrWf3FheCOZP/brc9CPvDmkil4yDG5jwL021nCQd3462eHROvKWcXpeNv5TO3jZ6mg/zNu1x2hCI
dxPNq7Q+C1TtUsr2rFFnOvpTAHlvG9llBtfVMJUOfWiuelteu7qpD0pV1/2MP9O13W1TdZxjrcB1
gBSEM/UJs/FtmXCbcyZv6sbtpaIH0uAbH1yTI5A7sN2yS4G6h7ihzx0WINC6eWczEIR712cQsos9
DzS1QAWXY6l0A01DazLCga9ol6nJE+wL4NJ2Oa74cqvhrgfvIRf2GWjTFadv5RivMQwaxSZ8ig3o
5KtX2gwDnU0cJmn0QN5lAZ91vRr2yG/StGhOZ3phJM88+YIUHGIzgFeXsTXHTfY8OIYOHBTB85ou
CJJieOd6dt/ZCXpRqhm84qVrTSBcW+Opr+64H7ecg29jSkKgbaiHfrFJzc9gXRV5Nw9Xk1iy82rJ
9htcbQgV/SG47tPqu50M9Xa/rU6ZgXpkGgngFOI2HoZF40Oc3Xse5wSPXD6mFl+1DvBGCgx7O7Tg
5YHHemJb6HdxDfUXMsvPJLpjCtlF8v1T0am0X0lxA2lqzwRsrytdPAyigR4agTfw1kV58Aoa1sZy
vve9BHAZxBmsH5Yiuuu6Gl7cGi4UAjdxFmvKwbOt8ioU2pCysRerZsDfag39YNBqZSJx4aKYAzv0
cc3ONjeF2kB7XXcS0IJw7DdRo12Hhho4aznu8EgnQ/v00m7TsGvcbE0HbV+QModuT9w4HmMx8W5H
oF3I4IDWx82l9TyUGX8uddk8gN9wHUKd8ph8e79NLTXbkHW7xRbksm0iFCIoiukRdRLnTQv8GLVh
+dx5osqctOCft7RX9xX0g+z6Emq+17sIUVeWZQ4aS/+CV7tdZkPFH+eS619kaedjXGi2GtHWwy5V
zZAr20S9V0FveTk7+9YqIp4asI9OntGrjRb2sCDVXLtEqpd62iT0AOkgPmUCepsmlnGAB6DVeSyL
BsTCUZ91yq7E2IDSWTVhaKOqV6KOW9dB0VTillzaYq3PI8IVWKLjuOuquN0WSswHsfD12jd9vI8x
8Bsqm/bKN/pjv1HogoyIvRQO4wLssQjljShFXjYQo72O/aWHLHhksW8uB9+Ie5+6eo/oxK9jlzWm
J249FKMfd9AOmPIC8fmmAyn5Mc1hK3JmodWqSEO4EsssL0KFw2RqFYq7QZftrsF9ltOigus0j9P7
CtrYLroM/w97Z7IkuZFl2V/JD0hQoBMAXTYmm83n8GEDiREzFDNU8fV1LUhmhXtEhne2SC1KpMkN
KWS4wQCF6nv3nvuc3EAcgJMrM1ae6Frn91ZaovxNbHvpglIkZYwV637mxFJRiwP0UWMVfnPdqY/m
YqGftGTV0S7Xi49r2kNW93np96JAbSGLbMiwrpda+gLv/r6EAbah6exuO56MJ5GMVVTl9tdp6Nw4
teUY8iTz7gut2VUnSXe3rOBHzLCgPKvJLhNr4pez92XuSRKl2Ej2wyrxoDXtw8xulTmIdJ1ue1Ff
VA230N1mKGjXhPrypPY5T60lxQuWoWqi15WNdWuOdg3R2/vWDIZ5KvIElsO1m1FjppPNu5wsYees
ZRG69Wjb1egbx1tY1Jmy6INqSZw60pVbKSheFjkNvUj4tQNb4XHkteG+0AXj/sxVeltzcySCY3Ot
l2FnZyncQ5qrcjPSzntsjGBotvI04MlS19hiVOTg6lGIZixukp7GhFTdsQVyGTm5N4Senu1ImW6K
gIOaiHR1splqR8QEgN8W2C3Kk3WOemYAv2YsBMjaxGXduJBgCh54Hhvhy1PvyAj3gCsm192Caolo
OYBylHqjcPCv8D9p7y8uHhe42A2+qt6X3Gs3aPnvQJmCL0gXb5eY3PHnsYuKcUlPxaCfubd+dXJd
+MYSMHvYaEWzlbF91iYb3q+3Xokmh8LxTdt6CaRK5yMYgzGsViJircE5zO007ccy70/t6C2bqVqr
Q2Z4BZqqI6gwGXtKpPNZ433epLagIQDYJlaVM0V5MplINfw+oSiCDaCBKS8kOgqajkGrZRa4Y+Ic
RgpABb7HfOprt42Ttul3I8iFzK8TirNy1dZ5qiNn8UisR2WFLjhKIMPrJ9lnWHlc20ENnyI2pMOL
ZehUB3Xm3AjOYcsbB1zHesT1iEAYScMe66jzlVQqbD17t+bKPeJVBtnSuyywSoIbX2b8qm/bs86V
3GWOPcYp13LfwRE2PkSs4nFQ9cz8oU2X3dRXn1oFh9WpxjJyPALP0yvVRhs4/nxIRZDa4JrzZfiY
m7WJM69RgQLVG2dJmu9ATXdXnZpuizR1QrdPP8y2DYPeLGXUd+ZFjx33W3tOopoqucX77m5T7ZiI
dhKn9WzHqoYMMTeEPZm66eJkzvpAQycAWcrOkDrNuYNSG6KrrEO0GNNBlHoN2FACvKqEMDEgfF+h
4ghqgoUJMC7x+y6BdJdayQGN2keblt96pzlkHrbmBf7TudDGO+UyuQJpgXaip/Mzk1axkybT1cWW
+kY4TTq/I1PzIGbsglWd3rSjnR89q8GmtjIZz3aRbT3gfs8EG/OuLe0+HJvOPWGLLwLRecMWbUwV
4SCYfEgsVaCLnEamd8XOHsQUVZTopxXyajQ4njlCB6+vCr0YNDpF88lKkuWGQ5ovQNiJ4lmMTRm1
Hkl2Cb58NLR6jTo6gs6BhJ/spjqr99Q2bmz3o30rW1FUgYFNG6S1ZT94HbAeajEnyutmugPBww7o
xdtI9W73mFrpEhCr607F0sidlUhS+HwtIGwW7YTmqJBt5re1l5wtR8MX7LoPZirXnUlKFswIQASC
9WBFKK39dKk+0pzgHAb/609192Hl7EzS1r5K1QAgx5WoytyuKbSfsqXKw9JI9wOF5xjmK003WvbW
HkRM5a9WVUOEUA9lC5l9DYlKVOYi7aA4ikXLCpaE09Bo0EZErE9YDsV26FcejYBcQCYqCZh9Rgma
4fXwxYyVwlEoD+Sl5kpt2UggOjOr8/E+XTt6HvwMIYB4KqHXFyQrAwnY8nruqvrMe3bu26Ya/NU1
dihz29lZKn8YK/JAPDAZQ5OhkVewoUvTgdpueuwSWBJeL22fzWXARudDZwHxbniLEmaNV3SJS9ns
5ASuXLfPbuFti4RdM+O91Hr+hFJKoMQt5k23eONVxvUX3q48LvhQRwl30XYMw6csXcKxbM2uyy00
eZ097kCJimu8c/1pVeV47HHEb+uCDGGbV2abdamOnJaVcZq7ln1dUlXuzZKfRG4eWWc+WkU3oWNb
zF2z2sMtXyBwdGOamqDqayeiI71qYUuCT9eL59cLWXyeL4eJTkvciEY+JoPRj4K16KOYZ53UhOK5
yrnvtnr0U8/Jg4rrO9j2H0BJHRQpq7iqyxBOJU64PnX8XnfPjWO6kCbLpp313nWzLYqGEILu0bjc
e+kMztEys0P0U9vZne6WPo9G7YV1ud46bdXCm3djUUAKyW1kU9YZLKbThAysJrDQPL9Z+iGEAB72
+ENKYC0WU7dbmnznanF2c/kke/tQLCJoOd2sabFPO7711vpec9uLq7wO7HzaTgr7pcxvBmu6n7P2
oW+moFfeFppqnOk6miCHyHrepwgFVJkTLwn5OsIgGIgbGme4bqxVvFDKwn4hYUVw2K7tENIOEZ60
jwZl1sfCrbfrjLBCJoJqNlGLQr2qrEPf4e1t5IG5oACSeQmgOsTaAtLvDtdgD2Mp6g9tvYZZ3j+b
dPEHqDHLpbVZ033aZEEt2rgkdswtMz7PtRP3Jb1zusFvezr6ICHk3kjnIWmnAEBzVPEJq2gNZdnF
pkSuoMgS34Xy71Ccb64bLJDf/bT+UrO2O+taDtuFqhCnxn6hS/u0MLavRb/J5mXHM5zqeaJ3acrC
THGwviVKhGY+jqrZoDHFWk3YsRmXHQSDQGdDMONKy1Q9t0UfpkUR4PwIkQ66hhv65FrYBr0Uh7bt
HGvR3MJ4x0ttj5BWGmzeyRi7isAVIHgYU1C4zlG7wyZz5gCaxzUDXhakoGKqDL7R6MWWLJsjbuVJ
iuR+HHtUGZ/ZQo9Dnsc6L6/5wg9dMZXhUA33TlJdGy+DuqzxQ6A+o9mRdI6nND2mUsFoyuu7xO5O
lYH6hROdjWBSu3oOkWVq/WZhN2kGnnWVL6a2ggovX4rDA/qotdW0QERipYHj6GPZD6fBa7FfeCdr
ag/V0IWVwLtsqV2ToO2f8I5JDePPb5ep93HK37RVemRz8bIM07UBdwwLYdzTYg0yIrxbCOsGZUAV
qmQaI0c4JyCm2resi4DZd36jZn3DSgpZW5Q4EMbiGgf+TeWMpx4l5WqXEBAopDV8+3LWKPbleJib
7LbLkW/q3fnQVsi+TBe8bbE3eSbjlpODrqcmGBbZBJCdrhtRHzmrK1DFy+0szF1WJaFb0EM+2XPQ
sGGJJtZX/iixmwL9RVRLsSkec3ubZwl6T6wr9LaRU/AX5iUeFInpWfHpQ8+xdVqVXsNycA+cGjdM
q/6LvUw4XaZvOtO7fil2XMlQN/nznLk3cIweqGg8KO/TS8Xmw1p6cgcv4p5j12rhDcLjPI0y+wSg
eZ/NMk4K59rIYpt6CbZLmD0kl1nYJ8B1SX+7CIgKdJF5QHJ96DjZibLeJFI8eKt15YLQRUhmTf0h
5XdT3gxB0o8BT6sTGK+vgGR83dFNq60r6WQf5TBbAXSXXcLR+F1aOYWvvljqCr1JyOzyIKrskEh9
Wzrd7WTDzMvEsG/a4Yzz70XlkgcO8R4qkNCbmo6on1wvSuEKBvXaXLl9eezpVG4Sa32Eg+0vtT7U
crqqsmZFX5HYR2+18zuSog+3pkKf1xWu3OKpFJXGTKe7Na/vy2LRQZZAJiltKzW+Qae1y3hCdq7M
JJCe0hwXYs9+Jddz2+fj1hvwXuD9qHaD6dxNqrl3rrCHbMfOJQ/m4guCsINCT7zR+C4d5a7SvAvo
1EDw8fom2yDhx56swhQrFp1cD7nNyIkKMQblOFRdrDqEikjfX0ogz4lhJMNEBhmzLccqu6vXpPhU
MlpcV+aSEiylQVJqSexwynN6O5tcXDM3A+locplu66S0v86zhBJjkWXCRpTkwAOTtY07O/tUZTrp
t0nOOQJQRTo9W0tncEIuarkm3dQugZbehMOKlnSLn/1pqhIaJHXT33RwD7eqpO4dy+X66FjCu2rr
2TsDvyXIQlbomGWeruEwczvK+kpfQzpkz4mV2S8LlOStWiqpfVElbex0dhIUsOGqKE9lB5dnrOPE
zZfbDk8mMihvoqQdUFRRnGEgAPOPsnMZFIt1Ch096gCuOkM9brD7gD07iEmzGHYCRWGXyFuRVBU8
5gF9Y4XiIvdHi7KYQCXBxj4vJz7T/OQZ4eAZNXT5UDWJDhJ07vtZLN7HrEa8TlCooGmJCJ/nTXO4
8Eo/2NNYICOQfk1LnALKmLzzxwUHAJF2uwV3Nu29CT3Rkg9fiix7cUcxXuVQDyKylN39VHN78rka
5qPUpdqZdSrvegFhtV1yiDLQVcMV6GzgKtEEJawUu4byk2CjhCkJAVW466cG3uDiZ1IuO20N1aYd
QKON9urGrte1h071DV4gbG1daodckbOC5h5ryG630l7LQz6KDcCEG1hD7DarV9TBXY//3QbVE2qv
aaIZ1fajHvS6q1gJnWwYmyFEDTtHIq0gqOdmjkZIqCFlkJpmBrGhAx55SpRrnY3KlOO7s1YtMjQa
yoWaqytqFlhmDU8PvNcLzo4luZwmIC78pU2ncz4wFkyCFIck48WNrdyXrqddDP1niNPSqTaonWRg
uaLOfVvhYJ/SEamc2VU5VsAAs6lEBHc/iVLeybGUs4/Y7/BlJYndB+nU13EHlPnKa+0a7ZrTZOG0
0mkzL3JF0Y/yDS2+yzcrH5Cgy00BM73PUmw0DPLJKek13w9eOu552QKMV93qQOjI2nKOa62L7QQD
tA9lWiSo/WnP70mb0jYUmq0BHEMoAGO6yqu6nkDFtsYyqBhHc9blBFeLpOMTGUi9Lec8C6VYMig6
ozjlMOrwMy3n3CaDi9BnAZVSmHr1vUJR/59rA2KnnQikBIncJtZyatME+3WCVkJVCXmSTuFkT8wF
k+7rDM5W6DraZrt/jhnpCAIIRZTOAKxgb3gpgTc2dvbZ6dxh3PyzrMticBiEiraQ8LOyHJ8VGKxx
HRStyT6kCUNP/J0V+p9g8uav/Tj1X/+B7ODwj3hqvnwcEaz/XxAjJLaDqL4EOffvEb3/82n6x2ka
Pr5C9P715/7k9IRA/B+cnYs+HrQT6Nu/Mb3LfwGJ6zgILQiKEQBAsv6i9Kj4wwMr4oDCg80qHAoM
7a/4/+U/4cdwG/lXgStEPvDvuORflNfv4v9v0HUXfbV7CRO6HIwuWKzvfNYP6Lo1rQrHP4Q5tGd7
ZoiMTJGEWYJW2V4pAdIJrG5B1EWSygeuA03PTqFcizLmIitjsRKz1eBQ0OiNwSA89Scj9j+x1v6X
BVUxeuF3i+s6Hz9/BPX9q7Dq9z/6FweKdfCH61LET6SNXQ5P9O8FZoGG/MMVNp7tX3MksPb+5kAp
+wP7AUIzoDOpxxBd+NcSs7DGMKaBcInhExRVPP1PlthrkhGWOSI5AqsMrB/AfCLewJmOHLt2hnd3
FlpZUQ0eygYd4jfogsLUsor3mMJLiOEHKBuf5yEchnyS9BziArZ/TWj2vNY5kRk9Ww34ATu75NRz
lQXD7JzXhb5g7oKKEfwpNlZyXddPVtoxyH3UbH54Wr8AKulrohJfnIGlpIJi8gcCF4hpvb4Qtdbw
ewelzi2DAbFSDIVoUImQWmeHbvg41E2yYXl2CcFm7haAx7d0WO4a2Kch1/BbGne4mZREncAAzYGc
93XNyS3lyXYsADKlqu7CDs5jBKCJhWM657v1mTrgHZp8Ue8g/Yy8Rl/xfWD3oQkXHkhMCCTkDfra
ii6rBbqJE0yqNAvQHgLhYJ+Fgz58iDndT/YWujgvd+kY9+O2Gm5ASfXXst0Vk+/yrUCj/xVEG6yZ
fjO0HwcvWmnUZz68NnzfDsMBhpM6GXUs8thrAugzMBMviiwPRQSArQuZG6T8FlYOCLuu8J0mpl/Q
V5ZWDLl8PS+F3zbb7JG8VCYw7iYf9sSc4PAu3U6hxbiSzQfnknhRnxuyB9AzuRBrgLyGyVYBaULA
tArlHCJGR+rN5G1YH9coQqZgdUN3CbWIQWCa3K95kMkgz8P2drru09hBv3fTPrjP7BlusIF8jaEh
KG3Rzsf18Fh68KHQIocQRa0j/LnNpzSSqW+5PnlUN9ajRM8pA9uJNSpslNbDZz1GMw1VBucwGD9j
IEqXBDNIq0MbJi+dvRUShYBvBOjCjUG8BjLlqTi5O4zQuOs8jM3wk6+DG3ul72lfHdJPeGribsC3
KrbGBVTqu/fIvW3gg2yyDRyB7JQ/rsAmzXbtdgUC1lfLhzg5yeN0SM4G2ue9OoxxddRPkEQ5JGoU
S+GchumnFcpJYPZ9LHbJbcV9CDPIfer2BBRCY/bF9Wz5UPhk6NR+eSWfq411XJ/rT83JQ5HbhgVU
jzgJ6Gb5VsCTvKmOsGKOMB4iG32Knwbti9lBmPoARCxIAifCd9wh3d1lfhWVhZ/VmP4RtN+Kb+hc
im+N8Qt7B2VU7Hs/jdVhSX28fOt1ceIqxA19bjYiyHfdGLZFMMWwhL+UO/Vkio289Y7rRp7maNnJ
r/O5OssblLIWdMvz+hGvbR+lDOgsBH8/v0bs+qa5wcALOYWa+3kZFBxdH1JgQSv+/zGYj+Yyg4hS
bCT/vsa6mz9iuFL/5cca6/sf+fP4Y+wPVEGcwigElu96BLvsnykIYv+BsUY2TgDUX5eQ/X+XV97l
WHQ584C6o/z6Tp3/VV65/A9g9zinbCEvpRF+3n9QXr2OzCMZdDn0oJ4CbMdoCFzh6yPAsvS0loNN
wFsNyxVRnll916IEfT3UTe9Iui6FWQCSwWD4DIzdozXXxH384Yb94iR6U+T9eRmeJNi0MTiKe+6b
k6hBInCQ4EbgHOWwJBKtudwpT8LJnvMlecnXlYJAdNvqaeocBCqnXuYmKpxSmO3UdiBHcO/5LkkZ
LEKepcPeKXsLHgSIPphLLm/S63eu+U0wADFKsLDITFLUD3iO3wdL/FCYFsUqCWbnsMjL0FLbrDGb
PHHHs4LieZhTKiKMVcpuh4sUDinJ2dWAK/wCAtkhnR1Q5UXSYWRClni9/86lvc7yoSjHpeHabGYL
24Ytfbn0Hy5tsnHrCIqvSCykPrjGAUZm0iJC7zbHoHZuijVnO8gcQ7gCbtjmq+ihzE9d9c6VvE7Z
/XUhjmCXws9DMvtSev1wISWgD3i+GVzWVYLN4MgYfoVhV12LzlpAaXgXgHJF3MGsJnmnznpd3fz1
2S5SPcinIA/zNvvWJzlin4mL5+MwoGV61im2wKmAxD57OAFAE+F8Ut00hf/57UdBSQTKELxXSMC/
/tYDYtrIJbQsaiD9R7WlJUhPIARbpIQvvO5S9zu78TCTAJOdbpfJYK7SBKbbLRP5V3fyb5NH34ue
/642L7cBVS0Sv0AykLiizuU2/fAInNXrxUptGtHWGu0YdhjMhYIwzBhQ0EdomI6NKvZ9QQ2KCEdX
H1uygkp12i5FX/mvffH/5jXH+BlkwbB3UWTz8S9vXvOFO82alAMgpI6bzOfz0MUuBnad0qlELHtx
quQZUo0M0qWtzjlPzMNs5d39LGyUNY3dwek07XPPNbIXRS5CTF3CFIR1TN7ZkH5et9/3RVTFmGSD
vNabJzjmhUhze5GIwGYTFGob7m+HsPpx7NMTxUiPM2a58Ttj2nT7zj366d1FK4SGF1Ft9DaYvYeu
58fnBUkomftuQH252nZMKCSSQIF5hmBotfZzXg/0kQDy+FbKTG+18gC3cZ3HpeeO70S8vqeRX60d
XIGHnB3WkIcu63tm+Ie1MyEVamuTAmHP82r2y047eFUVtrXjyKoV3KlszJ5ih75aDRjlnZw7gARj
rj0Zjh5Zb6BMs/zQdBaZH0Efh6pJhQXSeS3aYFVTP8fMNuRoCYYcgqK1HjdDo9zK525VyaA0untv
xt/PbwREBJwxeDvR7DE0f6/vcFExR+QEkhsX4wgCaJm2yINUwZIteTh3isWsZMDEG1p81vNsIdWk
5/f26NdNJ15LXIQroI64BCcT/uH1RWBLBtCs9BSjHcI4k2HskGYCbkFOcnQfmrp6L1v/i4eJwxUa
HVLPHFFg780nsqnXLTFyijU3y7MN+TeGNcDvqV01XthhTlHQgrg4dqtqj2Ar7L0Ra7YXdHRvGlV/
GSiSAWCTO98YWnxolZNG7iwOGTHoXLJ6AH9uV+nsZ6JWGP5kjQnylJb7+Z0X5G3JAswMyVBURjh7
CQqtN4cbsxg3XpnM8ThwROR7bsPWU9PwxNEow2mfxTaRYNBzK2237ZqacKiVe7cM7Y3hfRvLLL3Y
pdS55Tj2IpELwFkl867Aecxhix30nfPgTZ99edYeJDRIH3inHQf99utnPUFIhv3cLzGyFvk3RivM
hVJQkQWm6d1g6CHdUrwwu0nQ+ta1ls+yUfJI1VCEgE+dPFoxPuroJfDlleeMVxTWYDhaDNC/Tlbz
uCrU9hwBJJA14wOQoHKHGODJYkXhAkm7aAzWPJ81Wct3aqCfF/HlNSLYInDOUjyQ118MUy46r2jI
HCeTbY7AlaZoZrO6QiVngPDwYvP7Z//z5yGKiToOfT4CbBjb9/rzxIQsb4GBmDHVunkCK/cFRUc+
QGNYPtlpPpbvlBC/+DyOMWuXsS3QmPD8Xn9e3871KEogH/kg+IOXifKrtWr3IEQHlXzpxDsb7pvh
NZeVgsmaTECOtT2Mb7Tf3FC3LBqI76mJ216JYGJuavudqu+WvESI3yBTirgYv0Psa4744hIUwlMD
eUEqm1xP7pjeY46jHYyjdt45l35+63BlmPrpEYlSDi/W61uxIAthDaAZYgkzB0EZSSDcw7GU4PbO
evRkVDvOhfvAXB2GwQnR75/8rz4e+jQqObz9ePffbF6qq3lGgYpc/Hj4Z1ZLXoQkCH3W3hiNw8hC
bY1fvEG0e4zzcN/58m+UpT+fCx4Ono4H/wrVy+tv73ljwzBXb4kHhZrF9yYp7nvedvCeYL6FxTrc
y7lxr8fU3YEA4LveducrZoSHlttjIKowutHyHWQdN/nUpA//4d3BrBQHmU6G1DwazbfRaKea8qUG
8R47KAVAcxf0SqUqO1a0654WwT57S41YDd6qGHSXfff7T38zOgR3B9ME8TfOVNgFyM++qZbyoQO2
LQcWF3lPrVsMaVAPi83kci4GvFVh1SNlGQCJbMdoKAdoGnmq+i2BPQvJsBjG/7j0xwVhXBHG7mEW
Ir7VmwuCTz3Zddlw7BMLLwDcQlFLbDWetFUuzy4Zj5PV8N3vb8NPSxQfincEBT8CFVgMF3Xyh2Kp
XnkCypsgjJ4ODI0epk98GwHBbkztuBs+L/VnVzbIfmBU0MYghdX6v7+Ai5Lwg7D8/TnIizYAo4aj
dJWXqvaHK9DZ4mDOEKbkjAmDwleOKyKxCN/kzc5Qu9v3CkmnncmnLgtL/C/HzJrh2LORIK/SFF1z
WbxJrd55dy9yyU/X5aCOR090eSzizePIHUNHTFdw46S8QKtr1c0ikO7UwM5EQjeLPE8oBGtxY5qw
UU6NqB+wP5BEoP93urFnEowz9cxWErVKxFANugc2W7Ybtmsm7vJ8AdNg5dOabIaFQr8FqKiX9+7v
5Qm+KocxlwjKCzpZSTwbobvX97dXdUVaAnZqKoci2V7UkgoeKoiCIJszwyCfpxxjudgwFkGCqWqh
Uo1rB27JRRkZM5pxs+TpcEWQd6mC1nZZi1QzgIx3rvTnpUhxOmKGEk4uQSAtvb5QVzkj4D3ccAvi
D/IqRmAOkv3Y0UqeaG6Q0++I+SRatTHO3/NQ/m3H+dOhiQIHBRrmfSDFi976cnE/rELeZ1lSYkYt
pkUy67Zs0vnayaR9LAmaB7tPuvPvl/2b0WqXZX+xgGwcDQIctHw73AoCw+CQjLlxBhDuU2sxvanQ
84ZWwe1jwiyuQJKKZYsz1Qu8VNoYWQFqglbYiFxrrM9qdRFMxqDuAwMvuMEkaLCJTQU15DJN7ilz
W+4vZkB9ZfLxnRKDsJ8WFaYtXWZMYFodDv63B2uWIdJsT7kdN1jhZ9ZLeU8AhB1UStIPtUbPW2kr
q4MkN+NRGpEE5ML/t7rF+AWXFXPcOWXavFOzvhn+ebmpDMUI/sI4LsocfnnKPzzFHpKJale2xkmf
Ak1fcO4B8KBJ+5A7PFGPmme22i2GYPoxpzNiGPXUO8dxZZhBIBIxg7CzMBVpmDCjQxqaJvFSW2Y5
LB2IeB9ptFkcWwpG4fer4ZcXLlFsE5zTFBf/5sKxEmjjzJbBrC/tQoKX9dJE5eTI68Z1kudm7Eak
gkjVQD5k02UiESHLyzQ0yJTgqIYtIayZZMiONQSzSt3U3U4JjEGIAJeKeyCTuMlcbtnvXfjPuzdO
K8yfxYjAS+13cUl/vONLOyLyShB2yzubN8DGyfhRlN4VqVh60xA9xnXqWS+8H6yblGbD/WWeFIZE
a8TfRrzY79zHX1zOpTUFDwDLluFWvr6cEUSlgQ9LYsddTAxIY/YnqvO9csRwSganrcMhc/eeWuRe
WaM+g+ytT/iHnUtN+o6393MBJjBqBm8HLGTcIcx3fX01plIFrQfAWU6uNhVLDIKbdbvcWjxLLjIE
PTAkSuMR4MkxdfrpQZe6Cic+ADaeMJFzKPr1WnFWBSAMq3fK9l/sQOiA4Dd6+M0BEpvQm6ujTZO6
vd2tcZ/MFj8hqQFI1cGE/WsLCR0VVHBR3UfLWONGUGuxYw+xHP0C0g4FEMYhWgogNejdE/QzaMmJ
cFpMyEw82yDusiL0sFLgWgjNdyPmDwjMbo8rzLrjuxxdy3u3+hcPHsbCpZqEOHLx7F/faq9dSlaU
GLvWNIgC5RlSYwPmYMS6QNgEmbVhPYEjrHfLnN5buCfXrC+cLZPJgEQ3Dvbfr8MLSPLm0MVBZhMU
cYK5+Dpv1qGDp5dN6AzizKnXXYHfknBuRjwNkGT2JTfPSDQaNgQNWIEo0WaEojTY1x6mrMdZN9vb
cVzgJWJcsHsZJCgxdCn7nmDFsPgANCe8t4pN1r0rgM8PdVa8dADGFOahfcqVLp6r2nU+/P47/WLP
RwtL8W3IxYTHb5l4fYv7ojRW2TsSuR5BrjJSMiTi0z6WTVV+nBG1xW9xAPlO7dzA2Ejk1zxdPuFB
tOE6mAwDVkrq/z9cEhosjIuDGwTd+k3nWeBXe9ASfkucQig69s7QHnOsVx+y8hrSmZiNU1XTk8Sp
dMa+YEKNIs63euJEK77K1Wo3/J1rujzZ1+UWZDoPcazLJEiBB/T6Ls0YeaJt4iJeb4TzaIoa4zkd
oU6o6ecos5T1wAfkBn5/I36x3iD5Yq3BF4NzgJLi9aeWopin2kPvgAwJ30D4pBjLUrmbYqj1hmR1
fcB0O/WU90gOtYPtfFtY+TEDVXkx+4XalN7Yn6wKdL1PWXMQdHDAti5AAFbMRPIbKQdEBmcSWQgD
7VYM7L1XMy3ucdAcB2tFhuf3Xwgwx5v7yPFYLy+yC2eNoUN5+42qnl6ORDsa8OsIZID5ns4ajrAN
7gHkGR1ac9sDfoYjkYbYhNsyZBOV/0XZmSzJiaxb94kwo2+mAUSXfab6CSaVJBxwOnfAgae/K+qf
3Mq6VrJ/cMyOVZWUESQ4X7P32pe1nbR38DdazoNsppEFNTqP4VPn9gA8XCiwe75qODSPm+1ZaAns
BQU2cQxrDt/qZgPeFAr/GiZM1nThh6AR25eCkBlWL13zqV/tHpqluDGlgq7LrNGZBsA/uGQOtUd4
BlCHBhvhRH08U7v55rkhmYH5s4gMYk3hr99QsQMd2pvKYarZFPLqEdxh8gUWAADvtmnTOBytPfOd
1UqyTgW4dUbyJSTycts8Rq60VIqjtHjh0lXeDWLb/FJz5dVHq1lnOtelLJe7hSqnOLuLNipDUw7w
fYmsublQITQvDHLU78pFAH/Y+HJZa7ZdZqwHTJyODniEqtfjoy+WGi36oHuP1AULPsiMYn45jFEw
Anla8YX1vbdZd3MBDakofNiIwHIRFu+WIfWlL2ysBPPc87JvNwC3RRdC+NbBuBAlsE/q6MV1c9hB
1/k5FDDvKdGbZV8BicZV3uz4cjJoL6OdiREQ4gnE+OCcvEbLVy6esg+quV2oointlKexIW+jD6Of
7diBmfnjHfnvG5Lj3A2oKrAO0qH88xEbxhBBO0d63jqVc60BghytSPG8OGP14GFeRMy6yuHo8BK/
+r3XXOgfnT+06/+atfED3Nuw7bb4pm3239VbNu5aHdMxoiccpouEpXzt6sDOJTCJcjbdxSvDt1hb
FdPUUt21qwrQpSTWiaVIkpfTRmQHXIxf//24vu+e/t+nosb5WyMW2e+6pwHRLH7kssjV1ppfslmH
dJ0j9bzMpfyCbro//vfP+1ftwglHp8YLFoEnJNTwXa+I9FjArliiPE7W5L42RXNVtpBf42Vx0yoY
eTZKv3uEWVBeNM53ePViubVZuD0OYePcXMvQjD+FkA1e8VDVbwE8JpMOUfhgtzNnxNjs0C0Ww1LH
BrX/p7sJler7+4nC0EEHSNXMq4J35j/vp8RfA0g/ssgHB65+3vuRii+jHEOZxoh//UMIU/laSA60
ky29/W3k/kMBNe92cjSBYx7WMsY+35h17zNnoalNQ1n1XyuNl/fgRO0F/BcuUHhd9veygf2TLh1I
hcOINQP7lz1Mn1Tn32EhKrG+RMhRr6PWCpRB04v1RbQx8Qy9O4Mw3Yeo+yLC3XDwTXroTgzvYqBc
g11h7DTlpPO+XguZLzP0+UsZy256ToobaL5u4+B666+TzLWVE+SdKnvovPvS/hgGGBjHWrrNnhd0
Ej+ieezkGdqG12Rhoigcpa9miF2Vs/vXei/wqzvEE93vDaOxrCn5fTG0Uz85IOT0gSGM+iFUF/Kb
nEtBOyVap712wB02dums9bK49YJHOPwDD4JdIcoAXGi++/bWukd/rYHq9Mz9cKSj8Y8zlC5deWEt
Vq4pQAk0AZJ0IA29MJHzYYBsUR24/sFwWGQVm7ODkbO7RjLxt4datbOXdWYfTsY2xYPrcrRv9rDf
rrX7WvQJBdGmPdUclkL6f/FGjJ+DgNCtdKqrNvNI3EnYN9busbVJcmIuNr75HryIc9Hv9BJeHYCQ
DRjUPhkLUliKfBgoA5J7v85EY7tf48pKnnVdRjW2sr6xc15FCfj2Tu8fOsuAbtplIJ+BfC2Kon1Z
HtbOTCqtPL5jb8JOnyWITCgjuBtUXsyYjHNt2Z175N8moB8Eg+HDXPu7fItUWz1S50fiusblcsJm
VXZvleWObQ6DRY8fyFuY9XMU9R3OWZ8XU45hwvrZ1PSulzLgnZlvu/bDPCy68aNVTslyTEYs0Smx
ZYq0IGuS60Es2FtZ11bqDts5IQXA2MKIfr65eRd7TJ/2oQoTMz6DOIOV7FVb9zGpmS7dr9DigNTh
E1JpYNfzqaXRnw6V8uPpNNS1We6XpXH4l00zK6Z6IGaOtQUr79jvg3zteM0umddVWxa0S9M9a2cK
efPHsyVTe3Vc4Cg2t64LOL586AC51nmxr9UrUXJYAOs5LtZ7V3v78GbtA0Et5PrZ5lIpmM+I6cxm
ndYuiJeDH88R67G1gcIIjK+Ych7wlm/tDasETdZIAWwOaqRhoN/+aoKbMcM2yHKv7bCglGM6Go/n
ZMF1hMPNAlDkVpjmDy6TTj+34qGBtMRAdn/i1oMR0hof/aUvpDqWYAuiYxgrhFTaiYczqIiRQ52u
hSbPJN+M62ug/06x4mCN1D2/SPSEXLH1MjeWhcU6rpI3BRUmeuZAWbasm5wVVeN+W8UYtqAfpHEV
b69Yww8o56jBRMp782FwcOEd/JJS9uj4qtizHbrFDRmDsfNQjDgiYWNKB52hvyVvACB959q1W/A2
6cr8DNSM8WbslzZJ8QB4+uga2QqMYT5bNovpo8bus6uvvjuQ1QGXtBvzRQ9Oh2FM9sgoi9JSFJWJ
Yy6gCuc5N9iXPzVmjn8ZZG2fMMNCGQisAFqcHSALuBtl1xJ01poYLe3WdZTM86K71K+wMh68qK1/
FL0NzGz3ev0pZN2rTog3zM48z9p3pJ7k3Z1kH7UY4WQ5Nc+CO4bEK78bppdI8EWPiF2oGFe3IYGo
jlb8ikkj/6qd2GrzCdZXjdQh2P0X2F/T1cAYQRfl745h26Z0+ICpSHyz2gYVjztXnBNkbFCtsFhX
Uw5lTJ6VLuHClDd434FJtkmycpkwHgQynl7scZ4+7loR6qCXZiKvZKw1OH3mBe7HxNP+b65u0N21
NFhujtve/2RtPnwDBF+4wYzWvzxPacbN+xLLHNvUZF8sa5cUwZVQ4SvsH6vIgiAw7mldefRPKxXx
ktdyLT/OChQTYSSi8y5hiTEZI5CcL8089m+aOYBz8MKp3R7WytLgDFFzQbXB/ofAFXdTk43RRJEW
29qVB8Auex4wS8P6uwgyXZghEQDUkjci8F6QLdc01lieQfm4AuLfHGMi62JuYIEP9Oopt+2uFtUp
tutWce27fZhOm9ticg4H2/3Q3PTkb4VV8SqfpUnUtRfzPp07alMqtmn+MCRyuGP9XL5sDc9ovoW1
89yINvyyTFG/nhrbBk6z9Xp9izwtRK5B2OxPU7PfOHc7OYqHRvscscIn8Czlu6w1+7zKRNnUKEHt
V/dgHffRRplRO1NxFWHUGt7RlftZzHNBkM2eVN4d94Eu8j6Q06tZIlgwaNSBBqDCk4pDf3Wi3Fm9
IX5hd7D2x9UZkl+iBlCDxWtkRMl8eNAHy/g7iUrC4W8Jpn64rEuw3u3LYmYYNpxeB7WXvAUnKgKS
6jaFZt+0FcO3ZGb2vRkkdVmDD7M81g3k1+PEP/LOcvGX5JCo2rkqtxv7vDNCftoGT9Z3hrn3dlH4
BQF3ua1pM8Nm+lqRPOOlsfQ75NLhjvrDmqVCQ9z5N4yfbT82iAvjNGq9m/edEutui3pataWOZpyH
cg/sFIqCc9eH1s7qE8zdej8MoI1gKKr5OFTxdnNxM2C+Fg0407xjE0JVUDHwIocufEV2NC1pGBD3
8KGVwtiPLWszQTbOHP5Au5YMrLzdSRyEUl3NLKJUbdq54/RdTLdYrWD2+Gl0+fvXyIJZky9LopY0
7ncSHP3d6CnFci5JmFzH7ZXgzn3K5W6tP+c1sr9HjnwpeVr4XOPsbCmnCwOm2ZPLKRz6Bn9Ib3sv
xYbzj5Qiq0TSxwbKebBqO6hAojbWg9tZzMujZEVZvqw49zDlNe1yJAYGFAcwxihrR7LQQFHF8XWK
Zss6153k2thOW36smL4emG82YHl9LUqE6h2SA5epVps6Qw9XpiY6NLowk1kvfV+60+u+diQ9Rfvo
/4o6sTo4HAbLftktFfX4zouwOAJ8ml78hEVUvjSaO5WSguoIFCjlsNZFndCp72WfinFKrrxX/SlD
ptqChkIJu5w7+GTLkVMj1LmSS7il4N8rN40WRnLnwmzQyorZ81/G0TM3h35jnaeACNB05CAn19QY
xutyAPBZBEPsX6KucEo+hbJYCMaTdZ5VvE/fGXzaD32oLesAHs6WADVgxz2XbQjh1h5CwVrT8Rr7
oAOnXQ7eUJHfRv2THKveWvdTLKuJAYTWIjgVgw98ymItWl/4gmHx2s+1e0GAVuwPo9mMePLjJVDI
+hzLPjWb6/xm6OQZGN7StlLfHkAySb91wSasLChbXKKf/MqeonNXOWHLM1p53xu6jjnVFhqCjLSt
XT2SAUVl2Q9+OZ593ag4K0YnIrySIUCU90mZtuWcAhX0oC6HQn4vnTb6KJO4M5kbzkAIXV+O7nPS
ac509miYFUJrjb42JNTGz8PQ1eo4FA3nEGgysZyrcQ7LL6Se2uU5MJ14mubWHe84wZnDwOpaH03c
Js3VM0AxDwTpVnsKG9bUR2gZTnBIyn0297XPg3rv7Yw5nszgV/JStWVV5C6bhmcxjlQYYlCAu+cV
Dt8JYp8w9yKZfcwHeIVq5NDom069nkMKDF1ZAHM3ztTK89pXbnkULRWSWDRXvoSvElWj3x+dfpN3
jkujmUFHCCOwZIO5h1dKE8E72HEeSgPshemLF3+fRN8HeQEq+SepgSWQjrgdLkXnwNSWNSP0s22D
WRm90e3PwkcwltOwFM5ZdKLtDqxXSqzxcvWAiE2GT7JGYWPSDfDHD7tqLPqQSpRX9KYJkMah5hJa
I69s087xlNoonMYDNCTLyitWwDnEqYp6ZyrHX6W/sPhapWW8x9oiDRiuVguV0tCVrmaIEUqB+iOZ
xmrHX6uifrv0lZz7UyA6rD3reMviMH1fDbllFWV7TCxIE/idt7k/xjifDr4etZ8uTaGt17ab9vna
7DddbABU5sPtaSDiqw1mQphMOXxiXzm+OdzRVRbsQy0PA+wlj7M5hsglS1qxA1TJWh8ax6+CtNbe
dJr6tcK5L1AGGscpf5sGVN3dOI+NZt0IjGGSEYQc2ycO72rViTFYomXgZ36MAiTk5HIzkk06FGuT
NT+Xpovj49Ta3Xen1k11Girfru84e6cXQytB/m/dBj9HAOZWiaPTs9+SxW+xl5fdmTk3/vUZMAAL
SM+OvifBbj9WwAWCQytJjSr72sQfCGnmz8b7wL5CEysBx8WbyfKGA6m7XGunUKfKGghjnmN//7CU
87Bc2CgV9+0QqjCtXUf5mUAGq6HHjfSzqqxkDG1jjpYDmIIIDiSYSTsr4k58n6NhDNIY1gJQDZc/
Az2EL91G4Lso2F3/ZzVb1afZb8mDacthfWNuJ17V2Nt/cVc0TS6okLqDCYphv1DKT+KxHMauylSw
yJ/aEfrsbxFBkltoUR9Em+g3aMeGvMGC2sLOXLefEEmDw+rTAAe2e8LygAW8oYCL7sXeufF91I03
29EG6DutXLgUmYrYiUCyMeVNnUKZSiZKmAwA6reaLEKWj0G2MrZ79dF0rdm+7DHnRDUWo3VItFu0
z1RBzX3nx9Z8LyIrPCfUce6Dt83RTPUMDeDZMqCTsn6xlhVqnwuIAdgcJjy/1BtYTQJtP7Ll6WA8
oEbEmFFayZSTQTN6T0OzBae1nmH92tC5Ksz9Q/LVQweaF8jJeQlQtOyXxG3ID+hdKwnTsRCq/CjK
kXLAleVAiQkCXyQbMYf22Jd+qjYNNoXy2umvvlBVBEt/TzieWOSd42jdY8bCTIE8aS/+o+73vofy
jzIp7WtvN0dfJ+LO3oT93UxRDC6ASoewqcQ2123tpZ8ydKjub2MpWLOmcracQFwQt/j4QT87IRFJ
3eBy6gcRgIW7wC4WeNjtLaXB2UvcXr5wzF0RhbvK/X525FF0ZF5XqFuYv2J+WUyU8h/G9gG9X6V4
HzYxdB/J7Fkf2nobmwuwvUTeBUNiMydPOghBfVUUL0oXAJoKYQIQMBE4groolm9iZ8BwHNn4b9nM
KmB8En0i+w/JOFvJoycjOC7MqiOG7QiweU3G5qtKOt5WFFmUDR1L3wzCbEljU8plOsxDVHTPsUXF
fFF1V7iXCPigTq2t450yOlqM55WcYywQcuxxoyU0zJe4mQN8lWGr7U8rveyWT4bSB2YENOzjUDfY
8fTQFN/rOuYchKYT1OwcUN5nVlzUb7xkMEeye3bnM7eVPWNfYWx2ZwWVZz9xlaMfglRJvHhFAXYV
jtRaPzkrjo+s3Xfnr9ZhKp8STbovL8VQVCKH6rV251pWwSlqeq++7Cv4jRx1mrzWftc4B4fFCTkb
O0S7yiTmhvBbCY2eZYl0IBHcrengYLo0HdODbI7Rv2RV5KvPeyiq7bZlxJS3EicCxzcYaF5nlLXi
qBDJ8W4K1nl6nOYd1TvCmimDK2VVD2u0GId6UcTjJVK0w0+dtJtPa9/U3wGuBe3BHWtRnt06JKyc
gLZwvCy6AgwntBHwqJopnbxw4ccn8fZh7yQoVZuue73S6cxs8Pq5yLsVyk7GpEpcq2RYrKyaheek
3TgO4K9KB/B3adf1A1ad4q6OVDTAA1U07sW4DP414MXxdWJjWh0GYfwfsO9kmZP+1w0PvsdU5EhE
Hmg1AQCH8fHe7EzrGE+ud0my+vsLmSLI0qMOn0qqmch/MW1UqztuTMOBbIULrlWt2i/OJthIdjyj
/lNl1TtInWmbzcUB1f/QCKuNP6kJjt9zFwp1lV0zOFSF49SmyaKZBYZhCapsRSQqT3oBDJ8RvyN/
LVEY4Y3y4/o3jT1srmFo9gI3+MYOtuuN92PpVhvQc+DEjyLhr4XORPrxyakUn4eoB3CMrgysFySA
PmECwq9yNtQFVdsKEwpKth1vGb8UCnEvsryXjmGPQ3kMXh4x3OzmpWlr+1xDyNCnZYnksxiCTTOn
4ErSGRqSBpp9TuifuuVOtVDG4RoJskrnLQH8lTjbaA4W32gDc95UdNwjW/UDq2/yhWQVtb9Q2uyX
WM7OD4aD6FgkGF7N78LJLBouDKm97r5se9O4tE1bVRBPM7hfa7WGIgsRNA7ZOmsLGzThMCsdPuYO
ii1Lk2Biax+bcah/M+s2EbxwcC3HADi7gvTtjGGu0Id0R0C0GH0dU5CHw1Ai8a/2vLvyVuuSqpFY
oIUfvM6AejHEoVjkqtDiHPhdm0tQ8ALLIuC4CMynnfJtpVt/0xsDjWs8jWt7HcRoP0xeX70Zb6Aj
0+S30O/0CcxlchdPylVxQxBqTIm5BdJieAh0r8j8sqGNpK0Rz+VAYsRh0PFOWDDioQc/TghnYz8N
PIb01s48DomK1KMdbQFhB/MGsW51yJL/PluNYDMZG3XqBVJxOdjWtzYkVALFJTRfSsSOwPpmGB4Q
p27JpUCXWlMyWAS7JEstezBrUo08+tPi34YWUZwy3duD04jeOnqyuwYbzrT3m+BPrVv4mSHm0Oaj
17fMWqr2Fgyy1YBdNiSMOi8wWi3XUVqB9QZv0d6vk+vM1bmSTZhconqpF/g1N1o2XMfYuq/0omBl
GEPURMGJtoM4o0b1hmCh1MaqOlJKtLN7srbeJarQSgilfRpGAZ91AGYLO8tVTwR3SudsWjdCwe4k
FOEJs0/9bdRIZx6NhIR5XYN++OI3dfQDObArUtFNwj6FQHw+FJ4qX5YCQ0ZqKxtUTaWaervD5Tl1
J116QaoUL/XDaA+ot7axF3bqgPrc7gPKvc9gRnk3mdIjD1lDUma9HO58Q441gkd8BmdfE9JRPhNS
fdPIF4ygspaOcGNkqTeiucr1Rw98+4fdz+W3Yqn1do4tUyDCCdvqJzO++eKb2YmOyi5gwffJSIK5
SOr5Db8Q3BsqPghqht8MM1/hxognylbdRqH47P0xUBe3dqLPsKn2n/B6J3XRQwCEqWxauz7yPA/h
qawYkWfOMnkr8b6Nie765Db+ZDJsxIOzukufC75VfOoWZf9iyuoXX6Kx7sNvLG+34p720ScQuHbI
gmi6potfB0RJHp1etC6/QneDHuBCy/Iyx/goV2vuRO95HylK0sarGIRTzQFGr8NIPuhmYQHIfrj5
3icCvVGwiS4DTRadZGUgIIjdU5j0kbGcuBj8mNEp6PHdQDFLUEOCQ6EuNq0OZEsK+Sii0PTHnaX0
t2XFWvGMVagS8JiWhoRe14XKxTsnV35XWceRQZsJDt5YFOE5EEv7c3B1IDLLH7rp59ZPMwof0271
YVflQqpTbNPYb7cwhANzgCZ5EEyuXoquCQeWZAg+0oQ9yGd/HKvtvjC46oAPhlXGK4o3gmHU5v8g
wzD+pElFgsHv1fKc1EBIrtU8sd/3qtIliAJIpJvBtbbl75Xw7SY16DOHYxB04X5Xg8Yjv5UBuV+g
VlLmXAGuGjOD7v0n7XS9ZZvjWr95G9NQDdasIcIiV7Qh63H3AACx2CFsSUKQWAV6575THpqldWRi
n0ay6ZPUl43lZqLbxlfddTywpNQySK3EEMf5LdWJxI2qcCEHCOJ1D6tquIWL2GsJyaq4AAcHdhm2
WOTSUW63o3e1WuhpKWDJDg4C2/ks2GrPO9WtjfDURjYZZXXP/hu2GU/XF6N24dJyll7xkQVc/4Rc
hGAPMaupuZsJ6wD3jKC7OoFbTp7wjYUFiUKE3KdmKtWc8w/0ocY2/FeMl4mw3n31z+QBW5/NyMEF
hHdvTMYZXRT0XS6HGsNlG4Meko7XUrB0PjAM8C6WNEGf4hwlOHnWXvlYTa2qj8umJ3PiKvG6IayJ
1FKQW1XIAxYznvPCctCXYlmXGUTrxqRThw1CFzNXM9pffwvDjOGhVbMnQhNPAETVzxkRwgznFmcd
21QFVUWrodr+Bbuj0x49a1+i76sT6g8jR98X5TTA77AQjnDkqsl7EG5AQhvhUfunTYyxc0UQDJoO
6qxXI4X1YNWRCyX0JZ4HENDTABn9HFR7/xdzBq7VIKbb4zQ1C0ElbjWYU9tKkqkEqzmCgpRMThNC
Zvqpviqhkehi/aTbqP+r0IFhocrWMoJqHxVng8BYpR1dHniSOFJ15pnYv1vGgUivxmJgdiixZlPI
RVqEJ5722b+jWsVop5cg/EUrNK7pFG99QMchTXzFgYWGpIAOd6JYVT1D6bpEC7M6c52zViLQhPgU
50kO3PIp8k0OyioUqAyYMqsHG/G2nQ/GIZxFJsN2hIxJvMLKf/LSts4igdjJRlxML8W9TaqFuA+q
RP1aG78dD8siLYAucS2ZW+DHJ6udbvTYtSKuz+3CAIfRGntUwnuM6Z5EZCNU6vme4SlCw+ofY+KO
TiwRiCJif8igkDwn9zfhhR6fJ5Jr8CYVcQDHAlKOpI1td3LRZtbpB8tjgJ0qa4OhGNK0kly2xUxi
nFB69FRgC/JxXrni7RoUV70OdpnrMbS/VQRtBOjJzbr8Sbv2L6VXgG2ZSEs4CqgdwUf8UwhREuYg
E2dOclin/UkzVMmmJZivtlUtGAj78mdpFyuraiciH16F4Nr7kHZ73r3rFsYFWSY7lJx9D89NrySR
IJP4OPDMUsCX5VfHlkHu6z5pAb9L/fG/lSi3D/e/5X68bHDZ8cEDF0W/Hb5Tcch2k+HCuuTY4/8k
gs6FvB5F4L7CxbtILdmidKBw+oTt3R80JNF7ET5m3JvUEoo462H+/7ufzZZqj/2m349L4Oqn+UYM
KibfccmBSWx5DHljrcjDWX/XJ13EpshUGG4hOdEQf4+4G2A4VG4b6jP8bDtA6h4z26fLRiNndONz
7FBkV3e86MoXbVrzoY5csz86VR1DBCpr01DEDyiYV6eYCxYaYVtS6DGjy33SddVRLEUcHwj2jNmw
sKUJclWs7fBYyk18rgL/ZtIeCVNarQV9+DZO5mOFO9tLu3366aFnSpnodp9Rwc7PbDpUbsf1WqJr
WQDzlHqKyCpGWzoNdGlcan5JYfVCibKP30VdhHFmT6zh4A279fd93d1+g1FUWd0Xps5Yw7UfWFEq
AiKc4KwiUHc2z36elwLdC/vbenkVpVr2k+Oju+KELvpv5LhjOda9sb4hXUFeDgHVn5llgxFlyiot
JtpeUwB+Xsbxax0CtfiT5P5fwqHbrz0EN3IjRNx8jf98XnyGvYzfI/yd0pqOnLHxocGPdHG5/Lk3
SScz0b78UEnzdQnH6pdftITglftD6Efsm1t/eTIVn/m/H4R/yYNvd2PgswTHYvS3P/yfH0swM3GZ
HRLZSJjEIy8z+1Mi6ulE7tH+1rO7P43cDST3JECmCP3zPgWhKVIP1W7qumJpCP5pvT/o5d6rcflQ
PBpcIzdCiwNb5J8fanKHcbZx6R8tOZRXlfSwtYp5rC+CQ/FgaDovAZKbP9kQbk/eP0+FAC8fFDgX
O2zsv7cYh9FE4eSzzdIDU+2KQL4T+gn1iJgePQmGZ1ZodM9v1iir6+gvn/lruicZd/u5DCP7qMgb
fg4aW+e7aqiV/vtX9X99OvgenLUhznr7/Q3koIZuWIM6R07YJzj3WgNZaseHwZXz8gcl/L9sllR7
t0RkTF0+dwaSj3/+BgRbZuGRxHkT7/g/Zj36JfbbTefTYlc/IXe26Vj1bl75w/bQ9TYjcUmgX8Wi
K////dokGfOSYd7v2xGcin9+kqmeBuPbgpydykyvQD9bxk1VkqTxuNc///tn/fu1QAwR20UbnSbu
4/dHM8PJGXmF2I9eNNCYE5HQHrrFYylINmLMwdOIL3NMxz9TDPzhZ/9LjIlEH/7l38pIrPvRu/NB
r3HB2ol7Huq4eDUtG4DYXQhvijWkW0iClvjDDeW67+93zPSMtF08V9ge7PeP2UDjYsWVW+Q49NCu
xBCOBIeS3eeT11LTe9W8XOYytOEZo9nt06lz+hMDLFp8WiIb/K9PRWL2zpl/2FbTABW2bnk5DYUA
9wtLAC8vqBIz2MY0e5U/KX0FyjtCUdh7Fiv//etz3l/DIAFiEkUxsWJIoXGBvrtXmpW7aBQ08Gid
f9Dv7GCusS1+4Pjv7sYyMF/HeERm2W6caW0kOiRjCdMMdXPI8voNDrO3MA2GQwy63fK+rVFZ3//3
p/y/PuSt8MCwyP8Qe7/7kAjE25Y992nue6IGNlnN20e7t6IqtafV0Vfcb/P0/b9/6L8eaC4NtygB
2gi53Rhj+z9/KvolW/kgf05DTy4Dk5+ByswPXqnRinxnY/7ghcVyVhvbE4IDbg2jibzyzDb6T36/
v93J//ucDW8ksZjz5eYbxf/zrgIqLRCUNvunE+m26Ot65IF3vdYueUblHt0PBCBUdzs9XwMtuSyc
Exa8OrooeifMxBFbjAPIb6YKWBmT5R7FK0sMRGTKuVsGh9HNJjX/xFaaY9xqdABPmnXOMfRiTSaF
y3F2gJRvi7Orh+I+qVBwHMJdMzYeVrdSDy0qB6KQfM65a+00bnEf7AzYMm2Y7xx23wBIqJjMuewZ
PDjFNKB7T0FLj3WP+l5/CWDJbF/LvbbrJ+DWDHRXve13w1IR0EGQpe89uhNKpoq06PC+5FaTqT8L
DHm9NdMYo8cNP0aYvIvMJG1gntG2iTVlfIk1gqC28PSH2+P9URDyurVvjg08/ZTE709Z0j865o2r
fcJ5YBdABhJY8Mw98ZmVdgTSyhsx/6VjYMcLzicSvlEEyhg0YVHN8s5eY4PoZ7TV8odS4P1bj3PY
9SI4TDcWBPr5dw4xfJ429LVyO+1yEtk0lQPO1IantbxZVf/gR+NF+u5IhL6BGQXCCK0N9Uf07r3X
b7XV6nAqT0jXovGmAHP6p6Ifm9+tZw1b7uGKQMtFYt30MifafCI8oooJ32QD+ET2liNPzVwG9rcS
qHp9IJY58l6Yv4nHpEVXl5LQt/h3DaIk52tvdXL9MIqKUKORMnnNh0ErOw9idhxZYGzKfb0BQ4JS
zrwdJ8vfF7yHAva426DfwXSDys+j1ZTyVDTGckv+WNA4n+aqXLez1r7cPxJQi6zOjL7HXg+iiXNO
GjiqhKrZe3bbj35JnCL+NfUFU5SSfE6uLVM5CrtuIhUTUFv7zW1L52Q7YRFepbMhw8WlVdjp2GBc
wmkP0oTa3yMWGHl/wP6c2urERgxaqCZwnpBvugKdz561FB81W/tTyNxdEsHV9n+tnr10R0RIKkaY
PIwfEkXcdjqO1vx76NvoMOyJkX/x7mDi0ybkl35hTeOO6SQq58O2VnVxi/3x1OehCcpLSfvUXvw5
WF69fggpTIqiLy5eVKw/PU5Wjvgej3zqNfP8IfY6mPSG7aGXsabWX26vrP+h7kyW40aybfsrZTWH
DH0zqDtAExEM9qTYaQIjKQqAo+8d+KP3He/H3oJSqpSYVcqbZveavRpmUmSQEQ734+fsvTY5kEhM
AYSKWes2Hi3Ed9stCLEqdOKW6mxY3ipklLdGkXfO5zx30aMraWtXrT/GcS6wdm+hdlmvEYOjsVjO
FhqSeVD1s4Qz72IujdDbEKTQENa6M52yYr7aSfqKDH+4xaD9IVZTdzMSOgRQ8xm7T03koQ3vwOAw
5R3HwOKKZG9zYV0DlVytJ1fSB/YdcqzpZ9lN/IkDcq23si1VxL6WjhXpAu0NeWFi0e9xz2I51sn9
PppaR0zPpKxuhLDPxUjNuI79jIRJ91CAOypDK3X7Nykm5o6llnCPbME5KCS4m8wdUK4R6txyAKVA
+8Fu+Qr33/pAX8IhJmxsktMZeGJ7pMfu4MgiWxkKq5FmL4OoRIPXeAYCR7h5WQZ5p9VML6bVIZSs
WPkY0sqCKrpMS6WHjC+TKz1D/U5fxyryUDFm0UdKaS1NYNh9eauidbZ8rZLZqTvlRPtxvbXeVqHT
6Mea4jbBXMekIvPtMGjZVt1LeuQoYZJVuZK10z1z+7dJ+mzhnFqi7F/MfLX0HWUUdx0HyzmxJaYE
n2uWjcOAOJ1gHk2aF+hVSfm0pWwmkeiM7GhruZZH1TCht1PK6iNk++WkQkfwGVFJe2LnbsZYWM9z
cwcUWSXi0uAThGBSILrEKOM2ocI9lrw/s17IQm1y4yzTLY9TeqpQAg9W3yDVwSBL8Q1c4TgpbXpP
O3bszpOhkTfAnR2glmWjnaHpVLpwGYgJO6NxCTDSIWQ9viG/KPVOxdQLK0TawiJ1u1V/qjSVjlqf
4SD0aajxdlfoFjGVaYkqw44ylpicXEqGV6DqOmbecX6lFEW6HBZJawslmyDzyEvodODhwajgF2RL
8m5Ya4bSyEvYhYiDmHdObPZnBI8scwT2MjPoRCvVNbL99tGkSUYy4mpZN9kk7S4w3KQ+XTf7vK9S
IhihkyMe8VuZzw8zcoD66LpQgSu8AI/lWK9VQKxvtYZVIxJ5Mgm3eKSnpZKrU69mEqwMZcoA35YA
6uSlEU8FLYG5IXZDaATYFMQjTQevbLMnXIx4aGIvmdu9XqzNfUJIgYDaRrhVUDFNrFgVBWubH+/e
zVmWJQyEYvFQd3CGAJ5ZsohWpD+7VciyjZwyb7HY6Z4a76pUZCtyS10s14NZdoRnFLZ5VTUJI47K
TOubPraJUuzUatOHrIilg22WM/glVJqM/r1uvjY5dXs0lavTnGjmsD7OdkoZYvSs1Aycl/1QoMhH
b4JmSYS08LEl6oPCQz7NDPDrpVmSoCa0ZbfEtEIDIietSOF/1IHTOChyU9VqX+3UokaSdQbpA9W8
cz3nW1pElQ7xp7JkVh+MMIrYflwPpeMwW5hMCJG5W0F7lb40O/2Wuq0SgU36lHoCKmwTtHsYloLV
6upQpkwRaV/piu5L1VSIJtJVpzhl1iTvhWRayj4uZXpjJX3+uZtX7bpQyQo/2BUITjYsZSQvT8aa
9aAxV2lIswETdATAoGCstBOOI6ZrD1peYdOfEPTVEaNOO1QXRj1JocnmoWtSfQo7t0KWzjbFtNkE
SgjgY/HM9aqt1IQ0K5RLwUp2T3ZYBkolHyU3aVpKY5RcTpkC6Ptiwuc3G5J0nNQcCCoTteYSet3r
9RuWtx5BTNHwPqdkPcbIbQrbRZPoRHiYjksHgAF75Yg1bNUzufWw6/bVZQir0vLVN6jyIi3nMNlG
bH5seteQCK7HSbuS+uqSMGaz9ALMvxxqsJzobXkT6YuOhQAjFCJObnSBmwcL+CT3ZJtQ8acDXi1i
oT3BOzLQ+nSacU2uCuZ+F16PACjkrR0/GUuuxIWfJ8rk7DJ2Cb5n1jwgeIlSRJ0jMYeqUld7TtO2
i0+mTCkyEmhN7U6bScc6oW2PAYx2/fCaI9SqMF+0sXpNrLcZOSPE9RAxUtqhAdNE5WtN+zBYWW5G
aYWabac5KXaPxYWEhcA13yweXsnwrEiSm5xd+RXxt8h4Ew3T3s89Jg70u1W2WzI53pM4FL9a2urJ
Q8xHGqV52TznXBTXXZuV9ZuTuKj8Op5M8NkJAiw8C3U5hi3m4orNKacXNs+Zo6L24OzCiGENazDh
7Bz9eW7lqcOVh2mwtk7zQVE6uDwDV2DuxBC9LvQCXs8dvF7SVkZFkq47jLV9O+SiBJhuCvaxwjZ6
vl/1ijtnXeae48dbz6Y6B9AJDag6KXSuBDx4I5/aUJFA1xKMetbEwCQD1cXxsItXE9OkzFy8fq7U
0T4rYhCweZthWa9x8zVQB/vOLMIpk2YZdnm5MGe3PQLgNEiKn2WXtC5M90Y390LmTsc672nqr6qD
uHNwWQde0txqJXmQ6NHG/m5qlmKlYrTMgAgfOkTEZ6dZkCwN4/BSEHkdmbTOKn/1WkkeqZfwBCUG
Vz7icZbpjHFO+wzhCuuBJtXJulQYKhO+ly3axYqijq1n1RoZVpWWpSTYVaD27WKNP1mkT7+1bCeW
P83Cqk+rZdKvcMMx4MH9POT2qVIZlQxF05IM7WawPsO8ZLM+A4zRNBvjVDQR50FmRvqsmfEFD/3q
IpybZOQNbFrn5OCN59KYBhOCcWbZt6QGb9FXKTTPo1vxIYXbVRoZSepOZWCoKMt2uuisM6rkdSHb
TzXR4YjaJVlBpiqbExIIv4IM4x5SwsKxAC/ZqlBuQAOKCNkhTtR3GNd4F+TBWmqo6drqBpIopvUy
t0jX8V0jHt2IqnpYDxTocT+SVzRi/If9oIWCiHAtQjDZKOEkCwrFRMWt8tggIYHXP9WtxrGlKEbY
6+ZwDlNaKY8lDc3nVR112sBjm73GNp91gL1mHM5q0ljV07Y0CvsS5pE9femteJqiHB3/dFKJ1bxW
RGZaeyqqnl0fhZsc/QXtRxlR2nhPWmpWB5lmBFnxU0xMTj3Um6usT11GEJNeqRHJM/xroSjY20wS
JZOzzEw8cVPYc6rubHav6WR2yVn76ODG3PyQjZFEWS7U8jJb0ZOcl620ix32kGR+1Kak4TreEyJY
IYKG/UNIVTztGeKR+VzAx8Yf0E6GNjL0sftlZ9tlLJAYbonzM7dwfJdoMYl4sVtUKij5lfkKQCtx
Z7hx6+tk6NGxOwDv5sCYmV2dJTP90gczNetr1I+Y3dcUaQDlZVY+qkuSEUv36/v6H3tIVProWDTX
sQ0PjMbP3ZwqySzkAcm4R6pWX0CB+NTg4Jt9ZsYqqaTyz+i8W+Psx44N6BDmBIBEXIgdILfeueg9
Lt/FTP72Xiz5dN8bWRZwEoibOR1GktEoOQOvmh8BzYzn1Lt/Zhz/Vy9PAwC6GK0jOpXv/tzRtekw
d0wl1GxGvjTWCoyL3jS7u9lM+3tP65MvxVCjnKqz/kwxlC+/frvfv/42saE/gpqbNwLn+tY9+QFQ
Rft06TrcUnvaNbXrY+GiC0M9doL8aYjAeLTR6tbTpsZDVE9t2Ya//gXetyW2LgjzGYodja60br57
AxqqCRXK+wIvDDk5muvkqGSN+uDxp5+59jg9WZzFf9J5/wO8eHtVWkHwwmzGlZT5P//ZCd48vYtT
WPNKfs/EJjtOczWQv5iRvqqSG3ZIhOueCg26RoHu+wa2RPkn/Z8/vPVg8Kyv9AQYxluuz8+/g+vO
uIX5ZPYpZWh9tGyobqdETpLPCgGxXckNpca/SVuz+1x6iXoJU2Xod79++782jn9c/xRVUE1gFzCH
tWmSvXsnALNUNbk21Hsz2GM6p1P3onbNvH7urHaeblCt6E7Q0U2xNo/c8EWnEM92BbCm4XwQvVac
F+asK1d55dX9l3loCkzAme0kp5wunoG3lMfJn7wBAszUrEUUx41DnrOaIkcyCVaNcqVbxihvUcUE
yqAV6ukqXfS0sk3redeYqh0fBDCr8g77hVk/ohN39QtXjBgvLHI9kwMtYMI+dRs81aFwxtkMcpsm
yG6sPbPAQo7j0JeKWakzhmGrfmDuvmjROOrlZ6yjKlnfHerBoAEc9pHu+xZpDTWlOM1LGVt/0iT/
w1zSIQqMzjzCHNg4lmO8e8dVNLSLk884y8A6hxJhzC6u3TW0Wj27F+hAzqyilsexLmtiIWvtEpq8
tc+bbXQ+LllQq019+PUq0P6wDJiDMX9zoXw6NNkgv/28GIe1qRJynLWd17twnmacZspxqISm3A9L
CRfAjSeckcgoiQk3vLWKRofC6KKjXcYjUsEKvZckVHQnqNoWdY94R2t9c6Ln8RlvdX/vYptPDktM
vyiaK6V9coh5QOwppfXYjJZrU7o67YPSd4U4SoEAuACU2+6SUl3jg6ljLfDHVocEKwm9Q8/QcVo2
ZbxQGiZ0/aIiixtkg2M+OafYNebqSPPDMq9nQ8hmV5jQZW/dwU7aE6pOEk29rk7NHUb3WfEHRbhn
OfxDMwRlbz3o7doV6HxbSaCvOcbVU6M5xGMsgzly0QXg0e1qQffE97DCcUOe6DwF2jBYSC40fRDE
/DaVc+T2w7wb8PQqokWKbry09a6igVi13Y0pkOrjYtCm5cQGBGTfEx4oPiWKMNBOIc+w7xI+qPt5
qo3nXrHI8e0l3ZcoTeG1oYDV43RXrUxXEEj3yHJTvV7XXYG6LLuYh27mftyv7kdzMolNzZtkvel5
sIjSBSJih4LSICUOWqGpRpDjnHGdGz08xAKbAloGZmGMCb3pwpqEV4dgGmiYw4fsIj6FNQ7xGC75
rrfc8ZlETJOcDpArR6klaGLHVPS7US7CDiji+BPSMbURMM3wOtEHmL3vxaWmRD1Y+exyEiBujrVa
sswt9ERT4CRNPb/CO0W877MAYDNDWx1A8zAHU4yzpPO266vWK7xWYpNHWY3uctXkvdr4meL0j9zI
qINRviCE63M9lZdJ77X2jTbWxREtk4Zw3LWLFNtONu7RPNXaLtbyhHhiRWrWKU5A/ugMSFx2AdAg
fsTqDgPdy12zA8kAjarstPjNTAf8UMUyoxeboTYe+0I6/XFROpRMil3N92Xej45PI1gd/+QQe18p
ATik7LW28JstPMV4JyWAeN6oabYm0LWA4yXS667XjpQXqpn1pGKh/cUx7vZ6lAkb1IvPg8zEn7cI
atFxnHRezygV4xZ+8SscH2SnCE5eUqubX369J/1hhsvrgcp2PYIjkC3AYP359RzFawogMbjhHAvf
jNPJyzTxdh0+yCdRQpYBajUVp6M3EWKVzabmD54u94za3SfdTp5zR624H9smY1wHxCzsaOEGVTxn
ceghlAsoh+qzvJmqsxRbNH7TzHz49d/wfuq+/Qn8BbruMnnRXPXdrsr1LE7HHOpeIsG+YDbQdg6+
qJBUYVquiQ4QTaULeDbiStj/+qX1bez548G+hfChqQe/xrkOi+3dMLauR2SRY2zvqgzHDerFHEBu
P1c4yGLVGr2LSp+wE6E2Runa2wlSD2UW66McWmsM9QEKeEDNCNmp54qNUc8Y9QN3TKwN4LfWV7uw
WWv2Sl8Cpyd3mAB7j5fuXGtEy5y0mnLeZI4HNof20+T/+q/7w9pnBsB7i2iELYj4w3dnqFJNcULk
eIM7eRGhTbvnSyLguWoaRlOE6Ir4kzLV2KZxP7+dkAaB2CNCo2CkZP55NSawBsEPJe1+XlSa3nFC
3Iw7llDqcF5yEJjdnJ06dCPKvZ50tu4L6ioS6w3et0gdsnwJzFrFXwKdw2OsY3flfdUX5oAAIcMz
wHUMH7KTGniMVmbV90o5yrtEb7PkBCURvfot3LDgUqwecPOVXFlNMZzkSDheGy6H0bwNj9l9+/uv
b/VfCua8/A+L3PyKff1npk74PDz/7a2Cg7RcPJdv//j7LTaRv0VjPxBSO/Y/JY5tE/tvgZu2/gFl
AQodcFsOaR+bLGl+64d//B3PMZGuhvpV42hxb9z4Yt8CNzXnA1nUFtgaqoUNCMYP7ME+pv/4O18y
bS63FNskwTjccf9K5pj+8zNgURLZgB1pslugY+i/vdv/y0xZCDrQtJBdxiEFMQ5M+ZzIBLqHh2yq
ZwqUHReMlQ/FXFosHfsWvXKom6VKqxQCQjubj9oMSihenZekgLlF8vSVNqs+DTwldJ36Vsf0sjfE
fF3PKyc3HsD/4cUFL/u1bsgrS9Lhvy7/Y1OGTV3dzq9/vyT3dfFc/e12fPmc9UOXvQ4/rspv3/0t
CY9gYO5pLCykJiyu35akYX2g98tVzuC8dHQOzn+uSKLzCPRAGrNBAulwbAKZbyvS0D/A2dc4XdGF
WX9pNX49y37fINEWqKa7RZTB7Mf2ypX+5w0ya1rih7hwYyf2VvphthkUnuiCfh4JaSx2Qidz0dEe
rKG86kwe12SEtuWc2/w0/Bb9KXvaoazxgazlpaLYxxorMeKwU3fO77MmvVDT9Y5hmfSH1jkW47yf
uv5AAJHvVfrLoqKmNNWbeuOWYFqBd4QfvkyxjkMM8Q3ti417QQNNO+9Jo2/2tRAvTp7bbw3VHBwi
Rlh3kgdnb1ltdcE8wTpOrgOuQGjGiUzL2Ffxc98PeYuXRi/kJxWJO0CPsoHjpLjXTDVf8h6sXVNf
0tAxfGxIr9DoQFJxpwuBeJbHxJunXWU56SUa0fRgih6WAP1oXHAokk9snDJBN3T2jVzy20S16lem
AgOk8oHmNE2ci0GM1q4ujGoMu9ZpmSC3MaCryrUOMEUe2rLusYR6LnNVwC+lu9W3VqfTvW1IL3VO
uArhNhVtvnfG7hZHNd5ou09fLah/Xc2/6Z35mJd9ck35fEKYUgsgYARHxoSwzvfeVEZFvZxwIwlj
NT0uVnZw8tN+zjeC0IlrMC4t74nqI3QQNBfll4KTwbXWi4xA3GZJ40DE6f1CdxVf2UUK5CzEBCDo
afcvVoIoWB+v+OifZIPgu0mYLzxCitnRX/czszpZMZy29AicWwegllJ5gV2RncLfZIKHw4N2ppHF
QCd6vKrahUubsHmHjckZetw6SfMK6MxicJSukWZiXwGPlt8bgz6EXGAvyiY/6SDr7GSlfpI0he7i
pbml6lcPMhaCYfq5odCnicWbOZ32qdjxsFHPKfkmNgCxmli3k8gdFvBrBxL0Srca69CP2VHAc85j
fkVgNUo4jzOovGnZMUMnR1SrPrMOFJJnpRbya+U7XY2b07IoLovYKc8dfeNctdaZhPYE+W8hFEpF
b+O0PcKZIbk0V7SANNwr3/TmRzxtzv/0Jr3VEv/cpYkl/1ZbbOfuT/+BIoAz+Hp865abt34shu+R
m9u//O9+8dtJ/nFpOMlf67Eatp+WkDb/45bJ2fqr3bZ7q54/IzR8+/obbfGk2zd8P/i1D9ATXCa3
JFprhu1Qtn8/+LUPVPHsblSADrGQm5b1+8Gvc/DTSt7Cbb7nkH4/+LUPdJk5p7GVbERk5Kjf//Kr
37bQX2W5b7Xt7xst4m+EvOSj8CuiqKWQ2L7+Q8uWzCC3gmGO50iQqt2bWIMVbeoPlhz+NHPr5wvM
b6/Fr8vmrptbf/rda2l1mWqQEpERgEQ7R42t+FB17RAs7ifwhgjlAf9FqWS4DinlqshwJVcMyEJ3
kUADrQTH9UDNPK7pqU6UTAR9vN8tiTLu57LGk1CLEL8GRifmVmHlos1cV9NEH9NAMEubkjOkXs+r
YjCuf/jAv72rf4NieFVT7PX/+Pu/+MtI19jgudwfaEG/v11Wie3l+K1CojuL3cDBhjKgr7FsdK1P
2gWNHIa2PsBWa/frV/75Yvb1PeWVyfralhiBLtvXf/j8bLlOgxfD29K0KomsCf/sqiLn+fWrvItL
+/oyVAm0GHWU5XREWd8/vgxQh81i5WXhTN+4CztLbQhwSMcQBDLambIzulAXblwgT0ri1yEWydPS
rA+QjMiN1nLKRUdZj86S6/um5KIDcqo2vqSzm11Lb2XsqUHzG7Fd1hjVQBOKU+lq4hNmdyfkLlV3
fokt6tTA2X0yzpb87W79l+4l59lrV4OgGb5uOf/cgr4+XL//139u2biF2v/7mtF/q7KfNr3tn38r
Ej9AoafL63E18LgmbIvsty2MSGTHtkGh4j3AAmG5W77R71vYVj5uzjeVQs7ZGOfftjD7AxpVzSAc
nku35lhsfH9hCzPe5YsQqcO6p+PMMuUOjzr33UOgL9jy3S2Ns0ktxJmT1YEU8DWj1arduuj2rpcj
rswpXcllAXfATSiaMBu/zXAaNT+fe/lqligv0Cb3C9oKYmnGwJLkouJTpRfMfQcSXDhXrZcG7dqi
C+tcF89rVYIxB4Liah8HadkXqdEx985RyTEAKNxWP+1kR8r8PI55dZ7DEwT0yajGCdSZH3lY03iB
F0RnV6A7KeYaY2cNxJnOcDKeOFBD0ivRKkRSNDQsy2CCZEd4kZIi0OsdNX3QmY7j2PJK2z328yw9
v0HOjeNz6LCTKg14O63pilBq/PJ+TM7kqUx6AuFqBhx5oIks+9I6mbgZBZCviB9hgtVr9dEKEk2K
FCyN2X40Kw28H7MjzMW4Shq/s6Sn+S2Mqc7X+66/RcDfKJBMB3pjVEOkUhBlND9nbdfppNBrHcAv
laAIv13XAgaL2WukLkI/jiZ3TJDxrqJo9/BCSAaSQsHpaY6jdC/LahImisTYRYgQW2LEdOS0L0ib
GftUea8vYNIXSl2lGZv7oTXKei9HTW0wEk+JGeGiqC8qSLUummIrtXCqI+AkzNatYOQVjBAivUNT
vyfKKs+wDWNH3Hkydj6JdpzPM6GPbxNEYGA+nWiHy6ytRc/UAOsxH4NVLCdeS0l4GKdyJOZiBaga
VrGqCt9yTYTvYkydBSGPa9j7ijnUlyVWJCBQ3tHHhWLMusY+W36qadlQ1YKdqFAwqq0j75iVk4Xc
C8fI9lSVAiFehvNqR+8Y1VI54bvyB3MqrywJ7ScCfyKeWOywah0EEEBbkaxZvtMPxqd6aZxnpJ0a
MKfVaK+QHZP3g7IeISYGu5VBFuLTEvdxXpdhmU32mTthJQ7VfkoGfJ95AVYZTheCozavHZh63PB9
Y3SM+DLZxiYwVHYV5hj8AXrrvqpxxXxNzOMtfcPa2xEOSk+7LnN0Z9hJ3c8oKc0HMW+NAL1z0KTF
FPQv6HOVizaZkEx7zONyqu1J6pBitOpxWnXjka4j3JsC8a16rjTSOAxaFn9B1p2emlORfKZQ128G
ciOfh8mIcwwaVfwyIG/5khVN94T2qz328JDvwBdUT6qx9O0BIyT256ZL8RTVjM1EBFtJHlVQh2j9
mLzhaTbJf3Tx7SKQYJiHGTtAv5s9ObW9KDs9lkytiNlLqVQSdRu0TRM6JWWG7Oc7qrAbBheCb3UV
d10QPLZ0VJDxNqQ3eaLZO0kBc5XoFyz9TOyusq4i9XQ2DHThjWanLzWqmUfDzYa7ma3lNh09ANpt
2uk80e4yvtlfP+pBa/uLpJz1Kz7diqWjDSclXMCXTnBNDnV0hS+KAEYadBmSbZYGI1W/mxUFk1jv
WG/JAn47TDtYd1w4JWqMfMq0TxBchtNB71uGQjli0yB1E3pElpE4HtcOK2dQ5iASB79YAndSeiM+
q8jYwQjWrpMXakIgSmXLkrx5yjAsl+7AVXfdIUDswOVoAHyTYOqdLLtCw2zs0ZPll4hasxG7d7+0
uzntmSPjfbNRTDe9GSrMyxidJUl57o2KaZ/1qIb8zmw6k2ZopYmbrPUYwliLRlvXBkM5njAEZ3cs
a5wvSFhbGE3BWNS5jMy+mtqQaZu760j9yKM40ey7ckN68msJzW7v3JWEBhrtbnqiZFkqz1sQbinc
PNdN96z/TntoFF1bXjfSy5PRMkGO9I3tfvBMs77y6qaCOYKg3QnqQQHymafFeMmlfsVI1k9YCeJZ
AXpSgRM3fKTLw3OSqHoVrVZrVHwRsbTP+Y0OKplz8r50A+tELOJ7wGbxFUudhyXWtfLLDJnugiM3
I0hHTo52hvfU+i3d7X+jWGreqtuhe3sbzp+b92XV/4cXPdQfv6qRbp+3Xq//3A3p//0/xVu5/Hjn
+/q93y99+gem8QiPNhuzQ/wkZdH3S5/+AY8mtwT6/lsfeOsRf6+YnA/U1xRaNjvU5v3iS98vfQ7f
xT2Rb+WOQZnzl/prX1UBP9766Paqm0KG1ehwy/w6n/jh1hCDD5BuPuuhjmafNb4MvhwUkrbFHTEv
ezQ0+3Zw3jwRf7Szksw9aI5R18mjMwI5HPTsI1CbzvV2cMofZ6GDn/OMk2oRGgfecD+otFvysj73
Ck4gYluCjE04mKZ4y2UleaLTFAj60mn9SsgOtXv9tKitte9U52hPVvk/3XP4seXwH9wYpo/wq+Xr
19Vz1r39uGi/fsf3Ret+oA+Ml4shxW8N4d8XrfuBtrEHTI1pLR447YcRhf6BlYrgg7nxlgC+TQ6+
L1r9Azd9eBB0kh38wvSK/0qZzzPzU6vCtg1aFQxAsUNuL/b+DkrCubq4JSOKctAeUruoAzmYkks+
Sh1aA9JtI2CkgdcV7T1TGPW2MwH+9BmaccuDR2mq6yOQrzHo2g3YqKJ9f617VSNUAhZJGc0FY9XZ
gv/HljyTdLqOESTX4ZXwBftuHJOmQNsjvaec8IzzpDTtNyVLQLjGuGVPpNQFKv3ctc9ngDXUPBD+
lrFMd7wxnNQUO/GTg+z59ofP8L/Re9jeFpeMW4dWzXY5e9d76ACDUR4jae3hQkVYDmoakNhWrd5o
Q8lgk4iYuItKxSp/mwr/b5wD/7Gzlq8azn9/az4DBDs+V9nzjw/V1+/57aHS7Q/uBgbwHLL7EFb8
PmPR1Q/otbge22zEqq1u7t9v54BlfzBNLNqIGJFIEGL4+83ZMpjXUGd41tYu3H7cX3ii9O2J+f0Y
cLaxD0QaUno4DvgVvt6rfzgGzNgqILRaTYjFqfHCptLM2ic0Tn9WXLIaQjLRloeiSaePnZSfCrWP
A5VLCD30jHtztGip04c5xeUpUw8MBiuAI8BQteIqkc7NAV1X1k6wHxmn96dSasoSdr0tfxsqsykn
b/W/eALwub77Q0z87LQaXPqYjJ6I2/65PeVi7XBwhk6hPePTOqxJm457cn7i9ZjbrQbSOi+yz5ne
eadOqbZvGeAjO0jauYd0Dgez8Ds8VabfWCs5zBNknTvcX9mVHZsl5pIa664khHiTdSTDjZoMGd45
znHYLhZ3Gy7JJdg8xUV7fVAcW7aHXh8WnnlVxfYM95n7LNbX4jEeZ/U4l1NHVj3qaBKTO0HBjmGq
vCeiRDo4OoBHoeVv6RwmWL5fGxDGU4QmiPDMlAsr4361pqXQZQOKCyF1piOQvATRQ7DEMfwtU54G
qGqQzE3symTHgFSZ4HTQU02NASUXuFfq0d6Z3GbXJ/GMcIMP+Uw6g3uNg3MzZaFkI6JCyzz2QTzn
hT8QHtAfbAws824EqnhW4WFyjxDW4mav9Yy8fNspms+4Fttju3qonjoXn6IQFVko1tQ9CQCipp+J
BLs89O4WRnoKPogsE289tN2YPFnrPFxN6WCMuwKD+RSWGNUu3NUZNV8lmjoNdWVV7Ai/HlZEhFRy
9bmkwVCwY01gVpwwqE9etX6Ohw4eVJnOxpeWjjAuprqYP2pbz5nkz1R/QwsB9DsFpB1hDhAXGoIw
EtplpZ+1sz2bjKpqnoCZ37g0UISSnYWK3rfUef0IiMqYbxw7GVbMq+Vi7GRr9ZcqyQ8D3aXVSXFt
Tjr0VgxtZ0hfNAxMqDJr4pmI7NppnWndV7XuvmaQDG2uTClOENT2OWzUivUZaF018dsliJa2PC8J
CK5LlyTyKnRLmD3nIVQqFRLaKibXPANP4Xl7WdCaPW07sX6ZuRuT5hC7mhmoOVLaHSsRPEexGTcQ
Us7p89yUqRMZKLqfFnsAaUqmCm4ATIF1HCUaINQQt4h5qw/TXrfB0DEIXXQ9dOQMTBA8n034oJou
9Y7ZZasEGRnWJ6w/EKlzl1t7xRzVPCgyrmoBNpT5gbYiiUxwzscrDwRxHSjTMDzE5LzcaECP54+g
vsUj2E1ueZkr508m9mLykBQu+j73p1EPyCS005NFkSqaP/TOX5R21F5HJQWRtALfO5RN7br7ZHWL
L5W1DOcl2OCPtj4F6OaYbU7sIQbjUZmcqjEaszJN7KNVoubcJ24d+2DRnwaGOT19uSX+uBCw+BGG
LauPlt3wCkG08U480k9Xnm+gTkedoaCKFanhgEUdqL0so5i0vdK37qOHwG04pKkkGMJrGuKNPG8y
soCrqhMNUBxVMIwpzRRO7zkJRiV2jIiMV2M5WbqGxKS2x6xBF05xvjD+0gRYchjGbmrX2W5UnEGL
emt0oUBB4Nx4mWYN+1ElDtrv622ct2LUZhIL+PlFJzrrgUCfyvCRvsbHZKoY25aqQ/DFaJhDHdI9
SUgk4Kz6OJBvCwzYpmcZkjyxshBnotsBGDnLSx7rdQXZoIgIqjST69rQ+jyi80AGAWBbIiKxey0k
pQFvgGCLVWUJV/wmDzlbqxfkOnATvH8jkATFSh1Q8+C0jVPVKUt8tNI7Jvw30DM7zh8wu5IZjWB5
MnwJ5c/yGzCoN6k3wEaHnIqGWevdqjr11KVpfcxGMVrrFrM/1q44tgIIyqPud7aERmHbWqZdQckw
k11aZi3QYw0r187OG4H1dZxMrGa5VmK7tQawhVC2hoMCC4R3yJkd94xmTlYg9C3mZ13vUjzxvUnA
CQaez/pI3l0EH2uazmw29PKznQGcTHnGyWFb44FwGLx2pNp2urceFSWjGdSjmTXDRq+W02QmRSSc
XVU+53SVzzGmNGPAxmy+Ih/Tialz3QFuoseWVWd2j3gZBfytl9nD6dwWyx1B90XBIu+xBPe1e+mk
uX5NX6r/0rm1/jIDS+42Dp9lYMEb4U/Hfe/QIaKNCupRMXj8hxjQBoErnjVyYKXJpQCkVgQ15lTC
+lhdft7SGDlzm6F/xouVOxHKaVDGrrEQ09k1m64vG5zhDkSm8AB5rBaLfXKs5RCTh6Tyo7Kx3bnL
NHyCUSswP3WCGE09zTMZxfAYXlPLsnCw0RHGOF/T5gzdlsyDLF7410QF/j/qzmNZbuTcuq+iF0BH
Aki44UX5quMdDzlBHAvvEiYBPP2/imz9alKmo2/EHWiiSVMsFgpAfmbvtUf/2A/zOSOC5+PGtctJ
hE4Mvj9s9QzJ0LD6AbVg40ArjLnF1tEUW6wVYx0t4cj+Ir+wVB3caNX3DxMkzZ7sLh3dzKpFpZ/b
SQEcsq2Uv/leov9fFMr/ZQMTjFV/6FbOm/fft+A/tHE3H2r4qTI+//F/tJssxHGtmC7rJfbCVKe/
z0h8duaULcjd/zEI+b02NsRvuFhoQNk50VhSvZ7XyL83nCQc/WajiUOCBCIqCCz61L9QH/9cVbos
14WH+AgWEDp94f8a0ps4kHxR38SbVjCna2pn2cEqiP4Ep/ZzW/v7pzD3wZ5Gd81X+rl2xR1j1W0e
x5gQmjusA7smSF+SM+q6JiAizccbw64///Ar/IuKmav+h8L/x2eydmMph1XMM61fesYKP0Glkg75
SDQ7G6IdjDtALOB7uuVlGkcbl4tl/RjC/NsqnZ/lnz7TR1Tm+jZaYrZ/P39P3YNCrmms142BtTxI
+mPRQQ0PSHj8k534v7qi7FNcATqKraXr/vxJZu2kmJR7Yz1PkGfqShhrOxbFlY5HM5yJN9rbRNZt
57IqDv/5uv7Td+TzUFgxVXFtlp7il98yWDLwgDT7GyAKo1jXsjfvS3Y7Ys25mQx/ckX/6f7k2WGN
yl7+3FzSwf38PZ2uVXFnynPpAVimQVO/Lc9SsP/8nf7lp/BJoMJM2ivxi1a5n5G7F0zwN0MxRZfA
daA9J1az+Wuf4jhoYM59MmpXhqLfPXZ/aEXtquE4TSmjICzNN8FosVcx3epPrtivv8/5U74r6F0a
a148v3wXmHUM+4sYxA72CvZRpr6vbWA9DYjsH8ORf3u7/3rZ+CiPeQzwTGTz57nVzz8OZ23vQDPp
NvNMKkoQ22cK7/hnSeL/4lPwHp4lxUh48YH98oUUmcyAlZpug5kbyooYcJ/NS/zXfxzkQcKiSMHg
h2nj5+9SqK4GJdV2G234LqpHBInkLtV/8VN4MXAI8ApklMXE8NeY5dnJZAsretq0bMX2WdRM5i7q
jVb+yevh/Fj8Y+qB3Ikxge+fXw6oHNkZ/TJH5EdQ4xC02KkFgKFSTN3eMkT+NZY+laOfy+rmP9/b
v0Ll+PW5CzwMcYJ7VjB0//n6EQlEfTn6YpN2jAjJ6RXrwTTyLRiv7Cjd5iWWZbBb+oSZSuJ0J6BH
6YWnWUj+yT8EsdUvX57RLvcLp6NwpEB+8ctbmHBFuNjj94ECo9sV1eKoQgOMUHVoGOEQNO806ILX
UNGlBbtMBeVThCXLv+3xRs47+N7xxyxkVxwtHG3dZUs/uDw7Fu+6G3hWfnkMOiMhpMguFa/3QROR
A9DeUnfGlGfp2lIu3Q4MhYUgxkw3N52Zn4WsulEXgmxTEjbsZPIJD2ryB5vnq9wnbudZuzTuh3Q1
zQSvgHl1rX6T9QMgDNEkSbdpQcYxAtV6fu8iWuDN2AN5eI7pTCa2meBMTiJuZX6nHVIATx08kxOS
BwjywuvLcRXTVKt1gmZpviJGGB71ySKohcwmeOQOpnfyleq0BkFQBBWEks4R9SMWj7RDQEleKHiF
aNhkMktPWUVhS3hznj+AwYABpfF3XES9LZp3GDiQusgo55F18xQHfTFGTBeWwaRJd4oEnlhd9GRe
9JNrWBtbD96XzmOzubasnsKUiGIBCtBMmHQ4snNucpKhgM8oQ56wpBo+WJghz9bC6SWQPHIKV1Vs
WyRUBG1cgcu3qO87iSJ5XZnWAmCrm7w7UXpVH2II5G8RDNLVxuB7fxoLvJ+1gJWBtLeLuresb9nY
pyVZQ2cgRPwNLm5wR9y0/c0gZwTNTTaPpK3JHKFvJrXQO/LCAMykmamn265p9NcubqbPReJmqwcZ
Pw+oSl5SIWqS5BiH2GiD46FbgUt3n2VGeiHqkUAmcIM6j+YqYKVuMV+8xonevOUjRKh9JjyxbGlf
MASCMvPajZVl3TFmpd+GUJS5GSN46Wy8ERluYcCTqzaCfw+N2BNXkJnUU1exf9/ZyGvGEAtNI1ZT
FgW7sUlcWNxWE7XriJOCDnQa03wNg7vcGQRmfOvjtHk2ytn9om3Ci8sbf3Qzv76FWNQtlwNWQGJ2
e8+qdilgVpNEAPzf/GSWXNuONlLYD/GMjyeYgidcxo1mUN+NzJU064STb/RjsVNEUVXbXOUQ4tIe
7ytCSac11xGIJ3+lY8e7lnkkmWwomRqhnGdruYiTODMvsczmffQ19xd1DbiByc0kY/edjJfmoUGx
RBu69HRRBCNNBqF27fjN0INjbKrG9G7nOlugbjMbRbWECfY+0RCRaN+j5rr+nvXZ9CaTOERIwIpI
6BofvCE7Qyb9LGByogvnMNlDfpUouMyrqJR2uy2IJUb8rH35FUZ/G4UmNE9xIn4c16uB2QkWqtFj
9jxHweN5qhLn0oK19OGlDdFgg/Sio3YtizEm0pp565iqJ8UgqAsXiCW85fiyzUzTAI2yDAtSbROY
tFX70dpIrTQIUXmDIusTA8GpSB375OW8rzad7wXsj0ioQhNj+DNpdoI4hxWYyf5Ty8kH5cBLJtsI
SKnjMXG8Eeumaucj+9r6jHeGTIiqSsXviABa0r9NJeSl0zToNzjKWO73Pjy32ZmcjwHdzpOtZBfv
mGvJrzPZA99yR6RPi9nbX4sF8M0OjbljIqkqAW81STzdFwhhgNlkRnEQZG+aO9JlqC1EWhfVxkEH
64Qz696vhbbnV828+c5PmL+ubRH1bVhroEJhnJzbcuQLhdzYxMY8CDtIrYvaIB1t1SR5EIVcYfFW
k2rYboaYiVpY8FQgEYodoq3ctHM/adAImK7U2Bb7SM7JGJYI7sGljoMNCdWjzBnLpP1S4PsF2e/B
21/NmO0/FCl8pwUgphnaSI8Z+HrLc6nyKVhlVBgNBkILttoQp5oISYhSiJnsXCYHvxnl2QbuEbQY
tBMQFt2ZQOGIjg6deRi702CL+c6vcv8zqNpG8iqmClgVeFoN4p6L5tXhHfBuZAQNkBlguLdW2+ME
1ZK2nzDl4IwV4AzaWIwhz3FthA/hlyZcOZo8dE91XjPU0KOdvA59Z6QrSQo4siU1DHpD5KKpAPyb
+X3EPR/jimA8uEvZzTXM1+qhPDWmzK/z0SLKrLfd2l/NKEDAFySq/TSTFL0PvPh66/U42fElp611
wwLIubWdRl8VlSjf+mlsbqDT+WiKGqYd4QJs40VXgl0CYVTGg56W+fnMoulxzVjc+qXV2O8xZ9B8
IFVNVMwby2bEOkGk+HaWDUnwFRFKQ2gOsBeOQGVR83l9kt3AdURmWGaDeSuWJmmYngVGu0X63Guo
cFlzV8Mg60JLJPCMomoqPgneCXAbdrVkCukb80U32MCvLJq+W2bISNmsCDgrCkt3dvauTJovfjqR
tDMpswROZ/TpU1FXVr4KvNqDWz/b86fslO2shwpm7QU5gpG1N9wCQ3mzYB5au0qkY+jWXt6eOjqX
OywqPNqzcr0jsky3CT34MtcEJKIvLueyIAeLHIFV2Re2ewl9wEOAvgDoYI9sjqdyCIye3yWJbieO
OFLE+kFcKry4xBuR7vnIOye3gXrlwVWmcfQRwzK6H62wcAGhuvxwyZ5WYTEX2byLiXu4H4cCsUMC
kTW/9AJg4WGtohp9egdgX8lyeR6AxpL2KIfuLrJTeS2B9DmbZVKcLOTpHcjC45yqXOJpeMZM9W12
Z4L13EkCWUc+KL+4Vm29gTmt9wMhONADcst6queK1KNFpcZ1U8+klbDdSj4kJfw1ZQD+TztnI13y
d7OBsrgd1k0kxavZSfOmSfv2g9qOOW0cO/2jEZ0T4oZIdJdWDBRr0/uA8tYtoV8oBhdp35LDbTwY
eJJNkiB1czEoD/nroJPxdSl93a4HS/OQdVDRDlF7dkezaaLww/5OTHMf9Dk1MZShKh4tnFFWlN/R
YC5L6GaNvDeKCflYFC01Nh4lcson15iXEKWCU62bZmTnFdhWi8RfB9mhU4mABNcx3wj9KeN+9Uhp
uClwgBPEZtYua0oZ5A+Z6fCPJGS1eC0RTiGAiTrzJtEQZsl1s+FeJ4DzZOhnWcqQ0p4BjS+66x77
tvQvmarP7a4lg7bYyLIz2wcy8hg1Es8TDXuDuiElJGMmb1qW0eiuURKzeSD0qUgoZJsK1dkYlJjO
E/9MuwIiATu07oJlI6UxoC4e3IbI7KomBDrolcTwNBkk3U5JNz3FtkdM18TSqy0TRuqEWIfk8rkg
dezK+dr7vbgmlgz9nq9Jk0eEAAaNF25uvArRtDIk6rcker4MboueITjsT7Pq1rj6xhsPgm20gSVH
GTdWeb1V80AOJtjAIgPBOCXse4gmZgPU5qCz6JtMEWpc85eIvSdrbfumemtVYvPOsNoSS4kzQ2TP
CG2wON2DlA6rCSCleOMAFa6R8p18nOXMsTUdn0E3ZdSmczVmMteDnRpK2BXmVrITFOt56Xoaizgj
kyZvW++Oem4gZIqc1seR7qDd1ATeHmTNZjC0QPuCNV/y6k11o7qA4wuEIXM8VYQOksAPV0/V9Vir
7lnYanrkqpUfbdoQEBRn0YJcxEua16VL1F0coBddRQmJwGFaVMG3umZoF3b48ByIn3ZwRfcj+lXg
1lUCryZj44RnxZtDS05lt46ISgI5JrrqcRzn8kF4zN3I7Wi9pwhf3ftE7pkLbxecSMA+D6mg3TvF
IUaRzWsTohQJybybLq1BgV4npsi7J+YtQbVqtIR0OOwToMCmUfWN1aImBHCY2mYlFUCEEKZO8FoI
YYOeKkaL3iHDCs7zJUicNarpM2G9AhEmWLoX1yY9aGXTvfGKzcci3bYYOC5saL+8KfNpZottZPNL
M2gfVPKSDV8Jb1PPXqLyHK+NNb/Hk2h6Nh9EDFVmLk4AAeYHJ2vYqAont+pTDx6F1cEY++8+CMGj
zdoRE4+0hm+DMwOps6I4ujDQPl/Hs2M/kE2qrxOX8O0VwLH2Jol7DjjbMnDC9/ShpEk75Sdr6Yl8
07Fji+eoevqCHDoi/qcCQh4qu0qGsBk7+23gTqAbSS0fHomw4pc0zo1roy7Gd5VQBGBWBl1J9ZLx
g3UxS3WkbyW1m1b6Ya4G72FEznsG9hnJJyir8p5MpSI5dmyhE0pxjXq+IzU9hSFblxa5YiWb9org
1dtMijLaYGVhbTXFWqPh1jUwW+K1XnO2IlA4XbQKIYi+GTSJIDA3RIMK7SCvooqkTsOr3px8YEls
ucqnYnJ7GK0lsa9p6HRqfok8fKgh0o3g2TaQh3NwLrPcKKeEWMS5IPkRUT4cZ9ZZ/PhpupxcvxoJ
woki/00XEfz1tgByvMrgJh2dRvVi7WFQeMaZkMwnMMfyvHoySMfMx4CkRTWa3AhuA9snJOnMfATJ
5N6y1cEFkPFvQkKibONrQ07yR9DaA8VgnQ/XnChQdHhRl9dJq+avC/6FR4RLBPhZ5ZR+RqpVzWac
qv7NBmX+MYwTToy8Wghs9GMjzcPA1e3nzCVNwnF0yfJtIpcjU1nyXhMpm6xUVcd7ixiQZOV78/jN
c4PkyyBkkYWxAse166DEmuAge9fircPOcOsOnRevyaO3L/pKMrWAvkrHZswtou3OtgN97BsQiys/
iT2Oh9ShRggql5GF6mvZbFwOdzIL3TKhFatrk6agGDyMUV2Fi4nY4/GeOSerLHAW51BCcipNNAIN
S7SRVDAeZG6GfI9sIgb4O3XF8pQbrGVJOiuJWkP56/V0GL73gWGPysxLpw+24/gRCodg3LDIzYWw
kyoWDZ8sEUeMhFAWq3YEnLlyEMl9i1oSu7EKozKW7gC2u7P8DLArhb+9iptyLDYAp/ECD3Qw/LO8
viixBhIz3FyA57Mv3bKJHsGj68p+QHAeudajFxPVhBF1DNSQhpg2Ev9hAUeqbplBJPY6yKoe+jr/
9YvXLuKQ5Ekcc3Ko9nXJiZFZB4BQ44sRKQWHQ1kQ5J0Wab8XNTIGWLfmlKzG2We0iS1HTkdQR266
cV3i1cIqTiyeRm/K3lwrYwcKy4VFYLrAHQrTpOJ/g9Gb8PWmE5aBem6fDNHizrCauX4S0yLvs670
nVXvnh9UMUXplylPgAuXop4vgK1Pn1ZgWO+AjDjorLmgB5L+1KlzKClZ4kmWgdcGGj5UwJo0i2kL
4wj0b+Lrb3o7uelZnVJzl4m6KWbwZSwmB6TjJdKM52kwnHwjJg8zRVEzLV7FHDcYuNWcYGOfc0Im
CRcpqkPsFW77bGaDLy7gZTnpppYlnLO+Y3u1mT2TXyrElFIRlsD5CvMjlJZIxZapiebVUriAoOgJ
Iz+7KEFA4+Fb/HL0D6NIRjVgVikjufNJJ5xmjmxdWCHwV/+TdOeEnXONBYDGM/GPutGBepjSZKiv
ssom/8khro2pJkKnrj9GC8SWB5XoCYTaZE9ZuSY30MO+FPRyuK3w+kWnZvKS/iKZzzKoNclWg3MV
FAs3ZVg3I+HQyCUwEz2p3lu6W7tvKv3N71y3IJFd92O01YAkPOLVIdXgrOHybYYI5tpG89D2VDPk
svoGz8E5dBwGarWkt03X+2JnFj2WhQF5Nu1lP6PHMNZ9lEwckwRYira8MJtlVPNKuEE0kcnZsuCe
QxeLJfMNi1ybAp0MoWEg3QPYtvb7NChgelsWTopLJrCP2Vt8Mk1BG21PxP068OgwUS3nFoQkOPcj
sYS6JDzF4bUGxQzz+KAN5y2xMrnsZkLp081U44/ndLCZSzps02m++RYVw5qUlMxeIGaiS3jkdZh5
8cpY5Nznux475njew/MuNbn0uVO++3pMPeaeM6Yi1hF1+VGOmCa6NWO0yjkhviKkXKCE4qp1cc3q
KOu4EG8pMlWY2gL3B1QCXjPtxeSjlntwRki6A9M0VgA3QwUdiZkZMcvRCuxfjGbFJ3NwwHcDHi+9
59zq8idc3K6F4QGvA1nwTps9zkZg1bvIRjV7ypXjpHdTNkHAMd2JUAEbRJp/mup5megnh6ErodpH
rAFA24r67PeyJFbQ9UA5VxHo1vamt7dr17APOVsWVEIlGRLPZaSiO7Y9tW1tps4OCkIbsHDl02E2
u8lcNv3oTrG/SwezN6BRdikxmssmt9UQMU6mYfIKUAddT37grF1etpCMm0JdQC61OZRHw8FMuIl5
ErplAxOQhfSPbdX/hWzgv1dfe/Ym/Ht97SpRIEzKl+5vhw6myftPYoLz//WHmMAUzm/4yTFTsM22
WWmz9vihJTj/F4ezGXs9BvcfToy/SwlM8RucShQEIFNZ9oM/+4OSQPx2/rtQyAY+26Lz3/gXlAS/
4HUo3Fg3gjJhCIHilokBn/RH/3RgL6wDEmnuOe1tNie5YpBnlB4Gr8ZZ1ynTk7CKylRtzYwZqQyK
kPFh/lKOtr4oFSqe0OzEKxLK5gA4+maK7RlfnHUXFBLf/thn6qpltPxADtDyNraTuWLgPaeMdOfq
IKPuEk5f/r/wAf0P4CP1Ava4+ls4qI+X4W/159/ue1hIXZ++df8Fnp/zb/Xvb0C2Len4s7z7/H/4
XcPieL9x36BFQakNzMs6izf+7vMJfmP7+z1lCw2Jg0fi/+u7Df4TmzdShAIBxMEU54Cuv0tYLPxB
bAhhMnDbfncB/aUbD4HFzxs/Ft1sbG1I7sH5+WDJ/vOtxxmgGL94pB4Maoo3EYlipbvKLDWMlwCS
Lf1gWPksjl6hDXYdSe0ua1Wbcn5FQSlf47iJqKxNDKibLjCYkKG8IN+Z7IWYnrIhn94JQStWdz1x
1OlWsEOkzgfMyBx0AuiGGHaZK/O6LXy8Q8sEDZYWzXbaC5Y+Eh8zaY+JfqjMxrnUmW6rPdWJU9ub
EcngJFdL37J57sd2zhkQtm1+kG2tyq1Unv7UZdN/y2JleVvo8WfxM5LCSrMAi4L0ahL29KAG6qqz
0HKTZvW1Mchuk5eD5o+mT+4w1G+GthzME+QqePH8KlLfPi2TcYxFHK0SD5lmAn0+XKqcIUxKWUMe
gdwtmXFCUN+c8txBN0li/dYkTOYwj8HJ6Zzi2s6BQqwT0rxxgd2SagVYUzXtGlFjvBmLfrxacptI
FOm7a07e26jUaAV5jJ1hSsgAnRXe2cbd+HTKB4LwUKbNDg5jp/84m87XZutdxy755e1oHBu//kRc
z7Q4X1YO7PWtmtJH1M6QMcZ42XozPG5ieV4B2MuV4qWxBkDePja8cTY5+R6bTOSvRux/q6Yajagl
yK8Ty5vtJmzabIK3rRQUnlTLtM79kfK5Tsd7ytPnmYfgrmn4qso3EOlVcfSYY8j/lnIH7NOGcRvJ
vsQTK0KwzJjqPvQ9PUwPKWW9eNdLmz9ZZCUi+MNE6t4zygFgGpQR9Mtx7O33aCx8mqeaDL5VZ5Px
ZV1lSPWDbZM6fb/LDFdcNNYi/U1QIPs/JoPv3RuA9Cn2mFaMBWgMSe6EXts0q/Nw6dOUuDfe3JOn
sfE7s3L8zwZJ/zxfxN7QBdZNIhG5E0ykmdqkx045TbWWizcy8HNKO9nIeBnuaLLq+eTXwlTr2FDm
vW4c68VbPB/s8DLthyxpb3H+BLej7tSevStK38mllWQznRC63LvP3La4C4yBuRcUPh0ygUIxnKv2
UkVZ84nM/NzhVASJU+q6Rw0M5WqIc6/rNnUTFUb3BNV2ZsKZ5RFhgjjaY8b9V+Zk38Reba9bJJKr
3jdo8QEEJBIVUsZd7OuhYdzN+8I/WmaBORwSkjEhap49xkbxZJw0A4C9H/RTiEnEXknDmNmNWWzS
weh2F13TxmrfNSpD/VxNEa1inc/BawBCao/YH/UqAT99H8o4jvZDhAlibrtHrMUO+0WGzvQeSR02
GjPBPDTJDRXdvPMMw9wEhIMSN1zRurRI+HUQNys/QnZilZLVY50+L43DIKOv2oPJMn+NLX8Jadlo
G6o0v00xGB5R5p4TdWJpZ/41EIX0pKIGhUOseGAd9nS+UHrrx1I91+VsnOpe28Rx9f4lZvgM7y3p
EPnEbR/PCxfDhkkinfMfQWWOglaST51rZgidyXyWcKv05KvRB7+p/J1vGR0RFK4AsOzAi2XicpEv
gX9VV9Je49IXezbq2Yk0CuOEIlA+pg6zwy5OgE0ALN7A9z10ydTeC54Tpmx8ZI6Z5F6ewxhF8P1f
FTzF6nuw94gIeM3PweemvXr+/gvWXSP2RO3ZJGOe/wbD1R9gKKq9UyYvORTc06SlcQRZrA9xUk0P
/swl4d0bXfe9TRCH1xUUZk16IGy633bS5fu1hBBhPAl2zpAvbKDwe6YqxS83zdY101y98QvunrRh
+NJM7lcf0e7L98+vAzf5oj3AunnHnxBtHFx9v4Z1XE8PYir7g68kpuq4cJIvpIETiQ0J+JL0EBqs
rBe3RE1lLwiWq3XHEOMlH2z1jLN/eZ1K0tdLL0bljduOV9/UuV9z05gOfWwED143jfeK7OMz8q1l
PsKkDL8BQAoMfBfadOmyLF9/ptqIL3M2wKeA3JOz+yJo/C82vBHDOwB6nQSZhk3L0plHfWFYeLQn
t0GMzcrWjJlRWyYqZsBjQ3+UwjwPBzwnPxhVnT8Qh2EfGQVPu167ROSJ+77N72aXrIfKXtYMvDeJ
o0lL6g6VN2ytYd4Ptv3KNI3E5SyWDLy66ii889698a+1zcY88M0bP16+oHkhNSNv1aohdnEL/bnb
LQbCRzkO3EzzMm9TEHAhRoB8Kwen2eBCsVfzhAnEx7pI9xKIsPQTeersuoPLXw1MvZBzu5WHXCJ2
4j30Epoj7RLCM8PA9FrTWtH1jpjS5ycbZi/Xv34g+/HboMiNwXa/Nivj3lS6veIsCdgDzdUeXwHB
FYPm7vZ4FUNwCjYjNo09yx/3caqRfVvJ0j3PWDk23ugZJ5WOxq6rkwSkqTntAMsdzKCdeXFL/xMD
CGAXby9oxMgo1xxZKUBqJEontvDEgdvrUdMjwmDPr63c8C4bZ8I7oXvSWLzUP82sVFd53m/KkhCz
pkkeI0xqIBuYy+u2O7Z99qXtl11DghfN9+juet8GRGjmb6lM5xBVWbUq2PZ/9sJnoQIWAYwVFhOV
mh6DoHm/DAb7c8crNyJAic78cUVKir+NZX2Q88hoOHNJxCgaB5tYOa1r3FsbxJW8Bh3POI5imUjm
HA48r9nOmGCzDCYUveD8robd2tPUv2Q4xjgUe/tWs+3exXqMVk7UBjel07d3JmuUFV2sAIVV+Pe1
QkQVs63Y56xHEL8U4ATjkogCLLBEZxce+SMjqc+3UWwfqAbZ02H/sg45SH7NzQe8GoNfcR1gk93y
rkZkb86GuFV+pL4AmXVb5sHpcMABFqwpSFE+xTXHiAt6++gF0Xs6+vMVTlV9KaoeqU4uzbWPM+Y2
FYTmLm0bH0wO6U1UKkBSVMj9OpKDjf4l536VY3IFBbDdKpGpB/h67Em0URNz4bbLtyqojB2TJLWe
HNWtliXWhxGZGMzSbNwywTBOaennB6fqzJPtZt4eyLDH/KYmTgbs3nVWq5HbNM4vzB9w8so8MDdl
5eFOekIaYQTMsiQvGeZO9rzG38cKNUk9awnJXp7XxEBotk5uElykC4Nkr/FYOsCbuEQ3ds4nzItt
DZksJLtQ3Vc6ZaxhUzEyr4zZ2nrzN0SvfZgVVhqvYuXFd3QHZ5r6uGyqSScfLAYcaPdDtmvbpGD0
CKdzM8wMcfuycUJBpb6OFg25XFvBbRN15xJ62nZEJlydzcdv/MX5TaD7YtO3vP9H0Z8ZmPMOl2OP
sMPIDosOjrae5drN5xmPXOm++40ndobrrdomzpGj23JPkiSqiyjSu8nMNAeiCzU+qSMGtOkZ0ZhF
n0FZMqIt2OJxJj/3ue4u2SvUt5Jgh5Wu6qeWjMNNk4jpSGRy8hBQMq7BgqYHt3bmFfuyeteT3QOp
g7/I96pPTvS75bseg6OM3Zl/NQbDXSRkEmoi4XiItDXsleI0iYKkvJUzAY1UNbzV2sn7UgT9Q0Zp
f4yd7t0LhjcAnNReDgE/Vd5AF9XEKgLRXtxzHF+ltpBAXl2dBSDhsxevWDj9FtAu5tBeK54xaB5Q
3WZn4KRtkKdRanSr2GeZ4ObM6kUkzhJE77KscBTSi5S7asKkPokieRJ4Ds4T0cI/xTbv47oBs0uU
FNkwPJfDOacCeGi9VvR2YWxUzTYV1ovPKndPwVW99Oc7giL+OCN9JFGzJlhMps3tVHmaFXfRnsok
r/iZrGitEA0dmZGi2hPzPYNAdy/bVoSMtyw0fbogJlNeVY774hfdY4b3dyu8fNnMPQQoM3eNbceQ
P2Z2mfPQLzgUPGpKP/bPP+qHnfpsRFt3uImRF23gmX7ozqDQbVUZqqYifcYeq3sr8Ybb0ahY3lop
AYwLMdIrp/UzbrYheuraBl4fBZa71VRLISJMchXA9OwCNourqQjexgFhCCmGkFglv1OnLELTOOr2
5Ao/5LV9sA2/PUYoDve9nbrXY94SSmUuOyMp46MZyHiNuCTgLZIEjDoDd9sYoEwLZnc7zWWEDWDa
1YYmnWRUhzgA6kncvuki7gh4N77o84ZrjKZbdoAvJvPdRzaCgEJlc9cZdvYQS8vajVLZX+mruu3k
i/dWBO4xsDXvQq+9FpNxvYj6CqHlTvtUWiRkNKumgXTKwmg+mLUNYilIXtH+XAiu65cIVnNIuc7v
iOqrK9IAL/PIrgmdwgrp0szkvcNoxzBp5/SWRQhF0cgLLfvqTgND3bbAfpicst9HIiC2I5i9fY4V
cyOrODjBPKc8M7557EYRp4zTGhL/+AHVXj3ZqVniVU3hexja2fP+AueRN9ETVvfqqkiRdS7EHlxq
0+AIi3yyzSe/WNspNU/ExXSFjm+0Z8MinDvnGtZ43qzcukYri9/q0unB6lam7Vw6iE9WCeSsq4yX
MytOe0LWVLZXqTUDkG4mREukndn4Gpf3SgbLOpuS8XaaC2M3nftQihU3nGXv0Hi3wyvRUhPlmzWv
CxP1BV0PiZOT0b8mY0qlRD7EaoanvXNTBzkvDzYwnbMKTZcr0oTNY+qgNhfeTK3Ty+dZF/GqJd4N
08gkvlSGp3YaPPYDujZxG5N2dpEFDcOFSRsU5gF6hniOT2mV347ISMK4d20otAVCp8Td+5JJXzMC
VC36dgR766PPSLCgr2I3bbdEFUY3fLt003b1lVzK/Cwd0879ksmvypVLOLk5a+yhkRjqz4uDNLC6
1xoT4arKfC56aUK8cgSVyDCcWW+aSf0CG2vv9IY4VW4Wrf2BHopqI7iVdjHed76FkqPIMmvd1PZ8
l9SxuaEXzvf1edtApvtwQYvab2oP3u+I2Hc9KJ0/1EFZ39nVzDEgec9etiTQ7suiVye7dvIr5vfj
+zwBqbfL1gLqW8T3pWMTi7r4FdsNaTyjgZv2JACdNatVc10aeftVtLI5IhBEbhbn2bQ1W14uvXSS
J/C4t4moLyXNf5yIbwUQqEefcRbiF6/YNpratQqidrdMziMx0Q5ZU3P53KJiusjjBk20qdMvLclI
F0NGEWCaywtZM80mK6J5Nyhn+X/sndly3UbWpV+lXgAOIDHfHgxnJg9nUjcIUaQxz0hMT9/fkV3V
kuovu+uuo6MjHHQ4aIkgDpC5c++1vnUyzOqTkHQNL2aynqJJgL835LzT83mgmiB1A+oVkR1Z3O9g
tyF/VgyG6lH8rZ71PgDF9D62vdwWXXnuOH71CDRvOyaPd7a1WL9H2OoRrsTyNFDx3SnoabZ2KlcS
Wklh+8Jwpzhx61LfLhxjay+kKKjEX97ZFOMXyWFrhz9ZPTY0HVCkDkALzVZaPswo6GTco2hjX+1w
XNCKRmUx0MITiWT6a9LSBF6yNiODrJ93Y1rZ24lunueawKvdylbgpbTKq4sAzFNNZjR1G5UP61TM
HhLihhuTtIeGYyLgPXqMxNxOA+ceU/AQ6jMYhLwdk4B4xHFb61kSyCFqb8hyjm5mN2cyzZjPr+bK
AEJ3FeiPZArQ52itHYaS8n6lrA6qRFOerIHjSdLNA2oxO99W1y6BGkviQjN22yVXAe2pw47rSvYu
Meqof9viDPWt28bGkP5erCkDBLvRMC0Mxc6uy347tuXy1jcsPmqMcXfDwmcwJ4b63NSrQ5pinQdZ
U8ndag7OzmJYFC60bV4LVS4BYX1QG1I5aB+uVKvnwWnAIFwxqPda46i3Lan13yp3QC01Op03DLbx
KWkn+aQ7xH6dOfM11JX0UEmHRkQ8lCgAm2daUNG7rLL6JsoQslSDXZ/iZiAIaaqmb6krX/TYyPGq
pe1ODtDPwIHN9ReijYx7MZM5ZTAse8PzQ27qaDjvUGqSY6Oo4y5n4y6JQFyse5IDswcU+yzCNUog
6LgctKtFOdRMvvyeLHXPaNiE6oRT8yYuKxU9AMmrZ0K60yMShfRdz4kev247MXEfoswuQ7faPlqh
DGVXn8JZ6Dv7RrcweB+n1U2bLVJ51AclAGEBOcFo7F7fIG1l08lQV0rFbRlE4DHjPWjd22rO7Hu6
bflZa/L4KymBDQoGBQkAsrsOVqczvhChrfrRwv7f0XN7RLkeHV1LKn6xKCIUUDMOdZo2nkTgQ62n
KJ+SJPQNg+9LD0bwIhAGHOqopH+W1+k20kj9o3txJkMv3o70G0+ZnUd3Ch8bReniXgTJKjQ4LeS5
5M6emwivPGtreZPkUONKs51veT2Gjb3Ew4dLIYRS6p3Ik3fEZQ8GzdWTUlUvgxY9pDreimFUR5wY
8+zbPCaEVn+UpZQe8W1fLHKjiwK/UaeX8ZHmYoGcwhBUQcJH4/hkTeRPEdgAKHSBGIEqfDMZhJpr
vA2BvgjfpJCF74m/A9eyAFOOPC/DoGNCTQCEihykWZoDON3hoVMcHps+P49JLFjuijWEMzl5iUZS
UquT41sMy3Ncyde6dQnfNWUAEi+sOY0in1fHM7hIpM5RCSsxwZqgKdG5GQbhrzS5jwTj2LtZI6YX
DTzlGunTfow0HyHEkO2hxw5kXZMTs2DP8FU3P6CBHc4ck7KYvd14H20k6knMzp9KcafX7bRrXSU0
rqwEkerxtulW49NSm+7BynslQDNCaxYBGJVCkXl6p1m76eoYwjSQe0Qvi4CzlUvrXubnqXLpvSL4
ZdxmMgVHzYnmNi99OzHUS5YNyjltFczf2SqNgC3FvcXNlwRuOj6WaQFDvQdvrCwTUtdh0Lz26lZt
rSi5G1EVB+pkK36v9+c1pqLvsajvJOTWvdtbNfq31Q3tbuIcpXPI7mruPWA3r7M05aB//814HB7n
arl3K0rllBx2RKeYTLK27ZBMEkLnJmPQmqrtkYx9iKSY/d6umpspq/eizl4azA5jo3w0Y4YWMxVj
oC52eqPG/R2Cb3RsNqb8WI3sHb5+ZD6xQ/VnOu+O1XecVqpXWjxwcVVMLiAIQGvoseM10bVuL0VY
z/R/YVYHCgi5u7HReQAmlLKIxr2e44SXrQrJ7MqobJAP1c5mnhxSlcA8GKJJ8cDmJUQQ+zQQNEig
8ythNzgUCptjcOt4uZG+9FlaBxwfIiJECydsDaSAJsQephurih+oOxtZ/TibGftbR0+20q1T5eYd
2BwmBlWSTEGrk8K8ohoLMmg2VmHQ3UsalNbRLFDE5PqjrfRv0qVNJ6Cge7FiE/pgqEc0FtLDYDT5
ZeL0R8OZnvrFxWEmazUkQvo1cyANSD0fd5Z0H2uLkqsd9PkskrTPPc6iWxfj06ExJSwY+BMGoIqb
gs64ThdAwRJWz2loVkvoivHLmLgPQGx50Opsy0ov/XwQUAmoTvZyztVHysdsm7rfENDgvhsh5eYq
49x2fYnT+ZaDRr1B3ZA8pLL6wJKb3eQ4dkOp2tXZULQPO7JpNDW+SkY6hphmy0S52k1I7g66M2/Z
MQvWNB4JW0un7XI9BrhFRZJd8zEO5T6pxVPURoZf5+r9Ghn1IYvL7NShL45dLfOFW321HIweXcm5
R4MQ6yeR0ZMYZFJeRGwfSuVUpzXLDpyS4sNkq81WKNq3Qmse4zz9OqapdogbRdvlaJJ3pVswSaJg
PcYkHWx1SrWTauVotnNn2vW1OyKfXt3bRRcfyGCKh1wV875W2sUzk6a505123DhVUvsxaXAeh/fu
LkZ/ShiefEuJ10xPiDH9NHlkSZ/2RTnBpSLadytKBjujVcdfmrnRiEiteMTVHh+eY+yHCf0kWpPM
R4231atyX0zrWyk1+KIyXPUZn8IsDwUSxlryAJLolodakb0ttXHH/cbsBHEYHZnOc4fgGo8pXddt
n6cPBN/6MyCooJVVdEGZ1m1GbCFdS8S50jf3TNrudSAdUiT7xnT8UgicgADdtHLkCttmOBoRuAqZ
XDCVPSsxr3oz72F6JHxXfuTFnPuRor33pboHgs20F3EOvpBzozp7RTgPGupebzTKw9zHB1PPAxvH
2AoB5DKTC7lhviY3Lh1KHwv4oUCLznmytZ6Trnolapjyt2re2lm5mNClDK1/MNoEqdiq7ScmkQmn
xYA5b/OqrhmRzPNGKQefLcqfi+ZJTa7CwMYNK0u/0TW8jxoetb10o+UmxrlQDyC2O4d86bQkGyVd
mHUJcJRTPL9jMLAPV9fLASafpMyKXs1rZUGoyk1kFXghJCaSRmLqLpb5rUzUKZjX6Cw4tpijqgZd
G7E28B4Vrs0Et3ZvIWaj0iL3JXYS99j2GoLSRSfyhIaYueFYiGwiGqZbxybQeaWOszhqBqU1pCGt
hubV6JbhMpOYdSDROT27ChYOhJ5EI5fI7/CWbOmzpHv4ClY4CLKkwWnJ5tlos+kdi3OL0ZK+Cw95
VXxNLZPTOnU1oBnGBvqiBGqP+HWmlFOa/MOyRgLDCTRiIIPxA/0cnig8bmtYkh6P649vgK4JdD4Z
SKRZAIiT3ZvSxIg038auYUo6ybBiYevbD6mj5jsEkWNg9PKbked0HhhS0bPYSJnu+QQ9qsGaprqs
/JbQZhYN0zyIqbzXSmtkpKGEiVyejag6tHY+bKSqXiy55oGwm8Iro/a5SORlGpGFrnaONJj5v4L8
1G+1uNtXCBP91nS+EZ+ucTBX5RY9df0o69E+4Aa5H1Zr70SuHspWjzz9apuTxnqHG6QJym6sD924
+hYWG+bx2ttIrpw3tQ3iVprzvaHmdyafqG3nJPWkJoVrbG8XBqNoIhdfT+CAlUWEXNOJbvIyvrdh
uutg0JjwI+Vl99mNCcmgCNDDWppfekf7gvSYGB1misHYpNqGcOXnuJbfXHXw8aUySrHMYDTilOdY
vySSWPO6wMNbFOo3/L0lfiUHwajNfA7zqU3pIIIRmrAvi+LYDaMfy8na13b2ptQMI/ICwNYw3HTK
pCNwbLVw7dt7J9I4cpv3g2Xj4pzt2e9wx54Qw0o/goUUjiQqbFg+dbLWbQ/jeO0zg04Ow5ga4aq1
9c7NKdsZn9NMjziE2lZdel3sPGtu1t9UTW6ekyE99gS7BzbJqlo035Ka2lBOsNFEHDBQzgUEAgVM
LtPNiEqODhAT3Fxkt9NVGwdHE9i5vVTelJJAJxnYB4lBoZA7CHQZlaf7wqFpjckETgHHgk1UjGTT
Gg/jOlrBbE53rY5iBCvvc99nV65PY/ClTvbpKL7qM22MujwPcVUGi6iKsxobBQWoS+KEwUHFXnRO
NyUaebq4HOxS2sIZfU/9efzDl1vHjaZ/rn9YefFAcYpZi3rc67UkdWgm1XDZNG1f6BhZdJxxmjnm
3b53FE07tdDBYTQXYILmbRcrShaavYtfnD569zVrkoI+/dCvLwmtOmzOtJIwGXy3P/PNyTyTSu3W
QeFYS3Jhf4+62w4t8u/rd6s1o/aGfn1p2+quLM0uD3FyjLHYgBycaq+M25qMNbNTtBPqDwpCa7GT
t7aZYv1mMA27uRcMxaimee7z9DSbaS3vxy7CyqnEiDt9iZGwOiCVdmXoMu6meW+6+CkavR3VbW2h
xH7A1HP1vKPzxgA/zehp/QirGiNV3egHP3MyTgtoqUeNdIJumGbjtcILrh7cheB7yprZ0IaAusdy
blPEEzzHU6lYGw0rrT8RMzButNJxL6gpnBv4Pu8g8y5OZ5IzhIDfK6wqRcLaT5jJMYW1WQNCMYoA
3QONir+U2dRclFwh57KrBpxEgBOgCKiV5uwRetyvYKYeyzh/jTs7tLKEBrgWeaKUYxjn+sWByKXD
HsYezCklWzrjbiKR9RArTuN4rIZyfTZS6Ti/j8QVXH/+aB3dqn+amsFigUlChVCTxJDatiRlkyCy
bTNSAxNpT2oVRuxMAzaY1RgxrWRlCJPSdbRFyPCi2Pcj36yyYd2DGyv8rnWR/djD/Nyu5q7p5voY
DYLDG2XvcSqx+pTuLI6lmSSw9rhJlVnptL67bQcHaN/P7rLFI/VeKc4Ngr+SM1J7mBpqPE5HeGDK
tZ15Lc0kUGLWUUs0nacmvCHTYBNC1QMnJIDAImdbNXy6lwtShizaK2NnvCwzKEVlWl+aIf+oKTrg
XXbbDH7szm7gpcfooNHWm9lL1bgfYnGyvazlTW13+RZ94WMyp/NxpPN117ZOEZhIZcMsVb9UQ5Xg
fO/ZZXSFfnS3NnGYcUCrNsmY1V9thwOtS9ywMTMnx+O2j4ZkDiq0axyq8ANo2KwZ2uk7ckik7y6i
CQziOrZFTPYwaMxXMoI5KVf9fId9zdpYZhl7lsB5cI3qSlE0uGfH7u4NyEeP0Edwv8jVurtGnuym
NrZ9hivtN7y7SJdTF85ia87MZnpt18PIPHZdz1kiY1ILc5/cA357HPu6giKyJaksw+lhEvCeIqb5
aBkc0NxfA70CjHHriEX1iDI1yQpXBCiI/I008dLvU7a2WmQPeTZi4nFmJ2AM+7DOJUj7PGKs67ZU
gza8bd8ss/m5NnQyqjs0UgcG3hKPQ8O939AWxaoOMHb9ijxMvBduYdZ3g8vhUNDV18Kq0GbUAlj5
+3BQE2w9YD7e19GlHwgrkygwoyhXaIyF8ZKnWsqEsW6eULahD6cD6mHgguKxdof1umRthj7Kzwb8
KMZh1alALui1Kj2Xxm16f7oWN+Qorztqjuw5gyqK5imZDgKcw4EFjMKajKAclTrPQVDBYMSpIzWq
rh4AiHqAlMvbpw+YSD449FVwO6XpBs4cVaeO9NfaaKcD0QvGvWJa/YHIVPTpiWJd3HJeQmYS2c2w
JMTcN9U3nPjizEtcQSIvlLs6L+/gqzf7DsjFA2ORLa3jTxThjq902QnqOEvhahh3jdTk6KdapOC7
wQmIBihZh6NjxV/0on5i8ih9+HeBbFVln0UckUWKgj1nkGcs9KbYh3dOqyufVYvGoHZJy1jqbSYq
cNXtOu1ZIULTRNTj8JIEJX46gBxFbvhwIDV2Zis/g6V4GF1me2qhbZl8YecxpmNjDGIvdKX3ItWF
2p5O4XoN7GDy2acXW8VmsroV88ghsTftUsa+iUDgSTSDfRNbpU1sXdcPXp3BG4E1P+y1JMfYlIju
ac3yZ8zdbN6y/eAANNwjwUPlUE8PCcvuiu5qnj+Jn3qkQZSGknkLk/r7GISeF3XYHBoJv3PGQw+9
NPNamU8hMIuX1S1d2rPFdIh6lY9GG5iJE9BwPV1M3aQixVlmcI6n2DRNsrYn+0nPLeNcTGYRImRI
t7MrggwdEBHca3Bt5fOz6W852UofXFp1UKKvHU520lYGxCjlXQJyC+gTOXsxp+qNIxeDt44nDA5E
/Th1gL/Rc6ngF01rp6MOwFwxLOQirrl2s9YDGIZ2OuOyy7dF1i9BIWPjyDCyv9FnrLMkawBxmSO/
kWl+bDtkq5uyiongSFEKtcE0zCEd/dMieNPc9oF0Q+RsDC12xPWdbMX2NXdMdqWOoEMfVo1ivEoB
Vaopj7roqX9cpBlWHbYMGuA5Hhi9H1yp7SQjObEMhV/20hs7FBF9pj248XBjl82pFOhe17wewwbz
GObozsz9wrBlEK9uc8qyjnCeHhiDiVLJ7yBweHk8kR0Nl3bTpk6062HM7PD2hfy+CL9Sd3kutaH2
Cjuhnc9dwqMcI+vNyo2cs3ulV56VIV+Yb5EM5JKVtBkgT7HVmxew0fmxqExmWkzM06jsj0o+VSFi
0B2jOkIsNUryuqZRqecq2InceSsgQtJBUb7p2vKwNsBeB9rvQd6NJ6ySSqiMJnTaZeV4aDrG57X5
vJ9W+1PLBsPxNCw6QU6psJm0lbxybtY5qmTFCeS7+Pv/WzL+xDZewwuFAavsPyvi/wjBeE6rb+Qd
/gNPxj+G5PMf2+8hiGn12f9o0fj+V/2plbe03zTNNAkKAPRFyrCNB+KfWnmNLGNVsCFZcPMc8xrg
9adJQyNv1rli/BDVCKwYfIch/PcAZCISsWaAedQNFoorP/K/cWhcZfD/mwpGwSsMgeHDImAG5QZS
+Z9l8pFLj0FZ+9zn2bR6hqQQFDaWi6PYa9we9V3W5+IJWoj+nC0u8wYx9c5lHFBNqNBV1InOEjMU
EYWG2bXZVhBW9QpDVUXvM9enBuMWm6Ei4kfHKi0fd5d8uHqEl0DCrMN4JU4/fCqXPy79x0xCcWW/
/fIbgUDAPGm6mso/vwj/cYzb9CgqINZp3/sx0QkXhj5wVTI98cyl7zdXCuxjjzPPV5e6OOtdb9xJ
p8m3KzwLjovEvs6ZdskQgB3w+AlPJtpTbsVmEK39shsqMnP/+qJ/BlN+/xQMg4AJGPccLKBP//wp
OB1+HpKoc3/RyzIcJoYoMWh0ag0A5mWLay/qp7+BAmr/w40ysMKDpXQN3YIk//MP5UO6dq9F5hO/
JZ7ybHnGZ1gi9RGuV9vGrbA6K8x01fIMlE5hIyv3+Ne/9tXw8etnZdiOIxjx0KUhQfLnS7A5zS02
kiMY/J0dWHgLGeJq1eus4bFAFmuf1d6BT4aAfKspmRLki5g9dxkUjLBLckzS61ytyb/BmVY2ma6o
f3OTrul/v14hYX0ETYAMJdfP/uX9ABCnlCyo3CT9OR3Pcqy9Tpk346DBicDS3LFVZLdMBr0VURfK
sVOhfxCHCmQACnxk+ovYKnG5ZcQH7cxBFFP5OuxxWuKK8YIldNP2Spi6D500/li0/yOK8X+4uQRT
E48hbIGp/9dLb5Osqkri7vxeodEJXKVEbWknnpuvEz6+tfkbCqj272uJBUqZFEH8NshJfoXsOeZo
uHRpM98QAKwRGh4BVGfXIxKRxyUEWSH1d5g7NgVejXA6hzZhkwcIrEEqBANYyE3xPfzNZf37beCq
iCUCfIm5mH///IxJ1+kYbHNVbjeP3mokAuXZ0O1YY2t/YQjqf3+o/6u98vaveMZ8gN/+H4hjx0L4
w9v+bwzkwyfon+XHXfH7H/hzV7xG5FiwghixcR7FqcWz9OeuKH4TODA4gzo6T5F+RTn+uSka7m/C
YrVyXVMjJYTH7F+7It+ikW+Y0JFt/tx/uyv+bB6jeWSgJWc5BqajqY6q/7o0RjJPaZcw91G5wM2q
1JyEC+UqmqW9NeJar/K3moCMHXv4inRv0Bw6qRrdKJU0yo8+n9q3ucuSDsx4/hhNsoQxseB9iSYn
fo5mjtbA58rubWqVr0ZiR9/++4fw/zDY9a8e1etD/69n9f+OUGrN/cvH7lJ3g0Q38dODd/0j/yzH
fmM9xIXIAN42HJURw78ePF37TWCjNUiZ0QWwN5b6fz544jeNrZLaDWkArVhqrn+WYzpgbpjHgjky
TPrvRtv/ohzjh/+421jsxZR0zjXrjM1G+7UOmNAerIZKTyfuc/smybDwI2eBHj/G6aGsIN5tGsKd
Nm2Vp2dVWsnDD6/o5e+LJ14hDUYsEk2G61yGxo370bBLXjz8AF2zPK5UeVL64YqGgZ7TGNW8Hzv6
HPS0cR8YQ5/emPSdm80M3ihYnRHdMcO09TibVvMMGfIN6EpPeuqsT48izkZEqQ0eqbCr4ODMVr/9
60v/tZzh0lnedbgP1FGmoX2vNX5AKbfWUrMv1YtHZTCXu0VNNRJw0wYSDlM3+3VphSzIOFU0fqdo
FYx9GLTkx2WmTeP99cX8UjVcFzUS66zvUUUsSb+WVkru0r8T8+zNJjTkDRoT1BoWqEZkBuj/GSBU
sQAdGeM08PNERd721xeg/VJRXu+GgCWsW5C5TcEG+PMH2S5LX8aJPmE3mKc1cEeJ7pJGDYrYWUuy
98wZzNAmg9IB0kUjLKzwHUa7zi0HdTtjkEwORPKOSygUM1pQO6hZEQDBbd2tkfYpsF4WuvaPrfM/
Viy/VhDcN047vJY6R5Hr3fvl8RtpyFhYbicEJ0lU0iVdK6C5s0trF+EmdroWI1lyUCPSbC+lsbjo
OkdZk04ERsqK7nOoUZhmjYK0HF0rwP0gBk6H57+5ub8UOtfL5AYTICVMrtG2rt//4VEDf2ularSS
pYawhzze3pEPalfn1MiqSn9eAGfwOiFrsUMrIpKbZp2TbDvHTQO+TqVVHfRrp+m+VbXsG2mvT+Jv
SuvvWYY/HIO4QmjssO5hE119/L9mQ/GYiwXtTe25tRl3t9CX6YhnCW5l9HkTZmcTFAzh8a6RBvZS
wvZFqzmifKac3FU4JeUmnjLnsEL0e++TCXd+M+fTsTWLd3SVSo1BJO/uayw3jkcFBlOkQotm+Azx
IjVYOpcYYmll5XjbTWZEyKEQVvQ0y356skngwrkhcXQyxy5RTv3NB0SN8PM6ams2JR85lJyibbqn
P39AcPhEtUhIFuguGZPyriD4LVX1mo2rljiealhMwsOOlwUTPasXZHf6Cc9YHPkjkpfIIxCXid1f
X5b9/TT944dis7LqnJioVEySD64dhx8fnNYdJulAVqZRVRc26vep3U/DMlOcTnVbvWcCD9CGYOBK
HlFV0Y+SdRZkkx5RYjgX2pxI57RxnvaMnWdvHPEpZF33LFUakQDZXuGb6Hv0dejgTAQcGKbKxg76
rptP7lDh/kb34YDlvU1pciNbhCR6ALw0bHW1ywKndtTHeqTVB3rr6qF6ImXPulm6jrmiuixZoER1
4ZkqwvGonYIFhRaW+eGhsfUp7Irl97HFDiWb6gtmH6wtAh/QcVI6AnnKxlB3BMgUvrA7FCAO3ktH
UdWwwnBGa9yNk4+8U8AfIijuro+qfZ0NzLSDlbQ1z+5SwEtbMQ0JW8oDwtD7lejGbayrxm5F1YLS
I37oV3jHMU/Erpiz9Yw2qcX4i7IrZJ7YbHFoOl8VYF8ecVzJGfKEBpk7sr6wlB56vTN8jujubqnV
eGdWojrM5LFcx+k5pn6AK7BXzRjvZREL86W1YpTYtoJUvcVdkQ3VHgdcvNXwM4claBy/Xa5x2cM0
3TcIjVBq48prUGMg2yGR4arq6cpuq6TVCYqt/dqVM3xMxuqgnUi5gpzD+Ix+KsFc5sEFk/w5y7b9
KAdk+3MfOHqfb3swRBeFZOGgdRAwN8nwJRXuHKqy+tRnAUIAbmzs+JDEdFRoqrXeKVqXvasdzB9v
XoeRCIUpyn7vh97+aA3dvLiGtF66OXI+kSBWg6dazKMsyME3Rmal26ZHxfggjFLuLRuxVQIVEP19
dVQZDu8bTdCzsPkcAgP5nL+qNshSBP72prTi9G4aBty3axcxgS4JLUfS192M5EZsNNsidWx1x601
TvVe7yEEKEtTbcVoJc/6EuHiW/VjRj5Q4LqTcYjJqHLoWBXGVo5JtR9GRP9ocZiWKhB7npp2/Dbm
cXftJFTdV0czu3eBgpIHlED60ElF9WAOLn4XUD4W4lHIU4Te1clXF8f5VoJKhoWK3snpm+GFrhKM
HRRW4LBUZu8bXCRq7Y1WNl0clNK00jXg5C0CWnDBuSEz3qS86sN8Rr+AKmZOtzLDPCXL9DVWTP3B
GbooUMalfWdhzXeTIdovkKaLSztOk+cQ1YXRMBt9bnqbIuywvJwF9rHNrjNygA95kODr8dVVZLDs
BW06kxApZnUxa7kFq2rjIjXbl4wlTkverue4u2Z+muSToeU7F+ZV+ZQY7g4blHqEWsuQc1aNbTvJ
90Zd5ZMmeGI3cS/mw5RaeMMcBGMlfvRDEU2XchrfBmmM4aw63d5dnMT0ANWAcWV+z+EoT+/ckdg+
d8q1O2cykvu4H5W9AKjtwwitth0NqF2PdvaReS+qHlLLjB1FzYX/Sp9xfGW73B5NyOQjfuQY5egj
zrr5fVSs7JWwrUh4VV8ye7Gb+mYZtXUH9Jsvc4LmvSOd+kOr6d5vENpWb/Tsxx3yaSCY6Ug0E266
fDMUkWUw1+yKp3yd7/QiK28B6C7vyI2gCS/De2mYn27bTjkaJSU56p1aPJTkqN5IkY2/wytWqX31
rD4pRuxuI/CIu95ZUfmDUkUPh1t+Io1pwizDPvdU9utHl6by1VCG+h5yLPrkAhpBinuX7MPrTZi5
j9+Y+697osFwWgPKcH0i1spgzhjXxCZsKXYPA9QuJvyAhoe+g5KLOmFlMtYGfTtUz4Kp3G1uIlo2
7XI+4XG2dhqwuwMpaV/B1o531TBnB7NvMA3jwQwtU8lvutlSg2aCAybpcD5HVROdiqkTe5pVy/Mc
jcOlReRzCwEH2zz/N0APPd2AYSWVEUNlYEdFsY0hbzLEKKaXNK+Gm7wDt7u14rozw6jorTVc8rS9
dWaOMmk34dKGoR1/qgj7wcWprPt5md4QQr8eJ2twA4Uain+74bwWn66wxnNJ9BmCOau7EDqHjWp0
HK+3UDDGLR1MZu4QZaEE1/2VpE/qRmhEvM/XGC/EXrg3a69X6RRu8sXUOFiNd2BU8jPZWcm9Rl7D
PqujHMNjec0XMNwx3duzqT63HMxOUa1YpxqWILmGCflk/GixLdJSBh0otJ1WM8jp7PETf7rYR9A2
D1T8C0K6kS92xIrGOA6JCcSGbNcvnAO6tqkZ2w1dOHeOeASYztSxksYHcfLuCQk+TBljkOMtIvFw
IaA+Uxr51JeVtkXlZz2SziTCYW7knimY+GK7ZYifv+G2MGT7NMlUQiIkqktkxEiX5mR+A++w3jSR
Jm9SzHSbIk77vdVMDS7vBvh1VTTzEVf5cjt0S7sbkfr4Vw4zAgFLx0s8xk/j3LyMq+seFB0z32ay
F/r8kaEylS+umGIGhCmt883Kc7Lt0HMfjEofd+U8KrkXFXVH2SE+se5PD8o4FaFxXVsc2KOe087O
o6npVux1Y2FtCQPQQpAW9QNvdnFcIWP0XtflMZB7xhRGpC/4H1YjWGpTeR7MRb1J69x+m/XS3sVt
xFgfxidytQiZDvItDkKtNjqPYKO7Z8RQ+iveZVZ5m3HoJ/gD+4Lamc5sD100MOYB/x9v81cxGg+l
Q+RFwyYEw9l9AArboZHD4DUKYfw+ISL6JLUyuUtTpLHWoOB766PCYdRACyhvnBGOzZrO+AIGJFJN
8jHAhUPGanZcISPANEXEXHdJfh6unxkRg8pCg5m9KieodZfRmN7kGa+IvqjtA87EnpOFQXUxG46+
zeZV8/RxZiirj2l8J4h7Q5mDseqDEYk4ClCcnNwrgHsNSumHSMfEFxABtzxDSVTuEI4nk6+s5YSV
yl3MV2ggpgc6PH8YdbN9aesUtUVfOh+JMFXHZ17FCmAkPbkKlbpczBrzJyxnZOEk8jm3oEr53VG/
wHzlxSp81+WtDyUk3RND0vpeKjmgWVddPmRtViDmyqUT4ARb+43UupQGsVbzlfLPeTK0iGlSqpPK
jtmcH6mjXhhCVynn+ZAgXXaezbqqECRLMOT0Bgh85OJcaNebhgCGKeQ4jr8jahe+gfCode/GtFkW
ZMCD1SQ7LDNs51ErGmuHtHa58HTk8clNF3ikWQsD3p/UZTRDTLwsOLFw6p3sB/dJS2T5geC22Y0c
9n6PW4tiVWIVOM9yjS/likDGGaUEEJCti2TdceWVrWQR/yer6owS6JpdqbkfpG0DlM109OWEc7Rv
7LzJqbE1mClp5sZeNqfGuIXjGi2+2g/sG4J50jZS0oZdTG8SHJlaq6DYlIaXD9Q3PjtP/VYi8pkD
za6iJ6tzehmqzopqF3NmPfnjqqGKshWrFWHsjsXHMOnOU8E84maeOv5iWbfWyN9ZK18jti2Iqg7u
gU3m2PFjPhvRV3V1cBUgQcS0GhUzoxCndZ6woUzVVvaF/VaR3tEjeNVBFmnu4nb/i7nzWI4bWbf1
q9wHONiRMAkzuYOytKJpihRrgijKwPuEffr7gdpxDwlqs0JndKI7etQSCkAizf+v9a1NxLYcZVYU
OkcvVvUmwwAEIeSADx9eZ+ag1VmLokm+aG1ogs/RJGzkfDBCd2eDZr3HTT7vSchBy2BvhiJHfYNg
GQu+EV4hbNS+wGoMU0R+Gv8d+6jvLxI/d7/qlTnI/YQkSb/U2rYEd94mXnzI8Qpc8Snn2oUQWqv2
bA/aaR+PsjDoSNkZ4uuwrtNLDJIKjUffu2Bia188upDcdVQBBC4xjWqMVyOnOD1rQWSxnjt6WKXz
ksxik31LdGkSN/MoHeobGw0zG/7+spUQbyuXzXHeg0olBEahPcQt79xZpR59GXvQIbYX87aQ1pLE
gGR1XEmjyq81xELPGAe1gUCU2U1o5/Z9MQ0XgR3at5XwjYvSiLWjEeqQepUFTBfIAqDLdV/a2goI
TrjvgmTAnlGzNBBzjC+ptrynknwggJZ2lW2LYawv2zYwjwOT95ciLbtfHrVIi89IK86M0FJMeSGB
Hqs4yzhztrXRl/vEVu2cKAAsbDWhRJE7frpp7warwzaMhCInDS+UWbP9/Hw9l2HfHftpnjocKhyq
HnSgzGUmfJWEXdP5Otz/qvQ0snE5/UQBOKUEw/LeQ0/mYsbVPJMlNraPXTyh1CUZGmys3RmeWjup
CtQN+dmatdVdGWRYaDFJbntphCxokWqfW2N4TVzpM7pbQekwOroe3w3Dfw4MNRQSJVGlF30KonDP
1OKNnNQIcIUxNxGUjJ8KewP7hQTeb5Y28Ymu34caGuGGlLYpOjLupE3DZFFjyCOnEJyhV1MRB98t
4cGBg7Nc/IR/HdzxU/q1MEv9DgcJG34WdKjbNvkrayXJYAXzGt/oaQRfgmCG4Tc68T8X+BY9Z5sf
B+YPBR2FM1LYlz9OVLBoyopdX5NBRCWWloNfLSYvZgRWGaKXwI33qTUI8qknyB97J606COcWGLwT
JdJFX5CS2Cy9cD1UtzpV77lH8LYWE5SGEcZdR8N7HMtNRYZ05rX03W1T7aYEBPrng3NuM74r/XA5
0+WWDZP+gSkWr8XKvQaJuMgADFtHpQ3lo7KbaV0o2zv+D66E7VnYxIwyEObi2JvqZBaAzimCMaNu
4qE/HT1xQWBCv1ZeZ/3urf5Vr/OhyPh3Sbx82zj6v/+xE/W/sb/kMhD+swzoy8/+/xx+Hj9AWec/
9e8WE4WKf+m8aOZ6oKcUYRl5v3ubyGz+5dJ20mlAobWhfPz/W0yaQXMTXiuadENH+SLn/sW/JT+a
NP4FQRUNHG0ZlyEr7L/R/MwIzrdD0bXok1BmR3LEREmbYu5CvRkghhiKsUOa/Zw6g7vj+DU+9RQv
2CCyKmq2Mr7ZDSBBDCdpd+37kXNP/5bodCXp8UgvaZ/fPMHb3x/BW8nO4tPg99h0gClU24KiNfjI
978HJzenoiaynjF9uZd8JdXFZEJKGtBznyjBLhpsLqsDUizqvRIwBddbfIWRl4+swkN8KP29m51P
Gd5YeCMue7Rx2A6zmoN9zue398dr0o/yuLAN9XLxPSrpwdEgk+UAm2xV7FGKrOMtJPjd55fR59/+
Zob5fW9vrrOY0KTTdX0bjPFB7UiT3gUXuO7Oj2LFYnvijl57aZ9dalFfr9iZpmbEpZyVxk3Za2dN
gs0mWn+vNmf9ylzZ21NvzlneHp1/ttpzf58aEB/Q4jGmhmmTcBgbLy00ICJnctc4D2Lkm3RRWAb3
jqhL8FOUG7a+DllnXYFeCTYdflGPLGyJZ8oetGBia0gy1ao2qG+sOwnobQU/AeeY14iENACjxwOM
3Cqt5hq0CuYOfnKDboeCztQXuIhVT6QgtRMwEOZI0sVmigKNTX4paXpmnX02OQKlpxo8TtUDLYF9
E01AytHwuuD4fCOhFzo2xEmkg6N/L4uGpKHYbNSPhphzax2kk1lvB4BSCftCP6YsQE4gRDmcfquG
+eUBLhpnvRbzvnUG5z1hW2MQUbACnBJ5RO6RyLQmsYA9fFy2mbfGu5VAAfKaWegH06e5NCu9VCsz
0+MrlHB1sFaahTypY/M6rOm6QdbK7AjtKYo3A0AtcKgVe/esuESLSuKPZ1l1io1LZfczCzU+McLm
AfR2gM0yD2ZIOuomU6KYkddvpyiPUJJIZvX0EuqT2td6Pl117aid6BkvJx7qFvPS784NGfKLrcUX
M5qOSkqYVS/lXDLpQhGtIiehZVazffrLr/P1WnMzjjWZUMVlDjTM67iOmlR/ET1zIBcrzXaFrygX
KMBA5G8VO+5/Ikg4D9S7/J9pGdfGCvVScmgdX7e2n/+eP9w62wNarcTOUt6VizWADkvAlDxy6/B6
d1KHSOrrnGTr0ZkuPr/U+/mPD3XuRPIaPYsGiSHE4imHrk/Fus2zZ2bHdJdEHEFmHM16HCG+WbPZ
ySHYaxVA2bxqfJF9/fzy7+90vvx8YZSgFosyiqLFlE9cHJwLPTOfaQUCbUMOtiqwPm0lBdITU/D7
Uft6KRrYOnHfHEHQgizu1O0p3sa6YT1XUWve9slkUdeqTuVfsxF48238vso8ZFm+kAG/ao3ffhsN
uaajo0r7uUDit45om1wTieav8V+Nl15paU+fP0D0e8sr8t5MnW4qOxAkW8tzlSrdNONYbWJnj5OX
TJ/cYK/JMAaKoeouvwJHE1FB0WyQvjjRgwQ9SDxjed2Za5ZPoVntM1AHKER0J6ORAJ/lxaCZYVJC
VdBzCokp47w11MTahQHmZXA8HQVvGeN3z+LR/CE5pNkr5eZ1cG35Wnjez7DbVUCdiOm1aOMfEwU/
yAZWUKHjdzSsmiEV3nE7AnM9+FFsBmcuVpOScoiFgnMy++ERmnBcgR8IHewQteZ/qW2qv/u4ChN3
NxH36D2Qm2xdG1VKsVYm5JTgwIWPlxA1ofX0uPAo/IjNKS/ZTmROd06lk9LbCEPipicwMMEt18ty
TwFJipmJo1PNZ3v2OFil+5WYM/7nuKUcg1tHBOTx2mV6BrIMPh8rrD6cSSeI4vWIOdi6LnxscKso
CGydrpvhTNctkXTxmZmzy7sNS2D7Z0Aqhb3zI9ndMBS7lMaDniZnGDbDiyGLDJoSBFiRxoYrVvIN
NCmcYR3779osRY1ZX5S93JdB42OENwK4NIWR5jqt56gFPRBXfr13mhI0JNAyDo0T1B4kGryXcUOt
Dac/fdvgV0PgEc5MXEPN2qpIifRCvKB86LbOsiqyqifByQXrY3BiVptIJkOK3oAZAG938IgDyb1P
kiybdmFuEIYrKUJQ4edbf5hk0D9mhSD1NndqeQfVrQayCpwrXRUYaMBc+I5Fhboh7Nds6O+NlJyo
FqVtXG2cAdjlJrLn8j1xL2l4qZfBSOqH7Tvwi8GzdJsJ5G6/Qg6ctfuYWKPHFvvPUw1c8zu058C8
qIgGuuyJ+/W3CdGP7rZre+1HNwxJvqpMote2hJN6X6faCH8NWRzGW78yeUweiRyMZ/A1rKvI0R9L
FVKYlvgPnZWTGckt+cOqXU90fHc0ChzsVmAG6XE306NtKUCCuiIvDRDBMJF5KIzZlEQC2nokA8aD
TUQIznHEFfPY+41xMXAmxWeCnylaa0jmSzxZvX5bEp6JUU+y/2nQeFs7E9Nj/JCGtqcf2EW50Q9a
q4n7RaVBeBMQBftVwnxmuRJj0l/lBjnDV8JrBnUZSeSONEjHOCURzhOXgVZjRXYGY6Dl7jl9t52U
jwQjb+L+IbApYm3Ba1vXGS4oOuKN91xqOPNWBlTib0XtMUATsxqhlky+dl+RKcy+RYn0Jhp1vVmr
PHfvcBvLnzrSvl9mrPSnJgNVjLcX49s5AgL+gBxKOz4LUCCHm0Tz4nuyV7FP1Q4+NyoOmMCLgCzC
Ni8GULFUPNlnjd5QbaXhAEyhuVzeIJpp0A8EecIDrFo2hmla/XAIa5YgV2T6gIuf5E+zwcbNRNbd
mSSoPM9NeAceQG3cSRfSfleBuhknswCh4QQd/iE3PoSqB56vQtK3IOoCN6E8g1s8Sl3Bxyh8eyMp
xUwrFCzdtUsHDEez1mto47uER9Xm2HVXVJaa710/YISjJCewmCfSeSmTMS8BaIwanq1mIrcHWl3z
y3G6flPRAyVtetLS68rW1D+UlMEolOnY3/p6Tg2P6WJC0SDzHEt/SNIfSc+8CayUDYAiEkJh+ifR
sOJZYgnLtY7MXzmHIA1QJCAP1S17ZsAmgvhgZq+5jxt0m97WxLdAQNgClzNYey1LbPoWdDZTMGlU
/r84UBHaMz12dJ++m+fRZPYD40z2bPmusDg27E4NkKubJHFII2O2QliQE5xWU1njg6e0H5cEp6VD
O9eKC/vJHqSSqz7wtZuK9T/aZmbWluQkp0jO+yhPn5PEsL4inwqndaPVabJDFIKPq4py71mR+kjl
sJmpik3sdSOFU8vFhoXikm9v0ODXFUFWwEILNcr6zRD0c3hiRpuiClS6GtI87DadFitQw7o/MsFl
mNpWgESRkCANoC6TkAPQb4xJ7y9iE5nDtqdc+3WEP1NscyJaf6Q6bUx+HP2ENc1jI1sB94VrXhXu
pJDYK9z6fLJ4rlEstQ39Y/CEK5HlGTHfJDyY26hMxZVZKqTIuQaB34UOeI6HlnKnb9Y0XNLQKd1Z
iNExXyKsg6YwUKYnsjnHvA3KLJS7AYsdgN3AJaoRALaH510jJgpeNsA1S0uC71k+cNoBgKkujbiM
7nNYng8gwsNyHUR+fUU9o5QANZAFgXXPajzQ7IpA7NdNhSA/TBqitMHd3bWdbAiQSDGU40F2flGn
mAS1P4I4gFk3xbYDxnak/KymHZbx4Z8YMc5Xd6CFhZSoHttNaVTBDbHd9g+i5wgCNQM0GXjPM/0u
CRv7O5bu6VdmBuPO1XzmQNLFcHtbCm/SxggUh7ggdIcHkfUBDlQayswrjTfHJEFLbbb01VLUK5UG
59ro3APuYo5h8Df6hxSNhiAR2ZdizSzCAZUz4HiL6VN+D3CXoNn1c455mJibl7gdmxuVA7FcEVKQ
htu+6HzQAMPII5NDJdaWk3cEP42VWkcN2doalekfCjQXwEtdT36xeR0vgzSmi1fc5VYKexdqjgut
kNPHEzm7NUvr5MTELhsOKI+J3isZi4XtXEu0neFWugFoeArgxVXrujjUtakNNOaIuV/dUMS8d7PC
+95Xug49pXXOkobcVfJWLcJd82gIDglZV1+h+WcJyo2xuW9sQV5r54sCRohXhQcVIpKPK5hgzE12
dmSvFH/POuRfALJpmwABbONbAryrkuAp4Sa7Yso58wRh5z3psVC3Ji0+DP2ORXpHRKzaeRY2/RXS
3UdPVsVNQY4LEfbIgleEGEz1zgH2PUefm9YB1H3SrauAcJZdLvr2HjYNsUMAsTV/hc4Kypjuu8wG
Ad8KvDd9GNAY0GBWa5PoW6wq0stWuGzxrhBOXMGmVkxVOMXx2SMKTb/YndZUF1ZTGeM2m4KBQstQ
xmrLyB2Is9CEcZaNcbtmNPrXE2JvvHNxqf6hecMuUtKMQkxEmzzwMUVPuowPXdG1LNTkQlsbMgln
b2lqD08W32qyRrdEyOesh4MwN5JOmnrin2RSursJ0CAZ61KSHojcOhjFxh5UUF3EdYCduAZWtK4I
NPRvDNzgx1KAviAjuEOtFHopzSsx+TyCsPer4SVFmUzZIeuNoSA+sEWJCEAQFtXWaJ3YZNeglawA
Xes9hXlV3GLkUNeJHqGXsdwOUqQHrsI4BEHjku+Epecqt4CztKkAJwGbrO8fEjgIhOISbRKvdMw5
N2hnQCJQgIjP5rkFz2FLygDRbQV9RJ+gwYe4q+aCSqLqYt8aFVOI6CcbzGZZy56UG72fdkIbnZd8
HNNb1ZqotmKW93MtcmH4UY0Xd/Y0NMOFqDv3q+9LFZyPVdaUMPnzyLpEF+bjSQzKmNyDDQjzqrlT
Iid+M0BwH+w0jTiHfQIKhi5ZX/rfo6QlDZ1zuXmTTVai1gQLxc2ZoZzmJq0TbOaWwdRJFoegckI0
OwBwwoUMENMk44WbcLIHQHdqbG6pTHVi5/giuaybUf+WFZn3XZRMCQjEC5Fta1OH/dYK9iEYAxw6
hH1KxOcOcn0L3iZKuusAeuGA2iACoGbYU3RTeZiANbCoM1SbpLv1VNfAgGyX0zDS0EIj8wLW/q7y
dFuwmrjdDzfuQ0ifHecvCkZKaxHexD105hQCUl42RKh4FBlJAhqtOXK3DY9+IMpzyRHO3lUdsFU3
aKd0lUwRU6bi+IKUjbgDEH8jVEPHG52fgEMtkDJ5Hj9x8PNv2MpARYZsUZ9h2rQ2BhxBa5UyazEX
o+188WhlnI1lndxXfGpbOejsdXDs2fcMCvfFTpyrKUIFl99bA6OM7rTtfuUQm45raC5dD2ktbY9G
jvh/JUe/u3FrDREBLENIW2mZFo8GU5p/PSo/ieCDdlpmrfwQlsvGECp4RM8U1Vcdivhgi7iCGxvs
tAkvIFoaN64fOsVlqFEkX1vN4HzTqLZ5pKu7geAxyBDWis0gYwIqfrR1xgJQEuBTMe33EUEwVOE7
ymoELa/qUHZPIWWMFwOoDFtojrBy5fnBeBE2VfMIu42xlwBQtPadUeQPuU7xaBOGcYZ2LDZ5qkHS
+HeZVxUPcPlKf4N0zLlsvIDeo6/q7G6KUK9xKM0OAheTs0LsoD3lIuc7VEFSP3I2Dx8xOeUHWVnt
Sy/S/rHzFYTuksPxVZkmZXHbuS06y5W0tbqiuGq0N6ZuAymlk/ZCpE6LtXC05XM3wvDYeX4IGizq
1AD4yCWP4yUYmvz76JOLcGEaBmxfoRm4FJRtWXgVvDj5xo+on2By2//EQzncI1JiIkLt2F0lpob8
IHdG2qiU+asvrYrc45zUe5c15sCbAWlI7mytR/Z56ETEjZIJxRlHobh2ix7WpmdN4/eii15EwBQA
BN6ML1vKzewRcnfatPHsAIZixqFmVGYD6r6Z5Ne6bCmoggP3dkqfsU90VkIPHoWBm7MMMyiIQTEK
lFtJTyymF5rNt4YqDYV+oFTWtQ0IW4fzY5D/abmBU26TOKH41eNseIods9W+Go2b5dd0Ih0QaSOB
E5ehYZODVfFDnZnQ2d07Q12y+8/svjnvMrMznoIphOEJFDKwV47b5/ZWT/LuV5R3prWLRZFHO+KT
EY6OYQOFvySrvD+XvuVTdqO+iixFFF8tQpjz24CHdiaDvKzPEeC07VnBkpFcalHf6vCJ6/wCkQ88
BpEXiCFZeLtkF1Y2FtipGPySzZJLL5wTM2ufacS93EF5kdFOn9BRXQSDOaG0r0zY6DlQ8fwiqNDn
HCYtJ8UlxskhgToHdXQeoQFrzwO0kdUlih8/+YfyQ249IkCiJs6zcKYzXonT71Jtftn+hNANWrkR
3hLiM4tNPMCmSCiy7qFEI/CNIxLBCRWp948hti/2eYIb25GLlN96MXufdUeQPfhbywLAgf7V5+9s
qmzvhAMgVA+0+bRO2fjNG4ui+CcJyUjpGFHxurUdqM52IhO+hHLWZEUWNAbQID17K71qrWrP0jh+
zaVO+X2gKHOHkstF2K2V1ZOeWm2AII7xcAnGej5imkkmL43UL81Vk+Tym2vVAGv7ThYPWQpGdEs1
n9zD/6Libsgya83n1raLn0jGQMNFgmTWz0t/HwqakAGIALBti7YjT2vhIvKzpAAhaLvPEUr5qyIe
9CeT3dDflk3nq2ARoTIq5lLxXPB804+cpgGp7TR6z1Fq9+AMA3dbpPqJW/lQNX29CLVg4AmI3pbW
oiS1KQJRtUUA6TSbzjX9s0LiQXCMgo1xGw8nCuzvLWBUabkeW3GDsgpGOh7g+5siPlYpt4/858lr
plVhQeJUfSSuKbPmO78zHkM3GnfEj50SgHy8UUPSIqNTxiKI/2uuh795mmhqEVSqJD94jsr30ejX
lxobGawGk78hSF3dfT5GPtTXWVDRNFgOGkSsI96yk0Bwp9NzLjykXlmS/z5pG4dpdFO69qm+4+eX
+oBJcArZj4FpUkHJtOLSIPALkouq1xaYuhP+qQ8jnz49w4SNj0BI5C5HvtYptvdOkB9U0Xlsh9Pq
ZpR5+/C3zw6ljhB0JlC10olavCuqTcpH2JwfhMasEHIk5TAavrTUe/+qocZw5H7eXmnxjQ1DhV1K
5PlBcwN1blLHBENQ/vr8dj4MvVncQEg0zR7ELoRrvh96VY+XGgtCfsAomOxq4uxuQOJVz2PVmF96
d9LOP7/eQuv0ele0hHXIKQa2cLF0OTZJndZqqprD2BfaM2rkHL5jokk0+lG6UXZcnuVD8OCnargV
TTDstNqEaYLt174j8sYmzqevvg2WEid6Xh9HKp+fjlcIPQerymuv/s1HiA2oRuuWNAfJBL1vdPpb
bSO186lsv3/+DP4wUB0TIzPeZAQ/wl4MoZruCCvzUB1UX2drpzCSDd0D/0T78k/349iSzxwBLZXv
+Ve8uZ9U6WXZWxmhoykMrnDKfkwz0QLyZ37iSgt1yus7pbkzrzjCsGw+wPeXGjgcgvJsmgOEbWxj
LQYAivg5OBKwUVrlw0lPp/C60ZLuMa1rZCqqL68nvTF+yi4ITswDxofuJSsftWTeJDM609tCdjCU
FtiOfOwPoZXH+tp3Oo5HXhjb+5R9iAWr3EmMrW9UzhluEBdDY9OA/I35zm6hYFnfbF9VICcsH/km
+MWh3XoUF16TK8bznPzzGsxhrpPnAnPrrKzM7BqcZ/AjNTPtxpUo8+F95ulXzcxhjXs1hVkStCbr
rmMNuNESX59OzBUflq75llkkUcrofMfG4pZLT7We3zt0zQg/W9vUKNctO8edYi+wCV0ZfmMToI70
yqbd54P5D8PMRbAmsP/qQtAsfv/unaKCxBLq7cGkuHBgd1tddzaxa1YFUvmvLwVaScfsbqK70l/f
+5sR7ZhwOZPJV6SqZGC8BbtkQoqeYthmJ27qQ/cUgcE8eHRc4a88ifc3VWpkFugynw40dLYTpNAt
m99hm+j9TzvGCJJAif7Le/MQkUExYLeDkoxdwPsrDin2XJcS7iGFcrAuZKr/w94a4xq9qrO/vxRf
hzvfHUqKV9XOm8fY4YLLUxT0B7elquQj/d6BntPXruH4J97Yx5mB25q3iQ7bRKZWdzEJQdlVrV+6
7cHyw+kGC5V/qzdyWKeZgZByIo+lrLT5xKGeB86237SUc4wWhRI8/GA/fn7jrxvG/5aoME/xazAT
WCbnW9MDO/D+IY8psHz0990BdTZ9bM+xz4bO68De00KiTOHe+/FIaKVe2/dOV4otZ335WGeZoOji
QUZsxPPnP+nD18MvmrUyWL/n3d/S9aw5TU+7wOwObSuiKytLxDZsZXVBZfvUCHudAxZ3Lw2DCRq5
9fwsFqqK3C77juS54aA59hjMOQYYxilywRidGme8Ae/CscttjeERdyQFAzOV3p6Aa0QAKQaGL5pT
D8CrjZGOAjEgqLCE05B3F75WMSkkXFDQ43Rb86BebColj3qvaY9pHIqHzx/bPGw+3AoMNPaTM1dt
OYSNofOnNDKHA7itfI/jElotluETC8lr1v3yMrwbgaSJc7YuFutaWlADGLN8POR6WG+1yrG/TOVU
7jDmZ/ehCRqiyhR5S1mlf3HiqL6dWosnNg5qOzZusHNU1l4idLPOOPkNJz7jebB++HHOfFow6OcA
rXk/mHUSI0h9i8fDoEuM/3WXbcMqeK58vjH07afwFH965BaEDJcngSDcWJwrPXoas5RgPNC4oPHp
D/G2DIbyxMT7h5tCIkOVi8WMyOnlE69N5YsIhvqBsOy57ho1e4Dc5qoQk3ZtNPr/4K7YuJjSsJh5
WUAWM4LRaohMvGI89LbQLjSjoF3vGsn2r4erp7PlY132mHVnPtLbrVgGoiXTgno8VOPEywGL8ZIV
QOo+v4r+Yd+D2BieDQwDZvf5Tb2/zCCN3q28WD/4sVNftJCBIfglPnVdTPXrjNLdXtVtdq5XUPyL
xvIPmG9wPjdmehXJvKLcxZYBQkB0bbqRudbciH24p1+CIOk3eR/nJ4bwxzHF/tRB9g7yj3+cxQ+2
M/LKSYLQD+QqQaurMmM2UoYnPuOPcyxXYb6zMNZKx5SLHQqZQmZr+75+iEle28edyDZj7VcbyA7m
iRv6OHwRzklG07zM8EnOP+XN0hoLE3O6UcqDKynzjzhf1p1T29eeVQ0XNObNzeev/MM+hTHLpYTN
B8NU8HrYenO9ETsbkibhHbhvHW6/BFRqxLaNaW6q4CS00bgvqU19+/yyf1hIidxgo0/ph8XEXCoj
DZlSz66VdkCSZZwxKyjtS1nZg39ZMLq/QD8PrrHml+2di1QWbpYM5TffwECynmzNOzQWbfG17nsU
YD//aR+H1PzL5kIKKBFOPYuXHfa2V4DX8Q8K5co/fNrh18yJ/g1X/Y+mmD88d4tFlDKbxIaC1O79
e/aN0gA9HGuHpNeTrSASbGMHekVnMKyJhLSjaG/2cHA+v7c/XJWhxZtk+UaquNS+Yofzg7yih8Ph
QjsP8Mj8TJLYeI5TFe71NidM0EuTE3DOj0MaYSToLcGxAqOdu3igzVhNXupN2bFm93vuxQO95hRG
b0Pi9T4WY/v4+U3+4QV6MHhQf86Cf17k+0dbgWjo4mrIj4wxtoisa9cRsr4Tc8LHq7zS4ihDONJh
aV9st+k5VkaNlfRoy+mHF1sNHs3s1GK2nHg4egO2mtFlFDA9sXxftK6MEkGVPJa+c83EZF864WSu
QlnI/d89NFPHtcIBgk09m2woNe8fWm5S5sU4mx0z5VaXoBWt9RAE/s3nV3lle77dcsyXYfRx0mOa
o4K4mN4cXUOd1jIWpqjPym1L1g1J295kDHtNH8ybEQo5yPXR68izsrMvGkSZc68gP+PSk50EeUEv
AEW+MnaEomDo55iTm2hvQg98th6X+zzCK7uKeiT0GxCY3Z03ud5jLcjhQCdTpwQ71CI/VaRcjvHX
+2Jsz64yyL/L6Wz2N7ccsHl8vb7V+rTYjllfXajJukGkEPzlFLW4mrUY4UgzPT/3uBqBjaS6KCU3
heOf8sp9GHzzu5qXIvYdkBmXB0r2G0rPLCc7VnGirdMUOqs/g/rTvvv5+bD4eCV2n7NOfPY6UTtf
TIZYyoNpGqvwGKS8u16zOdSVnM0nTAebv74U7kdsWPrMSOV1vR/nWV6hjE2H6JgLkidwRNPLqpS8
YIa3T7ylD0dXNoN4GXCwzLhlbEeLKYLsr7Dpcis55gpyVl1aalOg7UdkrEqxIXmZJF0o/WJljbn/
szNzcolrs78Kx7DAGE5f6cTmYjlnLX/Q4ua1gHz0xhHJsaChdy71TDsLUoPt3efP+E+Xseb5ipqw
DtJtXoXe7Clq3c26ujSTY1STaQldTty6Zl+8fH6V5V6Vm4G+OC/S8waC8+/iKgX5ynmviqPoxLCW
4F6vKI0Ml0jjvSeVzSFJphduYQMhqPXD+EQHZLmUzpfH2TkXAWCtYZt4f3nHarMQlWBxpAvnXMWY
vVZMK+3elGNEGBhSqCRkF/X5Pf/hyb676PxM3jxZ3wgrdIBucVRJmwFY6at9C83kxDD5sDnj3ih7
Yj7kvpjTliRDaQ8o7P2iPJJlHX4rUDoglKtipBR6uy1TNFmhbtHdZ5y2+8DW7HVsS1j+6Eqm9cTc
T2mNKIvP7/3jFPvKyXaM305Jaby/97hB+dUafn20EIBfpZojH130gSgZU/26JVnvxF7pD9dzHRZg
HIoMsFcC6dtnnZByFsUcH4/U1KYbWFb9bVVBPiBKUlyXFoHhn9+fMVdP3q+NNq0UGkKsjqgPnMV0
YZZV4ZjoUo++U+tyh7leGquoUWijVAcgiFwB99GbhPZDJUCNI/TbZ2EDcWEFfC+D5MNo3VSsneeS
bbK9iuzeE5sKz5aA6pDIjL+MQMq6JG94ZQ2u88tWqENOPLY/DFHXYTtkMwPguFxW8q1Baqmumubo
pa2OHIa4yUL3/RMP6+NVOKOiuINWatPalYtKVBv1dCFgMxwBCmDf1iKiQKoq/+t74SoeHwFsYQpF
S7Z1lEIjshD2He2pIXvLhdWO6Nn8248atzBcZDZ5tLRwRyzee8OUH0VmMh0zjnw7UC3+FgVtdOLz
+TBdQkmd1zwmzfm0N/uT3w7n2dVRi9Brj3OGabMNQws/C/ArfesHqr6OzUGco9cDPYFxgMgQx0tP
7Jg/fFD8AuSgOKXmPRID/P0vyKaR844puiNUOety7PoRPXSH4iobkHfMUvfPP6j3MzTrLi0cSJBQ
WSmIz/Wt99fT87ZtCJqa6BOWTyg+C2LQWvIB41SaZ1KiTQmjsThl1FogaX9fljmDcizuwo9VNYQx
qi2lPh3UaML7cgplYnLpkOkmQBz09QQW5MJxArD1lhl2AqAegaUbMwYDfOIreb+vev0p0mE6mRuF
lk4m+vsnQFYPVgaLWpia3Azxdj6t9YiCWDl47V/1Pl8vxb3O2E3cYnQ2FpdSqHbTvLaxkmCm2ReY
XtAFhf4ZWtNTB/TFRPl6LU4JM0uCDp1tyHlyeLMKmr6WpfWQioNXRoGzltOY3Baxj6yWrXlHqpMR
1A9kbcXlhv2eJ9Ecd4G5HpO0uhImia/kvlvtGVJCDCxmUArzUlN5dZNLz9duvSAJLlAxaQ+aTl9+
lTO6Hlyrar5+Pjzff5C/74J5BUe+SfWQGO73dzFGdj3QPmF42nrj4OdQ+o2lE1pUDf14Pw29uMJE
U71kZt5dj7GTnziL/WFwzBKOuU7K7EPj7f31o7HRUtucpkOn2w1xAejc4C3hUZB18ffjcOZvU22f
dTgf9vfdkCulqUocrAjndkv2yLnnp/ADG6winz/V+aP+70X091N9/d7R38zGssVTNVODdFPh6IcM
jekmQnP1kxQvAwyTWxMzTHFDVZp3EYow/qsyx7+vjKfYowzJBGssJtiijJ2uwGFyAD9af49ZOSAJ
WdZcDQ3PJ5gvp5rmf3qBVDfM+WhBoftDC6PIQwnYhk8Or+UGz5J7AVjR3YRSr0983e+n7vneZgsv
i7oLtoH2z3KsdLBduqgyD1bGlDrHWcc7E0TiNwzo+KiI+A2fPn+PC7DB70tC0UDnwS7fAZL+fnji
NwVZGE3i4MZ15+w61yqrLear8L4HqnLIhxKJdZREyV1nmeUVc25+5cgAWBN/44mV5OOggqsCyEES
JMExbrlCI+rs2O/N9V9UFhEip5iN2TRitDSoX2DIjNOHqB5QeOal8f3zB/F+p/P6HOayGWvnTMz4
oEmatGIKbGWah8ANuguyrOdgecTJn1/l41hCTENjj4Ikn6l4BUu/mVIBcUwhLkfvYGiQncXgGZuw
7o7BqJITQ+njldDGMGaZvSE30U18/16NoekVc118pNtL5HxsZTtZa+3G1SJ16hzz8dmx5RVQodFy
QPxZls9C2vNV66nkWAZe/pwMtNYQbhrbIEB3XHdBca1jgtti57Uetd62mPaVWPtZjsQUj8t6RrWR
1Fad2gn94RmQNkH00uzoloAB3j8DkuRLV4NUfSTbDQp0E7XrYmyCvRHRHf38xf7pEdBJIB1DoEtk
vnl/KRTOQyhhWh3Ji8z2YsqLbRFa+vnnV/m41ZIO4VTg9SS1Q1RJ769CUNH/Y+9MmuO22iz9X3oP
B4CLMaK6FgAyk8mZIiWL2iA4CePFPP/6eiBXf81M8WOGetWLCjscthUSCODiDu97znMAHRRt9USC
MEht6jz0d9URc46Z4EKY7Ef0Dl3w+UU/uDWbAxqHNGEaIM+P9nd4BMkKWtaLjqYg2VSk+6HSjBNX
+eBdsSdfcQZ8//zz6NbsWFWmaU5rzgB5SLBnjbBAUXQyTMP0xAb5V8P1cPGCkEVCCm18NsnMfYeP
0UJr1TdLT+VatcF0Fm5nvTjRiqCFPXnDSK9pulvA171UM4Ep5EhyEs+Z4YL5EOqsM47BFjjjJoeR
TJkOUGteLRhQ2f1i1SnsXPNGsbQPOrjcDECbpZ2biSpS31JGOKNEFrbC6yfguexHJ/VngdvC8aYp
N79OlBwIdmDuwTa2noe8DoLm3yu58nsZyv5RViY/I7KI3m9IWXlACju89n1GvVZkaVEFrk77YY9+
U3leVMjgnqwqY6uqA+hiygkDpmWnrl6aUuU2E8RAZCggLCSQsen0i9bGu073IExf7aHWcecUYrod
x4L6WRk25RQ4LbRNAJTzUnhT2pjKRYdFSfVlmcEXzCsVznuKuVnx9azTXwDd51+6KJ5+liYua3ow
IUb7CfbYk7k4gAyaTnWeIQXmeM6jpLyyyELUPNllktq43aVFMOQpFlgA1RKP37SYlq/jk8CEhzqE
hGtnpX3gAHS+DVMjT1Uyj8qLqJdYFdnAARgz2HXwTR2OlipDTFxEXfHqKKbXRz+ldLZYdBfnoSjB
mRDbphb7Mn3Oki8atqLPP74jFebvVz86zWnkwqq23Revo+ldzViKX8p746r7bt2ZoV9pftLvKjvo
dp9f9njTfHzPR998IZwqMhSuSvL8hb2YL1gXzxWYi1ODGdrcWLPh9+1wYnr74MTB/ELkA2sS/6Tb
fPio80kf+ALhiVs4HYn4RtxykYn5LZFRdVu5q6E8UaazROuRv+itwls3qofGMAmhdpo4qLUu25Iu
X+4Nltr90sZg7gvKO5HaTeectTHGVrm+B3hhnFhvP5glqd6r+srAAlL2C/PxbmWPcXxOOrlGT8XY
QBLOG3TwVqltPn8vH8ySLlsUZC5UuoHqHG27h7weCWBp86caGuR2dkc3mJcBS0Y0/xlTb90Q/VL+
ChsICp0W+2jYR4YYYQMIFk93sc/gy1uBlnfuHvDTfGKQf7CsQUxz6IHQ81+XmsPXHgpsmoOZyycl
1vEV00lioY6a4oIgtRr+dRe6X7pqmr/8+cP8dbBFmkTx6XhhA08CBcoOi6febPRACFHSUgqFvyRO
fGLf9/vGnvo5O3uGB81/hDOHd6iJInUnyy2eSrEmdYMT9+M4Xrn0hLOJsUm3n9/aB9URwi9X8Bt6
GWTSxtGXBMg6H408p2pPU3VT1zQfsnRMglYHypiodvi3kmfxpmH/dW4YItkYNP5P7ImOJxFOoJCf
kJuSWsfh6VjdK/p5CikZ8lpTnGIdDcQrYXbhtVS05Ea1rXAL7h5TazJnm3oW04kdxW+jigoJT4CT
MAOY/v/R7s+w0whsi9RoXGjtdwbxm2YY5RYDVbqvUNCduWNbnnjPv98y2woQanR4OcpQOD18z8VS
uClbDv0papfyvMbQDRpalcC8yCe+zfIRikHbyyu7bsiYIBr0xHv/bRbintmm8eC5+iqIO7z+aOUx
5gqhPxlh0wWzaUyXKYzVs89H1y/d+/sNFMcJlJn0EBnMuCuOv5yRfgQLpjSfKHq3ZIIUCRshbMnu
RVlFeb8yS5Q8MFAlfjdajIVgWSLoNSqVkNKPy6y7Jl3CeuxcBXBEKRssYqQXl0QvJAOZBM04ql9g
vTgXfSn6q6EIw02H86b19Rzbb0lzerVwhT/tOStfwmKhUWCRVhBojDbht/WcxgF8JO0MK3xleegn
cQhFYlgeFX3UY3z9IX77qY6XFwEmCIlyri8EO8Bg++qEDZaRUHfzM4Bhzl6bh1bdadYAQahg7wNr
tnXnwYNzrpkEHphDjUQLx/+mM2LzUiQROREIU6ubspSkezVFoQJcNvnpAROL88g05MuUJQbgNwau
L4sYd/FSyrrz8B4NP1qMfzvXNqAohpMk7PHzl/eL+Hj48rBOMc0Sfbse144RplOErbueJuOJoBDS
pyLo8H6WlQYR90xdezZ96EW1sUxuiUNwhz12Xey9tcJ+2u+aWCbBHOnJnVAU+1ulU+72xsk2voCD
Hq41nkl/XuSucuLDQtXN0D34sQ08NtRYTYNjM22t9dffLbDgGrQxq7AbC7zs2KwJKHhsYGC7np05
aZAWVKJwHq9YCV3UbuP3oaY+wEkun4x0AplO/7IMA8uOQmOXd1V72UVt95zHqXLv9orZnE/kTs+e
JvqG3HACLS8gyXaLX5RqYu+GfgAgk4dO+oIL3yK/nmid2isqx30eulF/tsgmSbwG0EnoLaE9hdsp
HzM0R+OA3x6OEBS8Ui/wx7nwn8ztsixp4mt5W70AU1KaICsV+WCNwzTvkJ0b2mZ0Q2v2baUy1+jD
MHPvgaMVM9U1B+5ZGHf5PUi3CdRxM5Y3nG6jqxThfe9pbbk8uuE0X+hOIqGiV21E/HgHJcadFewy
apMtd3bSZ0oQZZVy1o9WOW0A4KRXkdqTRB67ZkHMtgPUJdCy3v1ulT2sio5Q+U3Szc5zHpXLlcQJ
SkJCQ6PDG2hnPBWNod5MZjc/UgoG6zCoJjMe6SD2m5H1eAGZgMO7IpPOgNyuzNyLLi+jH2ULH8tL
9QXuEvgTjjNZPAKXEU3qWUbXfDFLWbm+2jYlEsm8N19IG6hDHn5pkhq5AL0mcDxJH+q8LtUrtZlc
O1j6MSzPEbaE+bYt2ugtD+WofJsVhNxBrGpRHaR1N81Xeb2AGFjQvTxNFdmi166ZKekdcIAw/WFV
oamg16v7EZOylijtF6ESPgBKIo3K9KxfhmmIPUwsVn41xioaFLSwRBTYNOUVv2yi8muKDbKFLq5k
RpBGmdqiUaD+45Uy73fII8CccPIKQUDNVvVmW133tzMs/BbNjOdxJWm1D6Gw2q1VZY3YLmHYXkoF
PjuW6FTnEEa7+pxjM0T8NupD4JLzwAZD1rqbXq/xDOTpVK027souq+GE9Wl/Noq26vwxa6phEypO
LH21JyT5Qjpq/kZBx7qcjdRMsc3pJmyhUbOuqFc2L4ZoDXD/XW9dALVL8V1OIYegqQL1Ao8JsBla
oGSCqUQUGFO9MWn7ah4E/WNK9MuezmihnvdGOisbSmH6pd1OsRFIhXSKrdGjtd2Doqq/RNOgFPuC
hK3skogiNyHoTNg4LSga7bW+Lc/xChd14qfKkr/EcWhfO6FDyHYlRqXCBSQi8goqaV9xh2LZKnPB
RBUOVn0NoVT52XcV+vc5UQR4rEmGgC7yNLwaDdgv51OpRdEZkm33TIvZHPmM9rz11U6UepCJkbiQ
aZyS4tqorDzxWy1s5VYj28v16fSCdUhLR9r7Oo57cYYEEPRbqEZYnZeRjwc3RQvjouQH90pnql5s
kBnoQAmaUbc6r/i7i4m7850oH8Ds6Un0ZVA7WXs1RehHuJ6hudGUKZs3WRyG+w6ai01ch52/DFqN
FUKP40UNCH1gvhozvdjoLj9HULlRcmEm/HzQ5bQs8WK7jl9Em5hit57Ra9TxlXUXZfDjzqGRlhc0
bAA1IB1b88pylwOokiszkFVjsdcZUs/XsLm1iQkf7GFhff1JHBJEeM7TEUJ3QEQuvLg5+RG2DkQ5
PNtu5VXxQlqT02vR39PSIN3QiT6ymJg6TfdFmFNjKfLOuOpVaKFe0yyJEdSUg6qVw0YMUkP5XN1a
/UyfsQM6m3ggxjg2hKDPIooB+kKKU+ai+A/r7hs5MNVPpy3EDyZxQGGliIy/ieMmF6ru2JdZSpLy
ZIUdl7u5qewnXi4hDlVnT6x2ZZw9KFWiyYCNRa+jzO4g70ljVVnH3CX7907TNiJpYM8aSTxVnhkn
BD9QjckHkrIw/gfFMFLH1gBb+EualyrZIKUye3bv5oBoJW38YBkJGikjTOJ+3ajhV7202oIGlZJ+
xXBvfp2tbs0pt9tE33SAoh4pbZI7pk9udjNO5MBBjq61y0Yo3SWkPP2edGoLeEPC7wLp0l86VtFF
vlYqyTNzhiH91oXs4AlBmWZnh4txrcgR5kQ4zyC22ENSweqcCoYkt+pSJoLlRPUoLO0za6b3ExgE
q7DaCTVWYJhZHVlhfWJss7zifF6UzK/eXEn10Uhy9xt9d+KWLH4Qk61Xap91IjZZF8gz+xmnrZX7
jZolL2Uykb6WMhYvjC5feuhUJfEt6VSOegA2bHps2oGogKQt63RbFnMG2DSD+gVSpIeoRm6ruGNT
B8atcq3ouzXPyrjPxxEWv1HWke4RnJiTtwoqgvyFXKs4hY0RX1ZbLHDgVBH3P2oyyV/qRFmiM4Bs
KlkVCQxN+ADzuRjICYMtCELJ02XefTONqPtRwYu5dUctrs96ozeiIEVJ9WAUTvUFDVp1W8gYVTPj
l71gTndgW4R6qXqQFLIby1FerFp0Ba0eyWQ6TkqforFKBt42gQraZtJcQiiiUnOnPeX+BYAGdOML
9iQqNcpkSF7BI0q4Z9Smo13Y6wWRamlliK9M3AbZN/Wiw/6gV8OxsxPFrU1jQMB3mBdj184ZXaUx
70fmCysRbwVJQPpNHonwKunUke4L83dPVExifWVCZ4GZ2tQA4thl2pfZkaTpKHCwvlLzUO2LxHGK
bKdBisk9mrmhc18w144+MJhxfhzZ8ZMvQ7haT34JdKYtFfO2p6lF43U3LQaL/TjDNRlhhXY7thp8
TSUMmfncTRc1/GFQ5lv2WaxV5XOhWnAP1aVe+m3vRNZT4ygpQRPTEn8RRq3DixpbMz/rOfv9TXsb
wvOEnUA5t+C6fotz16ak6douuREzuTAGkVk/3ETLAcsBiRs34ER07Eqlw++IOQL5NOVSeTdpczxe
52FTmT95f736mIVIxWCaJipBAMwz0aZzGz2/jJk1oGR3sL5k3YzyTDFT2ZyLfIqj7VhlnfWtApR7
CS3eeljzIsUWhYX2EwbH3ASWjLos6BiKJLeNmLm2bS/6LJjy0qjo1PX1gh1Q9Bdu3jbKJhzB1aUg
UbuVfVP1gUoxKgkwTHYl1oLSoJ7mKvUjMW76hK5UHaYrXcsX+3Y2hmzalYveTIGdOCPhT3zBakBP
kNzMYtBJ1hFdNr716WwrPiq98ofUQqXaz7JhA7EkvXoTqVp3OdrE3dHEl/JFdCTQ+WKus2xrzDlx
P0BQkqu0oG4caCEHOXgJQLC29kAF2w/7EqcWZWP1Fmn0yEbdsdtvQ0cs6p5TDAQlblu+VpVqX7OV
UJStAqdg9tqms0d/KLSE7EBmo1vThP25gyA4kMoZdZbw5owcdQ7K6gPApO6JeVopt+RPJlvXGGWE
isvS95mmGLM/5IP4WwmVpeW5c5bYNtzaZcpZlWljjrMwcIbGbj3+xPZuIkGSI4eslWoHX6i5tppa
nbaTxoEtEFKfW28KMzW8qDKtupQoYWxfHaOc3Khx0fWNlubyKpd4Hjy1tvTnKa5ZwwcbLpQfDrW2
iVoF30AJGH1rRItqEBQ9JMUjOzCCRKe29DHugXquTCwzQKpgrfluVLOy6fPMyps2C+lag4S+H+tZ
G0S1LBs0Ka6offKYVE4VVkY2STzLJYGKSYV7h6VwbHZqq6vkgoBYuqxKZp6MNE31Mls0/ZYEj9r0
jSZKpdevvWQOO6piBXnbpz8mU52+q9qcFZB0J9TSZdOSSFS2ChlJJpXz0DeH1TCr03i57C3+wysT
end8Wcb4krUkfbnO4n6ZzVFL92QMwyVUYpLndCHD72rdLzcyVQzAsp1qPg3wQA0Iu4pTbplzJ+Sv
qdS666oJzeZar6blxQzrsjlv5hHCejisXGwwxRzHWXV+jqKxhs0wuxURNXKFKerObNznxZQK7grR
/GZs5xnAvDkvlqdDYCYwDrDZEgx9PY7BOI7yOu91TQUIMLL6aQi9Jj8p0jI5s+wi/q6wYX+2w2gh
+0XNVez88MT49IVCOzbVZfwGk1iKh26iUYOzqx2v0CiTo0ignp3vqIROP2sQe2xPi8l8BkK3hpgB
+zaDyopc4PMr2iz1coTFDznsudgvK9qATF0kS/BsOXBys0nzVKYZqUpKqicFjZ5senXhvoNNS4lO
2PRKb9xwXrRnzseUJlh8DPsBHICDe0TXI6hOFEcJ79E42LKO1DB2wTum18BYbWUP+0ECvIQLqp03
mpyjIBcD9XYCovqvybjiMg1L2ji/CcLeipTu/tr9op+F4xKnW2QmjW8agIrOFG0oxEYfaYpjFpfw
MgEZJrdt1azPoDG1b9OU0KViVeyfpnicr+nUjzdJKudwbwBpIM7NrpRrGDDR7BuiHB7xWg20taap
vFKzWUK9Q/2OBGgS4mWIkzY8d5cFjetsk+FYS7t+W0Kwthsdo6zi9YsRS7KDZfkA9bK5iAV1Ka+0
gLN5eZ0392CSezzIXTdTyVRctT3LzbQ1byCf2GBWx1JyFEe5cTboE9tf+uYGCc+4p4NQEHDgy2YG
oGn0ano1L5rxNDW2jR8j01g/4YHFxhol2kB6nsx29Hpr6B6XpQTKUNq25CgZJ87FBEElvNCFQdmj
Z1ulelNstQ9rQMfXBS7+pSuqMd60JWEOgZna9k0YG9Z1mlTLq2yVzvD5s+qfhAtar2PN5pnU0mn6
AUGyBT2c2PoTxt1M55LxlHoEFIvvVPGi+2wAtcXhPNEHb2D730L8c6tbvPcR/rlSYXKp0P/bTD2A
1DedSuzQA53k2YAmDfyTekZPCHlfsSqzKWiLSwsBOfRIghjanbCa7nszpcnPz2tfa5n9oIZ01Mo7
ap9kFtissBtppkF3s20aeN/A3OT09ToYsaFxogBufXo5qlaHJSsAq6qahXTRrEkP8lz6s/pTsTNA
jPGJvtDnN0aH+vBKo0KxQx8Il56U4YayNlcSvuUMbLcBbHVb3X34/EkeF5oPG4QUew8vSNyhYCGk
KVpltMB5mkVy+/kVjltdx1c4KqWbRRUpoE+LV2o93mpjU17G6cQ1fqspruMBMQ5KWXQriAMP74Je
vEnjSSOTe9/uyKfeKfs/C9v47/7tu0scPahpac3OmfTiFRn5ppGvsXZKn3ZkI/j9EkdPCiehBumI
u+BExtRf6F7r5d/qoNks5+5ddLv48e7zd3Pc5vj1bt7d1Do63tViSYjrW3D/xWvs9Dsj2dU9hbCd
URa7PDorlL8xbp34lD4cb++ueNTM0Zu5beyMK1o4icJmG7WnmpAffqzvrrD++rt7op7JIkU57VVV
1K2hGHsLKnQYnmftCfnJb72546d3VMkOMf8mdj8Xr5gp9ghC/dluWGbzoG+uAHj7qtZu0+Kt0U4i
nT6cJhBowZ5ZBcTm0XineLxUNCiLV/seHce5/JaclwQ8eNnOuKdUkAXpFRj8+/ly9k4lKH04ZN5d
+ug7oFEwW4nuFK+D+9RPXzmYRIT1OuJVja6VPN4Z4sfnY/TD+ePdBY++CnTNhZgbu3iVfHFu9w1v
vw81+sS4/PhlvrvM0aew0GC0JYAxphBt++X2Fgx3AHToxGU+HP7vrnI0/LFoxKKniPMqbcIk2GYl
yfbzx3VqaBwNf302FBT0PK4Kfm63oWRBLHZc+xPBWqfsVR9Ou+/u5ugDUIyMhCWCU19Lx7e35g/7
B/hkeeKRab9dhahGGpSMc6L6kLgevZl6KSNDXybtVbem8RbNF9DaAcb8YqVLMMertLbuoisaZILE
pSL32SxmzylJAUE/GUjW01ZOnnQtI2hKZfA15HEIQyvnxA+qryPxYFfigoMyjbVLTssWN/XhzCP0
vlKztg6fEYzSiee8M2W+Tc5V7FNpTZKgq4XzU67nWI8AUcgXWBCITBlEa99pkysA2ppLceHO4fKc
YQyg1z+KkWROS++qc5QHNkktjktFt1di6pdrW9wb9MXBAiwgBIc6LrfPh9PHi9KqdlhhY6tD4/Cm
7JoOq1yXbyc9g+5ulp711D5GX907Spb7uLwmmObUSvjbGz/a3umH15Sp7BJNsAuSTsre+ccS3sw8
uIreb3QqMu2kMOtofkGGDjNJsrmTT8l1cp7dOXvrFumezVH/kgy0CIL2mzyxdnw4qb3Toh2N6VAb
WhPZAvu8+X4hTrbyQZ59/uY+nKjfXeJoNM5lm0p6m6y0COs8RbtTGIdKd5s1w6NBDbvon9z45dc1
/yjq8t/mWB6kXd5Ub8V917y9dVdP1XEu5v+PiZerNuLfJ15eJs/zE+GWRUfjZ//6v//XLy3FP1mX
uvkXemoNfhpTA/3+Nc/1n6hL9y/+J5iuVS/LL4Ek/VfUpRB/rYZZFbMsppdfIZht2Xcxf7L7F+5y
Ss6mCYxy/dU/yblcP9//O2cxJbJ+rt5DxFoQyvi3w0+tnYUkfX2hIDxQP3e7lnHoFEpya2tRcw9J
5dRW/XDkw2ZYtywmEzm3wER7rOU2kfFl1kCJMYLAFjSaoQStrjwPNNdOrIT6r7np3c0JzVBRWAPa
XGFS6KyP1ieUYkjDOrheSzXrkbbJK4jm6n3lCkXM0hfw8okWtzFNUqmjWZcuceBIFWCmtpWNtZDY
RVm7yxKQhloandG+Eax02ti+0j6dULys7QWLIr59iTeouraVUPdDZYwQaJVmdt93jqlsc2cSXaD0
Flpvd0ryek/heswJNa96d4NaQCtfJq0ppq1ZEj+8s+zF4o2sEaT1WZG0ZrSFqtjmgcyysAuIWVlz
0qUjjevQ7mV7W1psyTadUs3ZVQoj6qWvkvaiSUhSeSLPGbi2s0T2LUWa8Kqa7eQln3IayxCXCUk3
9baayce23cXAqpIipjC9xSVh5CZP1fCKuOyMYwCZfy1ZCF3HswwImTRZrUaNyvqlKe0GdBFMozHQ
YmAEhEBPVs2DYXi/RNGg5Y+FEnfCb0ZFEgo1zWTgBBNafyiN9K+kduFQ6K4I7Z5Kp8XfT7APfY5I
t1qTLHesaovYLJpTGNOOEnK2tqsTnCRpUPdVOX6nMjHWV2akFMUDie7zaEEvNU3aO2mNWuSbPU4Z
54xKp0CR+zbRj667cUZzJEkNDViJHpYGZEHHcw4VEYstjanRFRta/M2Cy0EqcWWTBVDj3rlLFFnD
H6+wvkCmVrESOyqtRGOmjF7Gpr3c2l2tFZipulTY8mbp7V79ErZFLf+OUlog7WauYj0KKiqO7ROZ
6iXtVRdh7nzHDXC4Daq07U16SdJom9pfq+F579dqbILNRyw4119sQevlViaKcRN2ptJuAfAPMpiM
pfm7jmYGUT20s9xWjV4qAe/RKgKR9K4JJqEhdsdKcgEDFfgrVa2smR1/0ihybkeS516WtGqXTccW
ZdgtaiWib1D5S8Q0/GnqMJCw1PXRjTKp0NkHHfsHDdLBpUNRpIioa9uhw9GXLuEE1goc8Awlctwd
WpnkTIztIgME60QEFNIRN3Y2tLxN3JxZUFhJLyjpgPM8H1tpltc0Wx1xmQ8TlpJkHmKKlpU6K6zM
xhITbSMwTp+FNVHy11qOoYF2niP1a0vJVDZPFBctcwMSIaTbb2WZepbOFR05TJDoM9QyBxhhlv0c
XbSoiUa/1bXmue17UrAyM5n2SVcZ6nmlJAMl2NzU1Wg5b+o+7/pN22Rto3kkzi39QGRHp1hyW5JX
YvldNshhZwrHjmi/xJW2a1t1JpgDx9XkiXiuzugrWFDzkYFI+qGEu1Ddj82eKpqCWkc1aYRv5dCr
PoJSsziDQ0qnHOX6JL0qwaS+oT+cubeZW7ntGbRz4kK0SI+uQj5kZ2fWOhqfiOQ1td0oJKyn30pq
+daZ6MgKiH1hFGadrnFHyAD8ytWG7spyijAlOGVRkrO5TU0l6I0VzaZaiWoR9gI7+rJIUzXeK7qT
17tmDOPXAk8GNYnFhCJm5RkiDhQK0TVY31wEEwC5+7UTF29Nq1JGr3aK+iJbCPkl4Gg0KdvL3hwC
nQVBBhDg++meUTnabOnN2Pg6KjraDIrMObVu7Pcuk/WjTmldZrumco10eZyRT2pfCDZZnKBQnGku
f8TFMOv6o6YQeMe4HMmPE20UyCpZQ3OAWdOR30CYcfrxNaqLosW9NRCvWbbPQ23Sios4lQ2KMb4i
xiF+/ev/7I/+2e+s3pt/vz3aNGRcvh1skNbf8M/+yGCrg6Uf//e6BVmhpf9nfySsv9iZ4KLEHorV
m73Kv/ZHmvPXio6GTKsLWBNIZf+VBK7pf7GPATSFBwGhIZLp//yPA85Ye/Tf72O3Dw/stCWRHGs2
Mj00GzinjiGMCXQGicaVxp2DiYnEK2uTTcopm8bRLgwJp7X+zXUEpCjwCYe7sLjNSr0bASU7eK6/
Q7CYzuyiHM5j2ccD/f5RBu8e/+0/e6D3t3W0C1svCJ+a5h7bTkzhx5bwabFpkyyZiXaW6ZeDZbXv
krE7zworPXGp357geimY0FA3eYDALA/vDSFKuq5xWG5qePttscZ3Ee748PkNHbl7eDOc39lgrygN
RhII4cPLaABWYyQLpE0zLd4WdkhAmk7E172uKLUf52X5FnYSiZ/R64IOr91viewriCCx7K2hLfkf
la3++XnYVfMXDxj5/NHesxXJWLqsJV4KTpRukB2iImy79inq9VO16Q/eJhtp/oZewIM4JrxjZZay
SNF1tSA3b6p67B8q0IRBYueKdqLKoX0wVjl/QCTVV5IPPsbDBz0mzTyXI2rsuE3Fuda44YNlkkZB
baW8MoehvCXTp8Yx3k2sX1rIjgBdAS1VneAzJYUgrQ5oJEk+GS7SLp+3CKS7E8frD8achXuTnxHD
vs5ae/gzzrzoRcsI46ulUmzwpaDe18s++HzMfXQVIA6/Iuvh16vrCfxdpVkl7dWOHThYdm0RrGMv
xkNmWxScPr/M+sO+P8UwshlBzGZrmjFnxKPJIXElupOM9Bog493WIoJun8IoeCnntNkLOSPZjzXD
3QA+1u8/v/RHXxXYfOgRNhO0g1Xg8BZ1oxpTPH+r0jimfZt2ln3mRqrEYE7e9g2CZm0hHU43/d5y
4tkjZrY9K3BqtvQ5x/KNsMLyz586o84GucSzXyMUDn8kcEJk1mdIxhxphndZlU1BRS7Qw+d3/sEo
BwpOHASnbJUq3Pru371bJYYmaYAp9DpNkWejRDjhqUlj2CS+m8sWUGf4T+3kYOV5PyV/MJoYr5iO
V/81hs+jK4Y1NJkyiUzAwk1KujqBngNqsODz+/roKnBZsc1iPtON3zpleqLZS+QaRNBZ6qZa8oYc
ZsXZ/j9cBYslHuB1YTsGAS0EGGqTrBGXttVwq8Gz3jj1Uv8RkePXFLtiOcE4rgBScIFH7wjmPlp9
VhY2FsZOi0fTD2elDEBg239+QxRpQDCyNlMfPp707EKrSIOVSLJt4mGdCRlRES7liS/9sGT364bc
tYeJ6wgLIo6nwxtScb3KTuX4LVvSX6U62kjVs41AaVA2+n08k72WC+d2iN0TE+YHKwiVKIpTK68X
w+bRVOaYTY4GirQrY8TkUJnooFHE489tCsX/fGwcFnf/uUlAo7AZTFWlWXt0k7bM7G5iKfcgzmxz
1BCBK6jCqFHvKYV+Xrf9qd7OB2MenLhDVAM7HlaFowkU0hpFIKTInpiRm80tYrxWEFPx+X199AgN
pmfQE0zXlNMOXx76kFWiaRueSbLYWRkaMbHTsrkee0Tbn1/qo3ECWGO15LEEUx48vFRkyHGwRtKL
qaFEezdy9L1U+3FHi1m7TInE8HUMHw+Ix4atyhn2xOU/ulNAZXhXV08e+67Dy5dlZxRWhwzWxU3q
2YqRX1lu013lWnSKE/rRYKHMCX6LEuoKFDi8VDGqC2CMgVfXjDdTWHyZQX0FhGP+tML0kiTFUxDP
9Wc/XGyB0cAXBjXDoRr61uEF+2LUScMsCUsNpdimWahfJEl9ypP70VUcMhrW/QmWSvtoDZsyo+3D
sDA8xKUysFvwrGUe2ie8Vr+/pzXdygSWxjy8IhIO78Vs42KJiOb0mrImKBCa2UuP0f41D5dl9/mI
NNc/6/i5MXex74buDkroaEzoWYyGHP8qq8lorxkXDvJVkYhFBIk2mDcuOdVEMDqkvXjSHASdJP4V
U1I9qtRGjSGhy8Of4kGTJiB+bAdD8U136n4mKonb+DRqu/VTjYxn1O5SPmZjHJExaOXdsC3dJrma
bXIVAr0bCJoARFgjjytyAYFCHWjm8MmSeV/q5gPobCPzsqLHlUCqqcy3XZKYz6GldT8Fi+KNaZK7
WTojJRrIyHSCmtHq+33bmCin4sJkT9/lbtFuI37ix5hMYLnRi8S8dG0l4h4pfZ6HthNnAePazj34
O8riZZFhRn4vTAS9ai4N54986+u0yq4BJrENTgy167FLNp9SshwjlZCN1tSvCPL+4cxauD/xmn9/
yzhwmXZwpuJGPl4moFuWra2ZwkuHbL5IhU5xqoKBVUvEXn9+KTDnFvVX6MocwA8H76rEbkozgc8w
yXxH+c6qvXA2qeUMc37K4fzBPpc2tgDGwhGcE8Ox37bI9bgcc05QhV3ZL2Nvapil8sq9hVI0Ih/B
eUpYtYsHT2tUYMupo8+vIm6TXTRl6V1tut2JR/1ra330RfEkUZ4S+Uen5Ljy0FfC6LAfUXXt9Px8
akjfCBKz7i4JW8pe1CJ3rmqTweYJ5ICOP5LchZgTv4hnOJwZiBU3oW+SOs85LLfj8A5nFoLhz9/S
7/MzrxuYBsgEsNqUag7fUungiCsmdiw0ifXnttZQGpPl85NDv/42zpp1HcVp//b5RT+Y1yAzUPeB
ZsCCfkyct0k/UeNy5smUpkCV3eM7UzEJ42ZQrj+/1Ef3B0NqxYvSryJM4vD+Mi3F4OYU+INjDrKq
g4jYtae7JinfZjO9tkdkeZ9f8aObc8j2omW1phIdT6QkLJsSRyLlkn6sz9rK1L/l/E//v9g7k964
sS5N/5VC7ZngPCx6QzJCEbJGW5O1ISQPnOfhkvfX90P7qy5HWKWAPqAXDTSQSCDhlK9I3umc857n
lSOy2RP3zbfGIt1EMY7LBKj5o4tRVY01l7CeazqVqD3WMXZgCeBgCu0Y/85QzGTP8EjOsdQOX6TL
aSenmiuLHDSxc0qV2VEQuQ3mqdvemw/FXDR/8bLgURyOJCSG4gsSaCjRqrGtOVcHH0gGjUYEpx/T
8/zedSnGkuBafcB4sMPBEgcUWRWxHwmnyS8X6i9bAmb79f058cZ1gRok8RTwZO7nx4GOhtMr6AN2
p6TVyuu8y+udhJ7/bzyMrvMccCIpSv/Vme2pIsMaiekwk9bYV4luXNjprO4+/jDcSriU4DWgwU87
fGU0+JMBUw2W1NBPt5DTFrTFnn5i4a4bz9HuiR0L1Io1qUzudl3Yf8TvtCvX1rAKgonkORPN8mek
jTda6lygaT7Fu3tjyrELGevBSxUfHNXhYJkc6c41GIzzxXjSaselrJiIM2zoPp7ZIpVK8K4SaQDx
OuY1zibdVxllLXBhsXvRU07ZulDTT4S7b7y9X64DWIBDiGAlHT6QBR2hziSxjFuozs5VunE/lzPa
wgEuaowDyYlk6ZH67tc6IoMGi4uZx/OpR+fI7PW0SyWEFCr+NLigI1V/tDRzOFdISN/KRpPfU5pX
vtCYUtv+FI/TTvD7nb0/Nd96bNjopBKwx0HtdDQ1pYGfSsQNjyb0Ru7wS242TqboD8OQZMGC4PzE
UnhrPHYORBwsB3CRR/OmZI1EheSpYywW9h2MzK0nkuR+kJH02bCV2/ef7415SkXkFwGT3AwolcPP
2k0zyfBfeWKlH7fuSKlZm2J7Q6rt6d8YiewZ2wniPZLShyOlmanSyDxzU1YTPRAAcAM4t9WnYsRs
/uND6Y5DToupuu7Dh0NhOKNoscmablXzpoc3/aDEraSiOZ+q0qyf/2hP4eDyQCpZ4FkQ+h2OZCX0
4UP/p19Kn/IbToUvrqMs6DGoqNOFbZfhpHb2TkyVc+L0fOMAIMVFjmvN8gNWOrqGdMMscoorlj8l
s3vPO4joZUrkienxxnSE3sSRRbaEmNQ9epOkNDyXdie2MWcGNaDIJ6fl8htrCUxY8fENmvwFmyUJ
BCRIxzkMqDAEZjp7Jg4mtD0PnhpYSY6GOlPFpiGbcmKavPUKqbSslURKXpTzDj9eIaWyhnQWjX/t
/Bk/8eJMjMmpFf3WKPChWNI0nWKOfLSDcNkqmrXPy8d99T6P7HEjspOhwZuD6ColGO6IbJZHN5xy
LVe3EWFoXSTLpd2M1lUHzXLz8XVF1p/sKk+DMPlozlW10WrATS00MY5LcwC4z7k1s7DWMuXfmN7k
QhD5sveuZ87ht0nMgU64jgu9bFAh5PHsXWSQXE6ki9df+Hj5cosnt0M1jhzr0W7bAUDgXssMmFOa
+6DnxBu3d+otWAm5F21thSBaLjr6O4Oltk9mSN4YfSXWg0YD/ks19PAZ4xS741GdWMJYTj4UkFxe
0OPo17hBnmIN/r3Nu1x7aFNat3rUa0dfTs3GGFq1xXVxchf6bdLpC6Cn4mw2pvjEifn3lshQlN+x
h4FpxLMdPpVo9USmliRjrUxtEggD2dLYttYLeD9nAIRCshzT7rVkuH1/er4x8ioiZJ2tEj/r2Dy6
a6W0Fbc3fISS0VlOEPwlry33nhjUTfykRoDNbS8N5YJ78In5+vcLJiDkAkaZhio6NaLDp/aqIltK
ogtUaHoarIHZbkA4t19q52M82vViBBaSywhCUdB9/OtwqChysQM1SWk5AHBvcvRU+2iYPn6+EFxQ
cqJSSmSNL9PhKCRZG9BKPJC5xF5gLZYCvwdaxvuf7O99i1GoYq6XAtb6ryTMH3dyt04WNmau43qh
DDu7LSGd0rW7eX+UNz4OU59dhLIpYftxEcWy69LQGtqpo1KilBpQAXpLRxt1b8r9+0OtB+LhjoJj
DxojyjUgY//KGi2JLkpBnpzGOat6KUaa45dkGIG2pcv1CrnaTomuffggY1CKkhxmFGrYnA+/VRTj
NBF3M0nOOIqf5wWGazUp8ev7j/bGt+KagSTFJrmDRvlou9IWWrQdHe80hI3qtpcLXad9uXx8RjAK
WzLhEzHf8ShNbUNoGhilq7Jow2dDwlAW8sQob80I0paEZmtlldrM4RvreT0J7f8GTfuT3JC1lCsA
AW8H1xAnsjdvZO3YDQkEYfeTu0PkfDiWoGq2LCTKkEHWLTDsWq02tIqOvU8aQdvPnABfUwHKsddA
hQmhl98JVdF1trPZnRVKUmzszhKfs77SQ2EtH8Ob/tpP2K1ppVk9bLnPHV2DsCNfQIHEFFTEWO7M
2lH5TdJTu9bfN0neAuuBhA/lUl7m4VuIAdKlXs4ajJ3YfkSYXdF+J7s6KFQIVRyQ6YlP/MZ0xWyU
ROk6KMfC0Sde3MGLm5ZP3MS2eikKSFGJlS0nCipvjcJlaE0oELVhznD4WLoyDKNM4VHkTmnc82s8
jdF4auW9kYteN2KgrdS2yWH96of6Y5tEOFkt1rBWMerGvCwz197bsmq+wMmoct9J4+oRIXgDe6Oq
L3M1Lr7LPEFyC5+uv7ScpDyxy72xfMg0rEoxck+keI+mzNK5Vm5yEvoxweVnE3PPs9puhy/mIPUT
h/obQ3H4kLtbtwPvL+NYs3BitdPRdtABlMCJ6AvayYt+K2R0yqLhraHWbjLnlxfEXz3dRu1Uv0tw
be22r7Tk9bha41E7IfrPTtwX3lgO1npPJxnIpYw0x+G8GYWyRAhhyG5oUbdr5ZzBzXS8MJ1sZdsv
6akC7RvzlJopiVb2vDUsPPpiNMHNXF5Kk6w8jDFQFrAs1KU7sdcdv0HeGV1ulEtpveYaZBw9lRgo
RjgdoyzQinbtkNih6sbpXVYoH9UQ0givruoE0v1Ev/rxFLQXyn59DvJppmoXrOruzdwPzYnPdNQK
xuRmGFLBeLxQW8BI9GjzroZeTvnEMC50MKu0zvIxg/hYhHI2grFzNtLTgzlvcHbLNNAz0b2E3iTj
LizpZHj/AP777fK7cMSTlbdYV8cZFL1YJqk6FG+tqqgDaGc4NU+Di1UQvSTvD3U8XVaNHO8XzRKq
DJvt83B6CphieQm7CEVVk517dtJ/6vXiVCn/rVGoNVBo/VVhN49uFEZRtGXK0vfb3p6f6WLoH1uz
evrwozAlsVxxuZBZzMzDR1nw6m3GHs4OLrBVmMCTg6iVfvTaQqoOxyaKNKsJNOv56HizG4EWX/DC
csNtNzb32k9W5eWnPot5vG+s4yBCwJQLtQUhzvpK/zgJdMg/tKHkho9boPWtRtH4PJVO8Szt2il9
qTvNzwGa+n3eRN6LIbQWMlKdURcT2QgXEPna5EcapEW/BQxzw4ZntTtVFM45LRWqc5eXS5MHdtU4
3VkalZCKJNxfkJfNcDNqkwMIp6cetOcOXF1UVQZ5xZ4n4xssKEVu0nhRdtVUG1qoyAUbg4qlAhNT
V/UeHl7njGGni/YisUSLE4KdDF+NLuKeVxbzGO8aMTUdnEXd3QFZV156OHq5P01lhl2AbqfWtlJh
TiV+QWdMvHMjhU6EmktpfI0dV34F7WV5mEwNR7IBf9/rhIXbb4u8yvRtUXYSewZ1kd1eNQsQo3Nd
lo/1MCZf3CVtlsCzZXpZdq1xp2Ik9dII3ex9p8BLCrNlrSzPZq4u0ca15uGSC0H+DES9nbfYH5ja
tvPAuV22WcS+l6R6ne2zPClwQOBmB7zNzcxma7izp/g5ncuS5sumKsNhxhGB3h5QFWc6cqv4PmnF
PASdDd4S5eRUfMIUbMV1DWlZs3ePdeY3wPqbwLZb8dKojfZgLKKdAoCRXuvLqvLuTGu2+30CKfZb
YthI7npvhnDI9tbdWuBgbky8RQu/h2j1xLWFXgqRdWDUls6CFDyA3aPDCPCsCuexaC91xTAf9LoC
JkAzS/5AwwQylXyY7F2v5Dp8gxloLY6s2dSFIGvY/jNUzUU4lDLnYiCRYdN8JUQPnbxpFcB1uv0a
ZZX+MEVpV+/iseL/ABo7L9yRrfZ7FXdJdImySuZBSWPeXazm6rzRyyx6dNplinaO1iSfnWl0b5oo
N/bZMnr7NDG7c3WZusBANucL+gieFyWyH0jhQ6FEgpqXvmIMogsiaWSUgNJWtHSyTFCskaWV81lP
ZuO7Ojs5DkWlgOMD9w6LWbfslFfOtvwJ8JfXBEDa6L5yUXzMgecl4nNnTbIJWzicDbZ/bVuekz3D
fsTW1vQY0W+u+ks8OQ8TtB7Nl/z8twmjl/IMKtF8gRFx1/vt4GW7QsUq3mfqZXzurNM8v3Lb+fsw
F86rGFD2bDAVAZJhNFnyOJNsqMIIwu/N6nnqhoVad6DRtNmNKr+oGlPxl6wZ4VcPibzoIAbP18go
7JekS4FSCI+2n+2Qg6WlA8ZG4GC2lWtfZLqbiWsLW0XjDndoCeDRXWIWQ1uAmqzMrDTCwvYEXtJ2
7lS3yCT6r8laojqjdSLV0eNYU/Q1M3q1xDg8ESCBlS5/6uiTp2F7bi3Qy226PBY4m9cFdMc6c59h
oMqt5qVzfVHZZS52DcpDGsmoZX3tEplgjuosBfvDUGGLkNMDB79gnrqnUZ2nz7FmwQD1eBd7nLjB
IS9976bnjQX0Mxw0+rswSylM4asm12fkOsXM5YtmDxG6XZy6sLiAzvmqnKLpwkogIu6ydKwu6rYr
O38aMj6eLMznsrTVL+z//XMzlFRLXKO1duj71kZ40TRfm2npvS0osNbbGImuuoRVXd4FsSeG62zJ
AA7OKjBBH+kof2jR2PEARTK+gRCc0m046BLKGyXqgry3u4D9E531s/DqbWxid6SlZnyTR60FwLFU
6wWOeME7idWs8mDeAlUMGjBQc9hKt46D0ptbAOtxalyDmdX1EPimoMNy0UHJyBSXiXBA7BvvSqcv
lngzD82o78mLFtiASa8Sd0sXTbexNuY0nSSdaz605rS4IMoG7TnCyvu5gz49nY+aNRsvtl1xo9pP
kUGps3G96HJh/YpA0Gr1FQrYVLH/p7oToPjMrU2/WPkN+TTmZgtzKN3mlmLzsnE/jnDCLeisdICI
IrLIR/dM74luAL57Xr4BJLdcdZ6cZGhNXEfBl6ntvMGyHtwpeLS7FMZC7iOEcywwj+P0AwkXGHg1
NcSXfJlRazyOVdEm+3bozPuyDJums89H1Sh/0qxG32mUWPI8z1fznMoDwOSvhSZ9w9Lox2Aknq/8
Bit2w/ciFWT0BHf3HPSpNwdtpbt7a1BULaxUHPuEZBcIMwW0tpKg3Of55uJHY0Y6HDRrBtvYk+yW
7DImyt60npYXBXzgfWHVAw21hluYm5gFRS68KGCqSdlkTOCySO0N0mPns0ypmjujZkD0Tero3FDU
PKc51OV3N+Ns8TZgMpvXVIx4DUN+tarQNltiD1mOKS2NrkjgZZQ9yVkzmUjNehKn91nxYGQIYIdn
rcjTW5yAhIRQ6MFIozPV2k1eC7ZczcuYD0mzrK9Sf7JCLWbL2JhsebfNnGqYAuB6ZAZcChTWvufI
KTBVTfmUz82k+I2ke3JnZYl3K6NpNgM1b9ursZi7q3FwTDAZCWauKjp4L2jr3r5hoss5qCoO+G+a
AR0abKGbT1fLjMrvsp/zOrqWkSawARvGyPmJUwFYyXFuXPVaQxabbXpaTMznGbJtcca0doZrdTTh
Wnsas/QSQn6mo4K3E/tzavbsfakNkXibpJFpP/V6Pi8bnD3G9kzvimF1F5ZWdonJwKJ99gAp62cK
4FB9T8hTj/tEOkWz1ZJUWNso6+koVbxCvMDXFOP1ko3GZ8hooPr9uUxMd1cX84SbLNReziWS3NXX
MZ2Mn+9fiP8KI+AO4EyNAB5hxyonO7xCGnnes50v9DEsot4kOiC/3Izza8cW8c37Q63R0Z/ZUG6r
a3FlDVoQ/lN5OBwKGDW6EUOavoPKlHPJtkO7M5jr5uDN286OxvM07vU97eZy0/djtXl//DcfFYk3
Cb5VB3msIRC4VuVJ2RPGpNLbtoNl3LcRbiRu0bUnyh5/xTI8KtV4Qnqbk5YL7eGjJnlV64uLLLmO
KADje7qctQ3ORB9+IJdsk0rzD+UVxG6Hoyi2WkW0rpu+3tf5Bvp8hyjMHBBNqe2J0PeNb4ecc80X
IGOi2nCUP5OqW8hBIt8tclOli9pAHGul6eLjkmZcsZGl20w2yeWYOfRmW5H77f1HfeuF/irmIHnQ
SQAdjd9milNxhUNS7kbt2bJEzUbQTX3iKd+aIbS9kLWgdQgJ0lF8T6e0JJIS6HphUW7MGV9nUOS9
v4jI+/AMITlPMYMKBFKqv0LEbjAhqFcu0o7UyyDkD+Ol3Vvuj4++tnUU+ho42cgu/erV+yNA1ByN
GwwZJ19fSdP65M6hmLPhxGv7Oy+irS0hiOH5hxbYtXX3zzg0hbVANzvDKH0hrom/nU1mlVOAALpR
wq5v3KsZcAg3jWm+sktN2dRLniu+hdhkD910ItEMEsNRvOpEMWRdAod7DpV8m+QTV+xVDnq0RMql
7U2o4qZvSlt9iSdoGyoH8HaMuKK79KgBsR+TU0KQv2croyIPWqVCZGqPbXMibxlrjtR1p9MqSBw1
l/g5MU7sZ2+OQs8dJTlq/di2H771OR/FwM5p+iOkhG1fikdVxTnt/Rn0d4qB3tS1T55sK8/krkvm
jxnEgZaC3eZ8QL/vgffQxiccjlRf63Pnti61+fdD/X9C0H+Srvvj1Ycvw8u/cEBXL+WP//WfZ+Py
Ur0cIILWH/jdAq9YdLr/6jTXUf2SsF0bXX4zgsAI/0MCCC86lp61mkGxa1V1t6KA3H8sqoAeGxpt
8NRW1875/6IE/cMPcAhC21lBQdRdP9IFb7nrZPvvhUa2gOiI6UEvPtxdALdHWwAybNfOqykJEkBB
GqYRIOYC2tZN6hAzVHK/ijP5TNetec85oRHmuR62OBa+bwOLY5i+iHSeW64FufGMnV96o+pdRByc
VMrdkku4H7LBRbePq/NWjZrPgqAk93HuEUCQcRX5ZDRaRZICDcNnmqsIK5RK5rfjOFgXGq4ZbejN
nfWAIVMXcdEkBYF4saEl0DEXjFNga+LE0MtY/SJiFfsKPcrip14dh6s0SZHW9yLShq06xDyRE+X9
E0XRSIRmZZTtRidb9tKZY3zbNhEEFHw48h9xT5xKb01sSJ4w78ZNRk6cs6XvXzo1mYnpujKefMvu
XfMMtIvzqdVxCCFZrAzgX4rSHnw6SqN8o+m1q4W20OKvA/LYy2mIyYVFrsfCnOJyuYU2mppnoHX6
81LFCzcsy0m5Xj01MMXBWxP3jdarJgpTIw25JaCXKayA1OOtA+bb2jdS1XdxbDvNlaCdl55da3a+
ari4xYHpxOziq0cUdA8BjcMfnYks4sB/xKulaGoFPT5nydmAvmXXkFqx9oaw0FtM0WclM+PxTPRg
DYEdD9pnpUziImwRWV6a/H5xKAbHGlGNOvKewiCiUhtO+V61y0jxM6d1aapR8KvwFTOhM5532JDO
gMP8alPlxigTA9dXbSYRR2u/1kw7XS2tL9aQLli5KsV0J/IC3LJm9su2icc115dkbqCP1nla5XIj
RMqVux695pJ0Kg21xSCYx7PiaD+Ruyl0dyzOXIEn0Hrsj+Iiyn28MpSMCEzHI2fIOnsJnWkysDhb
FPU6G016P3qAAhOHzs8ZPPC13S2yPYsq3QBmo0Y4cWEnkbSbPC88fKxMZeCTtUv6mthiEORIJVDy
gqPxeZqj5hnYQ4LqaLRoVK8WU+4K2yazJi1xKVWsUTYkEUDnYn/sDr4uu+45E1AIfVtgpVbrU7rV
zBwD9dZ17HOLZkcvXINFSW0CUe2mbEvM3G29brpXkmTFVSS9YuRW4vT7ERoOL3KiJWmzWLplnTk6
DVe+aq+5FL23Pml0FEabuGmaO1MtAWBVaTIk2DzZbRVg9FapwYLbjDyru2y67bylzPYOlYCFzHJh
aAFCQve1qaRmB52Z0kftTVptX82KPuIakUlxrWltPfh0gBbfB83tu0+dB/EaTx4Dn091nlfbtmYB
iW6A0A8aybcAQoQhjIrp2o9cL6InvETki1Lz6el9tO2vVTGqfDvVbL4WwGsUv45J/YWqWFRiV24v
GTY8XgrKOUrmO+zarGw12ZmupiZJUj+W2vhMv5fxInJzUcIkS7hWlaLKryuUhC/OyH09nCkQfHf6
WHHwfYt68hClM+wNtr9kk/RD+wXmE9w9kpo9b79prEAOdZ5toj6b2sBdPAXun2GnD26kphUEeyau
37Uqbr2QBQi1CTOa8dNgNp5GuqIR8xXG6rPjD8IhDRFhPDHghOHxOsy2a+GwW/Drg1EHWhIohezs
O2wyciPxh6ZF0RqaWcYmF40l9r+mqY2fhKrW+ZXV9Kmz6RL8QcJpyJ3lMqO7Dp58GauvCoEHDX1F
ErlnRSFtHbMIVctCyx7m+bq1XNyzWny/8ova6uoqBGtk3YwYkwy3texVGZh9lWKchPbH+WxqAPHP
u2Sp1XOlTefovBtLy8ZpLbW1EULP1JJd8J0SJ0Lfw3WnJ90wqveOFHaHReqiKKQkHaEGCW8dJjym
I+OV7sZL90DJfih+5EU+J77HjVxsEYNOTeDiybyc5TGMcl9bCvMRlyz3pmcuIsrQ+fmwnHXtNYYD
9lqy7jO/i/hWFHdS/FRITw13gncjEfq2lbfN2t6Zt8hj7DnslyS5stRcnPe0gz/BsI/GwJZedinp
ttYoBcDD8LPFBUEiRN18i4cYR4M+767rNs+em3Z2PiWJrT1GLOhvGoh3GQgufShibGjCocil890R
Yrw3rBi3GZZbOQRGFVGYHKcooUCgZm7HHTxye5DzpvtoTDOEULtT6JccZDmQKBswqdRpwC85Jdhy
RiET5FF2zW7D1dCQYbbIWgsmDwAU56WdXaCcG7/odmUuO0EP0gMJ/UIE2Twu93qzuqZNeRHHft/G
lJgMXKUTPx1wr9/mZVfKsFZdXmBLA3J7jqf0nPu2jPJkq016Wvp5MmP4MVLgeFDt2YQdR5Et8i0N
ZweEs67W+KMwsvvUEb0LVNnDEmAwPHXguMgYNfOi/EJ6Jc/DfmxvFCuWTLO01p/10WxSrMu0FnuD
Ii+mbVZ61rMdW+VPB4ePKqgLu+m2ymhkX7F9nh8sUPKj30Sq/YpR0nCHrEXnBDXJ1/sYtnmc4vPQ
fwOF7+2nweu/u9ic3nhrcSYQ5kRKvrN6r9w0iVXcYk6W1fMZp61XqZ+qsokeRkQFiDDjoR3pfVK8
n3ldLj8nNfZ+amajsjuB8aNP1qYvNu/6awuzmF2DqdMl1NrhiYJAkYSGNtR3aU9RwpcIpFt/RJS2
T2nbWrszJsMKKoSCF8Vg0BPbpZUxbBy10scQrs2wiyLHGDd4xuCpmbgLJntDYqgQuGe5hHOTmPVu
QVLe4WEeF3vy67hSGJmu37nGaMLWz2Jvqy8Z1SgBi08NlLjhzjVn7t3QR5UdIPWhEOHAkqdQLUr1
Sa3s6cnD+8zYxDbeFX7VA8T1ASvIK7T12hj249jvUzslQE6bIrvC+6OYrsoyExruBmV8z4mi5vvM
y7UHx2mxPgLdF22T3sZIfVbUwQQT5urxxgDAjeXOXBXKpqo6+x5vJLU/k9ycnjo6BefQMDD/kpna
3GS2WIl1cMGxdYnz4oJNPXkZPHP6Xo55/J3b7PJaAOZ9diWgMt8Z1k9npGuHRurwqckOzs5qR9eQ
FrbtaLhJnSi573GljIIYK3pcTZxFVUFA5vkdRdiIHmCi9q/LmMlPmKJTgLEM4XnnjTNo9BGIaND2
PSlsalKgVB7aEnxO7C11uSO5P39HeZj0ocHZ8UmLRpGEnVlpU9DFIwWSJGqd/QCkTwdSkmnnAiPK
IjT6zD6XVVxKjFIMY/L7pHfigDlMHXnRJ0SeY4wlqWtM7I2Y2Jgbidww3sbNPGAsUs/aE3cESr1j
zSUxdFuvf0wGG3ByH40TdhBxl2PbOqwJYyNNlWznRf1qRkeO2wmrbvV+qSgD0obqiDsza5PH2vAg
3CplFXV+XenJI95X4ofr4C4f4vzJVajSrNELcM5MP+GgldyObY+xYiyEc4cmQSO3UUTxFfZsHZam
arMASKnwR8PIDgEkroiJdyUdLTU2GcsMD3rlyagUx8ChwZBaUI+iOldEjkJ5Qty6z1vbvM+mrGGD
RZos/drqo+vJ0PkdRBV5ZO0XgHqk44WRB94InOJ3SuX/Rhg8/eiGsfvxH3By+//YwiF+GdK6+n8A
masbhKP/MxPu7qWSL1V6EBL/+pF/UeHUf8hZIwFDzAE+DDHHf0XEOthcglpg4NBybCSW+v8JiBX1
HwTGq+ySFhZ6gjR1Rc/8KyRWNO0f8GCkO4hW8VjjL/lITHyYnlm13zbyWAMdNKkxFHtHKcspzfV4
UArMVNQ5Lzee19bbtK3mUxL7NQPz35H3Og6BPIg2MrO0ymBKf5ihWTx7wY+T8z7NGiLiDOHmNxP/
mEe0uyL84wvc/P5b/2cG0e+xUOGuaCVuYzTeH45Ffd8jsSWIyBbd2VQNug0ZjcUJGeVhzun3KICb
SEqQteQaxPf7M+eU9IZXIkniiRZFv7X6thq5h6TJde7KpMF0Wj2lPP/rHSJwIoe+QodJdQF0Ohwx
R9zhtl3D2zN78hFFms5hYmS4UKVZPO/ef4mnBjt6iS2qE7EYGPLRibAArNVr4z6PDe7W7Ry32/cH
+2sWejoNHrTsAmNwaW9iuh+8y0FVq9FiWzYQW9xmDaqnWFjdiVHeeKQVqec6K9qeatL6539kCTGE
sgcdjSk77ZJ9wp5xOOMQkAGoCfNEQvKtB1ql03Sg0eBK8+DRUIBp8ZsXeJoNjba3eJiABS0+lJ5n
CvLa6M4Cj0LX5apIOxylAD1aLMuS+11jasj8XGydIis7UcAx1k99sHYZxkJBv9ZVvJVteTiMrjj4
PKg5PNk4cRtu6TNAW15iQ0oaCso4AI0bpv6ymaz2Je6wPrzIx6rVzua24W7PDbfr7vSZ1R5UvddW
kGbHyPWJuYvLpdJcApohGjVMm904DoYZzciZbedrKh7TNIAZjlorXDO0+KfoUyMKiaDrIrCmzHux
C9Q1aIi430CCLvvPHhfLlkulXHGqY+18hViineIArE98/EaYqCDVVu64d1wkZDcgbYZxBD0ZuYsi
YrGx0HTq4paMZ/7ZnhzFh6+rbftZ5VpuKal3ogvsjflFg/aKBqeveZ1gh5+EnnNSnMICeK4CztNF
NyMMEacgV28sGIMmYrKvdEdxSzvacIhHlNUlLyerNC6BPunWJ2NQp1Btc/vb+zvAX7spW5oKDYpi
BElgUGiHD5SRHkstlF5QszsMYeYpH/zKMtC/UX1Nv1TQj60TvZtvvEOTwiQlJ5IEsFeP3qFCqb9O
XYbUNE6k0ZynLTWij6ntIRiqhH0kcteMuEfn5NEoKX7LqaGRjesaRYMobaVYmXWOmNzw/Td4/Djo
cvhEONJzIFG4No+2nC63+zpRstLPNDs516Sl+Y7Zz18+PsrvCwPt0Ey99Tv+sYfWc4WPtNKWQAII
78exQSvmQmH/8ChA6iDmUMSFkKIebWwlqtSBwI/IWNBCW9cAusDYKzfvj7K++j9XsU45YD1uKFTQ
Xqcdw4YyLx3bOHXw4+llc4uvMsbKI0Qcrfyu0+oyw47YvD8iVfzjMbmzuQi0wViu9ZHj5vxqJogX
dt/6AoGeHfQq4R5W15WCYUGjpdWefnb70ZymKAr1CBxNwE6DIy914PZMls1oEjkUeoFi04DgPala
74atHbtkoaF6l5vUNIS76eF3EGGN5fLaexoEPq3Uu5LQpMt/ylYUZjjZQ6eHbo3R7dY2ZIaYxBh6
zF7VKi7O6ZVImhDF3iQIeElm+HOmK9d6QQtHUMEsGILFQJeEeMh8jns+0HakkQw37jjqSn/2DLHr
9Iomk3roShFUShd1m0K0/Y+F/JAMFKHbOOCQTgLd2DhGEXjaJFJ/5tBUgzmCqEU6o0ieCre15Ubz
miwLTLdt6rBoNaoUPfmv2c8SrQaGp1MOING2CpoAiwovKCrOsedi1uw8qCe3USGRz1ZLVisBaAd9
TcVMwHRezWZR2ntPHV0HLCi6VzJKdeXUddBpVWYWYVzZozwnDQxGvLXU2nnE0Nwm8R7N7LmOrNIm
SBfNas6SqhW1HxezuIMl3peBWRKpB/ZEXR7lqqjcPtRH16VI0XQqHcjeNDu7uDeSKvCayvhGrDcW
oeJO5HCSMhEPSl1GL049yYEqBksbiaK7fPYKW/k+5xpYpLEs27tpzEzltbFVeYf2gE7OoW9dIm9b
E19i15rifYMZb+mbWVLKTadg9XwPYQlZgquk2tNg98mzsjRqHVC5ar62MXlO4u2BjHCYEbrimquD
zEIj5gBZVvRSmAGEpNjd2llSkKjV27E1zvNpmbItMqPpGbGjSjUgL8nlK3DJk22G9NI6G7H7WraK
XZjQdPvJwDq3j/UKTqSktkGVPdPPzKQlE+CpivOs1FpPGIw/0kQxJGaee7lhfKb5KsWUPaN557uZ
KvryqS8jQ9m7VptOfqsW8YBiiSTqNm9zecN717JHnUNO/dYhURzul66Gt0+hpCDLDqteCxdqJ0/x
XEGojKcm+1IqS2rsYTzzYiuvaKc9rp6/+nmmWN1aqshxRl8wOUU1nDbOT7tUS8SGvWFm33qnmJWr
CatwBz0DDbznrtcO2UU7jjHG2Ik9Na+90kNH8qtulJgmTHYidyCHo+Z7q4J497kudna4jHKWuGpr
aXOL6DGBAFyV+MsLe9Hpv7YSawQ4X9ilX40mFP+kHc0+bJeyvdf02GxDC6woNkzz5FJK9KQTbywj
NUnNAx7JfWqeaXlJK7veX1I6zMtqg1GoiPHhNkphW+FKYVb+N3XnsRy5kqXpJ8IYtNhChA4GmZSZ
GxhTQTikAw719P3F7bGxqqyeulaLWcymV9XJSxBwP+eXtINg/uMdR9eNiqxoHbuJedJCnHB+1WWc
seoNUTZu7TfiikhwLL1FPXLk5MPOnKRBmm6Td87Y0wNOGe7XARBvHH9RZ8wiY4SmUzqtlywu8Y/i
kMum2MRb6VMEEJGbX9zwMaEqxtdrb+DGHvUlWZBsm+jpPp1MmRvjeaOemoSwaqs+Ux6rD4Qn1ZJ0
HS2TQXZXs2ak8nvhvI792+JPfcbZu2RIE1uranYEpk0GymsQPrxotiYjmzUhoO7BoqnNdiSTapBL
UHq8jvoc+YJ14aBBIsqYanFXQflK+lStqVfDmZYVE+U4U6q+R96XIQnPmFOTThSrE3W0X9Qx/Eqf
w1WVun1YXE2HF5uG8kFbWq5sgDVnTkgrdrpjgbG/QUJIW0BkzlbwWNG+jGYbaTCB3EwtS9hRj/Q8
4pOav+huxhrTt2m/7F3qhskuNu2Rc7oT/RK5FFY/aZW+paeumWmC4FXLwBKrms5aPgKm6bR45t+A
t5jVom/EUxaDOLdUV7BVrAPqEHj1mYi20s+NI5zI0uwoP/efeVLUpaGZrT/aNfMIl2vd6tfY9zBy
BFE6bKpbGhTRPdatOFmtn37XfG9VcccmYYHRei4FDpPWfYdL80qq5oE6LaMc1Q6ioNeP451ZC1NH
m67aDDtJG3sBIy2yu2Tcyeqg2nmcKm+jN+odRSvSfFmWhh2yMyYyTWSfsUoMtWsbCYSl+9lxdXZh
rZsFBIxm0iHejoBzm2X0x6Av2h6pGpvQ3azOae0ZxvameUzjO3PM8xn4dJzPfBxOH5Z6011tMgvB
q5Wu9GQz08EhBrYnX6XFvi0i0nAHfsnRyV5VSZxBVFNPj6qXPpv8F2D/JF/5z3Tao6wnr+IF0krn
Y8Nj3p1xlXvqXAxj3UX0+vVVoqSi60cBPt4L6I0JaHzoSb03BoO8BzTQ2xwHrrKdaILcdCKKY8zs
mf44J6fIjdDpyMPM0kZOWgn9OgjYlbt9DzaUbnmyAbtemO3Jr5qWcpKuVyJpzV5T+wBERd9tCEq3
41oGwXRB/26VZ5+Dp0gW017LpEVQ5HxzzOKuvROTI+ZjLbmTdzAfa/GmdBtZdz+a/N+5J/T6oYMZ
aERkiUbqF6KT+jvj1SyD/wSBDMeb5q0rf89lqsZ9YwmnPmTcDgvY69oVh20w0HRjT0e6r3G2GAew
q/xViiwlKF9z5zXaBj9tE4yQGv4zKuerCLNPwZE654jUt5X+l7CnELoKtQL641TeU0/Ay81gjnIY
Zcicxm24UJmdrJdCt5QVgdHrfOAVu/+hwcxbcDVPmxXVJqr9YznrPk9XE/MU9/k87/3W4gwtMCGo
pHEFdxhLcssMU7TZdCLTl+O+WBjK1lzDYZA3yHHxDLjGA26HtEwmxhYZLhv3FsLfFi1KuXjtb8hp
whJ9ojJfPRzYvJOcFOmZDEDp7vj2RUnoZ9cGNJ4PwTWbXDOLeoAi+DujTu3YWN3yNdeN2Yo3a3AG
vAV455JuVffni6vnra43vhG/qpBVl06FzYG7YZNRVWjO3pZjf7Ey8PUkyNfJStp5wTk1Odb6pgYk
HUPf+25sBtL97fNH00On36o2GWEb9GRKzbRI2eq3cflNzInz9W6Kml4Wqp61vZ4yf0YaDM+KjMGR
MpkZ/d4tkTo/CodgrYug0scPN73xOdYsa1lP1txgFrIbTeDpnVsV1k7RDBFmNF9QIY51K1LdELyW
sspRZQQ5tOywFPpHqVDzRR5XKfPnIs16pzXKA3FIW+vZrmtLHjNUeyocpFF7cSURpuy8urIgDaeN
bJJx8AIfZQ9KmsihN+mlcsv2O2qYudz3WbqBMHGi6lErthFJL14BL0HltPhPXgOus3OzafAeiGrl
DjTEUiWWKkQekeTZn7ZiyWkYsFrjxR1xtIX5JprPafQoh9TGJfjrIkZPIcxeUrK72IB1UkpB3czg
NwUjQm/9VL308FwWld3QCl8bVjiotvuQs0Bt7lZbDXjYCFQOhS/xZRvu5kBxUdJkoB7YBPCp5w9P
yuIlj81JrXrkNzm8eTUYeLcm3knzLg2y3zoFGRgxrVXnid3G3zlDp1fhaE8L20tbrE//fpX6y5j7
T9sbiyExG6SskZBBOtcfO6LuMJwaG3YDbWToOdl8HHmkjyjTLy0KHXeHvkML9mtH71bsFXNfhEps
6+NmjAuzvJCt2OE+adaYhN3N2ftLbUP3uN3YPlZkAjRf7GmYfJJwM6Ly/YzK+mM2lebXsdWaKdkW
TsMnVu2siGoYU3Q9FJh9dXU/916MzbPwU+Dfin3VZW+2WS5v5WalwW2tCkPfl4L3Yq+lqYZcUcOZ
F1KPoKav//4Z/QmqANvdFcJEUyBkA135A1TJ+7xLs8ZpQr8xjFcN9vqQEv6FyaQu9dfKXtXLv/+B
fwJGf/1AxJ4eAUgkidzZjn9EB6a1xMKyug3jmF792DRZxywdzMktgZl/gxH8Dz8L0Se2Us9GVoh4
+J9/lnCtCVNEgcJb6miGcIHtiMfKjhsKv79Z2/91aceIjn2VEKm7sdr8A8MJCPMbnBqjXOp3H0Eh
1uvqF/Jvnt2//hAXB+pfPNGd9fkzMrXsg7p3p4XBJFfl77o080dZd/Px3/+F/qefgq0AQopvhlzW
P/5CtS9ZbVhy8NVW08EoRBEZevO3fav/+se5//tAKh55JY7u/fFjCEgUAWa8Lrz/kdpkAECGZ9UM
t41cIqi1yKdxmqGsKm1Ub+5C9vczGYVYKtjZKVszMXuYF66m3j2uyli9Y25kwotSr16C+D9/JL7h
+oCAcGqGdX9k/wBpwepqBEPcH7w3fkGfqR0HrfX+hk75n577Xf9qA6QCpf8JAxpTMJljtwJnDuwh
DLad9OO16/z/LDgWCJBsi79c1qDSBNL8CTCJxpt6OWY9Psdx3GkzxY+4V30t2mzSwf7TbxCEziHS
CbCO9N1/dZAQGt4wt1A8aG30u1caLbPKf6Ou7+/CIP4Fq+MAuwcxIt43LcwCf7xQpi29Ak4KqZ2V
qdAmn/3IdVbeirylMc4tgnBUVMr9h2/G/dQknQiY/c7h3ItN//HNyHypzMGHPSjQwMQ2fuadafM6
//VT/l+w6P+f1c3eaa//O3Uebb9+5P/MnN//H/6bOKcZzSdmDs8Qnww5Kvev8r+l5BSjQVXjJqJJ
gXRCGPD/Q5w7xv9C5EHKi4d3+G5X4Q/2v2lzG5U54x5gvH5vWgH1/09YczpT/pkCgqTgM4M84B/i
5+Bd+WP8QNnjo9AMUNNIduC2KW/DsgUHClxfy0Ybjv3KfITKCR1ekQInKu+zF1Ybaqt8l5gsWQos
cay0gPpY/7tui6eiL5JsAaTt7OEyda3FZGNft9ZpHggvP3t1SZnmAq3tNt6Dh5wjJI2FRXyJbFS9
NDwvZyIIDujWwTYCvC10OAXtVWbtVWtKoNL2Gjj1N8CqH+2cHuxR/h604OoN1knvvC+5Oe2UneTV
Wx78apfzFLyNm35w0lM2n5qyuBj+q+ith6HU8bzbVUTAD6LjPdhl2FvOj6D7zn9dNGVXnRuYxIYt
qYv6ERlgrJsi8Usmzf6tmprjKpbEVzsrpbLSIZDeXqNye96qq1lIvPwpba7aj1LorxTIHudge/BR
ui99fdCCl/me3mA6t1J+3RoQlYoS8pUQgXoKs/yULe11tckiKPae+93OAdHesrrb8yyJyQyD4rpY
D+aINn+LRh9r7uD80jLtZez1IUYvFBva8CKzT5zpoYEYqnpO2zyqzPJgEJuwGibtnukj8saEGFVM
2Po1tztSrLN7VIftXGmr3m9i+VHKZV9PAOGAzjE88MXT51u+ssmt+WEqiu9C7hbx2XaomYSOfLfC
aqAVsWnuiwy4r2GbnbTI0m72WNI0N9fjkVmofEIIHeeZFQnrZE2P0nyDxAiVQyvs/FiNp7LsyFeZ
dohN2XNypPC5ai+TMMxIaBlrv/ySVQQTG49p4yS5hydeysfMnZ4xpCoA7hX0j+RgJBr02Kz116XN
2tBz16es9c/WxEDvFT6uiA2PwRZEi27vuln/Mjg83U2ID7axMTKdlqp447eh/7KN0YvNdrqu5Zs+
1PtsqqLBqyM5vXdkNB1HkjtKRwDaCLo1V/OVhIcQ4xsQnclY7YXrdgxG3Adjcy7svoxII7i569Vy
1W+QxgeUjYi1nNgf231KWogjvtbooSY1x7RpnQtoHLs5r/mz7Oe4N0f4t096e19lFhyyMg0rVceO
Pj0OJbXstAAPIyEJlpG4A8XC+U9KOXe2Ub2PpnpOIWfMagoniGXNkg9jWSd24TwNXhcZXXWsbO2A
1Oq6tvqPoHK+5qvBe/ARbEROdHE6bhTNyKPdvo2tPOMqb9vmRD51iLz3PGHNgDTJAaXsx9WdDr5I
n9Df/84zhz/LuBaRPRsG77eKN4hQ8tnGT8+UPwLZnvK//hrjrsl1CalO5IVm16Gb9yd/LWn2SN8D
n89Dc6zfQ6D/grGcQtphgqTC4BKkRZJv5RmxNegSiH9WPwZbnuisqIvS+l3tbAjshA7YNy/PKFe/
Bo7YCDsX3k1bLcCXzT/mrb0hn1/XGJFwtlvy6rZ4dOkaoFv0d2Cu4VTQK1JbaCtpvm5dAtn7IcSj
mItDn94dNNZzMf4wUmRsZHDEbrOFaDq/G37/kHtraM6TApNBmohNoo0KSl8jncXuViln+cIhSmmz
t16Mhm9a5ngK/Bb1v2eeTfQBz/CilwK/7ZEz3d7366sCd9psc3rsM+8jNegMpyznWbApe1tRJDb8
OtgH0gM9HZ5XKOIa0P2pHppbCYF39KtZsbqTrp1Kr05aQ3MBx/gmPTWXCc7zb0T2nFs/SBTWbop4
tFATF7i29cWp9XdZrY+iLM+l5zwY4BSpfVZatgENFb/GXPuyzSlSzcD9JVOsJDRz+Ei0y/xABIKd
zJVfnqRdL3HtLI+TcrSv1gg6zx8csAPvA2DFiiRjkmW/c3sXCwWfka2llxSg+qHoQXjqiWSMzq4u
HljRIcVUjetlbcaHsbeLa1GnZigCCMnCcpEVaNPR9O8tup316nVZfUQ96x7JqnOfNQkJ4UmAO0fT
r+maph+jolPGdZfiTY7dvHPWvHvixcDDTqTDheiW5ZwhhYkzLI8HtxrQhPhdn1QZSsmakxUGw8Wn
sZTEARjb1ZOYoDfJH03js1P5PrNAPOgNhIVRoVHKNVSFLmC60j6RSvpJlnft0dhIizHbn92YPRua
drB6rd2t5pcBRuaS2hiXTNmpRHJUPTJZ8rlMgds8SNpKdlY+Tt9zLQAiZEU2jqsH3MMoQpmFYza0
ZfhbPG9TfxusTSWr+6I5S3ekuYaDcVUyWrLf1v3Cy8xvdqPrMQrfOJit+iQwV+8r6Fq7YNkADg3X
RYgjgI6dwDKyK6/i67jk+g4HxRBqQf5eZVVIROslW6i2sFfvmeWzudpeKX6MekMWgTaXp1RsYFC1
44PxLV28InTCSQEupYrK2DP1u2BWBYOAa36vy7InYcHghXX7aqe1w6Nja1NCPhexBJ02Jk5Xjzta
7/jXLIVlgmvsRqH3p0U39d7pTKCvPD/Uvf8yW+bNIbIhslqnvyid0cB7Mwkv3m/ZSk96iQ5fa9fv
JnkunA5LcfadOY30wV8Pwt3sgzJUH2k9jRN7fWNO2n5nY2HEgSb1qHLlO9FAPyc3exJOrye5X3ME
mNXVWMtXqxiOQ7ZeQbSeNnryLKs5jI56geSODZurJN1+kInzjfRKDotuL3nsRVHtiY7duz4D/bJL
7cuyuDG1fkxJuKwGZ48CPCLYBG5ljuFeaaPJT1tNMEsr1b6CCOrX/to6cF9LfcsCFeEj7gfn0DTa
Q9t1+9RCxj+hFCcpKBqgG7S7i8M2ugeePaPDs2aXqKarxvuK0WY6kwWC4CnIef9zfTJulabdiYq5
RLrv6QPV6TLQI9xC6RHDu4/7g+QN2UxLPOatRnDvbDf4ifoNqeE2B1Vib0NHlc4wOYeMuMpIQ+FS
Rg6ZPKe+s7wz87H7XWiMjLmetudJQo/n2ajv227Ln8iS40rMzRY33lRr5GGl+t7NKnTzOAkItRqd
xBpMAwMiF1IT9Nt5ym3ti0FG1x47hnNQuTAuk2zLb2ux9V/adiCtQdsYj4ZiS5/tZsbQaLipF/p6
adkk6izTjcATcew7h2LzaunfpQ0yac8WmJg+FVOE0r85kBq1vpTbalxl4KjTYI/O79rI26gd5/EJ
uvjTmZH4h1Vfjg/+CIS7ZC2DTN3r2gOJX2KngERfdDXrR4tfnQh6HWcweR1xCcp8rAyvO9DO3Set
RhoTlVg4uWjdxs24OIDmc32SBBeJyOuhsDk/LOtgddaBSI7sNAXFhzkAwO6MUXfejQoSfpuMPB48
VT4G7kIOXwALpDijPeD0zk9f3Yn4Jxvz593Sg2xA4tLs12ZGqDFo50bMiNrKwHq3MON81NZQnZBb
zE0ELs+M2K3e5zYxCmu9gZXE9gbMi16trtShlx8yqPzjYjgLfsoZdgy6opt+blUH30grOOD6+A3f
k86BaMFvacq+4tz8UkDROwsWtgyXu3T9HbByrHTtRM89/GCx1HuepBYC/F/Tpn3w5fJm01s6r/OD
CZ3FqzQty5mBHRp6araI0qENzDX9ZtkzNcVo5OB6LtiuLrAGj2L1sWmo9sWf61eLcrQSwqGzcdfa
7Qv36ska/EQnLTBGaVElTlZ+1ZRhhK5mAJ94XdLrLb7Icng0VQW9oSC3HMDr4B5pXZbpFcnqtTPy
YzB88g6S2irmLgnc7K0FIu/qFJZCM5n89OHYtnl+gnYOQsxzNZROSQ5RZr9vs24majJ5+J4EaPe/
B4s7cQ9AI7hrUZzK1e5eTLPHar5s9stWFYrQMrhDd2bps0uDSrzSkOSlydetwlQgxF3Ylm1+NFbu
qSY+UxVetkvTqr31ktLIjpKw0M9EGuLc7ZKl006ZZ+/MDkOC8a3FxWp1I2yt3Kd6E3GjJF4N1ZHb
+Hi0pMvGCyhU6BK5hRoZC5K27JdVRL7h/G4wH/bBtBs1/yTKPNZlee2N987oqZkzpp9qcEo4ipHI
wUqXu6rg1TccnTCkdizu1kseAMvALM76pqZ4mdosRh2oYsU8yr2h1edmzE5gVA8Z1RynRlePXT7j
swa+31foi4ieyfcdkcHOYKcxHo98C9NmWJJqovs5hF9pdtwW3vXOH+43MysODvaPd11yRAy56yLW
E4O7s2vdeajA15N6qPpbbhVTYhhVEddp5p8HZfJRGCl0jplVVCbplX1AnpeftKJqXhdNCxJ87Pkj
OqoywkXkvVuVWveuLuV+TDvYoWVbgvfez7ZHd3Kn15L81mf8v+ZBd6Zxp2Q6FvcwNecderu65lNf
XqkHD54x8KCUaStyLgGOiBIt5/5o6EX9PnerfMmqpv5cvGr8PjFvnMZNaSfdzY1hhxxlfA0mT90U
2X8n+K8KvxeMEB61adrbjZxWkrfq4IG8sPFjdMz0Wcgy+4LdjItpGqhgwQ1e1C+KflCyFW2a+1An
o2FYoFxjUM7loGiCjEyz8V4c2Zs7vxHLA6Fk+nkzCnYxjxfV9WrjOYX0jdtCatfGzlZoXK9/SEXh
wLHdHaxRWSEDjcetdy9cAtt5s23WN+pXm3cyOBEAOOuKQ0naz7j+848l8CS2rHwd3rF00xJpb4tJ
KFe1HGVW2olfixb7W3nEWVYcl6yQYxigTvuyGNomWGiVE5vNKng0Exe1PwSRCff5BngM8O822WNg
TvlvZU+BEQ6ZLTCdt5vi1aIwbr85RA2aqWnsNuWxIlKPsJ5FkHFHBMI/Ecd2z1VskqYfMN7MzSXn
rS2C5Yg3LLIG0t3R2MViAZawR/el1uQj9+4QzhPTQuqkIU7qZ73O2WPo061SNhpj0eqIkTMPLQzD
P4N6ckNCI2MAIDyHS1n/WlUxPqBtORJYOSUNm3qi7pRbqvmJCMRHm5rV3vTy3RzYZH1zhhPw91Ti
0Qtpn2QME/j+kHBpq/kh6/qhc4jpVpqevUDJV6Hu0PM2oS9ijsB1hm15Olcz62X+ewMtwTQBdae/
qzw9BqpKZky0aB6IBMDSffJ1tIdjZZ3QeoIdY7MM62q+tCZB8ALjWMAWZlH4yVZ63yOffI/y8GCb
pwPhSEG8Tk/u9lo6W7gSJilAlHxbxK3KX/QCw/VmQX8zsR51rz04EuGSQtjN1md0V7P7NZo3TMjR
7BBhWZU1W3aHeFG4iCoWJGrg2cfcw9DhogYLzkW/s8y+4huCfxv07FdpNHglvV9oe6tX5FKka80y
8XpqqKk9tA+GOTB1m+xXouxubFZHHuVPjeiK0FKplmTDuKO549M1ie3aGOYF5lN+25/r1CR695GS
ERq54CZlOqFqbNkMxv6+pJUwhVg1Ea5vOv/5huK41LS3McP6W/cspkF3xlqnzrpwjR0a2v2QukEi
/WyJN1FPsajBC9FlhLrMdrZ/sapdVpZfe9e4ZaL7QQzbHBeKOzTTxBpVWurHZMvZe24hJF1VI6iu
r9Uuz0FT+rWzkrqt+0PPJ4Q2oR2e8IJjFh98jpY67IzhRbTLJVU+U6Zo32RG8kTnf6JomKIRnc7e
0MV1EodAec+K/ApcuduV1ki0qnWUl4gKUp004XoUNEz1GQl+A+F4VgfuEqzf00q/qCB1Hziz5yRr
hrNdTFtoyDZImrtnBtA3qpz8ogMIJW5ml5/ZVvISun37vrXIAubR2W33RVSXVZkQgvYgRvsUZEEM
qPGJ9UW/0JZ0UQM+UEEc8k01bnBdZmu5iUF6+7ntYpNE27ZLE1Uok1vJ+a27DZeMF1zxVxEN6T0H
smvfLDq4EptkzGjWRvQzXTWHy1TKUM87H2XE4lw0oKdny+LZZP2co7AcH6TY9m6RPdUNI741mW8E
5psJbvwHy8x4Xg29DUAzg2ARaHb1JHhbsldUM9U+aJR7pjSLAb7Jj8PW7vyUt1Tmy6NR1c5LDc5Y
+MgjsT/iCK5yb9+2vbcz27Xclw1lrMz1/hN1AD968s/MzT7xX/LGnXhFUMkn738GVQPAtZochSV3
Y5oVR1pII5PM+mjpGj1xtPaxTwNwRifIQp/QU0q8sIM2Y5+stn8OmICwga3fuKwMZv0CqfHiX5RA
DwK9VcazvsrHCe/ujdHgaozDGcWtFU+zbcX+XD6JQPNOQ5r9QoMlksndfrhOYSJnzPxnxHp89qIl
VEBySMpF7bJKtk8uik1mD1peMD9PpAWJzTx1Dj7dtQqyW6uZxQHdQbEjFxBsZm3aqMd4zcX1WLkp
QtzOfbOU2M8k6cem13WPXDz7pteDg7H5zm10CrQ7nMGeU94Mt35Gych5Zf2cOkLguZX4i6RrH/OK
CkL+PRE3Zf9KAalAesSJuhKtYrNUlIRSqv7Ncr8VJL7eskW3brk6Zmkbe+bTRPtBpX9q4HHPfuvc
Fx4fA7mEJmMTs59XcxV7f9ymlyYloHbzF3UrG0tLjFYcZbrpVydXaC1L/6vC9R8xe7314GIA7Ry8
CMBmvOpVho6lQ7C15vymS3cp8e/FWMNnZH+5OMP8E+V4w7KxnEoNSdvd7up7U2KSH9HIPtHd1k5E
zgdRumQmjdpaMaiAzqr+KIL0SN7hdcaHPcFZdChtzOKVIdiMJmkeejw+ieOMSbmxIIO/vkMPIiMd
cvoqa+8etKKMUAzTXnLmihIrfIp2GxFjGln1QY6AJJ0LY/Ehety6Dq1FZ/KaVJwWykZWFeQgCIxd
7TgMV65LpMrTyj1Ydr/xHsRLK/qk8PUcqmRDvY5Yn80PAdWJzF04Ccej62Osf5iZdxZ9cwGys45C
Eea6Zvp5Uq4kJRN1Goz+odRrLyRna0KB0VUxrAUxOGowfvk6kqvZVJfq/ti1mq/EGvrTVFRjYqxr
MpkWz1J+D4wUhaqWLmnUOPNl9nnJi9Q7QdTIXe3bU2xJMzvVxvBDVd7wUqbuL8r54imzTwooGWGv
tptUzo1E3mqkSsUl2YwkceLHHL5TXfUpuh5XcTBZL50/v/AaPKraJe7Xyn4x/ZiXLhiRQLnOeXG0
MxKVOtIpIGARmouksTrM4gt5lCj+YqMkIktp8zHraKs3NxZKemauolwe2Rpubpa9azh9htqu986W
oWEqzVOdIVKTPbNAVecXs5xPd2V7pJkBwhJG2xDkU+EPsDiqnAT3Oy0Zc4Cu85qrk1cfPPHSiOvY
yRtrawxJvkNu7XL3u+g2+5FzsY4aT/NIWmjNuGYbBkPc+Z282np+m2zjSWngm7kUySg3ck+c4GZ5
6FQ34o53QfULB5SDqjJssYlF7VIj+S+Gg6WPj8tYkrFTZ0dHkc8i+5Oc2zWyzfVBCYijXv8JdcxJ
XxTOvi8ICi75H9w8LAQhCcPU1TpIgiqLdjzvmy7134zaB48mXbgitSMd9Tnoywtr1Q3/2s/GLqyL
P9gBlRd1l5iZM99WLTvLlY2u87Z3RL06trmWi/uh1qqnIBtDoMOIoMeTZq2HZiR5eQuGvbsEJ/q2
g5jHjz5jboioWJ8m4kApBrnM+utdWjs1eVTW876+qwqdKktqOTzzZw0ZlOoonRiShjR4XO+kYxdw
MmPVz2opbna7ndVqxh5/zSwDIGs2bg0iAH6aeXY1UIOFMP0AwlV7zJzgnVw3shZgIT2px3726N5B
ekN7x8rkJvpa3iZaNgkV5uMndWC7YaRBbW21aSyU5xzBWD7w8T21pGZEyxIcGzJGVbYnOxkVCoq/
2gm+WvyTincapzqsp/o5kWfo9XosnV3lPgRBvcvcfIfx6doj73T7fFexNSIEpLToa2UaS1S732dU
sRl3m9vNydYklNESBXx1G+1qL+oENRz5unZQk3crivTcpn7PVVyWjIBIuDAIJBLs7dlt+fDt1vTj
vO+B41xE+OimnwM43pd+WJznzsO5r1mZ8WLhMs4hETMcEwBY7Zll+WQ3PgorQsUJU2C/W21njoki
eyrZP0CsEemb/aiFxkZS/T3HuDf8X8QWszZB34aNuVVx1eZc3DhHwrKXkStqI0JjG04dkVDNfQnq
SAI+9ujvg0ndCAtjotLXgDmQ6Pq01Z6Ekietyp5kiZjQt2+5VgkCa2qSXgkgsYPxTIBljoZfm3eL
n71j8LitUhyNTFZkei1eApxHnDvAUkR/ycTzWc41mOJr2fa/aWEgGtVj7yw3foA2B88eJ2BctCOg
V1ORE2bZ3Vkzx8PdQ4OD5UuNTNdnU3maBrt8QpwMkxZo/E4d+uYHM9AuZGPvajHett7EuI2Atdj2
4/qD9Iqb7nxp2vSgCGt0aLpnLocTrhBjDBhG1uaLj9DIRLMfiJ/DmO8Y6w+jLzhZOLqORVnuGjXt
cR7vyGYOe9zLyqajtMScZMiw6fR4di4liRReex6bLs7tF6S6N4vjPMv7h8LU4mVkA7Nm0vg3zf4a
WM2QqEHY0aiE+aaRhRxZbsYuM8/ElESb4rfTA3NXuC95tkZCvtnVuksd8ZDbZFTIYznF1XKh5mZv
Zz8C1nCFPaBnGtBW0ruQczrVb7O737YLvxVpyKL4IKloZ40/cnunW91HVcrPdNUe9fkuM7AwruTR
hpWow8Uvx0slzEgvPpuccG3WzZJjuB93pTskI2ZHDHZh5X6t64rjYioIhgowNhQnj4T1ztMJPnOK
9KXrkdKmBkjevTknclWlHzfCiPIw7Vz9S0nPzbPMhv6xqQEIiUWejgP+oj2qDjMyLVl814PU3jeK
N1pTnEORHGY0+MSDYCsHWoCHLHT/LPyUEOVm5Vf9L+rOYzl2JVuy/9JzlAEB3db9BonUglpPYCQP
CQ0EdAS+vlfe26K6zN6ghm94rYrHyEwgxHb35ZoqSCnH/hjb9bwbJldumqp2XupMcHlTPUt9Lpgv
hp1TbFQqb528tt5dnzfYlXpgkFsmvz0suINZsERT4Ao02xomzXk1VZsuD+SDKmMvWsr8tkysYFWA
O7om6gN9VP41PSn6u4LjwJPiUB8lNSwSq0fYc9/aEIh/1TzmnfEMVIWDdli+x1puZGOigpUsoo0Y
73uTjE3avaCcNzt6qkguQONYVVwTwEFFMDIJoPA4H/EBt+siLr9F7t0h3r2IyTmQLvsl18sVQ8K7
6krGhNzkR+9hCIIjiJJxJ5ULvJTZrhnbt2bG29KHYbKRKGEyfmOVz9YF0OxM2uuK+8vkIgviR1Yr
sgA7Z073ElXDEc18LRa417O6iqXVXTcP+yW0b5LSAYdF+kq4DySKj7k9nJey2+Xu3DEjmAu+ysXY
J0V+Vzaez7kweVRmfqzs4c1hd13pbmEHd1J3L0tjy7x0hmOVPrbKvqvMdA3276Ia245mhf44IttY
xQW/tcmUcPxyi9/OGo3I5HAfcUvFS8LI1y4UkKvR/x0gCPJxsrUlpFJoVFjTH3RlG3E4LaGNp0Z6
49jjfTAMiDBLvLNV8TGG2OFlIn/GOP2yzYbjtZcdOyXqHZG7fZyQUJlTta8Na2c77dZfEupjkIFi
UhnYy055HL5wMLyxLQOyX5fdKTPkvKlviBfTK+oq/GHVObfZThs74O2jp8/zr2sy5YNenFJ3gJm9
7pmQwKUgHBEXb3Lxd0E6HS1HXQVGElp1uDbB5eyky5UlHj60rG7zuGfvD9JHMyUjg6kenTJ+GO0l
IgP6Adfq4Azj7VDnW7g9UZzKXyB95jYh+pTRMD33VCUY/qbDurd24H8HdWDvfV3r7VApe7PkIoxS
x2G7Lp0bxUlxqOy7qeoPXl51EZfJT0x2ARQ948MarxTH3vrNLY3POw+IiczkJ4LxLlXWbRyqG2Em
twR01l4/vAmjv60nEFW+fvDDr3DcZqUJok3ApRwK6O6QlMDir0vICAN3n8Kc9mWe/bjIo2RxWot3
0pwSQuccNaxLiWAN/SIKKnHIGa4pq3zQ42PgH3Qm9kFd3avqURTGehi8qx/ATZDN3C7iksq1LS4O
SahOrfaLTUoiiTihiw5TZyd/6ctNa8W3OU5wdD+mVmAKkJW42TJR5nBrDr3aytbf5X7YRQTfif6U
GM0Ji0RJ5f0xluqMDeTRHbONsVgVjEZAduaVPk+0k1QjHHbF3HxiT4usZHgrpT6WvvMn6aDehdYD
Utvaz4MLM44j11W9sjU6J/fLFfGXJkroytnZLezGusHMTooy7Ek/5J21JiEldrUlGLAbUJCQHa7m
FdwKbTOdx8D84+TjKnDs51ZWXzhnTzqcfsay/WMY8c4c42TtYSuIxNh9D0F+b7h0MLC3PgQup+3J
O2RyxmuVnMO8R5YqIzXmKHy/pjFMEKd/+iJ47lRxQxDnOvGqxE1XtudhGG7TeTGjqptwNIRVFDas
o+PSnJqUEWRzRZLJvHzjkHsw247CyfRt7mN7x83xpGbrRU/tb42wS71FZTD+Np5MXm2LAdRu0T+L
Syi0aFglExFEY+B9Mj5usSU54yZL2zv24qMI9F0QpBEHjN3VpeGXpDayCg5qlWr+xALYEt+oq8U5
r6tbRnY+yH9gVOEsz0aFhSktoICllv7NRnSsjpPqMAcjZSUotWUv14mRnLteQopiYrbqxaCRNuAw
+iMTPPiah6CdzJWHU4ZHWUGMr5pocpjcYlCxttILbyGImWdocsCcwqp67r0yaoTxtQwDzqj0aTT8
nQUmLwJiSnarCNJTlmo+PolKlgi74Xm0TjXCQ0S+rYmGTjLv5l1lezB2Eo/PrvMmJ4pF9uvm4aN2
RobTuWBuV+3ChJCuN64D51xLJBgIrwZDvWztT91H3amzwz0h3UpHxytHYtHw3JdwgKqYmi5Tjn7a
6Ikkqq7TT6PLn13lpKdawb0FYul+0eXw65Fqn1PrcybNzcVavosMHJ9WYM9EclWlvoZevDfYIF2U
1HxwI4N3AVdRywr3toTYJuaSQxTJwnOsWowN2QGE/R1f18kI8aQhKd3lxNilydMk0CQg7q1Kco06
vR37S5jeqOEl83NnTejokAt5JL20b9vpgUwTXVCSV8u14id38DBLXGNP2sLWGM5Hz1Zvbt56N6aC
BIai+7hITQtEdbLUdDNk/lMr+AhtsaVchMBzwamv8owdFKW1kdjvcXMPtXCNYLdsDRvQXDuiZ1Xp
Q8tsmpHcyqE4gpzNYUjUa+KVlMik9m6Y80eqib4nnIex/2NzbOgRfWfXRv9wj2LYGdSTFAftStwL
qLBFebm+FnmzpcIiSvLnUYzbcHzImAfMmwKyXMe91kTkoOiNZpGtrfEcamZGQ5WJY+2O5jGYi3OK
/94IzM1zGkbWrXtV3KuakfN9S8z9KWvT+KEz+UMxpZpHoYfsxy/qZV8RCfop/LLYlPRvPC74IH/t
NGCHEcPWKtiJqjlLb7LKnfUaW7eD9KqH1wKn1g2G2mpH/InOgWXMT9oYggPgWXsbpHV/1hyBzpVb
pF9xncJGIDSwsuPO4+qkiPHHZrc3IICvZjTSt9lLPsmWXjo3//RJuG3E0PRoLQNCj+GLDb5AeZ7S
pbuUpEpvfLsyCUtOL33Nx2gSKW02tlG/+LJwEcvFaB+tMkgQNIs/XdJFrLkbEJ1bgNBrNXokhazb
pk9faU3AzOa99BkeU6gNGPq5GPu1EGujZn2zEduf2twz7seQwaf92XCwiGTmr4rRvOSyuGsLd5WM
8Z6yp2zPHMnYoTBXm9ZZ7H02DXdt5j9gZMseZk+uoVrgnxK1OnZ4pteq7FNavsYbMv5vWTacGvGd
j2aUTdxAUGagxc8D+nxe7Aqd0IBF2M7M3gLzQkPAaprPFrgGH80l8e4af9ojkq/oS1n71o8xoy2m
xj4fjbW22w87/1qodc2zF97biHkwwehk+aCMW29Hau+dpDdwjPRYagK9fNp+fLqynIiENV4UI7hz
WvSPBdlzJiU3SS4PrkDE1QnGQZG9dmFMf1But6wqyXrJaTJQHJvyGnuWcdeQpexY+ES2dsSB6rO7
1nembZCNG7s047cCn+PWhpa7og1LQSpeK4Biab2bZHa6Js7y6zBJ5TWJU0q2D7oPueEq8pvd9FiO
4TmegnCVDCTpliBTB7Hkyab0u/eu8j+HmBGw6IqvGMLOC7PBdGsvISd/mQLTm83tVF+VAJxshST7
PxETXId+sLGK66mlA1EAExrvsPL8VQl1tHPTS1Is20lZr8vQnfoBm27t7jKdYFjOwz+hYJFkwGK8
+5ayIp26ySX3SKtDHj4ZzbybSvivhLi4GRfQk3I1cdIS84pymXjlh/GflPTqOGB5NcLpQofg2R9+
st7EquNwSHJcDUxRlZ9surw8M364Rr3VS7OhJw01m00dsZxitbCRq6nlaFZZ337+3Unyywz7LrPP
DWDkP1zMowTVx/tSdkMkzZ6Za1nmLCWQRzJbpjd461asziFahM9sdGw2SZg86SFpNgEh1Z+qk/Xa
ZOK2Tix5xABw6TLzBY0b7K9Tzpiv3UpvirKv+C0Qav/9wMXtf7EohfCIOfznWYqPz+rr/49S/PUD
f2cpbPsfvhkEbuAEIAX/OUshyFLQzAhfkF4MFk2LWM3/pvIbwT+ET1qJ/53/g2th0fi/YQqDdAZO
MWGZELAYul2xhv/xP77Vf09+mru/M5r9v/z3P/P6LPfKM2TR0niwDn/+539zr4UA1yiF58MzM8kP
/kuagmSUMRrspcgU8RASGgSdfAwFxlzotVmN7SMNGEijIHrc7ztLvbZDjOV+NWdWMhvrjIfzj7Jz
PezyoIbXC5vP5C0apiz4cQFkZHBKq6RKbyDVFsBfPRgvL1kIb7hcM3hXhyXPPetDhKoo7yrXGLot
NFKDuGumTXqeCjs5hAazN7LBjFkuSYZ2tXYgjIybapzfHFlzq1qYngdkRcuq5VRV0UwZdQL/z8RE
H0T2OpGh2eFJhkUAnGDuVbWq6J9s72O8xbjE8DUb1cZsvSTAOtyM3t5P/bq4isqcgO02+WgWgR1R
oHVmw5Q+LTSUnVLX7B9VFwwYODP11valPOqwDvjF+vGx6xe5JYLy7lx3hgo0Z8m2vRbamk8zHy6d
SrTxcN5sP32Tj9h3zeUQh1W5z9q5uzrC8otpjrdGRoS4FFiU/AoggRWmPfqRQq+Z5vHU90W9JiL/
zglhimLJWKeuev9OVGa8YQzzVXsl+o7Zjvta+e5Gp/brtVjrRFpnOqaOWf+myh2OMT7FXdFNJjQa
0ultD1S2YZ60Slt/eHOrK8tk0NdzD2OANiqdQUKHdefGGW5xVBXgbfGRtddYcJDbxbPyJFtV4SMl
jqsOyk13b/TLEr7PTFz6U1j0/Aie9FxwACCkE6pwxR/fOUw2gPDmY2R3yXSbT1h2cYWdHNMToI2K
qi1vXN3cIS7GySbwRnRmAv4dpWFjAW4Ak7xYWWRCcOXUrfAATiMg9mp4Kig2A4aCCd8MSG9j1udY
73dUulcFkzWkuTqcWijRf0mOTu1Mxibo2KkeskyU3tYzwvHS5wYGrFjM94tDJUOkp6C1H9O046Y5
ugSJJ7glDhbFIYuPzGgRY/qkbbIjX3jhny2qGVMzxRHPCXUsjniAQFbOdvfRlzwyjVe7PmdVNSe7
knup3MfVIvdlUN+LBVd8l8qBixjjtoKs1UvhLD2uRm3dQWyLVyQ796ENcAS6rVWdqsCgxwAHV792
G7tuufJnHB4An4OBtlXdf/eBbaJsFmmfs1/GO3hVOc7hyV/AZJWMpYnQFF54CBi2iTsPVR4jmcVk
gPdgOTtUadhC3rSMGXdOPvzY/XVwagY2BvDWfjX455q3Plja5iT7IvfXBt6Go0E9U/2VtDlnzLF0
MC74NGx4qG4UTJ5Kn5jqOvNLlPx4cOf8eyqLIozM0b8xmsaAFTNPrmggoKGhOVSKoEq4zgdliWm2
brT/nTXiUEy9PLNAWT4QxJ7vNAVmFUYyabEv46xzXx1Fcp2/s97OnAy/Jl2TbFnNU4cHbdC2+sNa
IP1VRydbQMgFAfO6rwYe1gDFcCKZxFwxdrCn/piFWZvzTIB4TyGZd19TCdJlxSDVaDfQhRCtQ+xU
7ormMReh2gzicG+0U5pvug7z/XRliyWh554H0uKEHXy1cXXVXHzPZ+qYZPkOMsPyrh0ixLvBgzbo
T725Nu2EQUMZRqM9Ipe0jnlIjbFKOGguz9osb40GWYNjQb8TBXka4jc/dPVerRna2IrYwJacDza0
k9Q5Om1mfAdjRqKJ3FqGtOIBgLGcUbfbzlocaCIYrrdMOn6KpAjXFlydDzTk196Y3G1W+cxW2qbZ
tgBcTpTjkR9CUwwLFzHAdv/MtFBQSwK9Eumz3fBoOK+zid0MDW/BRJFCm/iLuDE1KqlXtjMVZ2wN
NDbGY78va/MnzJr0gfU2PocBwZg2VkyrEu0RaQpMWie8yju48GRWg/SWDzg+zdYw/eXD8XwauPM4
zs95iXZDwrW4DwBhH3O85LTR/aoW9WPlB3Fw9OCWnCt83cdZjcO2iV3xgMd/fGs9zoGstMEh45h5
DCYZP9sK7c9lGWypoXGIxep+vs3YYrqNnC18+LVAQp7+EtnqcBOKbL5jbJDfa6fdOUFcbX2rtXEy
Z/W+MFuEGLDfKwmKBJuBx4c44djnN/G9s5qGEy560odzj3mhMty1DVjbwXfu/gapenDd2jnk8jp8
yOMzaJD1GE98Fk0DCVx8SmuMLK+/M6rRg62iiRnU5qPormir/L5S7SkJ7Mj3mbiBPp85+NvYgqVk
FGMjJXUj4HEOkfiZKRw26VYeRJOQcuB62jn6QWjWeF14685BuEtN/+BYS7/h83deQmfmn6KVJdKz
E+5STLcXFQcmkgjhOCwb8dFTlBIkjpF8YYcbj8uC09qlAWyd0vN7sUpr7xOyoJ8UTF3p6u9kSuZ7
CisPXZY+dT3j0dogEEH1tJbN/EQNoijZ0a8kmiRdCAeMv83U3BckzWIqeygD+OjxRSZ5euw5chfp
qFa5CrjEpK/YjAixmXhrrKMviE4O+LHhlHMloIwEpTx/wAbHZG6+xr/yDaYxrn5j8yJmd5+Ssnd7
g34ct82PFN2cgAvoA5XviHBZX+udaHDoZdJi8q+rLX6JO8hO/C3I6Y1truGZsvN23btn9ygiavLW
LiEhLOkakFDmpQXrkmM+pEUcPhVhSyPIlOm30miTl6C9qhy202uacSWTaOYXV81Twpy3t6HEA3hY
ssloaTNKmd13TL4+hb3cyhqxxwPqBym+w0M09fTmjguvYZ136TeIPxRPOE3mcLGuhoN2HKXAnlKW
UVrpYpsRJWaxLswT9ZvVazAHeh3Cu7oKEhWtBS0ZGG/HG0S5JRWvh0BDZDHysbrtlxG5GSDaiCbT
LO9dLaC8dZpsYQdYZ+s0oXFv1Kwuq96asS4Ryqy8HZl49TlpHVTGambeXXKBtUSL7b3m1kaPtH3h
mjv5r1NybdZFhcrrTTb1yZ0pGJIuvfD2f9XcjkwvrrqktlCGNCPmVSqnnOQryL6VQ97t0NvWchdi
Nr+REJDWU2EXAEiKNpoSgppq5EsXFcXL0Ar1Giuwsxnm7OoWGMyLSB0b50YOJd6ZxheIQ+X9rIv7
TgJ0LBKSsNrm2V047e8mgTfWndzuol1GSYZ6JwfEg8ERPHKa4pYjIMPBsQU0bCeFyyRiqLdg5h6T
nlHzgIczCvLuxfQUft8wPAtzSXdMB6tN3zjmup795JZTC0EAv76Ze0KxCS901DTmnppbPv14+Uk8
47P0rfTIZCoho5rtdQeSwcvnTzfIwdpR8bSZzWU4qIaxeCzYOGmumusnvtbpHXpGfzaS8Fs5S7vF
BVHsm959lUbf3XAFsg/z6CKzevUjtmy2MO3rdFPIvts4DatrZMihzFYLYX+SZEt6xiKGHoAQSdG1
muw7CmqWx5mab6pzbXutRXApLU1ywlPJYWLyROOk1k/IffWrFVNRMGOpviYB5JqxRLhVuXY3hHvZ
XMPhzzza91mj5FsFXznyK/PDHqwg8mazugcOIzdUfCMQo9Ocm2Ax31yQy2nScPbDKfkG5NhEokyC
h0XVj5TvVG9DNv4xlHkgJcj8u8v1u9lTHwJac18mlfPVFH1zdA05Pgyj1W3qLk6+5OD7X43tjrcd
YtAzKSgUBiv2c04qsftYM4mNEq8ZHkdzKU+GUhSc4LUef11t6K1rVNOusMx+Zww+e5rojZ0nWv9D
i2y8LVvcK4l3DX42WWtsbKd80i6/Nvq9ejSn+UBkQuxM6VjfpRng1A6E8Y41vP7oaTqggjGwNqCg
cZlIM4x64VS3ZaDNdyQ3sTW9sluLoH6dbAVumjIIjv2ornPqU5We6A3gye4wOggj0hfwv9AEo8Zf
liPuvma39Fa2a6dMZStzFPgqy7CLT8BHp50cxuo+HAdC3sEYibKrgFw05nJXeFeN0xkzwgRG8bwU
6QRWDGI1L+pDKov+qE2AWmCH7lOSKOsmHbBy5eQnZzhTJ2iMULmmZTNlRosHmkbUMZdvWWda90PX
PNlm1Z6UnVzQlq4mJHLVAXfNvY2h4ZbMl4vQK9XVfRJ+un3K+xaM74Gj0rvKSryTXCzxaCE8oUl1
NI47tljjDe2gs+nnuAmPBQ04+7xJ7YecI9I2MZAyc0uVJG4xUaiyowMH00+21nWsnybEB1yCIyNT
+hs1ASeHC59mo/mT17S5crTN7vAZpw9c07ldxn7Y3+DiJL2vBF42mzmQG6TJqaV45lzD+TpmLf1k
XGEqLOMOdw5tSFYQZ7ljpDidDHfOzqPVPky2KaJhpoQzoPUGmknl3hRtmVwCLEb0e4wF+6OVkp0F
DajtLNy3uufTmMkwZ2Lot3khcY1czz/ZDO/JEfKbQA1vaGutsyK0iQia0LBiXs/DPLOnCtkyJO/6
l1xBFIfrxD10mCV3b0mzTOlggqszFUaoHT9AUt9yMxXPS4rHvm4dJClLqy++L/cIteF6Uc7eei79
bzzOh5je0MhfGCHmlQP2aZokc3nAlQcHJQzLHEG/dR4SkeQ6GAPXIvaXRbaJH8RNyT6FsbKPTkGb
HfSTqxybn5MpCHakDy6OMB+EwK2bm0Z2M6bBc5NNa8tswoMMg4utCU6rNtD0gtGGq+vwPoxdRv30
Lm2WNvtkTlKx6+N58nThnHDr7seaAGLeYtFPyo+potKeCHrf305m+GKUGdVZVuoDsqrLUxzGUkeY
a8u5/Gb+mOxTdxgvgCu9vWBY8AHlDTodxdJrRbeaocOThPz5aHh59jVdd+fBVpvRkMUjcc5z6fny
HFtGcW2Or55arIMMjvqXfgzn25F9AKADdl3uB5+BJHNp1d91n9afs+rpDdIFWU4bBt++SaQXwTUi
IGEUVM+IJThiB94gMhmvxOTBQwTC+8wtz31Ts2PuDNGeyylVTDNDehbFYmN/ju1uPw+TtecS/gGG
bQQSPrx5jvrDIxLzWtjNreyFsSMbYp6zujn7jp1sILblW2JBzq8TO/OTx1BnFV7zASP5HsTBpFst
I5H3JCvUfjDs76kq0Z+CqgcA0dJvRjlO9XwloLNup91d3svhwJXNW7PxGmtMb91KSkGjAF7qY8kU
ZWPAJwZ3Vw5br3KtyGxMY+06LRwQyIwrGVrtM1hd8qCE1FZlPS/3wnHKoywEN2Dzd6HyehtaZkJU
iveBtJrRP0q9/Mlj0THYp9+or83uQqkTe2UA/Vs1ooYljPXBt+1+h5DXYcyf1Emg3e2SloYkLzjP
2kcq4fClnaq/kY2sDkPZOWeYokjsdYm/DSON/1HTOMLRMP1VgCsoFKQGE8B9fR6IM2/8OPTPDX9c
FEi9gUz3Qokb3VHdkq5kteQYQ0KfTdeudkVfq0/86nAhyGDt3Qb/RVstb2B2F/Sv0T9nS44S2wgH
7EeMzaQynPsS9Y+3h14B5Pnq0qS9t7a5/h7rIROPWW02216YAyOF673OxnWK7MydsJUGufQscLhX
s8b73DOIlfn3raTiqMFzAX8AELOmGR2rXm0crCG0ImKkv0ygECtdFD9E7RUWCGdlUqq58tNa3RMr
smC8xr9iykMUXtvbV8If9sLKTQ7+LUbPsLvzBHxhXJxmNHsZ8aigr44z56ebMBjQBHSfC6AFjDsO
M4PGtcNEMzLnoY14f/Bnq3q8N7wC8bAi9wCQGu9gVfaY0gJOR/EcxoAhcetOxKMiXGHPbNCkbwwA
XXhT4AnEktChR2lilxof7HjGRgACOVGwjGlUzPa2yt1bXVcHmQb5ySK/vusaYMDY4zg7sj5wt8d0
sNbOXG+CIsj2uWKyhKMGEw4uS6RkaW0w//Wbyu2fm0S9aEo8I8aL4oOwwBfmo1tRUfdV0S/5QsVw
f322+oOwMnilprhVC3bVwnN+THbZaMBRuZnJO2+l4Q9MfLQCEzO3R0GU70xwm40VCuNdgdJGZdS0
6xM1H5ZEEWQbNBNEJ/0kKRbbsBfqIT4JnUIdnto+bXaFB/35LHCePFIE67pbvObjchcj08OFgZZQ
I6yLBPSiIBl3xQaghds0lEVebJvYAynji5mbhVP60vp2jkEoTpOVDvO8flM9TmTaOBUtktKrgrd5
6Ru0RIa4r6U1y6ds4nnDTicNdRjFtUK2SyTGvTxU3AmD1DIxT/VkwtksSyPhXhnMetr6lWTJ682S
W8qs80dknAT9b2Bcd0/G8+r86jAksOnZdgWMw1aDuB8mkwt3DhhgWVthPMqLPXdCHFurDbk2hoOV
nqR2bdKgVlc0axZNazkauSem9Zzosjs6M+/Sakm9Sp0rzxzt1WLE4nbIferkAD2WDL/Mtl6rfmBe
mjFaxhpHX6vfZ3pP1O+pQjLeTtrjmFZd4tF/Lq2YChdqSsHklN1DnbjH1rG+YgGeqCitYTPhkF6Z
yv8zDdYCfSWdocRW+c4zFWo8dl/9avWadpOcUQeNrWoLyQnShigqSDjQKS4YYMwEq3y2YDSK8Q0P
aypb8xcVt91wL/qx5nnooLmHFYNkwCRT/ZAxQCK4RMdJ9Vh3szyZDISiomds2XdJ9UpbCy7zapbj
ZZYLskRq7YVhtVGfFhPK42Js2DqbFzVNr2VTPVWtH392QeE8jCBYH6SFQY6A01kJjohwPup33OOc
LQb3USWSawGLZMqihFehHYkMVEMqD9dQDuNORuYvSx/7B1sG7hZvRfcmQA7/2nHd7nysGpiQpEfm
u4nxmQ56k0ClWNlTAgwD7vhhJvPwG3ajoSO66ShA8d2mty6BQivE0T5bf5Qg37ReFunqT9gpldhX
2VSSpXaYFuwp5EsxgGNPz1+yrA8rahcbRZUerh86+BLZdvZJidzNNh4mjZZWRLIBjHsRfrgiew1D
3BpOHPjniV76MGNBWNUKNtC2aOBk4cFqxvqpcFz8SQMWT3ZVvQHYPiq9HsjSLO0+oXQBEEWU0Et5
Dtr5EykoplqS72YL2ijFlR8vG1Kkrypt7hhNHxNNuESQFl75uulIFDGprUwihJiVKPqRNTVTszaP
aBQZMYss4NTp4mL1as/d2vTNMVfBNy1ow4zGJLiEk5nfoHdgGk6pqem629J3IXhPqtoJqgi26J/e
3mwUFcnu2GCmalQ05QH6Nau75UaeNbWHGIYgMJe+EqfaXOQHtE1Y9lPsn1vCXvQl2vNH2uL1VoxI
MdbhzXp20SXOYHYabINhsA9odDqOqU18cJZDJ/l+aFQnR8RuL9MEV13JI4OL2bGrjZ+a5B1FbcIq
j4sH+I8fSxJbjwgD58qyDjPAl3HrqnT+peFX7SxsUrwRZUHsQtabSXhxVPZwc6Mq0yJi/5S3E8T7
kiCU4awkk6qtPw0283gHVOVKMPJ5XfrQxfZkMMZVHG/fPXok+oYZc9kN3lnaUKR4mnK855xhcknw
f1ALIWsZ3OLbCtc5cdstJ/TwkFPEeyQ8DB4mqcR92tg3Xoj7ohv0Lpiym7bo9530whOUirFjP8rb
2zAAauagDgAEIaLTFVS6UnQhqeQjd72pr0FYgy36yfDjG9QONkUu0/etz1NpMgR8sJ384rXZFmTw
tc1510GirJA063ewNNeuZP/TlcypnSsYBphG8mDp1NszBUjvSz9vNuHkCFIhgultyi8dhs1Gi7D4
Iv506MPps5YE3jVpPt/27HnFNCAeiCZKU32z3lavE4UzvI1tvPVMfesYPfwdfwio12VCsO7sgimS
bVrzfpSd+3ilJFm4Y2hAFrMF6CJXM621hXhiKvuD5ea5ck3kL967Mzq92vvJvEB+oqfiGlAH75Hc
JZLvkCAUZ4XSHbvDhI/00Cq0Jkpeu3XZwsMCcEWlNe7Pm9GCpm9Zsjopo503qcP6zAsdGI9l0LSP
01Q8ZBWH2Li5+j/QNlepVVhrQ4rlkJQuZZYYswmW+K91bpskAwOKGue5ulSG4BIYd/SXOf0Xlkvu
rGNy418/1M7qfNqju3xNH7ReZ5zmZGW8dZ6w91M8cnzLm5eUEFZUUCHBLXn+nHNroQmakzvFnUCo
PZaQU23X1SUZpLcmkfpd+y4ijW+bT3XAXmAX08VzU+5aVrUc7CTe8gcyjvbAujEqu6nNgtlxrTee
mo0PH4b1SrJoHdXkQrIBClSTGk/Tp8lhFzvBFZ+6G91zTEpWtD16p4ppf/zRdVPsbrrQj61TMbT5
aposh33XBi41z4naGco+mTOll9jBOO22zuwdvbgi1IfwQds0ib/Z2xd6boY1N8K0xS9qeidxrd59
+vfdF5fsm5KN5nf41wJIPATf6D5dlqTDf/yX82hcabr/uUfjuRuT8VNDuOTiMOir8UFcf+Jvkwb4
NTwVAHM9rp7iaqkAaPw38dJwg3/gxLjCLk3Bj3AF/X82Ddv8h/lXtZRHU+KVegk59f9URdrOP/iZ
IMCr8fc/+m/ZNGBx/pNHw3P+F2VnsiU3cmXbX6n15tAyM3SGwZs4vI/Go48gJ1jBCBJ93+Pr30ZW
viqSUmWWBqKklRLdHY2Z3XvP2cd2ee0F83jyKBF+OL/RUEunGyxrNBQGjkJ8aTMbagXRyE+cTaPm
b8Cy69/133qQPz8L1qvJL3bJO1y/y09MXtJnYzMGl7BzSZ3BJOHEd4NyGYGkVn9gdtw/pkkJaqVB
vfrTPflTnPKzGOVXUO+fn8xnSqU9AKLqt6BKPZl1jlPN3KXMy4lUBbJT5ebffMi/vJQmv09r8tOU
8xvNNrf6zkxLPiS29WOrcYsHww1Uvb/+KXL9rv90FX/6mN/umBzKdq48PmZs2Np6GsWbsW6Mp8oy
gFRh2e8P5cQ2u4kyhHJ2lr7Gy3wfTX34N3F1f1CH//mbWBYSJIvRpsuz/fP9HKlU4FZwP0df+Oa2
9csbw48P+LkOkj9l4497PG4bAgZ8eq735Kz4+bfEb89EMp/03zxd//Ier+Fif36b9Z//9HQVhYgd
y8jM3TCGJV4nDP7TZP2b99hdad6ei4zbVQS/6d+g4ZY1YwbrC3PnqMreGyrLbvG6mZvInMrjX9/o
33+P65hkQcp1cI+Gi7i+X3+PZbacZbpk2TETZTiYKu5oB9rqrz/F/CMg8+e7yOe4BPQhz4LtzSlg
VXH9dN1EbywVyfLLLm0mSGGWMZNcpMoez5oVRUFxsDAyA/iJTeubqQBBbTjtmdVXjK846jdIDrrh
hLY7mFDscLjZTDoKKiIf8im9T4eaHHasp8K6EDiRhj6aARn7jRcVaGWslhPvrJTbXjWQiXB8t4Sg
kzBTOSX5BKuE3JqRG2zKhFR33zUyJjPsjiuvkFawn8blfAub/54k9Ws8ZOEKCxMxJ7e0dv3WCye5
H4FnW1uE/vOzi4LW8ZuhthjIWkaHGmr9Ewk29coxaqYKIIRaw9CasWaQqOuauA0DF89LUPdBcEEN
EXqH3mO0j53RHoyNYmCQfOTFQj5KT1fmC3trgHo2q0S6Y9AiO7rclfGipXbKbeTRBGlAZySHjnNh
g5lRh+1+WSDP0rdqyGkyXDwrUxIZ4aaSudwTLq7pBESB+TZFcoxJ5ouZkuXkhB7DxTBussUtU0Lg
Ov1pMXSSFy8LIfB5XdgpkBcB7dMoo3+yQxxu3MQW9M3DqNth3o0kfn56Ipng56GR0lehMfN7PXcm
zxx8Cny+FI/ku5lw8t0RZbPMe7rluH0oYtDCVU1d7PKxLUj6CUJ5pxpFBIjjzPquLtoCoo7p3jdw
Xr6Rj0hzMMu67IF+iBywEXgdje/UxOMXzM4ybE1MkqjFzKbfAvzy0HVNeY4NwIrGpxSZIVp+B/sq
tBuSYDkp1hzXh0plH+yfiI9HyqYvTDLxd7eRip7yEEf3hl3U+jAAZdyGVm4EHOizsKaqi2Z3V7lh
SJRFF2ZfLK/IYFeYEzhdRMXVj9RpZkzJcfARhlV7R9zBqlqi+m985fbDZZyr4nXOAJ1R14bhBZwV
yAtEffq+9RwJXqhoMe+4WHge0VfUn2NbxdVpxrGHBaA2Ghq2jhG9LvVEgZMzEwBNGo/YmizZZLcd
A3VSQGvdXfcmcAJ/cNrhHiE7tUdpQmYzQ3OCHjvE/WOjUkwcoRLtM6ga79T0DohiCKmrI1EIm31B
QGyL5xyWGxJvcT9HRMyuZqMqYMhVrJDfxTCZK/GgX5QBsXFTZ65xFMYKS2Uoxly+TaX5CQh/EFcl
Kswbw9LLV4U8RR54zPRlhA1HyFMHuM/v3Ux8BaKNFEzAQQPBW1TWgxeASMZjapU/KH6d926ZETKB
uqUBytVPLgVDh2ceqewzCiOZra0l/I0YrBirJCyUt6TQc5kSK8BexRrCxH7hNvjUlrzUS9k6N4Gd
U89RLXVvaOfyG0SFnb2NeWIeILpUA8jbJv9eYGmoNg1CQp5b2uBYL2Yi2g7DKuk7WnWSX2FtIBZH
o4Cyj0gJ6a/bJTFKW6kKqmWLfGFrNzcjeYAYNACbxF1GX0Yuc8pYEVTpV3O0iYuNpD3cTTLCgpVp
XdO0NHpwOOT5UdgZEq8wjm/7OgaY0SKcWCV0buwu6b6tQxBRI8WYgIUV0ErGL4Iwzah4Ee6rpCLV
Je7LuT1GdPwIlWQars9BW2EPWewaaWpAQI11YFreLNcS68qLh16CIQ/t1seIUiM6FK0JbCOIGZ75
tTTtbBeVSbPcVGEy3C1GhKxEzjKjWC/aix0y0KT/h37smAdBw3mxaoleVEFfJ0cxzzXA0CabzKNV
uusNE13Rb0MHo5G/sPbxNHuR94hEie59GoPe8QtRCOfgNCA1WG/hKkE7xYxzUF640IvuzGD0w7lE
EIcpLOp2k+5TCKvAeEhtcysh0IDQq4YrUeXVXqeui0MmFn19TDuIGlaK1X1uo2x8cJoqJhQMwZV5
tSiu89ahU9yyEUSZhkyCdWxrLpN9N6mxAb/iTkxkI5EScUkUZF1vZcmX3+c2rdMr2StK0zxh3Lut
XVZUlMDVMwfMEOZZNAy3QgrD2WGlzSAdCq7AttQmKQZZJ3raVjKmDRWiqkBbKOihXttpqRnlhnZG
M1KgnsF6nKgOt7oU45aN03y1p5o+pEV4nvdgOAEXDHwm7PIIBSbdI7Aw2HEDMqhoEFJe+hX79nDq
4xgPZs98Gah8D5MY6WqX3LCsJh62/cqBPavKI5Fxy6PEbA0DiILzEbuA1W2gFBccGmdGQHZfec6G
ZiFDOxx7WZNcaz2MP9Bduohp8qQmyYz9nL70UrTdwY0bqz1naImt7brsVMA9sgJDe+GqV9jX2WVO
lfPW4cqfr4nAxIqGHBbdUpBY5nVtQqLdWDGG0n1DPuPXP847/1Yuw2X4jleo+f4fN+9V+x97xNHv
HU7Qvyxb/8fidv3k/6puEcj/+U227937L/+FjhH14X3/vZkfvrd91v1/Lf36v/zf/sM/q8ynufr+
f//PB+1OxKEP30O+/C8F6Jpl8z+XrE/Re5y9F5//9H/5M6RB2P9wTEdTFVKmmZZJgfGfJavn/sPk
nE+RSPlhY+jin/xpLFDiHxbnVY55rnZN27Q5rf5ZsPK3YSkQnsPZ2SaeRlv/lq1gPfb+93HV1Wtk
uelZav1+a0bJb8d8UfE0LpPRQSCK5ztbDf2NYeOk9OkDo8yoKtMIDwTzmdhmbTHhZrLouhzAuGBu
DLtZm9ux6XTzN+foX70O69eiqqUsl0ATKBHc3woDG9YGU4GIr5VzUETkGC1yi9DDmBDlw2SpeNpv
jIjMoV1DRsQdarSx3v10G/9FlftrAcqFt7F8u2S3uLYSJjXZryd5txx6d+jL6RAauekA1Q5bZqhO
lqJtqRAS/E0tJFf/xs+3gsaGqRDE/dE9gDL2WyWaerDLSY52DxYC5X43uOZbqtjuCMKT4uuIN/eS
4eNj3DIO6yQ7JQS266cm+5tKSeKa+f2LQDdEIa1NTaiQ+s1oQuaoxvaLUpeY2LLfkiGg7iwxh59B
F8hbwLkW5MYkxFEci2X6KjjoPGbmErI6dkrSMPUI9dw6CQSev3ks1kv+yyWir+gBGhSr85cS67fG
Q1hbbNs6hfWpvTHYU1A51rFJGtgRf33vf3/+MO4QPs3D59mO55CF8uu9lx4ac6uq+wOg4hJeei0s
ue8qrThjjvYPtTKre7zl4bbEYId3sCvIbv7r77A2OH79scQgrYWxLT12tN/zoVTt0RqeiuFQLsgL
NkQ/JXBsmcdtaVCY4bUYY/U313d9rX7/SA7Ua/2I28nTv13f0cYc0UcCMgb+mC/JmOXgYkG7lb4u
LfuKf2Eg1JHZTP+5j/xid/q5o/TPv5WVzOGO0lFiifz9fZ9jvBMLYPiD2eW4PoxKsOBg5Kt40jLI
FwhB4I/9zU3+51/LzVWIYwRzMMsWvz3nBHgu1mgKBAoa5EfLxAIh75COnwXMw0/lMEImxJc0jr++
r+t7/OtFtl3XcxS/kn/HGvbrsxVi4pZ9l3SHEFOR6Qd53/xwc56ow5wQw3tw28r1/JnxF4IPt1PO
4a8/H1Hqr++Rpj1KVBOhGRYPl0MD5relJhoRdpm6HA6E8kkaa92bHMLmbA4laS2d/VSNK+IDPCSi
MWTvwCvPdCEwv4ezPV01kDA30jFxoFLs3ltN3Z7CTiIv86bsKYVvfmlmVR0AoXzkpGHsTHiCx2gp
xp1yqCiDNdrSbjImxAAFLiQfBHiY5xxZWBlUCR4OZo/RbACQHkQF8jMnjPJ98bLFH5h8oJypf6i6
VFSpC5560z21MpzPrjcgGErhIdMqCa5apkzbskPvGVVTdFKT+aNeSnntIi0Ax8Yb1SWJfkyFs5AB
YUcXIJZPlQiju9C0Lz3v4ynWoQf0fsgJdjDq4qtMvbeOCMRtG3LSTKuCo/boYNdRq1bdMYersu67
I0P/gnlvTvmrR8H81MXzz7jYSx4B27pE58Zi2Kq+HN+mJW7oSBElzAQo3k8uO8DeWIYifiw6PDC+
blcc5eIirsXKQvgegI0RACVipFKOCZhTDzZcsBmsUXpXQ6cXbz/ruh+Q1+k0gzEn02rdqhPerGQL
dD+uEj8uppSaq28gsd1po5lnJqyJjjrN9+g0Y1O3Xvg6tmoAgTB//ZLyN1bXwhoVBizdJZpOCTwr
WATCC4sFgePEAliV9pC+Mm5hWc48DP1b8jymuzYHuXOoyog/R7dK4nvL7vjPqlDhhDjB0845jhBP
A4Oa2OhVT/IzqS9mOTCKJ7W94zStu5nrTUDyCnL6Y0eeJNFqB7sZhfWjCyV/rQTYODwEhuQvWbyp
+kLGgrOK/l0L0ZTMbR1c2cQusqeGLetMEiRABLE5860xXvN9cZDzJ9nz9L6imkYW6Qwk8G7BRvD1
QJAJvljtUS6QVx82RX67FEPInAr4IqIUSHnap1h0i/Mk68H6YiI2g5KjzJbp2bB6PDDy9NfWDCxw
W6EO07cWk/h0P0Idw5PTiAbfM86lFjT4wLNMG0sj+mNC/IWsYS1PVDBrdcj7xoXiuFBuIVRe068l
bqVIwtF3p7lpmRTOzXyyZZI9oI82M1DAhu1e54bTB/sRGZy6yLCejMfQC7L4PrbQ7e3xkeXFR2zI
7wsCB1A36E8/JeJfsLFAsC+VY6seiLrLE0dSJi5UjerI2cz2LD5AJYnrwazCbW210Y+u5VptVhZ2
iKnNor0o0KPZD1myFOXRCNf5Y55q5H7MMeD3q5LmnpMUV42VK2Q/U2bskCHgi6pqe12PIke0730Y
w+KWZePOxwz76pPrRDgfJ4dia98I8oGNutNyOygEECiV0H3ZhJ+HlwlcTY54WS7x0UVPHG9bG4w5
eMB+JUpm60AeaTP5znqZEFJgMRinA1gjHpbOQxCDdy3GLNVVtl69foN1Z4qirvb4LGo4up6Yvy5l
uBTHPq2NcAs9ky2sQgXEY7ZiwStrFDC97GhmRbc74Y2bsY29Q5HnHGV66uvgKnQXlGcIrHH6826q
XUOQbn0otcs0Wk4xOtqFIekmb9ObonOL4wAvurjOKRf20tDBQ+oJeFJ2WVykNJzzMGUj9HZb5j8K
gAg0d7z0olprvEaCiICdNzf6hJnoyGcgwMSscdFgdCKmxtA0SC5P3HXtsXSq8BKEeFHg0WMIRtsX
eTtnjDNuPTHNDRyJwHP8skXUhsHK/jbjruNdqnPcMgs2ddkH1mUavfAqK+jWkT18civV3JJw4R2m
aoF0pAgZO5Jt0AckuAXuLrci87k3lZNsbLXcs4+2R43O9kDcAaaFuQ6IRkhR2kDwwu4kluSI2M44
Z7g3fM91yv2QjeMJhfz8DSyMubcg9F6tzuebUi6vQqZoNL2+6emhF+46Kl7mw0Ka6CNiKEVqG3UT
YdOB6BA9dDg34mXcGwA2kJZwMJpYmmt4eJ0xFCfWPgJVUzgUaFQ7YX3HbwWDoHXc99RUr6J1hlsL
+NspssGZYtL2TlPd6x14xxQdZ2N1+DmMgCWqJTe9zWUZ7Rjhh9Y+C00Ei/TV9SMeRfsuDReWdCut
dnoIrGYHa8Xpr+AssoNm2LJnWoDkMiSJ99bkYDjOS5khy2oJswZi6YXJ9TiWZncz6db7mFu7/15x
7NppmrrtJu+AM+ACkfugLlLCeRMQ4u3aMYSuDuO+lK3jmwZGCaDm0KGC0qjuxz6pj+wR8no2q3OA
rJCVk+iS25hW7cVLcIoQQsGuNST2Hdcw2SLbD0EDZmzUSVw8eqaV7xbRO2cC3cU304ausKFDxKCD
I4NBAz2Td2bRld/HSiFRGmrAj8psrIwGVUEGWuaNySlN0vwxjsZsP8ZVdBOH9RoHR0KSUsA6B9Fl
DDPK9tpLmdzuWKb0dwfp/6mtW8wkQQu8kAiN9pI2PTobr4cJXq1kCTXAp/PjPqqe08wE6tZBuKbT
lN41Csr7Lmit6EWMAlhrMTU73GThwW45J0Ap2UZR+zku+GYX3s6LQKt7GbS6h/wR+yUc4sOUTzhd
gkyhrwiWLacdoJxOkha38UzIKloHXAdjLj44DLbXE4eebS9Y8XxUfSA65sG8SN1gA2qLswQKw07D
JKHTPfbpcCXAFB2326+rIX2xZhtSWuFF5a0L9PoylmOhiO0JB+JM7HbcF3PkpTs0PPDyNCd/Lwrk
aYK6jKeNcDTa6FSlYCL3XWvsDEC3SChApQapfLWkTZJPPT2prHoG5fHUaYCoQAyRocC/tMlDCtrb
ZQadL6baPNsieKF8/5EQsdbI8JPgdDL0InXT9256pBUcAy+eb6YherdD8BsI1nJaD+FzPEJUGRaS
vm29PDt1fyHXPt+KWvBCNtVtguYNoL0T+8yfjjg6SUx0+ieLftw+pKNETMeA95hhBjK5Ya/GPvvR
p6CpOJlBJu+iXW5EKEJcbGVug4DbIjkJoVF38iIUg4FbOBiVYGvGrTPuE6+mEzosyYuV6x9dr+MT
eNEvhm0b57VjWzg5hy3yubhSBFWJ4t2rib2IPbjwSzS2W8fLx5epzL6xBN+wqt/lJkTXhN4sUlcY
f7EHFU8NBaB3M/uOWfQ1RlS5RzJHjFzT3mBbr3epSt1N5AwzfdQOvL1t7YsUknbYhYemwbLCOhQf
iUr/qIIOUBVthk3P+reFNpTs9BpoxD1hcBR0W8IcXJKTIo9WMts3QtrwFhVpfyyFhK/mBY95j2/A
wEwylvJ2MAilYh7B9MSo8iMO4JkxX5J+97DubDhWAnVzgesWwlre0hZCA55F92aib3FEp3E/zUF1
xeKJyQStxBpRKZ5YE5+x8QW7KAk9OtFzthXeQM+bZXN6tmuij5026/yA3q2PEyHxcyfA9SBz4U8d
EaIeYYdLYqxmTrEpRzVtmtL9UKm6swvj0Z6hGJQahawaa+l7SfASDSj1eCXInixt584dp6NZib2o
3PE4VCytMd39A1HdNMZn1JWIR40Tc5HzzKHkKB2YUwYzDtTaznM7i+MQsumruo6ODH8ZG3qBwNDU
z/02pfd9WoIKd7AINkgPONGSTIXJMlak+uTVDAajiOajubiXMG8fh9kMbhUhWOeKEarfcxi9TpYh
2U29We0boGOySubPAY3xiUgw8wFuRfYwdqmxxtfIPd2UdG/oKXyK6qJ4xLWygLBR5huc3OYjFmUJ
fIa2+sYOh+WVlr44EETNCcMqvkEUaNDacr3e88J5ydlZLpNgeiNV7jBf1cNVnk3YbVtH+2JRao8q
PN2S1VTn+zHAy1834dtsu/naRLD8qhlpY8z4XBwnhyY3RuKYStANoUJcO2bmbZHL6qHtgKvaEcZr
4ka2RDQkr+4gGOCi34w3I+62W1pAxaWQ/b6rDRPPUwFOqIf+uYXX4JzAiuMnJmS5BEvHuV/IGDk1
KWhAdraEGPSoFbF6dgKQJkUsrq7dGMFfwnHpZhfKZi/BliBqHPmItv06JLKM8pxxem2G8IzCNAo2
5szcmb5PLEu/b3v1FMXtjTXm9R4cx3wGzx0DnNPULdJrrroodG5BYlowl5L2MRxbtqNqweiKzXLO
z1FaYqmOa1BsqE1zn97Z1K9jiXYXLI17SuBg4cqzSffCa8KArmsXFugR2+x6oqw2GZmMoY//iYyT
qSTBMRuowciayr9m2DvInGY/CbZeLd1g2xhcBPq2Rtudbfqg9R5Eh7qB5h6cjZRh/SZHWnQ/2KPL
sRcwEhCTvnzC3JEUh2A2h3oTkFiywcDpUgLrdrQPCqjenVGZ4dY1o/TI6bGJ/KgsR2uD+qq4BP1U
3aVisooV2+RRP/BU7yikmOaNAcT63uLssp8H52Vk8Br4SRW2Z9E4NcNHq178aQBKjFCnMA8ZjQrb
RzXhMq/KgUhksoUbGBCZg2+8qUY+Tc/7xq5horseMI85EiTWyqF593o411NO7mQdwWyqFEY21q/l
Khhw4wTw5U4c67gEKZDgmGP6j26GkBfMHtxp9EgnCkFqthk0DHMvG0B1Ezcy8XnFEhIfAjHinhgA
6liwghUAii86bD6r1m3f+Vn6xJEKU4MOc/xljXNcH1Uect2KIzNCYtSiVFw6Ke27HKsoFgjTfdNZ
UrOzs/VcOLxEJ0pz62ZMbcU3NYwDchR936BMSzfpRHd0A3uO6OB8zsAgOqR/2PhWDGabhuxM7MhB
9hKHybQv1ZR8IYll2rEvT/s6XCx7Q8MHgqDSy42Dnh+U4hA+y9ycUMTPmf1WJq28zgP47ENS9Q/G
pMfPdO6rd6rIi0Vf675ui+FYOJ3aDkOGUN2Q1cAjaJGlUiaPUlnLWfem/ZzG7vxEXEaxG/sUwQEu
b+DeCncZZ+xdK1QOTXwS5ySi4O5JCmEI2o6IRdH3jX5N9whCKkk1jNvLZjlU6NFOae3Z5yESYMkb
4TSg8zh3ApelQKHmBxPoLkWlMPCE0bYacUSpAfvC0tgf46AfYlVpWjVSbTJjrqhbvLsqm/M1jYfO
p0W+UNeAv8B1HyT0I91HBogBS5yov1UBlkq7jhNYEN4w3tuGowkuw8Uxhsl7DJJ/Y+Zr+g2FK9aG
YM4PU21TsGPo6nfFvDgX+HsekgfA0aHTFWSbKiWekF2hNV0IZ/J61+ggKrbBpxvhMwwq1zq7rvjW
NdKFpOhM0d7Mc3PnJQInTtjGxyHBQHLlOXO0l2ajuBDzsJNav1Rtdex6GweFLA4S1xhUfcbTZHp6
r7ZEZ5OMdyML7u00mQdh9deD4fowSe8aDj9jSPwEyoSvM/FRPmwahaF2HsmotJwWjh53K6kyxGsj
jMBFWMWMhtfunyMtjwkgoG8YCliOUQk/EYwI0CeefImsmQA1jZcSs9gUw4JvZ7clEVJoEqUETa8j
jA2ggRnc3I5StA2YRGUp7Cn8Sg5iC6waNJsWOuZ3ccuRG65N53nnOaxzPGuZ6Lw9Q6w0woaHtuVk
TRwhLlEp2nTbmqmbXy1I8tNTbCb6R9hFw3gue+IqSESh1RnUhDfhkUSsTx1YuFe9jV9ojNPXEWwc
qmj7uBIv/Mlqr6zK/AbCJeo2U1yLwd/2Zn4d0bOaJ3WeJryJ5GrGtvtiJOkpXca3dhmcK2uxLD/t
7fZ6W8Rji4I/JGJvsBwgPsAX2EYZeGSA4Gf3OoGr7ZPcADPZoyTWiYfhYP4+d96NqYIrHv0XkOaH
YYyumxINo2EUwZ4UFQghds4BenoIapItkJXssS4+YuPDK6nVO3rymkLFuctLbhom5sd28U4ygshg
Vp7BISgD7tAFqEMCB7UR2z/n9Ow2IlagrPQhmZIMSZaVHESdPNQ1keHY5VMykkadX6sWAwJxTstr
Hc0nNw0DH2f5GabX5wzDl05L1OPf9/YUSIzZoERwVM+I/RbERHUtO1qdl1ctCw4gDzMHbdGE1Agc
5EVIBFIyz2+GRrxp1U61D7FrZPuicNrx7FXjRyyxkCT0e8UulmQmo2QKrrEeOOfEpv9nQcL2Yho9
geCCKsRCrss5upKvLVhYJEmK5J9QvYSt5Vs0hm8wKXQPSAGSKzzYnPDzFUEKreYd7QRilCUi935r
Jxb6lcw2PWM34FpcrmieJK80t8v5h0xF7T3PQRJ8lGZM1i6H1TaC90CtAQATadBVQ5cWAGdJRpQ/
sxnOexT84WdiVPGydy3QZ3dEm7rde2b20CDtYsmMq7my6FaAxy8ncKhNwgUIbRkZfpdQFW1qUGPl
TnDixug0TM9NOz4UkXEndf9CG98vmwQrb4YPBzFqtGWX47vb+gnYhrPBMOPuxWrF5/Cj96EYXzgi
Iq9p6DQOpfvggmYDzykgiRrtdTSENsyUOTMP4dINZC3atQF/l21u04WgAxpUMHtEpZIMaDWKV1q4
vHHKGy1fBpGTHEO8i9eJbQE1MV3R0KgJk4fQLdbfF2Fx5FIihyL1haImc7sHG3cTmGWyk88IuAh/
VQSHnkSUwIcfE06bLXgKxBhtXB/JZ3nt1OzMV6RvRursdbn1LOLgO03n4TZwJ/ccVCZeo2wQqt4T
IdoXOH3W2nB28c8PYnzTokKJw2L44Jo9+UxmV52qqbG5Rxl5lVaT3C6ZOzy4pMw9JGNt71tb8Z6r
5mPOk/7kkIT4JWC9Z6powE/GEwkbo0WMg5gzJQ9SEKlzyaruXGfNTHsXWRiPMW5HxH9lfhuHmH9G
O7F5EYb82BO38EUKtRzcXnbbCH7TVrZZuc2G8gvr43Q2qJGOOTvWxpjDkCAV2YXXKsBwBGGZAUPP
lOxShKGHBVfKsxdJWgpwHYptPszxefH6aj/kpn1CQyXoOIUkcpBA7zwXtL9fiBdN9gS3EjIdcfAl
p4tDh27RlEmamB0/iDEispxElXCSY7WkGPpbzQMajWeTHW6rzMLaRwQJUFO6DIUMwhdAY6iwK3ZJ
PBH+R3oatdLgXNs4Y75M8dI/1vX0XpPJusOubCNz9fA0FnP4NAHXBaqdPGQFGH1zKSbiGPJEYu9A
CNugsjgAFzQBXk0kx0YEmw9032+WgX9KZkC1Rx80AMGIi30fhyAVnQXnZlFW7+g6l01UDtO10fYf
Aw1Q4ITGTeoWVwa2k5RkRrLLt6XXRw8Wi/ReMAzZZkQVHHVOrYRbVZibuSR+C4dTWQK/kMlLKOuF
aDiVELHY2fMB83Nyq1BvvXTx+sjXabUFxAKmB9fMJtd04vnV8dtU0PuYOfbQuvAgsmfp9xyTILp5
JzpZ7fg0L5M4Vk7j3MeY4A8YVrxPolfrV+VVBjiJIjiUGbyD3HMI8/VomlaVa5AuwrHwCiKR881w
wuneTUcsk4ERPzNZsPfRUHI/yrLzNYJY2qPK2SwxaHSAkTVLYGf9aFStUXHVM/kotrU1lTGeOB6R
ysdR5cVehuq2txd0paSp+JFHUh+Kr3iLTWgdMnTpc+2QOQWibHiLBnM5DN6EXxbYAjb3KL9x62i4
TjHRPsxZ/agGJzr0nUOWs5s4OwfQJQLVIf+KxjC5cLfHB+3U5tPYJmQdGEoPzwODHFI10KG5t43G
SVk3MQ0wJlGbqhwo0PMiIF30D0oOMOvywyGtZ0MbgEiQerBBszoxmWwQY1M4lwlUebc0FURX+G/T
NoE494FuG6+b0ZDzN+Iqok9TGdW3yTSy10J58S1bFBlFdZR/zLVSQGelpx5wMVrh1stRLJOuBm0P
XmGVnPqBlinjPFBm89jtg7TGGCeG4JLRH94FirMSkkLj5KUOvg9Xx/GXQRFrdAVzaoS/xOwkBxlu
pftsqp37Kp1mXii3pgvpqpuY352fxhpCioN55JAupUtuYKH7QwF16ZltamWIwhnNTWavs13XL0w0
5gfZWoBqwZVsaAl0hN+M6Uk4vXFj4+nbJ+A+1KaOe703len6E9QAdtP5GxFvVMhuh4mNrud1VSFP
NcfZPNhZA4lAtzAzKugHagTSRYFWEt1alqc04xylF5tyI2BiCqNaPrZcdD/NDfdCL9nauQn5s4w+
46MFHxODKbjBUJBcyRvsbvsmf510En8InvLYx6aKn3CsLFZJwuygFi2nPMjCO1V65d4ZnJ2skwEd
Zk+DsQhMjohhf6RbAwaRA5FPVU1XdFgD94xM+4lMhreqKfobJ7bEOVvy6UBDwfAV5RMQhDQ9xh41
3FKk1HChS4NrCPQ9SihSDN0BsEscRTe25bnEpA7zaxuJ8jBpp11bqLp8cwfH49r3H5yrCBmPnfKN
xNMWr6XuLhq0zS3lpf0jiUBGFbFjb7WMuyO6i5Xn2uv3XhLulc/9SzK67q7QcNA2I08C0e1mx0un
nzItaMXq/IuZu3I/zzht49n5ZJBVICKmcJ88B2zlXCK6nomb10b0hId3HTPV+tDosn/rAQPsSRRk
2qM4Fi8dGw7TveQJX4fHRDWja5ZnZv5DJvh6yowito3t7ETONIcOzNGI2yUkePQfWGo12Qgcd5r+
NC1L8gxlpkYrKvOQMtOpj5I4wru5R04H174ban7EysiuaFDvJIDowl+qJgsISSiKUx/k1depa3Pa
ONp14p3biZshbhZCI6ccWPXaarvOewBmxYQrEI1u9IYVqT0Bd4HH4PVhcInzmjq06ed7m8bPSVRt
91JB2GKwv4zdsqMgI2qVAYCzyWuk5FsHekD7I0lCHRIWqu0Qx0Al2WTLYADPqzj7d0M5XvWmGV11
xJ1+ZrhoaTzh7jppnqPSHx0yVquwn9mVJv1DiHB+LiMbAk5vy7MM5DqvxgRxig1uyqY2EvHWIYoL
dh1EoPcyzWmil6G6FJYr7vExB7um89LyiuC1cNuF1fLgYQgg98pdY2VlFUFgpdCEkOEBbZqz/8fe
mSzHjaTZ+lWu1R5pgDvgABa3FzFHcCaDkzYwUhIxT44ZT98fJFWXpLLK6ryrvmadq7RkkkFGAA73
/5zznQYlXuKpr1ay6aLDyCX6onQQfU5tKsMF6jhBsP4tcqPPk2sxi57CKLl1HfzojVQ8ukUILz0h
8QGW2xhPg/ZaDmmxU+/FNIiLEHToY2EnVIK7hnReC6vybqM2b4aLKqrsU1/O9gVwBk5EUe6+Sxzo
B5mHzmGkPoTjfN+1VwMrDA18kd1diFqLgxkitbZZiEgha/oAxFyqZ7duzDWbiYHOv6wJHiyguWeJ
e/3WpEp6r0VIHB4qR1sgsrszldphuyEUEkar1Cg6ax0toyDCNfJglUbPcNVrOTe5/P8AnGi4hA9F
8W+X+Rfag76ks4Hols1W6zlOAqzy8+TmN0UTNkziJ0DpKp10eICRSYfi5PjDhUUX8SZwvU1BvmLV
MLnce7Bc8Z8TLqd0DlWXXpqU/rBVLZr0iQwuu6pwUfs417gHnfE51kr0B/bpRrM2PcHHpiYl2A/1
XRlg3plpPDIROvc22DAziqdtVnj9hmrwbGsHII6ZkVQPnuezwyX6QQajqXPvbvZDosFMwIyLxrVo
L4E1Ix86SjD3Is8123ss4+su7/IzWXPGpK5tRzvGkOOmbDixsdaEsFp5IvvzDf4AbvS4XdolPJog
LJ5F9Q5zuVOw92jHxz52Zc/BhqpsZIo6BvMoAbyDl4HH6hZhcWoDVMZVnpOSpwrCJwWNshbVgiG1
tliiNt7MQ61isWk2xEIkOnuNKBKK8lgWttI7GRWedd+TO3g3Ch3fJbDoqTLU+KfYBLaUQE+DjG9K
YkmkNkowQqgGuJcg7wZrHRQ0R0/ktIkU9VVE1yeGLtqx5H4cm/neyJvxAE5pBHiX4bpfw66F9FSY
Yl8nkzoKDk7DLpOKDrtS1hu8QtxlWWK0KWMDqhYpMIivmx6rACD4AKppy9+VmtmV5dITMQzOa055
FO097sAxzIjCgw3G5yLy89BcSnFnRax/QdHFftFyJzA1CeUsXmZrSrazkFeewWCNy75Yp4NDsp8T
DSdRniUMPXq33iKlLIEWtvfrRsl7lefNpuBveXIDmilTpIEdtgE8J6U13eWQDHfzIL8AkaQehqI7
dKVywVo20a7j6iQp8pB4VnAYp575DeSTy2pud3WrP7ujyWkASqKjpvixYrN7l0gkOfhj3b2gGHWp
0ATTiYmnNmKqT7NhOnHgRaowYICPpxx4hNxyDmDCt+qzdsQ0qHobD4Yu2BQcfCoeNEUcGutKBsUA
whm0kOF+oMCIz9OrXfvYFaUxPNKGPaXP3/8LXTiMu6wmNYvH0Dfr/tbGTU0GbGS7yfywzvAPCTPl
Rxt9gw0V9tfiXExHXy8lbuqrBQaINSMgr8MbmTM2P1aLJ8qCRFyeJof7cTWmBBf35sSqvOoaux4/
cW/L+t2IqHHdKdrYXz2Km/Q2Ai41PhrcLM21gTw0QlsoKuei6htWuhkgSQBSfPGTZH7i2oemY0ew
cccaN0ZvZg3KguWAcCESyKLMwyLl4HhvJWnNzrMIoKPLb2Ykc1R9saf7NcK8ttjztoXl4SLLXUPz
EfgwqI4GwnJ9k/NMEjcAiiO0tC4R1WtnKB5adcvbgD3JZAbt5SOX7SyWyXgIQBe9yFyBhQkvh9Zx
PpdsyJl5WCNtzNJgFQ19iAip5V7LoYJxUMEZ3Oq5YfyHa1Fcw5wAq6p4QuIQi4YjhwTCEpVbh5+t
rB3OnCavWlQVhKAuTYat1kpgk4vaZi+BX7xUsfDvm6GNr+OEZ1/AtuVcxvQK2w473N6bo2urIQ9m
RGyvvSrOvlajDe63jsGTroaS7XgeWuYRqNC0ww1gv4HLTN8pVW0eOxAutJEJdzl60nrtoovN9vuQ
iOQ26IPsxnaBlmAWSy7SRAzXqgfv0HotLTdDsasCD4BaaXN7rBA/i0PdGfdRmZIfUsj9rpXQO2zp
mcktLIUnYVkvbc5wOLbH+rJvmQiPky0pWqV6WE8Wk6FEv5A9CPZun3vnQZLcNFx6+6ZhUE+I3WLL
oZP0JuWAh5hd5aeO8Og2U+xc2sqCgM3K2UBt8vAwCQrh4tgor/KRg3tc+vdp5JpoBzjQvLHVr0xo
Karq8os6zdLLjDv7NcqjO4+d3SUW1ReKrudwa7PHWzfkhjZ2amKBGrHHqbh0QW+wSTO7ZXpND7zK
EmvjY9HeOTBxCKPStRaZPixtozTGy2+O2L+UYjnDByrz/7fQys+Zlf/Yfy2v3/Kvze8/6n9gskUu
MZKfzMNLduZHJmb5E/7v3yC3tcR63nT79ZdIzI9v/EFlUFAZLAf2geVISVRiyVb/oDLwJZ7apKAt
4VpLCwbG7x8Zl6UfQ6HWmDam72/f9l8Zl+VLDPUFpnp+MFb8vxRx+TXH4TieQvsiXQ5YEKszweBf
/daAtaNkCqhcH3ISqtpStKo69ZMTr+yyempDA39mWZxhdw5Q/ULmcxkZURf22C5GKlASBtXURfm/
8drLX+3n334vzwI6wejSJ3+zvDU/J8UHgIbQF3tCNjzJGXH3xcHR5gXYtfcIbh5t1MEng2Qbxq75
tqr0bVq4HapH+TTNJiP0bO9mjrHRlfdoWRpJhdFYA/2TwB+tkWEGQbjjgU8m+naeg2bjDm5GSSon
JK1lstuEKenOhdC+clPAdQ0GdIF9Q3kpz1Q0na1tm2g7Ufb9D/9Ld9ufYkt+uZ3+m+my/4F3l7Vw
Mf51buyo3+qfM2Pf/vfvd5Tt/UHQhdiH57sLyuQfmTHp/eH6PJnZ9iguZZdr/cftJEmTYdQkRfHj
i0RafkTGhP+HCfRAeb5jL1kqV/6V+4msABfmTwEGsdxRgnvXxroAm8P/LcDgoh0ym4DYx5kqnrma
QHCFBcUV5DvbI6Gs7BCUAdXcoVujYDERJ16B6TGJHl0sCyOguciJ7lwLmv+ZfKfXkukErbu3eFfo
QWzKylmZTdNW1zkCfLJzGeeGe3NoxnDn13GkTiAEc/ekZii+bB0aTQ1XV+fw7YOyqmCeGImfnZIi
NWxsbxlHg1XhhWyeW5Vb3j7KIuvVHHPqq0rO7fOu1XhgCPkOWXAFoMZm0+Czz9/Q9DzKVdXhNF51
aZPcehrb4krD4oSp2WZGtg0rBgGPUc7/tAoYUCgM8TmtDBr5nUYvOWByU0rWDCRVV+57c2qVvcY4
V9VXDr709K5u2V88isDu8u1U122rVvgDS8PcEI0bhhPN2UAh80q5NmeLwkEO77BEbIbODd09BjHr
HEvco6ueHhzwqICqro2ZROuW2hJ273KcIo/fOZpummx6zFIwqZwiigQ+7NjfWAkl2puC7mGmfa2W
DFddo/xiB4NxkTU2fvZkhh+xtmTvOOyWTKrG6qKkkdNTLql87cRWtGtq5Ti8GXFSLQXQ+L33YWQD
6Bv4Qx9tFABAF9gBr1BxRbO4NdN2W3lGF37QXtWJc1uZXrOTrYcIT/0FroTay8lKBH0Td+Q+OO7R
v+73DM0kE0yntakBHUNErBXSDPTjlHlptbKLUEbbrEHjWI9hw9TUaYvwUYejQZDXt8ibh1LM0BaC
3nOhdTYBLQFkidc1qcR+6xFv+xKkDMy2klw4uDTcstFljWfuPkramQdDLYOvozdNTzkb43bLHq2d
DwnpPRbWfGRka6dGyQTKyUXEV73X0DSBU2fazPdB4Sl9gjA4unsVKi4x0fXEgcHCplRwpx4vkEs9
LEGIaN4UdBhbRw/gl7mRQTWPm86aMV1zEMErwyzWu5+A0V7JsarqjV8KypRkCOQBtwbsn1UxNNTg
iTzKbujiTRjQk9h4ZQJKT6dVIECssKnAN0jAR7f70SU+QrtDSJgFYpZwr0gB4vqjBV4vh+i+ehMm
E521BAL7QcVcgunBSUd8/Mjvz6ql7nwFHKgC+ex0CGVOhYs269vhOkk0k8MKbQL3NN6+q4XL69zF
RJLpRidyxFjD4ym9mmrqLVa5wHND20PvvflW2CHMynGAC8zpfrndVfOw0BSS7RBomxK2lots16Nr
IDRIVo+roRugcadlAIQMXAjJ+oRkyCNnItFspYdbY91on0MPVW253Gk6szlxD9P4GfB+FGIfcYZm
VY92e1vEXYugn/tfKrt2p7UJj/2q5lKgEGUg77HiTEO9idPP4jlNFFJ0CFuGLa5bTa+KMyZHbiNG
9EHYVbeZiWyyGRb8G75YmNUr06mAfYNUHWiRr2RnHQv+MppqUWJJC+QRTLzMIOKySxJ+A3qiq9yn
nLfFgtoNPuJzVyhsNhxRAe+CaEEJFgvuZGK8kR9y8hk2lAvb+4yvl/BVbUG6BPLe45v00QVIMFYN
584p9Itu1bN6XGdAB/jcpNABQ+0434WREu81lS2gLAZbvrglIULi6Z24mAYHk8+MUw+lC/0Xkbgj
IOsktOIg1bAUriuAXQIkLnMWiN9qEzNeuG/Mph/X4TJRZPKaIrk7wl16YakjOXRB4jLlNrPF+EJr
m7V2qIsntEPU8sURIROsgndt0XclEzYGCU24zlrGtGs5pMYR+xKe5xh/mUiiG8gIm1jkK4WoTIVS
HD2SSZHsnxhwziK5lrHbX/JxhdupNe8ouRxuIheXegr/sGJ4eD8q+wILVn2besV9ZjfxzZQD12QG
VuroIWi5CHQsLtqpug0G7NcxvSJr5fW3khqDwqxPKnWW0VdYmfma9b885JGk+gnP7wZRqL6jRPtk
azqBwsXU1+RYCGTzxDOOjpksQD72kke4c09VOMZbk19CcYbCqN59CU3okbl4Mh002RiiP2RUXihQ
N1YQ7FPfeR/m4exyHAbPMPGJBKI69ODa17mVXs11EuxSughAPr+XKn1sXAb6RofeTEjka2WNO/wE
0RWxAOM0yqadcZ/nyYsdxiP0d4ZCLQ7Goxqic81PsNIAa+08AbNfE6ySdFgWXO+roIMiEWmMmoOw
VuiJ69y0L3jsscphaO9zxtICwgjlLTh5V9aUckyEd0lvxejd+YUSh3lOmUcvPobRMd9coB5rzp3o
eHB+8XUDWR/KU9vnxEUZblCsgiaW3+ERuzT6qUX70k76hQ6Rq9TIk4uZfNWdW/BEUfVIpycn7MEY
ryFgdmc862pj5ZNxAAv+OGDCuOJjhyfjloou4kbQszMOdLhCkzRIo2Fwse8oAgJ4wujK2dMMQa7N
cA+GjX6ZZxmTXJ68uEvonE8YTNvBWYucsKRNp7sf4LLpe0rLUWzvgGF468GRd6OuURG9ofjkCOgj
Xl57t4HB42SGTbkuKF1jidTXrefrDC5hzHTTKYr2oR+q4sMBvXppe6W1T/tookvKVMxDxvLG1M0X
KPjyWBsFHviCdWcy0jzj1kNtiMYaXqh1gwBN0Liw7fxA5rt8UBXGo3SEGoVXp4Cg2cW3SYgbk5sq
669LImgb1NiUpyuJxYW7c5tWyN0SIqMeo2ezao07i60qLGyht3FcPQdd34P0Dj+DMPpkypotjaIZ
7MEIzfKsoACSP0kXQE7wmJj5/JjlnNHILLN/mXHnTQNjGDvGzJYPe9n7WHTJvhzCSn7K2ErQ9WJ/
6agfU9hDazay29gPjQcXgki36akvcyavW+E1uayY3B3HduL3d9mzxuVlSrr7OgNhvBZyvGqYtSA3
OH6yd1Mpj63tH40Um5vPs6ssivlIMwP2isbFKS+ynWe52W2nQvHFkdl9MMwvk4ioxzb6O8MYprNw
0gTXCl3q3TH6ZnFC/phj/niGlvu6tJvimJQmINstC6qwam7nIqBdFd7ArbBEn14JSgk8cqVtOjof
lFrP1COKNF5Otxiu+Yw6u2nuNalhmohzCtjk2o56P/sIamhNjNUCPbRbl63CzKS3NJOiuK6xKfs5
iqnbuzxeUxAin3tPk/fYlu1kjfmGPYEs0mvcrh3ldWkd5/kJRGWHFz6jVAePnOcNOSNbOqjqBxmP
tOI4eR7CkBly9lHypCbqj5I9A6HSss/4US1R3XoqN8f0khIzsyhuPeFlXnPbp3DQkrdlPljnFPX0
wYfpU3FDa7xb8is1lRo+2RhYoXg1el6LUVk1pkxbjXs88eo+8Wlhyk2dZjtVeQMPcoWFybzWRmLI
xwRY9QtjjMrcFiKyzGeSIbZRfM/u/6Uz7r9knPx6vq2+Fg+t/vq1BZ/y/8HMyLKJyf/rU+3lW9v/
WrL67Ru+n2sFfakSnILPPAZU2DfiyfdBkTChcJIRYkpjLuiLBbjw42AL2BOgvcL3ACrFd75Nl/7O
QgGGwgGZUnPPZsJkmf5fOdji1Pv1YGuin3FC9nl1SKK80m/4g3R0gep4ibuBGVB85H7rvxY51oNN
GXaYzo3wa0qbPG6McPRegzlLO1J63XhFVKCm98XP7CelZ7BKhmVoFwCPCpMtqbh5zxGKPaH2XHtc
O7RLmlurFNZSqJVlBT7OunwNKNrotgnneHXyx86lBqHrRb3N3RSbQuoEE90aExlhi6SouJBtqgZU
myg9866xf0L1Gyl0KgE1547N9nQGem3i0IF7tIB+J8ohwJyBBXaQHrYl4+xdGtnMYJ0xoEolyLPk
RQL3CFe26n0Q7FOtqy2StMQW3hvyDaQgHRwF26ES0zUblgOcbuMUWJINH6bb294Pio9mjsiexGW+
Cfp6JI8y445yiFdsiIjQWpdLkb3lUJq658nqIG/JzvSvWo4u146YJrYviT094TugRm3squhIZpU9
aIyY+koZdI+ju7J7f1cXwfyiIzSKTeoX1dvIGICxdWqIcJXKZajAiTsLVlFvaGvrJa37RQ8GIQnm
3jYo9Cp2rtxOIXXWdYbdhnBv94FfIH4KbV5mmwFHSddF42J+ToYQc09mDsaVFVEmckqQbB/ZG7H3
JcE1P0OVo54O+Btgvc5Dst3EIZAHNqVN+NTCBAw5G5Z+vaekFJ8ABiWN6VaVQwtfQAa00s446rYg
bxi+TaCqqnUwF7TuTEXbIdom1peu8+VJVkYOoNTSYbrMELprOB0Rjw7Bn8PHKymmsIdgdHZkS7rT
lIuOA3rQBbwlQTzgqxR5H2wgi7O7Kljh9aEvO+vFbz02HCNer4XSTSNhaYD0s6ouBwtGe5C/MUXT
XXa9XBpsS0aKxLo4PBw61NJ3iYXsBbMjOLnGK8d3uzKznpBqi2LVof/i6Opg2qzbLuBSohmT3bno
iuJSmwaubYIz9Z1N1ekz5GgT/SdjrzYEBW0cVBCqRwBbaqlUScyKjypMUpCk+OEGplMvbZ/GKQ3r
maL2ApA/iYUxy/Eo+B0lsWPZGc/20hZ36DMmDVjzhmlfDF2uNoOk5ZU4U0qtaumDXdiAtJv2UT0s
yQwC+9ma7Ur0hBaOZSXBmKD3oaYuCAOmnJ8qndA4CJ29xsQ0NZS6GZoxFzV7AjSDAYKXg7xtSWo0
kqG9bJIliJ2GZG7Yc/rtp7Gr5TPnah1s6K2zozUD3qC5Iq3VU+6+ONIxYKUJj9ncpS8ypM1JHyHj
5MmO6JAN+VVQBbzPkjZObqbB6MzD4II9QAaf+cwtwiTN2tZB7WFA8GewoLQ5DhuN2kMBgpcFLvs1
f8SbKZp5BFYQBWf2jdzJ5kw12Cau4v7Ow81jncDLwe0b9WgPDyMcTutTjKIK5d6gnmw9ZhiqNzX6
3IvmQgDqXy4jvlzLnk3UlJAgUx5ys7euyLVq5DyEvOomJrkd3IUDStkqCowGHkar/eGy42hm7fO+
sKPrVPrxR8sgBDUMky8tidR48tnCuWz2HGLMJ8nw1Nv6aZV8ThvGF7uBAakggVRK4lRGb3/S5Rx+
wRsiv+goN4Hy0XM9XMZdP/vrXplY5VthcwRmHdlqZRkObi07fbZKqRDtI+plVtpT4bPL1KqmdcuM
cU1VTvtcYBKbCC1Rqrlqe3p1t2OD9rxynARrhV3iIt9y2lLhHcCqrackYP8czOe731sU5upBztF6
VEPXbSiYYFsri1ieZ2XjCyGcSVItM10ylKBadboXmRmcWrqclqDk1DzXdta8c9ZtsfGUNVyqdsli
rwLLLgl7twb9ayj3BOKCMegs8gFMFCFRm6AtOuiQR8M03I+qqUe1xpSCdSrpWcWPAdFiuXUGsrGM
CKIS6GuT4tz2GH0wGusli0xV5cMqjEZIVA4qbHvQhe29xDwArL0hhfWuTeIwLB6JMjdaIIufKJtk
RBbFqfbxiVft50bXnYVzup7PBgfVcwOEtDnknvcKrxVobm4n8z4jM3ea2a++syEOL7qF5bNKGtpS
ObD0RCHH8qxtD9tP0+QfXT35GKajYjq0DJRYP3mJz1XiVB/sRk2AkJbp8jAZsl5QsAoqlN7kJGcX
mYXjJ5Zvtr4ul+gLk0VrOBuJRWOghzXbqzm8rGFgdLeYWTRUxDkYnoEulgnNap3JQqxTWm1zPhca
LabsCIqzNgguRFO507VSJGTdBCt/kMLm3VgM3Ekft0CsdOY8lB1xJOzVDKu2EWwSyBOFAYEVRpP/
2oMkcbe2H0RvadNRiFRWCQexOfXLZkcLrsUkuRrxAbEczR/8Pb2+CLAH+KCEes++DAq6GTZTEQ0A
ows93kQ6mjC1IbZTBRP6TDhMTeZoXVoBA1N6TzEVOkYUYaIZICB8Jx/97674b7jq/2xXvH+b3/4P
u/y4+kXxWb7p+85Y2n+wr1OeyTjrm4KKsPN9Z8xXhOX5luvZSoGN+okSKK0/aCFZRCKXjJMFPO6/
JB++JJjNQh2xJGMkcrt/ZWcsF0XnZ8UHJJWL2MAunN9Q2uo3qDUYSuUGOD3WDeCYXd8ZVJP2Mlz5
JUgh6RIsoEKbAszKPwLQWYUD/8lVjj7osuvHjRURnF3TIi+vGiaMF07tU4ppDUAFlCPnZtWNY0Ln
03K/RAVNjATrSAlXKfsofLeGccO4MD3i/huZ+xSxAwSkIaAfVMoKD63oQkqhC+zo2UTx0+7bJ/W/
F+3fLO9PL9rr+PObfqOO4ZdrdvmeH7q/J/6guc6l+hhSJSix5bL4oft77h/K44oxeYQiPX5TMP+u
+zt/mAI/s89ybZum5/5DqLTMPxZsuvQRx5H+lf2XhP/fdX9nUTyRKWlGwJz/TwxJ8m0COkDd7HQx
M0khS/ng2tjNqERKvxtI/iW+7teDo8M/yjfBBXIWZX/hmL8dHEue7g5gHCQZiojrvL1LqnQfeeLM
DuyidY1/Q2j855fjLcfwKdB6OUnzNv3iHABr4E1D7Oid6uTZDrwtW0ioybCe6MnJgEKQPvppubr9
fqv/zOf75/eSV+QTNpVw8aJ5v71irxtHTx2vCNxnqfhhb92jL2YUoP/5C4kFuvePpWZ5K5kAYL1W
PI5ZEr/BKX/i5zsVEbTCmzR55KA5SJ2mRPZa1pq+gvFWWhHLh9u0ZweSNQm//hhNwwM/6VNv0xA8
qX1RKlzL7kLWJ1h4Y+K/o14gOBZOnd47KIUXf/4b/8btXD57pYSJUr9cY7xDvy2OCQRNK/PDbIdv
8wpo4OWUN7du6E+XUA8QZWG99UQhoKFYxXYemmH7b36BX/X4H7+Az3qvwDZyIS6r909vGU7dTpTQ
3nawkwHeFJgGCSwHYueP7SZ26acDpnP00eI8kCJz7hL58k9j6LwRirlAICIdaM6fAXAN/+bTXP70
Xz7M5ZFFXtMEoupyWy8X8k+/WexFSQT+ISdomjLcIDdKNR54Pez0Hb2I9IzP21xy8mF86gw2Wp0t
b//83cEA8dsvwUIkBaBDFhXmerb47e1J8G7bcUxAIycB84Fb3Pk0T3S0rf3cNY+GmLNyFTG2QerL
8lcj0GcmtxiwDQzGKwy+/bavZt434Tn3fFt1gjJm7nAs2zvp9ueO4/W6A9W2ZhZExKMqz+VcHrHG
pi9jsBO99M426TswF4qp9XbMRT/sMwMtcptMNMxvqU6fu0tR1pa9DezefFdV6/b3ocysd6/IkuuC
sFaGLmL4r7qO2+eGf55hJZrvE4e16rqZNcGWQoJsXMGYHm+h/C1GcT+YoFEk/r5H8qWhTjVw4Uqz
uGA2W4AgmXIyfGXTf+VEjlFgAA1Xr91Gp2+N0QZPeASmI8vQN1/tOO+LNsOcV9TGnlNQOT433WQl
+4nxtDo5jIz2I7ylo6vwECxb6eKaws1y26dG9TXnxc5A0ZXCiOFll7hF4bohWX6ICbwkbk8vuKby
rHyeQmpqKV017ZVdTdSzZhOjcFoO577cU8FCkk+77UckBroOjdJ/Lnx4kit3NPKXwlXBdTH7w+KP
dtY9PIFj1sKDx89k95uikomzblOG57gWQAVEeEJz0InldCiywBK7Ju4poXAA+o9QpYBkYqP3h30k
xr4DZ+lBZPNo7VoLy1WXmHABFyS0Or8zQzZuQkJa03HpuKNTO4Tuv6XC07S3elTzDK0iidod7+VQ
bnIq09pTXpv66MOz4490OPfTXUv56HSsNSH8Iz3oehPEbeSsS8YgUH0cThp1BQmiqdPcuxFxPIUH
gUQfbJjLwGLvVDkv7HeLTjbZPtoh4Qu2Z834JsDwL5IHvupTqi1fbfu5ncIr6D4G1V4JYjtB3uQO
QHjlr7spN85h6Y0MFet23BR1Ycltl/ZG/A6/rCXorvCI7nKXFrldoF3nbjSmIDp6YTdcl2TCP8Dz
2V+9NhjIL9QW7vJgIRCZaXFVO5zYeOOSD933MPBptwgm6mJlFj6y1b1KSXd8mf3ioZLKeXSLPL1Y
aCWHmNEI/l+yd+vc0zYABJSPIqPAMp5roF+9JP/fBepuohLjSHeA4JjjhxvmT/IwV0tEMrOTC2Ke
SE+dzTlf9npDVKTE2krBdDT75SNFAeUbjMxnYwxBysgpO2QVLCmcHgTHevfdJMKzg+oxbjI1EVa2
Sm/VaASukGrEcZV4AwXhEZw+a7LvCIiePFm5FwP+F/AeUQfKWWskHhxApaOBb0nrujRCSaqgu2Ea
emmJsjrlvr8LOZoeE5PJJUnK+TBb3gMTMm8lGgqveyPfUQ1s3JiYU8j8hUxKm5Zewc6lPbj0qquM
Qe9OYg6HlOZ3L0L1BJpqcSuG5CPhMHO04hDITmA4Z8O0qiNehPhiTNJ3KCDDlVnI+WNMrPgxZ918
AUIYQTlp8k3fFndMQhWkHIwFDHl8DOWxx8iB92RTuS0MWaZ1+yEB5duEvcGNa3OLFQxI7sZg0tWm
spUVY8XMnskay50K4xsxRtUGao7vg9eOPHhxFMrttGjLja6s+yGOEcIRmPyzwFC2KYbixDmVdIFD
5QhXVa6vM21E9wAMCIrFr3YqbLZGZXGhmDsX0Npm57lOrfQ6SLr0IlY50qHj1qBC2m5TLt4AzOw0
fU7DZUUT3K4oM5KZeXw3xNaINjmzg9wy7IWT11TDdZ9NTIoNT57GNm72pgBrtNQwP3caWB9BJ9Jk
Cq8L1TTZMW8JGtH6So981XxJ7MpdE8epb6xUV8XGLk0D4S/qPtqQ9xo+ZYLUOU8khV3EcgwIowYV
Zz+NRRQi/Y/zJegK/67I/elkKYJHBcCFk5u48ilisdgzKBTk/itxabWji1mp+Jw6Ut0Mlpfvy3Ke
r22CKb4RhgfMVyvdlapboXUykp19O76sGe2tQjj2nyAyTy+ZbIsT+Wn/Xel2/JRl3rz1sQDRRmqU
8pLSAdi4DHCbDRneaU8LmHNbl+wKmY6253JKSfV0wXDjofTisJLJlgYja4ueOB0prXHWsaC8k96L
sj8QhnR2LVO0rZXMzLlk9Mp4X9JY3cE8tPVE5qEI7c9jDB/QAU11aeJO33oxVCg1MkOvo2jexzFS
9BKe6It5CY29pRUWnCJIsnXFn1CuPBAkLE9bLy/ufXqG99T73krKPKiX1W/QQJN9iGqMGadsjhWQ
Cfin+pY23psqGh6KZhQXdSU+hxLofS/mmpFi4mzMIB13ocX81ZiMNWGghWFBoWdu1O9TNugbHYz+
MYBsNRMqp48BJsUU7Iu0G7ZqCbdmaijWvJ2f8imKbuclKETwwfgqXJAHlLSH/tzCJo3os7B4thmg
N76qurKOTB2iHS0Y/l2HW5GkrAc5CqSttwnL1kafKOGamRULVWarbpcgI6nAt8jf1t0b3T5NtgYM
OF6jW/m7iEboJXCv7Rd2G+p65u4itiS4ZQ4jlNTH2CBPuKHt81wN1E9pr5HnHmEdUrHf3eKF6apt
lNq0V5bKv9Eh7TfAQrMHqJz9J0pEY7BdGiwGKNw4vpgRwS5pQ/Vf55TRJ6EjG9tyawjziTshPkIc
RSfJjKL+Cj2AS8iPnPYFCFZ0ZxngWWOKktxNmRcsiuBbLNil0g6wN1HgbWBDbAEaT6NXs5eIJXs6
2LG0h4rIcy2CsVg11hAi6nxN26K4obW3vDXmEWJYAevsKVDMDTeVM4r6MI+QqjCnxTFREfhrK6sZ
CK+hRSdPRBFtJn9YQz+arhshKWO2QDJLvbhkCttU56ye2etFOvtU1lABHZTDixjO0SW0P/uaOGtp
n1IZugHT/mRs9irHqeJ5cfJFZV4WbkM/ksdGtfIyh6xwqEK7vfen3OMu5Pn8nLAGrBu7LR5GnAPk
40cik4wqV4raGJYsM3id0tHe53kAXBQl4rCk8Ah8t/Z7Gi07TOS7wv80VYOHG7Mema6M893ghsEB
OyVBDCbFcr8I7auG+97a9USTGYyn2C1WWTHHzrrLyHZ4UzoBjwpVf0/ImVRmF5s5j0BiyKHbSn5s
k/RrtE0ffxsZNVpvYv61EywyZZuklynq67g3q2J8YTrkI6x2TuRvgraFl6ATxBWq4agSfqTZe/xM
zW7/tYL09WClPXbjNqv00bOAQJEhxr61Edo03+OG4dKKbVL5UIcIbLe9XhYD4AwTnOsRw15JTRef
ZTCV93XGBbGf6tK4buuR+mgIttmWpE6xFVbUvCCr+C8NPzvaMr/IN6rN+juLM8IpLqP2vohnY5/9
J3lnshw7ci3bX3k/ABm6CADT7Fsymew5gfGwQQ8E+ubr3wJVZaqqq3ufanbN3kBmZSVRJ08yMxDb
t/tynL8npy/r5xoTRcSFGp8V9pVueFIjDbBcqmYNWwvoyFmWukeoHQcbtFORTda0zPwBBhrgYi5i
8JLPyIV6CocXpoHr1exH+dXGm2yMDf+moy6ejGUoKvXFCV812FUsI3O3FhgY90Gn8jt9anBD7+FD
cCPwBk9jj8nm6IndUnDJyHnDupNDci3NqtcXeJ6aXV9alHzrRc4bgclWC7oOnmLjwzqJzHDbgXG4
6Sqsvgsr9cQxQB6Mlozi5f1k9PVr3DQZml8fOd/07/Y7+GC7Uh+ZQpDhH4eMB47jxdNzw46JDTLN
a9BbmmlrunNKLfAKDGVUBqthMGGWwbHk8hCeE2CnPBOAdgV5VW4wmE9Ljyb3T9PPGrT1Lsj5yrT6
wwQ/5O5nhvxbEuD/j/kgm3n9v7d6LN/H7D3/P/t6br+p/ygSzj/3m0boeP9wGL5J8dg0o6IHMn3/
rhEa/7DndhFkZVN4yMEM7r9rhPyUkOSG0JtN6gkEP/Wb58Pw/oHsRcUTxTAgNgnO/B1l2/xzEwKa
AJMamDS0m/lVIOX8WaGgEL3PcwUos4uSZsvZVdxil15AoXc2pACDTWMZ3Ch1+9PtzeBCKmjcsusE
OAuwQSUs072g8HZ6M9JRUY0xaYHINdddNvmX2sbianSAO2T3mrI4/fDC0djLwc7+HzrLnCz5s9DC
XwPhkegHOyhyIH/R58IyTaLKqnQwsR+FCpJH3Mc86MoevzUL1PZmHOfd9tiYc6FazszD2oikJdeu
MKnIN2MH27LJladSG6wDeIH5spEPAopPRyuem6jrMKlnHdfwHz4z/0ZZtP4qz7CbIJfikQAk04It
6C9dFKZL9XzAfnRTI3BxrNrVgws/4rWwuUXBQjfQiQZVvINhzq+q7B9xROvnHHvFTZTlGf42K48v
nZ6pp7ic6FnAzOhDkpc8xwPMGV+h2Xn0zzevoD6sfYYj9V2zKrMGpJnld7CSi6Wm44ZcDbqzr3DG
OdCnw9mLzFKVvFWuAABHzzpmkmAlbYLRpNN5LLGIbuJff/+k+Q99Y93Xf9K6NZ9x/MbHn7bo/x19
WoLv4P9wqhQ1IcQru4c/nijzz/xr68BhYpKX+0kWYtP614ni/IM0khT/JRxlsA4jakc9Ozrkn88T
QW00PUdkE3WEbYfWpd+bxH778PKm/bd7gB+H2B8Fz9nD5ths5WwkR93+q06OV0TaCcGSNbdO4yGs
XWtfSa4mIYDDC+hsXMIy8k6FiYpejroPBAgcRw6A5OEPb9q/+Vr99Nn+8ZVIx6Q3jECm0Gf59a/S
K7n+Vk9Hj2KJgsKfhat3zbov0uqg8XSmPirDDY5t1rypTNNda5rEXl/Y2oxmKH4lc93E//yCpPHX
o5YUKOY1XhCLId5yzHp/EoNRxqkgKBtz3XgCiJWbobQNHZX0Y2AcTcP75IKMn6SqMB+4cjRgKBT1
kRJAZ912vn6aRG5cBGT65ThZ1ouJeLEtqTXdTHTYjFQ/btqwadIV5lT8ZA5zfC1HneC5fi1FQ7Kj
DtYFp9kJSq579qssRKsa9QOydbOsLQtTUwHL9VKzcbw6YZHfmJkjjl6rGowVaoQfj4P52xpsuc2S
1j/iU8rPNs+xJUv8I16uetvjnllGWtZue8v+yBqfstEieeOFWDsNUO9n10z5cqjnMFJtW8vACa5Y
AI8DtPuntJHlJrKy4T0xoGYM4Q3zNmOtbn04WvIqY/2mB0Pfk/TelK6BiSqPzkkRpi9urGiFVoxF
gY8u4gy8wR5lwDisAmuhGyXttHUFLrwUdDNiEMP5J+pHlJSEuS2vaUlgYqlTw9p70MIW0WCPEA1N
4B9GYt16fWF/uBg/10INXN9GKnpLl0lndDUd1q7W3/VGrPH+WT69B6Y+fuUT/njA9djmii4xlw0G
EZhUoazs97Qvo/RAnPikGWHk7yoPgGc/naQsdjVE8aXWPSmhv+At02HezFb4sJaAkrNf2ojCRLkI
VlFmKWosYfJTtBg3OmB+RseO9dERUKzcja2br9ApPzyXTlguKERnCshmI9ArtxPNOUcj3baCefCn
ukWI/qjHXvhoRvh3Esxrq3iioqjDUxUW1q/Y8zf1QOwffCHuvgZrTo+T8cHx5khSWJ4IFaqdpsZP
LtZyrfoOTbXXCAMQ3llWMvxCft3hugeDDl3IjP1mp0j+QhXhyu0n4j7Arsbjptw5Gpz0iav5Ekv2
rcWQnMJgccu93uhzh7C6gkAwYYJY9IQXlT5jasdh07o+uiHh0UvgB+NunFrvcXYG7L1Sc09IoAAc
ytqPDjBajFviHsMlQt7J2Fs46miQ4rygp3YnKgOq+ZNc9TatvolguDOhKa0AOxC78Oo+PBYcb9j/
3X7F5YlQtdmO75GuJ3daibtMzJ/BKcHSd64DJM517ySAKahoUeFt0UmccAQ9NGIztcrNaeH3ozcs
Blu3iEEASTPu9EIME+aBCkcAPCJejt0rxtTWTW6BWwzzbiVnyYIQ9cBEL1bNvH9p5k3MCOVkAVeV
otR5TYOLVB0su2d1A5xlSZdAvjFLU0Pyw906+7TeUzae75zAyaUSIbsgf14LdbqDKS+AcPKW2b72
pc9ThTfPF9o8aVj/HDrm+YM9zLQszITepnk6AdTYLSqdCorG6KtFOU8xzjzPxHC19qwqwpUzTzvW
z+AjEIt37jwNjfNc1M8T0hhJb4vZaodBuGdAYo5KfkYqfZ6uinnOCn9GrqrL5BEiE4PYpIz+xos7
pjPM1wm1vqpbRQJ1PJ/nuGGe6NiYYtb6GfPceeLD6szwhweKOXCeCEOSQHiLfgbFdp4ZdYzGyRPr
FOk+xD9j5fDPGdP9GTgnl7plFs7zIBrNM6n3M56CWZVr62doxZUqzirXQQtmeSOfHEoEHuBYn0zy
+LdJ5GP6Fz0KTxXEkFsT2yAwMa0jkhA92Jaq/ehTo11S02ftYyvvV/3sfrJn71ShPNhg5Rj3q3gQ
/Tpua2Pp6pG9R3CPtkneolGW9UClEim7A85TOIM9XteH1J/7ssquxq6lOYHA8VgNwyUQwZs1+F6+
rJjROSdy/1TSyPpIOasfLYkGmdYyL+IYvJW4jyrICoupd4dLLqqBQVofLk4Teif4kCE+VaCq1bqm
WPnBI7/2oEX8jzw3Ffver2H+dxwYehCD2wqS9h7tqN8JcsP3wZil96bULnzf+33I+39u7XbMCW7q
1TkQDszbWkNA5cxd9nFK5TqsJX6JefAuijbaDlXHB7ybsquUjO1WadkgQ1PHPXmxtVfU3RGBSzr1
UE2l9Tqa4HWW2eAZzT2FDWDIjDHYMBXE9E+UDf7nkDZdQAKVrc5OaMtnxTlE9qst4nPHW7zUghTy
WO6I+oF0YdCtyjbyr/wTreg4LoEdJd6pL1RyR4OLhktHB1vpAW2+y2UI7CTFJIwTsMznkkU13eay
hJEIt4cwuEZ5r0xI0iD7QhijFkIUmQh2Yiw4BrqheYA9ehrsztrwIdT3Y+QWfPW7bO2lhj+sSGoW
HUpp2z6MLMYvAb0dd3lXoIlO9BxkMgX1ZtAmX4M5WSI6bjXfbvgG++JgkJtDpk7K13QqERH9wnpl
IdFDKIm9XQGwnsMhzB/qKi5fg5KIFfZSdRldIlGxVnksNux2y7Hs8Z7yvQtcV25GHhsUHTkWFkSb
175g5XNGmrY4taL4pZJecm1DbmKF3lfrYMI8MrGtvNdN9mVLBho9JBCoWfuwaK1x3cZUVxGNqUFU
u7Z69aAjn0ggPuh5rN5p9OJzOBCk5MvgvuM95FGnxQUCGJl3Yml2XW4GnbD+2IfBowTfAgoqN+Wd
hUDVLxilsud4whmMPEM3nwg16Di+xdarczC7j3KufZV43Qn9dmF1EDU0kZVVW/Vnw/pslTRyXTpV
srG12L9Uk+1ueiVqaN9WfufpqTrrpmN+Yu0l6v7zHWQVz4clzGWyqEEKLsYmJFnN4+oY+y29gAHd
GmZa0kleGsNqDLv0wDJAvf4cEEEUtSdi2P7rlIIYTRt6kxSIAYsbHOtW3Jd5tB8xRpPN1Kxi7euD
LvG92npwmHqrtc96kZoPVZPReQSd9iFta3wDeF/V4K282LWae79Mm092xBwFkvqrLb+c4YJiXEeP
oRrnYFgcgl3qZgQSVQg0ybGrnDmtjT/Qq+Fzq5O5CfxpfizjvAZp1NWl981yxzt5hVt/5rXusZK0
Att4SAi/EYfsC3DAXlUZxDch6/kLr2zQuAEiAfGn2my8VDU6t3KN/gViDlUc1K9ewkySE27naUPA
JX61iqkmb2h0ZA3oXLj8/EtuGnwgYzGX+Upwx9YcFFGvLGZAuxWtcKEgxXPl20+Nn+OV3BbCQckP
SOLJt7QSew87jB+zZWbv3SwYArx7xnChsxtmVTKql7rX+Hx6TgyIysDMfdFlp15Jg+mXjpv/Vg3w
vBZkgkvyAaWHwhzzHLrPuqw/VrSCE6TXOZiCseXfunYbXLy4Ap03v/0BpvBbW5T/nJ3+ltz3nw3h
/14U/F84c+MC/cO49l84P0fiKlgjm/c/UX5+fuifU7er4ydlEMJmqqO9kZD6feiWP3qcx8zLFA3x
wWCs+03Fsy2kOjx4aDvu7//Vbyqe5f0D/c7h82oa4sfx+nfGbvqyZ5XoX+MuuhElF45uWfx5rkGL
MoLhH51Go5YnSkk73NVVlQ8LJ6LnJsIwuvVBWu0sVXOcyNTWboZmaneJVfV7KJ1iHReltiNlo7hI
delnqkztlm7I6GL4yT1PKAoklK2V6yYuWbWBM7UWnWybc0yW4btEJiQbWxk+8dvU/qLxgmW36DJt
07aZ/YB/xlFMe2FHJdtQVttssJ5Kd1TUEik/ujhDDk63FhHHE9Ep+wVyuf/BAkM7YN+G2RjVPIH4
P9T8W6px+G5IAWqwA73N+n2nG7W7adP0xmEN0CNXCZM0Y2x/GXTBYFcJ841uZsXeHLxhz5OArLAM
dcB/tSPvMJbzHATCva4yp34Oo67ei0h3X1zZfwMDp+kg6lK10yGWNyu2U6To21YPH4STpweMBzjV
m778qDPCNJXDpdsawlv6jpylZ/OsWc1ViMTQfkUVhXABOLAVH0DyB1YcbcAkE9KW8aZ14pNu0XHF
c3MdRhiC40A+N9oHtMlbF/DFohRp+4YDhHGspezGVVmzhDf5RlGLuImms2Hvgkp+9ayIlmVsXCmU
elNO/KIaIi7arOXKjARoyJwRtAgFJl785eDKNcwCagPFMDBqVb969lBhCyDfgzmiAGq+RhGxiqly
ta0bRmehLMrdGO6TPDtWsmjuHYoFn+ym3ZOyJ0o6LsCb7WRm8S72nFnUU0rM9LobHULuAgfS5p89
NnwSJaT5ADMts/IN9so6HJNtnbraqYwhPmojDpKwQCRI3a+C9pHIqu5asy52jSveW9w5M7BtgaYE
IifL7KVl+Rzz2bgjCvjiOfpTKIBSA4DlY0io3N3BzFtLmtyWcZz1e1vWVEJgLm13ekiNWy+5hgyV
AzojmWLzQyHQhgvNB6KeQekjBKQ1UmM8txDH65YwXrRCTa8XdttEK/SkdpWNRsWKbI4ucKkJt76A
NVfrabSeOrRUBLHrZIYZcnrHG1b28Uca8uQVvWqWNEVoR49H5IapESaGX0XWsRftNQK7tYCIiLeV
UWi2VipzQaFst84tce4r+1725viCAjZs6WHZA7hccC+sN76Q5V5gnLpxTb5iE0/dpzawsudGXBFg
QOFVDRv+VAILTSd24S55eR7TCD/4A+I1I3m5hzCDDYKoHSturaseJ4m3p2tBuxBUXhqZkW4aqdoD
jA7j22H3hFUHE6Du0JOGeA1QVQd42oQEsXCI1KQS4zull+pg2li0cLJY75pDZ4OmhuPACtxsBVzE
Orv2gYEw6HhEcSDqnD3dDzbUlO6Yy6GBDtVZFFhNiaDpj4xH2iLOypqGPDpXUrFMk4abIORok0s9
0/9NBWxiJzpYBL6/Kr3gJhnpJC7jvFgj6BP4AwuTZ9+AQ+cbB+QKVqecNtA/A71/jMdBX4KV4cgZ
97zS4dx7xXOEwjZEbnwLEeM14FaxzKruUPfRvdHyRgadCcYTQGE+HMLR3ee0JqTpaXL8O2q5btJx
ONSts6ZH62lM0ZxKYJU3ozEQQwrfooHmgR7M9SJL1VMUM7/I9NDI/EsLZ0hAGMnk7AFZ2mEK3EYk
S5c09/Kq9VdI0MERgEN8JaNkdzRD42JptCWO2FWja2c/i41T59FWo1UgSRvbXadJQWVUa63gltKP
xaWTK9MCsEF2biZcmVq0Gk1NLWmYzbaaDavDTRxCrClMcjcHYC0wbJBJ1Kch3OkIAw2lOwY4KU6D
6GBV0wuSCwadJmm3ZYatoh7Fix61zzJPtiP4EZYJrPCJDXP6kcwCGBEdtZy4UNbWr0lZv46YLZY1
ZwutzMFN7KL5WJCClhamqh106quVjeOutbETTU5wLPBK42EBBczM+aCi+jmLE3VyRHU36C/oFByI
Pj7GRlEv4Y4H9h1bjDdzJ9BZY5azKo3HjCdv404JGKYkOWxyoiN/yAYkf3xjE6TDtshXyEvezLQn
TCwoe1DwoxJfUQlkApOAGvYNpdd6GzQDUlEh9rLEuqjX3YtncG+NE/HmZvSbzn2nsw34RUk6f2vt
dpDZyAc4VFdhbHsvP8jmu/aG+olvBwdhJMebwTExhcV9voUiuqcVdy7b7LeBTmGYDMsb27LxzsSr
PFP+Y+FZj4gh8b7GxLECvlCv4s5ynn1cz3g3xwUmuOcQzJUccoy3uFZplYWBXLbdIWlVj3cW0HcN
o/oxI/14sRo7u0wVNGY7Fgtf87mbNgC5RxM/adK80G5EcSzPPHoMfGffSbkObSREfnnnwHeAjUEm
WJp0oHKfnSpyp0m9gxBk7EhDkuWsaYaIcpYFEat2ocft0ggyRqHC2ZK6e05Bkp3yOL1aPYpPNVpH
adbNth7R6xX8M69fld2IUT6cW0lCrFdhUN3kTrqwTOt21KyZaYODt/HDbexQZVMI4xs37N4qxhDh
bQzXjuxs/ix3BbWfuis/M1a0e96VZZEtc0PrFmVcPioj3gGAgi5Vl865UI55L1kibIoBDQ4NH0td
1ekng9N2KWNjqdERdQ30Mmc2HWgibxqoWr7MMdXo6qm0ymmLNXItFUHKoGdQC50d6IpFMdH2Ctfb
QyqPMTPaazyp0Vq2kb1ScvJuEwm8KKO3VGGpkiRSPRDPCxj7064wMoRXTa7TnupMGHEaTrdFSqcN
8Vts7klnjxgUffSSnLasosf/ylbXbuBBCEZNwwRLjmUqGS1jM0ieTOgPN7YdPfjtZLM5VGcN8isb
VJxPlv0zdFH6rBeNWncSdDtnNZRTNN4c63jjwn/CjHMX/TRlsH/lKT4DUCt3gf2GUIWfrkGv+G6Q
MNVzf6Boc89K119aNadxigQ++oivdq3fV+BPZ18jkAGDehBsmEZeeicVzK1kif5cGFST5wPRA1an
6a63xhwhQx/PgeTW1Do30VymHnk71x+CvdNzWejb0V0op3vwcx5ZWZ+9ddz297XWCVIL4TUFFOtM
rX0MRBRipnYaoCNhoO9V6IM2111vRb208RwEZUUnSfXEd2bHmL/qMpptjaqPv2JdNJsII/NOEKVe
SYCaHOfmr9YpiusUlne1wdtmJ72zrrlhAR6koyPj8HWchavdcyFFEaRelDY2+D4JMY8g/C601rjT
Mho3hi4/N2lJrQIqn40f3Ff1z7UnXeoNWTOcgtXGGNwOaNqw18LsS05ts25Db2dO7VvWmO7RnwHR
xGXNjeUN4XvvSHvTdtLY5GlBQsFUsttJs6AVT+nTW21GOHbCwd9G9P4co0YfT9rEhQ2/p7+dQKY/
eqX8IAJcb1k/UUBpEB2m7YTK8UpHFqIkHGWnwua4sLx8vC276lVgNwJCmqTGmy1o5hQRyX2XtudL
ZLjDLpbTlgvYvjHKe8cZTzjAtbXdxeV9Ftnd2jFc8dnGYUGxgMhPWuJNy45SpVUyBAXclKAk7FpP
6GcGYmhTml9NTJcfSJ+qxsAPjbozvllZfsDva1elCo51SvO9X76JqPAvhUrxaxfUd2SeVexS8W31
PDVCIhuuOz43ge4uJyCMO1EUT9k8m0g0PnBthPV5s7tNapu/wjrbASmbzlwStw53aifGDRiMWKb9
RB5z3MjrWnjZukwxTbEc7Yje3uCN5LjJrK+wklzaqSQf7Kja665mXzTagsL00nlWeKaDVq0bJ43v
4qSxsTrw+Rfj1SVZ3fJ2n4Wn8x/15urvHhUNttN+GuC5L2kLOKFMxqcprn9VbnytA+vGwC7GZx01
A5k/X7D74+GlqmglHWzVpY1f06cElDVXYg7H0RCUGHGLuUxuO90GqGlr2pXCowg8axc73O2VU5Sr
ys30m7Y3NmVffvse3DIjP2cT2pwbqnWQAAQoeZ4HLV1AdhW2859hUdkaFuceJ+2L5buw2UKte2Bu
tHm+Rt6SQbb9jpzWf/CLwLiKLu8/rQinPBvZ/gbUjYnT15Dpr6DyzVPoW5g0c8Ie4CZhK3LPUi/h
2JZ0sJnWRwRi45hac1VNzPWlU9qdShtzP0XJpqhSVkwtixhLfUulIdNhfSTaIxaJmT6FqElAp0iG
wwpElZuWrUartfANnnXVALQqVoQVPLYLSNbT3grc7RhaE8mErCf8QyFMruJNMyYUJbUm5T6x2rdd
HC/51rU3nR6ojd1LtQrKYeXHnJ456fadE9UftG0gQxvtyvT4/2vZpWhl/MhmuF82lqXKRVv3Ot1O
xg1O1P2Y9PUWlAa5lSDAJ0OhnjlTHqAMrIGWNitRhfVZee3ZTKcNzp8lIM9xjTn+NZ8wMcL/l+Wt
5yfewZY9yz7Lfnb7+B6fS7a3QWky9/X48bPxVxbyPVwE1NyBXroX5bBxSouHdYyRjR/1AtzLGrwI
YOR3DAb7uN1p4MrBkUstPUe5IkkkzfceZW8tQuM5rNydFSIyF+m0nNLqq8q8zVBzUjbmPFgiBOTs
F4fBWQWewd7XcAJ8lb48FtR/rBhBqVrNK3YZSb1GRwZZUU7iaAOWX9Z6Tq+hqbsbcnLLdFS31A1v
Ut7NeyURUDJT7lqXBtdiyvZ0Wx91wS2mn8RwIN9Ep5aGowF0LBTAnt097nNqqAoL937XNNZlGF0L
P1TgHqyGqCEXZ+8ct3NdFyT5LTUud7Vj9Z91HssV3MRiNQDsvIf/xsWgn2cEGYCH2PRmgTiujAFp
NPPvPY8N09LHEbpGveooSTfVA5bA5qSPVVjBw+yjTZI54dX0S4p86d3eME0W295L8r2b2jgUi8kn
3kEGaeHGfftRh9j9K9vEiZq8p1op/FUd2Hx3DQf0mN9096qa3GNgyGovdDimnZVuaF8v2MuI9AjE
5tkS3aVRNF+l7WicM6Or7ktHnUipcOnlO4ygC94xgz+C+cLpvaMgmtO1Aa5v4mV7ilzVlpqxDmtB
E290PMykqo3oiQwFn/Gi0Lat1LtPGzdvuFapy87fegvmFFeJLYG2HUwUbNfNZ0kbu70sJXZYlXo6
Fs78bfCDLeQ5oliK+p2kJasNn1CQdmBkb/Fb1VqxaTHuL0tbCw7ZgAAe2CnBgilzn8ZyfA4HLmpp
ysKeYhpvJegBpRtHexsUT5pMmVj/m2NjJvm2rRBmxsqmf8QvzubEN1M35EF3UHTygbZQHy4XQ6ej
wRqU0WPNoeZWpcljNU+B8X520uJhFHT5umClvwdoEJA0QSUxEvNRbylu4nOdLsCJDgskzHGvGx5I
CB4EgPrMJQ2/gB4NaMZkNLyt4ddkSbCSnQqjeKHbpcPcFetMHdjFIBJT8z2qk8njxoxhIOU2lmPI
EzeFhN1YR9mvIdWzTd6mzVoPuEjFTnLQas9aRG3Llk5EZ9VrH4Gf3wE1+WrTZKMnwYOj4vCp8gS1
iqUGYUGC0PCnyLzThwAmqPCe3I59oujTflbBQABpplgVQ6h9FoYWb12XKJQzGAtoMNa60AmTxO7R
yuQGLzzGZwDBq9FOqOMmkONFMXedILg3OvM2K4Yz7MFwzX70yj2VBZIhwHpL96ms0SmHiLHYCk5+
HK2yYC4zVe7FceQLu9NrPIx7nvw3bVMTMJIbURLKN6mVkHyRTRyPjssia0p2juwffLClWE/kQFmi
qV+dEhak6FHAZB7XhOzsmq94yDwLvJCQTXCCPhq++zaFxAsIyPEmSqPglSzruOprgMdIK8GGZRJ3
MlYyy0kCbE+nq0Fk7d1P4/BMRmIV8g+HstedFRCZJwN99EsVPHeaNjuIhp+oVIiJG4gVdWmf2ZDv
GQONVUC5WDB1Gxn3Yg0R5aml4gtBJv+yw4aX5wclZT6kqFP6CNlb5g9RFeBcj11nvnxGEAVbniKm
1dwMgphN+QOtcYYHhfeDuajqnvkr0jFj2dTz5bw6fPSUoOP6ImlEhzagh40Jdu8L6Pw1R4RYJgMP
MKfTqI0c0lWJYECNBIJCM3UPvUKo0ivGgaR15sUMDU1Rh7SpIt6jcMxvLX7fKFTjFc8swmBYd1vL
8FiDV58oMbgq03GmmjU0bjPaLHFSIQP3SfdWchxCdyweRGXvZZ1fY0fdpd2odtPolHdmwm/ZG+3n
jMoSzUer6cAZrsLe8rfVoPdEFu3sSuuFeY36+fjMI6wa/ise1DOAFsojLe3a0q95xAUf3jlTc6BT
x2MPSf6HWpkl1d9zl1i1BCm5GEkXoHll+To0ukOFY03wtX7UgtD5pXpRI1Kl6HwWYqvdeifJlvSW
2hKaVvJqN/fqtRMJkKLdGkXrbCaf56fpHfp0xj1n0Rv68WNuDd8c8TS8en55g5li5VIq0xPuOrH9
cFbCUMMdvUveIgoIw4a9U/L0Uqx7I3SUdRV7w04kbbPTZqOXB/+ZIpr+MnfTdnXcrIagz5gk+mYP
jrrYg+/O6AEXoehoG9DGRcvic2E4ZFEEh/0i8BGbEv8UuhYcUtDKQqunVWeUb1oJwDsTA9xlpS0J
tdgH/oY0kzI9ixq1ujL9eRQie8ZfMGBSKa74Sqgd7nMIcB5GWc1X7dErpkPQ+STCWc/dcFEkqlIk
j2GPjBgKWF9QoBzW2HxstEQ7geWuNvXk7qLOe5v6uQfPElu/FDelZ7NMp11oTExqvpoLsLZvj1su
JZzeGhzSoWRDs8CawqyL/Pyd+8ZdXRnHBknTwxCzFI2/KbPAAm77bbcOuQ6N95V5vWZrrF8b27wt
pl7fjF4TbaCaELxIuIt1ZgMNnl04i8D01hFYkerSyj8zly2GOV4bopqsA0d2tAY39rFRRItFSEeJ
bp8ljezbMYCjNzUcTzZ9hqDvqlPlKHsrkoYDrqdzpqwLshi+uQsoTnL8YrpNct52HqrRpsC/1Tiv
DUvvU17SeBpjA/CHYZM6aOeSe+i9dDV1CUKNAiKfASbLwvY2raKjbhMUcbmJLuJ8Vr1MfxFk7X1q
OjegzOGTIZJzj6LeJkt3LQ3pW+XXB6jfGc9zlLuEk0lv7xzqwQ1JEo1K9k3ulLOVDf4lUM4LLqaM
BTftWfQNMjXlzhpS3sLU6mFt9uZ0sA0uYmw1JFCyolg1Vb2xrfZce9qeGRWVRWDWs+Ivq5IkxMzk
juclqUXFZraoYDU75c5lZ9xbT25o6t/oajRkli5wqz6OvgAKzOBCHDyE1/dVKHVyNFh26o4bQxJt
+1S700SgtlZc7pvEGBeA6dIt8bg9xJfYcXZWW5yoN4TKisbeNLpB3gQmWGZE+VZRgrNqjOhcTWl+
yymO1SzRw50pOv8kEP9oBQ8iHQZ+VSM6veT49w8tIg4fw8F6VEzw5IXioyzktCSEtYnpkdoYTVOe
GC8+ZGrdE1AjUK0H9510V1zSDDIoSRArCFdNcw2NhnYdanbX1ahWM65tGVIBvOq52MA540rVxv57
1oxyPapuWJceHzTTMJud4ZHmJKJWPbVDms44Jbu810esKKxQTypub80mcr4YL69lNhnntumj7EaU
Tc1VToSUxptiX3B1GuZt5lgEpzyQ/nVUhVxz04Tc6wtSkdEAEWyKxmrrz6sCeMPatQvKi1Pr8L5H
oGRxBn0s6XZsCggOl/Y9cK4j8iR2S73dEkzlQC0c8a7Z+g1cyaVunNxcX9mZq+0H4lA8QnMWQF2i
e8xJwy8qoaY1RQcv5pSP26bKroiznAUtGm7UoYWF5dUwrXqjsuzipcXOStBKe5o/3cbFvaisnZc8
UhOwQhm7ciZqy7ocu2UdBA+5yXdniKlcTYwOeLeL2cL1SaD7VvIkpM3A2sXgh5KV3oD6q83sjrFv
6VfGwIo3YJugxZeEtvmV0rr7LrHLhdUGa+VnG4zGmDPpXNS97nZkBmL0pWE8TfrlFPtsPYLpw+Xa
dgjSD6Opgg3noFDLdOhZnujqZqwTbatpmXYzNmLTTdG5JBW7s3uWCbZGkGKBWNYu4rZz90ml0aPr
A2jXu2pbDDb/Pmz8ReR7JHy5RC0yTrlMlDeExp91HeHOGLFZavX/pe7MlhtH0iz9KvMA5WUAHIAD
t9wpkqLWkBQ3sJAUgX1f3IGn749ZPVPdbTZtUxdz0XERaZYZoZRIEPD/P+d8J3gZa/RH0O1UyWbp
/Jj2fr6noAybKFVsgNTMurPd8Icl23ib8EBb53La1eqhGTvSrs7jgOK74pHjbHvWe0Qgp1udggK7
bZeXPArvm8C55iN7bdh2m4WBqIHk7EJVg4iIcTCxloOtJbiwxq5WROXwUTqsqBbapO8dIcUK6UQ+
R5ZD/+kQ3iUxzXCTKqkNsABcu/aF6X7VRbV/8JlhuN+M4wrjjn2WlfxT9g4rC1IlVlGhifjhLqKO
0CVPuiRHiSmeI9AIsWfSY7IHTEIoLiUHvSN/4h7CzgDHjzjoID9FFExyqI83dlnkD0PWiE3QZs4r
AixVks7ON0RxVfbAI/PQByrgIinNuR7jOWddomhwSwn/4rcT1p5ZhB/Xhc9XWc2H443OsxeX71A/
9INnmbQB2BD02xwyTbweYtvbp+GksRBSWUDm0Y5WWegGjyJLrwmOJoYGZ8CV6Drg4Jv5Z+czv/dN
ZJ1o2/vBxrbZcEQV60So9ASOPkF7grg4LSTYXZNhWo5+OcK9x5C10dU77+w6xI+nvYqCQQ1Vka0S
Hdjja8ajTcPqthTe9LH0Dpw0zwtFDv083gnfQwcinR0R7eRQYK5NVDzNPe7hdrRYaJSMS4PZ1zlL
iMLDcLCsMiv7wKW7Bd/5AE32Gs55nq/HwbTrGVr3KH+NfousnOYThHq6B+zhy3PvqVlbTR6e9Hl5
DCgXwCQp72ADLIfQ7sE7ttMluBUl0B+WA7KQ/cXLmpOh7gQPHIQaNlxPae18E93UFwGFYPPXt5zP
3+FSbCa3p4+R+XSpO+5Io36IoiLhVj6tG7qLJpF8Nbp+i/1DNU97G2oQUWBqyW3nA64uzaChhshX
00+qbB3uCl4G5IeKOc9mAwiNkfQPqFHsyhQn1+2+ktzG4hvoFNfBRyn0U9c2W8yR94UxmIFd9tg4
abomv0uJ1+qlpto9Cu6oIyalvsg7jyTySs+RPHUSkaNur82C1PjXqrVsAraVoffgth5yEw5KCgIo
cVIOsMTQarm1QnNflWkw/iACHm58HZLhLqOKruV0oFJD0FFrq1OKg92M1SHA4a4hxmOM56PJE+oi
pXWMxYRTgbwuPfHNzpctq5tbJ40qmw09fj8GRWWFuvHE217eqRYLbu+L5o9XKdTLKRT4UVRir2Qt
3genqWiIirDTzgwDNaCODT0zrPBEsXxXedJt+i6mSRPrwsuikxKjTVcDgmtrSUmO0cEx7Vr55joG
f8XsT/E+th1xmf7SKAqYMNmaPD5v5Rhk5UeGN+7NjGB546T27zsX68c+paSVh5v44RapegTGUV0y
wJQh7dIM3EZKruXaGe4rj66WeMQ/G05O/1Fkyrt2tQm/oylrgtVidH5mBWHtooVacvLcI2V+TU4f
zkwF9xFJMtp6KpGnPo2oIalM5L70k1fv7ckoFGGVb9XcYObxigXpBNrUbAGrdf1FryWcf3gxTl/t
60xCsSjCRO/HdNL3oyxINXMx7myZ+teiqeR77NzUXAt6j/Jczjuq876MSc9G2tMXq1xAd1GyKxCN
8JUeMMXfe3WbnXm1mvNQ1fKnZc/WwzIN426wsTOSr+ewU8QMUqJcR5MDwTPPFyyoA4iQdvaeZDDa
36XvwZ7Gx7xq5mjmCNjvA79EA2DkPUeF/xbiBMdH4CCuRjs31e2udSf3s3Hro7IuVmgu1LegclBG
+DPzwCjk6sEz5XMlzNtUOtD3vUTtTcMoEOKcRHb1n6KCRWTGrxxUamH9qagduVZZyw85megcdlN+
P1vBVhVhyOrU4MHZRcXIcdt67ZsAbm1vBFbMNqV7pun7tYYqup6zdkI7SdAiWjvDewIDmNJnc8rs
+WQ5ASUUYx8+1DHlCDUPNCmSbVrr24cNXgU29fbbdTCTshHANeNgP+DxsPkrpp86DLkT2VCmu37Y
wqOXj6QFgzUxATzNQ3YY03hiZyeam5ToH1niB1sMEDYDAXCBl4Sg0WrGmo+7MrLQCJy0z9DogvR3
0vbDFWKwTdC6oVHFrrqMdc4/Dtvepqe++GMiGIVXpEFR8NyvqQTkUXrlIbgtYJJliu98qF70Dtym
ZCso7vSAPKY6Nr3lkOg7DGviOOVz8NZ207iFfIZ4rWaw3HCFH4lZkIRwSzHfdyYctmgEuEmLbl4t
ZITwbfnzOp2ZfFbj0JEg8Een+iLyXm5H0U4nwgzLrnHSYo/z06WsmFgQZe3W27J43zysfioZHttU
e2d2Ejz8Wyn8X3MaB6euqCoec3N1YeXno3oW6RnQjncZp9Y81yypeXtDwf7BtV+Fdtpow8p2Ok9j
U39n89wfoGSWkinBH3hWd6d4GbnbVJiaL41UeGmjaPzOhiSnRXYc3wE3eMnGbcZ5WbPyZIvv6CWa
NnETqRfj+PqQjl16YImVbVRMeh9Ox6NNwvNEsAFnKwXCRyz93qlSujuHqYsFyfOifCf70lyohBXf
SY+DC55F/GmlgXVInYYQ/WIZyUMZ8BTlwZF5qhKnJbpAHey26E10TdzK2VFpgWCRBxBYh56HGyYS
xq/iaqe880NzcThSbxm51Y/Jjm9nQ5Uedc7ahoqU5rFrWnwtPi4YV7X282xD6PGGckC4YupZQZxq
rhXrlANtggtusUlTliPjX2TE2GTYFR66XDfkZ9ziDVdeu3ahL/M9e989UYW117S4s2kVPNlCJq9u
MWqF/RqjrhqTK3YtjOi4gqiAJ5EwHat40J9qrJoXG/Plpa5nTR31BSsb77dtCVjmsngAMTR9dMNc
/B7qkKaoLpBocKBnFlYPpHLf0z6olrUvwhyPeMKSuboB2efxPioWa8ta12yzDgudV/rZk+PKCf5A
iW3ETNnjVHgMlwMIoEM22mwAYp1Hj47mNtRbfKwpurDPfLb6zRJYipQAW7CZsOZRwoZu1tCQeLfw
z/Pdh/GHGNR8qTAt72O2JqvO79KjBSNulw6yWy+mGneEscdTAM+bIyKl9ckU8TMXfbZpKfd6bChY
+iHoyXjkK+UnZj3/0/M1UQpPpC6pm660X/ENZOwhS9e7JoH/gJH/zc2GYp3gv4UvRVnRUgfhIRlB
EVvsz7q9IAlwhVQ1XcpsXn4O5YgIDCX1IySxgXgow3s/x1kBCXzY9DAbHztSgzuZd+V9U9c+yzGq
r6a/ctZqqM8lkwZPdEgcaVZHeOfy5EEGBanvsEkOS+Qo1gpj+RhFwux1DHw8sys0haVW93bRp0Qg
h3BLIfawzXq5Njwa1uM4J+feDrimzARhAymNG1eOtNe7znuYu/G1TRv9M/YMu8K5bYlL9UP4OYGq
fqYKqHvV8VRs6rYNv+LU8/7kBYwNI+fo2num1Vv0sAIGSh02K652svdZezsigZV77Pi2U0jHTfFd
0jfyQyDbbRN6P05h2OX3Iul/ZCFxJAG55Fc2koO9jTnbqGsD2obs2pwliQEW4Qt7U69orrOs83Vf
dvw7q/F3WnCvB6TovCzelFqrrEvBrIwctBwOUPivmHSb4ALPxz3UjtSbWE7Dnwowwo7mBu4mNZs7
boF8Cwri+KGs0vQ6TsbfAOzr6TuivnO0sfMVWHGvjLSkwwS7qW6FYVM9xWTPN33pDLtsIOa1rebO
W6U1e8aJuGpzN/kD92u3lzZLgXr4HoKplSsfsO+pcVFCSUfaR7qER6AFmPaWEABOOLW3otBR3TXK
a+AvdfFxDuERuhP9FSsALBMS3uBuhW6s96gJZxopEgS5npxIzHqfwVZwBW3ohHpsg2d7lvGVnpvl
Zfa9/twnukjWg+fe3HlV+QiEDTcnhc2nDP1hOzR49FzBxj61C7GrY92f7EknsBil3IQRB7sJYjJb
tqo95EVHFNcm/XcqPRb2iMxig0WOKoOx1m8pgJpVo0NCkbHGB0WpzLfM/OBxnlX5ZRr84RSq3261
LuuVvrS+M087rPHKYN4HXd3tRFX9mfUI6afPKrqekyKsv5zJFxtoYXLj+hLnCn3E7z0FkA+zN1LR
LbC8aUyGceMcrfSr1v66ljilZgr9/tgDNRg1FVSXufVb6j78sH1UGAZv15QmXFtM/j3hmD6NNVta
2TyHdHcxhYvcoqlm6ZeVHET4gtaH45b6sO2ssdb4PjWMK56X6W/aNHoISba3PBMMoxVsLs13I7Eq
2CqzPtkIJ08IQqyLST7ivarFWzpywy2iOcFyUkz4T3vOmoH073MKezYs17vflnac17jU4y5uiwCg
6cihArrgycNzcLB6WrAEMIXNZCH10BzObQRxnJYOk9WEQPkJ6each09bBMtTLIg+jZKoEf9/2rnC
jinEETFQoECOW+qcOARBvdlqLGw+StzANTsZlyeK6BiKskdj5EZIq32aU86/+IYyflq8dpslbSVH
SOnPJ53Adlu1eolrwFcz21GuiWTFSnB8BpUIcqPWvfcYCAS0vpvHV+EM/qubDvl+gnS2LrxkYKdg
Gooq58occLT3d27TVV+jy2HTnwcakpp+3JNYzXkYtOFrV47+t4g490btvBd1Ym8LvuAmHk1/4kSH
zV/0NiVjgvUQc0HyZOUeGNCSxQyFRiD/w5lrtwy8dzxM8Znxo36iKJNsapzdjpimXAj+mvAxDnLx
SDg9JUqLTS8u6uLJGtqfQY/ldl44yKmYLlI+7uG6jgCqhQTKzkRu1HPt3iTOzroJ+n3jY9fCC8/0
lHk7SSfFe9z7hN1q5sbUz85eI/yPqWmyzZQP6W+MXga4PIej42zU/Jx1tsBRPNgUecVsQgGN4n3C
MCDORREVLMxlnx3SdKjv2eEvv9oySV+9obGv3COrhevftz9p+gm/PKqePjHTzEfSZP5+RFH68nrR
vecDA1Q+VtGzPyxLcoq65KOnEmSHhOBc1OTPHEKGYXwoec6/lbk3PJmqz3GGCm5meeVdcf2Qrm8S
+0jwzOImaH8aOZYvvaNHvVFDxT3S8MqtmyCgjyQoEu8ahuN00srFO53y70I6H14Wt/Of6Ig13UpC
Fzdbu2HrJFIb9cDjElktYVhcs6joUdI7NJWAPfaLn3Nj24ysNJlXnJshzJgOMHAFU8Ha5dEQn2yF
nRIHo4guTimytWZASA5zBxbgvkq4nRFIt3Z1VquLleTjuHOpe3kXbpSfIxzFj2U7qgcDrBY8imCs
XIm6tF98eKR65SM5rChgWFYW4/RWjip+tqIx2A5O595Nk9+/Rhh0TuRjCJsTZ3tnt5xj9qIJZyWx
bEL7NGxjia/Q45XT8hjg2TVjZ3BzqHTf6vI5cIar44noNOpUbk0QLScQO+Vbs3jROhlqflPsDfvM
URsdM28ypea42ijpGbMW3MpAARuSvpMdOsvrt7ZJM3iWmLWoDSJ355G8Hj1IBdRRUFImIu9qE5w8
VniIT3PKl56T2dmNC+bspFcEElXCULjgaS3ZMgnzEnOCPjU2dZRlL51XN2xc8hSifIiDNjqPTVg/
g5Ytv2uKwRy6wqb04no2ym+PoWjrBpV/U6RcLFBLbP2UOJauZRfNOD54VPiW5z1mtgtlr0itn1mv
p7Prljz9qNq7BgSJ130nyqsMh+oBQEX2JrN42PV4bc4hVMmr5lBxh5rPEtrpCpAbjGo8NBDZ48BK
t2wGgm2Ve+oaamU22ezELy2nqremYaE9Sz86T3Ez77LWD77hhGUfLhbk37oKplWMIWftL7JicnLL
XVgQQVoVcenfy7lXP/0OPo5x85yszJyGGXaXmtNZppLXNC4XweKWNbHQGHZhAsLRgzFyZEEcfVhh
VjzCPDR7qibS98XPy01Vq+UzbmWNx8EdTpnQ6tBXN++Vu8Qzm+aJ1mTBXpFYNhcpkfKvEvfqCyS/
8Tw1dndH4Uxzl1bgcVPJY1AYQeQGcu6GWAfc2aFq1sx9w2+dmOyk3TH70hM8PJN3eIJcD0QaJ5Vb
M1wfJvl2kcSgVyN3lU/qZwh2Q5EhJhCyQGx4mP2C0p1+d2n+xMnPHHrtDasSheILj3p/ykfYxVGq
fEKcPp8/Hq8BTU0DNNlfQVtP+ySkqS+k4GjHxm64C9gjrbmrIljzobz0pGAoZsTlmPtGHjWhlZ+c
45PfISbHVwczbLIXJcxhK4jVTIQT4eEWUQrx95XxS5xp5PzBFuGBOgV3Myv+jxJaDTohnEOm8/pi
HLI3pls00+rok7PxVc0s5B3FnMOSnatl2DKFqGe7zZD0SJ7FUtu/eij4PxrbHwA4wgyJ/TR5sdOa
ud/0HltLqphXEEgxoDXxxAtKVdODog3l27jt3MEXrcq9NrPe2vAJucnDlUbHvKYYIP+IgH6hdLCh
fIC5IGzUQvYAvGigC4PpnZJvGATuQdaUe9IzFKHJhNXBzuJm7fG54Wgd+uYO/BMiezKW+bG7TVWs
UeY7r2unryh0otc48eBfuiGqnVFB+925i9p5CS41x3S8AtZsPy2FYTPi3HbCnemuf5NlQpLddcK9
CyN2m3n+fL4h0c/IWM6n5bfWx1R6M+1XRl+X0cnemlib93rIyZN0Fi6Os3HGhv6tmZbhITVbeIWS
RAF1w6rFpEzWBrZCq+sVVvh66/GcTEEWNPJTcqo6V8Qhjhnbpnj1N0TssKupFabXNuwOZSOHP9mC
HQejM7fKsiahj8aP98TW49axbJxbY7Rsx5Z6JhYqYk88GEQLvu1N0zs1a63lN91w9b0f0k681qVG
36EFmINgYEt0VrcsXkaE0YLWrPkWG6yQjMvBbVCC0YGcVcSx6Gx5I9lvKtLPnb6N0Xmu74p4rg4U
XKVM2jFqTKBM+rYoMI0rrkMkLM5HjxwpLlCgx0971s4T3XP5j3TAoAwtBNXdSKyNmWzHc9livA8w
lG1I+iLHDHH6XBrx7hecH4eucO5UaCV3ddqBBVwSQ3qjdOELz8Fd1bn1RlmDofV4Th7/Jge4Fpmr
0gPwlJz8twh3jaeojPXZU6UNft/MfuXhhDI/3CIPQ5Ri6Oq8hRlDtMNXHEfpprBzkhOyKZcZiiBX
mlJO95NbQ7VlYFl2cLTkBvq106z+lmKtMeTw/X3GmWafwQpne8OQ+7ehT/wgkUVyMBjuHsinyxfh
z/nWdjO9vwFS9yO5oX8g3v4/hJKv/8MaJcEP/3fZ5FXa/a+XX8QQ/hMP7PZ3/hFNpiAHgS7wLRar
Dox/jwDyPwiDUv4dStitgoBitH8n//97NNlx/m7xyw4tJV3gcv+hOsexIRZ6/Ec6SlyqKh31r0ST
7f9M5oNR6CnPcT2uZOnxFdV/qUBwWX1QRz1L5ICptz8j/gyNpDQ4dX8I3LMMRhsOOb6vbSzr1Mh5
sQs8AQxL5hOIIIKRx7sMHqz39NeL+C9dT//TrhT7RjH7v6PjLjRQ/seL5K8//o+LhBIlrgPr1jrq
yb+6Qv/3RULR7N8dFznAAt0mMV/8h4Ilh6oafvmB73OYsBSsyf+DobT+brucAHDQE4zn6/5LVTXB
XyUh/8yvE6rlYO6Ft7oa/sk1+V84lAFzVTzmeHN6Y3kHFNSe/T4j8/AuNd9ZB2+7C6ptWoYLT9zQ
2HojQBe3LLbEGO4JvTbTkzSNo1gNDgp4DySw6U/SOjDUlI4w/oHrH4F5Onl/dLJRVsz2fmGOLo0G
CUYBK4m4pRbV+EPlIBvWRi7aPrRLVwNuMCRl3jn/1xGtS3Na6eegtVG+Am0IXrLEhey1saqyBHGe
5Om1xLfZbFBBdPptemdA4vO7Dnf77Gr3mqQd4eAkpxgANIeryEXd1t+mWgqiYbjcoxcLT3S3H7E6
bgi5vAw6/KpDfZlUVG4ohXmMXHHuZAqNRIoiIzzhuUOwL0dG04Sd1ND0l6AOgx+W1WG2b+z4aNwI
XpbjQ8RcLMXkn7y5LQ6GpQ37atsAnOIlzcDS7Wn0COb10sjJ3laxAhOU+DL44dZ91IGgFcZlE9Aw
yOEgb+9UkLJWZNQUy97vE+aQFOHox5JjWuI0Sm9jdbNzyyvyIbNHoFS/q3NhjgXk/5rMQlNSmsUz
ESN+Z7/0vRsaXEbTDc02RkF0XGoBnjhqXfuJ52NNAjw1dYD4XifmMwsoI9jVUWSsPetXGT8soo3k
uqC18tPpQTPJiAaUx04vSYxLoyvoiIYF8+G0MLtyCMWPOsUmlRXJRZOd3vS5BOSWBq0PJX56XehH
BKxjy9+oTeDVM3wg5B/AwCXJrjJUPH25ZmTkcRNAZnvPnc14aTJsRyvB2fk9hdfAQDr39FkmBQTs
jBLZGUOhHeGRGLrG3c5gBKKnpMyCqxlsK5MbMgK5+p3ipbd/5wuW4uccy44+YvMKYf2b0qocTJmF
ROS07BzdYy8XJdl11r295PLQqzprFhTuLCekhoUDs5cixcPJarY0jolxKJO3ZvAW9aGs2UofuMNG
4+9UiGzgzCLZ9WN+mfCH7vsgjFidk5cKOJM4hWRFuziR6nY4coE8zZUTZphDKGb4DCMqZo7eZFr1
3BjI7K8y7nsLt26WFjR3BEvNjD442LweeitMCyrcCS60m8SyCvsQ2ZTcbpUMPEn0a7Rv5gSpspjE
z5TIUjlHv9b1KWepuc89vEUODQ/3VLeWGBjlBZMpuS4Gmfl5WGL1s8nJREcZvSax8qafOSdEEkEq
/yw1+7G0zYN4NeCgX9sL+jXfWbhbYBodRJ6Xe3h3NLpZ1m0gmnPKFNYZVvp1pM1ycqYA0jxlyfkL
z2RyakDluXxZVfzA4daduMdlB9Y3/l3FPpB6Y/2HipH43jTRS9GhZtT5Et9ZheJ1r2MegfkY+ryj
ms8DECT/WqLpvwTYJPGacBTcg+pJ7zSPUrqXo0zvZlaq0PaN/0oCZXkMm7m/K8QwnLu5owgWNyvh
F8gNA3RAA+FQTm90SjY0+bQSV38acjPd6aWz9i18tdXQy+BkBSPpiamdq32WB9OBpWD9AcEMjZqo
H7s1t9mpJHAx8qaOWDWEOADaoHQN7GVXltOLo1PgXx6n/oFyCl6vkYVPXOmaVBwFrHhwfZQ5bJZr
x3HNC9t29vDZMJ6oVg0RmnNNRrAkfXFbFxthPr1J6IPntd3T0BuEACTGtevCwxUTa2vHzaO1YHd+
Avk/3M0J/AfcTWS8a8S6yPK7nTJjdEzL9jlXXbTz6V9d6cCP9wR2OpAcJLrT0qvP8Kq6p1Q06XEi
Y/1RdtaNnyuFeGmT5tPx6DVLjR7f40CNj+3QUXEM1m9lt3PBK6L3Tu4mJ5hTlOOUKBuRKKejnxW/
cNinzEf84dslb1/ipeSPMDivPL9nlDVELcsGK77L9myLVoPWhSp7HEl5X0wi3Hcnc/yTG0zNcerS
5g6c5mly0KgXH1MDjyxvW3eYYNw+7DetN+nL6MfyDtkpusR1Eu0ppHUOwIO7X3M00UnaMx35DflT
rIPjgUaFT8VbuPVSx3lq9bQryyI5Y/9kRoXYeXKXKADc7JOntspQ7dxcpCVe7AF+KkfLhwZ0/otG
X/lgw0zqFohRvB8YeY81uPsHNEzQwjTDWDTjyBFIaawrLCzeYy3ItJGWcp4EbrqNgIu6861m3gAs
KR4nZT1PnYc3li6Vnx067LpMtdyllCCu51wGd9qt5Fs4K2+TOej2SGlfAlwV9xnAxny9IcrIw4dC
+tQnYdtuYIw9WzmZKycwc8fv1vg08MndJjf8HrcuaoJJz2FfJvkg6kZchjhAu+8smjjirh7uE1yt
GVlfXGgwoQh77KpFqsc29tuzk5vsD5t32Z9RhjPqWrgIJLSVaaWA0vF53KEFs9gHi5pkhWxIAwU8
duL3MYg7O35IOz1O0Mp6cuFim1BK1BZQmGlKJzu8niCyYXEnIKkUs+9KBlkirdsb3iUWcDTb6S1z
1KMf0SuBP3i8D3zRl8zT6mal88c5p8I29oafQ2/Tz7egeNltRWyuqDF+lcPPoi3ntQo14jGpyofg
pqT4flK85HB9gr1I4cXtGCX8fBtOmEOr6pZ8HYOyfhoE70KVR/YlC7EldLhGUaFKM++8gaxtvowF
zkroHVqhMsxYulfoCcTuhkB21PCM01GIOT0vILV+VKMh8F8QFP3SWB8I0NTYA02KcTvC3LeTbfFa
eT6+X1co0qbskTu0tgscw+xXA+vsVcAtENth8MZdl9MuXmhGDbbhdMeyk5rf+j6sD2WdI9XoxfvN
dg0cmpOKfbyoX5pCzY0VK/sxmIrwLij94UmB+sO2M3hcNtmoIMBklF1BeVBku2rsnH3uPzc9VcNe
lk00+Mwi+KINiDXaoNUrW9b3KJoHilNcEgdpkqnH3oHY195uWpZwWn2z6xW7YmAfd6JzpQsJUXTO
MzHusuWhU1TZnoWmvIxkVX4SRXvG7BA8NJx+d36C584mwPUAR0Z7KzP1EW7NqClw/oKA3PidX/40
k1te0sx3MON5zUXOFJkqr01pGFbFoU4mXEuqC8aXIPXNOY3BAdM74KCCA9E5BhldzJh1UX+X5VOE
iYeJCb2XxVb1jrqfkhcgng5VsTZgWx02SqsqtVkuwQMhb9UWoXz0cR28j6yGlhVd4ePEHXTy3zTN
JF9LafWvPBknaCKGGkcMD/l9UiXcw/GCHTMQCi+sRJyLJ3T8o6yjDDzzHBtkptq8To4FMNaUt0d5
SRSwIjl2mTEiXBLfWAQPyWXkfAmy9aKBoVwu/ktlD+0JwC/J/7DPXXeDG7XjBDwnr6BQ44vbp2bZ
LVIMz5Otnf3gdWS58sWYgCRBGfU/afhI203uwOn8bcoqeOI7feuQr1bYCDTxV5xPtvMZtO3gXboW
ve1KTZyJaWFiHrui3ExBgEslgDXM4KzHF7usU5gKQEogaMhA9pskHvuKOxoTjIttus6z6S5kpWSo
xTDCu9iTBRwuLiUNzOBijH3nxlpVOzWF9GRNcOWpOEKs3foRMqqwiwIS1402bGP0ky0PZOaCdda3
b/xcJK81Kl/X8ImC3Gmx6Sra5lhK3Z6FFsiLo/eZowVd5sULH/uWKrEy75MVrGkbMZw4oj96Chuf
S3OcXXCmsOFBeA2NYx6RXJWA0hqI9h1hSfhHzys/prwA7DS1m8Lloa/m6SNyOKE3fKo3JodcJjzt
HwQ/9x8+oFiVuXVj09HOx6BN8golLL8LtQ1/QEEK4mYKvEZ49rJDKU1/9X4LVTqa5C+rcdVwr6lZ
+iLDp5aD2wkoTSUhMvs4wS6hE7Dwu+yeU7z/0wMAt9zpyS7R5bNiaJFe6P15K3GE/Y5tl0dfarCc
HUrbn9pjUkR8ZxUMkEM7aUXECib/lg4eaMluyQruaOF9TDYzALmjpnUmO4m0ZoRdAG92W0tj6Idb
lAmUAsoh2wNbmUZuA1Wn+NbihEtYlZzMjmPGKePOAfXaX+dgbs0vN2afiwd+jL5Sv6MHzbS1nle9
5NEDJkyVwXmEv5b8QsR0AQBR+lMiTU+8dEFMvUGYj5LbuecnBidEWIuVb1uGKmy8O2rjmgbXrEd8
QD0WUUSEKdMQFB5tr1DRxZ06oMP9BO16TXafEKHgh/o9EZKu7wNGP3+NYrt4pLKWPjrkWYGjZxGC
d1uAUT0nCHYo3RSK8hygvq4+LED3yAOPdKWIbPzhpX1xF7luuJXzGO1SXCvXJqHDvV0i9+CQOfqy
liH5ORIoXqkF36YYMkLLi024kNzXniwjD0zl4C9rHUXGI6HI5nOeohutVcri4FqFcwpMFW5by38v
OnBh68RS5V3S9eIOs5yhPw/9ORdAj9BVgItUbf05OWXZrgqOBV9lOvntyiErh4+7BJycgwODct4N
33Ox1HeW9qLPhg0K90CvkeEmtxZ8MDYFiQRHLbLRFe6EBTgJQ2BmSQLP1jIDTh1zsbLi2t476HiP
ZWRH0BXiaa9E6DzMFl1sul7sHar0D1XDJlKFb29h73SnifLBFYR15xyQUrvEeaYyINNd8B7ir9ku
jjV84mkeT4XVAVh3YPKUeeB8i2YgFMOO5imeHZuIQhvoXTSTCAWVhjAzsiqHGpdUVJW5ZFtqPvC7
mw1tFS9WwCscPUo628hzywidanY3jNdUYeJ1H7aUKoY0pUElgjBC4ftMPQeZtfwI63Oh85QzDcCy
dl7Vo2Mf5xlnXzGa6JToWm8cx84PEGRvZXewZTBbDherQJQ9wOVoPmhZo7eRgaAawyt1PxX5SiE8
j4OkF1PL7clGXZsWE+M+tzuXTlxV1OFw/dd3if9vwMz/cRvH8L/lZj78ym9e//9Mzbz9lX9sHZX6
eyAh1Pjgd3EpWf+sqvCtvwe0hbL244lKE7b9T2rmv3F2Jr1141AW/i+9F0ANHLTojd6T5yF2HKdS
GyFJJZRESdRAUcOv7/OqG902E8doooBa1MDwUbwcLs89XwyIBf4XCgcEloKWkMJqE2/DpvzP/4hi
8LHjCCAFKkD6JfhXDpziT7CK1zyGAPOYI7+Nhl5bZQKuVyq2dwx15JEA5rQEfXdvzl5kXn/Dn3ir
cYfmwhimrirQeHiqdUmTT1Eynvs17WTSDYqpVZ22NIc18JytdRHAbndnnq07CVgc4CvYg6O6Dt7o
932SojJnav77DedNPMhbg+LQeQD9woORBRVgtsHf8Fo/SIJF0W9UTn/mC8RyuaAQAgQG3ISj5GOz
At0L1ZZf0/HrpiVk5Mm+tgzeTxWBBWRBjwuFZbFf69Hr1mM7BUsSYabgqbQBCENfththR7/GT68y
L0YFOHYcqHRBcz62uHrN9OcQI9Hl1zji/WXjabqggLzBkMspOfG0gxWOKoHfoMdOdOJBch6EKZIc
NtDBgzVEXCZIa29+ox478TnJklmBhC1erOcvBarYWB9/8hqW2IlPjXwaXDfQNAecLqN4rm+T4dKv
bSc6kTjumj2aaN7jDIlLFio2x9H88GvcCU9AYdcCFYv4nmH3T90MN0iZffBr2olOzJIUPgxYs+Q2
5EUjYG1RvMOfP/Xu/16O/ncZj53o3JOegZhVw8IYElF4ypQwnarkeI3l99av806EljGU0+EGk+QI
5vqcBNdy+cevZSc8oaxLUehf0jxc2BWOnl97afzW8ZPv9cvgtBZOoWASULx3keWyFXA+mHHl9Op3
5AQnQ8lR0RBIVW2c3LC9vWgHk/s17QTmvuCZD8CxJE8sXDyj6EqR5cKvaScww2KuSBQImg8BE1eS
B9PPFM8Kn/xad0IzgYcE6Wu0HhXb52Qe7xhNPMfkNPVfrOIRw32oINWWI1P6z35yrKBB+MWv205k
lmqD9/MsYZCFjOgZtX0K21zI1Pxad4ITxkp4FrXwYGgo+1Dg9A2l8pNf005UBrg0DfG2JnnVR58W
mvyDUsX66Ne2E5cNbI8lSCcrECywBGvonVX2yq9pJy6Rd5qDpoKJ2lw1gDsbeAEvqd9ycjpMv5wn
W9ymFlKdJO8qlEYLa89xcf/q1e/QicsItTIDq9YV60kC+RRPfwKt5jcmoROY07igdsPYLR/J8qMP
pmcZ/+3XaycogQAO97TGaCPbdYc36DsiA+k3t0MnKsM6TnpUjsDtAi+v113F5qc50tJv/Q6duGQj
Epiw8kc1QCy+Qwr8EZ5W7+yYpyZ+s2OGTlCOmg4w/pu3PGIbMgxleNUhK+R3KAydsAQmDB5QkBPm
xbych1MEdd/qF5X/SoxeLIOqWIFqxxtnHgfRQ4yUMitKz9ntRGUDE5FhlAM2ND5vWUWrm3IupV+/
iROWNdwmGe1HmPhWwHWx5jpsK7+dwYWGSpHKBp7Ia6462AGh2FscBEBMfjOcOHFZCLjwFJiJuZAW
9m+oJwDP3vqFJnFCM+4i2MoPmCh2Di6rUyV47XmGgCbp1TooA9QiByEmuEqIzVGKWR5iuGN4LSnE
CUzYdndDEBtsab35i2j4RYFHdOPXthOZsOYpx4RjSYFLqDx0PEZlj/Lc1Fw0yKA5CVHfAAnv1sMs
qvxrVsxzGjr7ZR2OSAFjnPMYh9nHYKrs57oZ/ZYr4sQm7I5UIky75WXRPdGVwSa58VqseOpEJqq0
+MRRh4R9XsFs0IofCfX6lBBmvp6DSbcyM03NmvMFJiBpghq3+MlnloDj+rrpMmZ4tsZbMwyCIQhf
+/YJJueebTtRKRUqn8IKIwKL8T1vzMk5Q7dnfh134hInQchAU4Wzz8h/1hA5ZY0Bps2vcScuF2O5
kjEU6nEEVxYmu69Dtz34te3EJerWy2UgGHEYYd3GKszpVHmdv3nq7JfpjIehUtSYgnvwY4W8LyG7
V+AgwerME5Rz4JFlguUEt+RYQKObgTH16DckTlTacINsDLeHXHTbI/yC8ban1J1X28IJy7GB8rxC
FXKeJBHYbCgYv4zaJfAL+pPO9eUpGWr6sRYFprgpSYr3TggTgE2qvLYHLpzg5HjDi/saBjYLbP2/
NKFJvxbFslz6jYwTnjXsnFqB8u8cL/ifCMr/ufELH+HEponDuV4lRVY5gLEPCtqyEU42XgcJLpzY
nMZmIAAt7nnUJw/dBovVsXvn7nD65b8eZrlwQjOIassqPKJBy1jhWQj+CPBgWNr2CPjT0W/QnRBN
qkbBSUrD4fHkXEPlGRGh51x0QpTRIp1lgN7Lk7tQ0M+fFmRU/LrtRKhcI8n7XW85n3vY40O3AHeq
4IdX49wJUUXGjcEIbD/VxD/DjeLvofe6+HDuhGfBQVmwUYx1fAGHzED/Ksvabx66RQiolaJjve5r
Tlr9RUfFB1J+8xsPJzC3vV5JuhfY2mrzAVXzn1Ex6TdHuBOZeKJFlf2O9WqSE7x304keN3BS/frt
RGYMQ5KtXhCZME88CRg+EiNyv6adyOTlICzvgy3v+vYi6djHCcpRv6bdiGx7JrCiRPlgApywChjI
R979dmLS4uG4oNC/5sMQXZGCPKV4svbrtxOS5W5C2BcSKC13+xmHZpB9Er9Z8m9hxYvLsW7gtI/S
cHzIln8EPO4rvEk8VynmhCSrkGfj0ITlqFpFUSs7lWGUySevMWHOhin3+lSH20cnpvr1KsjDDtyA
X9NuUFaQX5EEM7CN+yf4h8AaZoYVi1/jTljWEGzD1wtonk1Xt2AxXgCs8ejXtBOUzIhKkxZNw2Tm
rypZwftsid8SyJyorMo0URFF6KwRNLwM+Ucu5s9+/XbC0pIJ1HWwfmHCtn0H6fCLCKDp92vbico0
ZdW0KuSpYcZ4r2ULZxFcfPzadsKyISGcqAoNuM/cnHWFvUBB2jsr1WkW/+Z4cirKe3nYZEJ1OywO
cDyB3vdbZeHLPYLUASk4R+jTRHiGEXViFPLnJpgg/Mp53HxZohng3+Ifr+E5FZ+9/A0F+AVkP0Go
CC7ebE2AARR/+TXtRCgn07rxBMMDm+FHhTrfQKeeTTvxKdlsRSqQLZRkvpcsPTbd4Nm0E591Ain3
VKHXPQycgA+rkV/SXmkxTp34HA2fphJVuHCigmtgDVDgZQfD9HdOy6ce/m46OhHaTBIlK3zEihhs
5ku9jtNtW1TTO5P9rdadGAXXhIKyggtnx8Lv0tQSEm/21W+mODGatHSBRxJ2ZfgpP0AeXsNtKPVb
t1wl0JqkfGUpnjOR54T7nIIVF/T9fgtu4gTmZGC+orEg5tzy2whISBnHfvtb4gRm3ERwBukwJktT
3GyW9dk4qSev8XYLMZcGXp5zWuJA23zsxABz7/SLX8tOYGK/nwoeyz03sOqA/rarrwsUSb0zJqdW
fjPDEyc2I+CoIKHEcBuUI8ICqWzW+4bucAQsU/jTef2Ek57t5YpYw30Idqj4CVQM1z38JcNenPs1
7czzso9hhXIC75gt/BqMwR18T/zSKomztMAzveNG4DEWVYfwtCb6OzBCfkti4iwshrC2GRZkxSEt
Pa9DeFKgsPbPI/LWF3UGuyspAYgNO7+Yag3JeIUiQFTdsaDwWxQTZ8hnPbKm2mokmLX6WEbBp30T
//y576dZ95vZ+IuKias1TMoOT1bdTC9h1YjKy0qunnPFWVpmUiSyb5AZh5/jj7Si46EBzdlv3XJl
TMnSTMAf43pFSmDDir37JEn9TpC+NSzOtj/VIt4aeHDnRZU+LA1c+1ewE/yG3Fle1kB2emNYFFN4
0sFFjX1fWFv5Hfrj0w96cctCHV7DBUXH23IrDxK0nhaWO549d+LTzLMOQQCE93UN7y0CKRCsARPP
xqPXPS+D1NhSYa50ZoGvVQvDWBsHfhPR1QNNEwz+YLqIx2qyXcgOhuaj/eD1OU8GFS9HfIGr5dZy
fM6I9Ki6ma+sqp/9mna2T9agoLWyOGrtgQGVhQEMC0C3X/I9cqa4UfGyxniyzsdC3XMz3aGw2m+9
ipwZDgYi7Ak6jPbA6m8hDiohoQ9+Q+LMbyjpQEQd0GsQTc9XfEy4hfmlriNndodw4NKaL7CP26CG
PnEyYMTs12tnbjO4JKJEIcTcTvYzgM3u5jp9Z/N5Y6WKnM1HF1MFEwSUWvAAvC5kQq4tbzy77ew7
AHBDFFnBO3wd7KGF6+tU6o9eI+IqgYp2ChMCn4K8gHD2ghfASoh58VsEXSmQ3gC+7YFLylsanPdb
ejEEMvfrtxOSQw+T+rHEErig8OjOLlV02Qyr31ISOiFZwhcN1kR4AJ+3ALCbdoMtZqf94t1VA+EC
EQwlFzjmo8KbjN11ATqj36A4QbmWeO0dxhgHoHg1GfTzPznwvn5tO1Ep6pjVZsAcBFfszlTTdQpB
w5+bjk7z+DeHH1cKFBNRMtMjbUiZkju4iI05+XxU6RVJkumjTRpUte2reAhCELK3ZrkNgYz9XCbR
cj3MckLdWQNmyJld42Q+B9q4v13g9HAfEzAastEQsKFRv/SwLSTQXspWOOW83m60gcUATOow1vyE
aiiuad9d/Hk83lhKXK1OVFhYvyzgzNdh8xyN5rJQxq+ygrtKna1EMVkTw1h9T7/1A3swu+c90JXp
LCHedw0q4fMNDNNqQyWWqD0HxNnHmhXV7ipc+xwc4Zt+iJEBZn5buyvSCWzVsWJF5ncJWIsiNPAH
FF/8FlfixEzJDebbtPd5weEPlBSoLUTRjF8BDndlOlW5SKMMRmUgbQt4HzzbhYreOaidlrrfhCRx
trOoAZataPE1Vyi4H1NtPws4FCr4mwMMnvo9PLqCHTiRDhrSxR5kRVORfClMeocE4kg910PnR6R8
Uf1e4j0WULubhtormYbvNH2aer8Zn9DZkqHy6AdDsByKYKqfUSCsdTYNIoSvY4dR81kIUMX2eo0p
trTqpggwnb4329EuLYPFAxyQ/Vp3Dsw6radE0bEH+EoBvsLNOeh6T35tO9szHJZpGCn0nMzBuSLR
GeAlf/s17WzOuwXVdx0mTJq0QQXodBUMvVfeg6Wnj/3i0tYGEtycE9K6biYKoNiYJjDZgqzWr+fO
9lyMNNDoeAKhIU9g9FuaQxtE8Zlf685iM1SSmZZB0x1vy+cItMNyBOTFr23n3LyrvYNpM6pydjLe
hCBqwxEs8fyeTpBusqeiEwqVSjBiym1ZTYdmpZ6NO2GaEDVsYLLQvKQAasFh+3ak2uuewlzxkYRz
geUCg7KM+/fJdpe8El4bBxy/Xk9E4BkGpcSOKqggmDIgdZZsmeCM7fU1f1EetTFQmxNaryK4CG31
VRUv72wbvz+6wAfwdcd1Vey8njeKolDxuWTsRqx+hbLM1R2FE3jOCTB5eZmekKwy/VFwnDT8hsQJ
zRrVbKEY0W8COzJu+K2NPePS1R3BIBoOcbASy+E0FOQDbHBKWC0c/frtBGbSDAA3257l0w4ELalO
LjCAWPo17kQmkC8rZBk1Gu/759mGn8Ef9jrRQYb6ep7YIar7pYeIbF+qpwHYNZn6vXWgXPx101XF
LIElCMsZrMOPm03OEtr4JceYqzmCkTKL2gm1W6gh3g/xpD5Fmo1+H9MVHdFdKiBLOSahJHdgip7t
AfH7lNyJywWbA3zRdpYD/bNfmhF4EjqVkd8q6wqP8DGJTWCZl8M/5Rk58s/9yD55zUHuBGZp6QYg
WoSmF34yxxpBFON++zF3dkzwb3o4QDYMkLP+mmzDdTNwz/F24nLZBAxJ6wUF7DyUuYX/pmmi0G/9
5k5cSrU2MLPGmKg9uK64Bb8xIV7XWjjAvo6eEniBZp3RcQJXliNB7nrToAZ4fUxXesRhmZ/A7JPm
8Lw8MN7d0VZ/8Gva2THNTFkrKwtfmUXfFHuQK+4nYGau7ghomQJ0MINqUETn+WlBkeHmp32D9/Lr
8TayaaYywZDQZXwuZnIeje2D35DQ102zfoZXGcxwc5TndBmwQStwRn5TkDlhyQFEVYvFmIgNQt22
Js+2bPu//DruxGWxTKJsOL7luMI1k6oGvuT9/1iw/D+tJZAVej0q8A3u7KpQdB8M4rbd0ifQ3/1O
4MyJS4ICPN22luXtDHppXX2ohPBs2gnLoOIEKGGcTwAk5V1GQ5ai3FSXV14j7oqPpCxnEIHxOTfA
WukKH/xAhn4FiswVHK1ByCe4Dp0E48+R6coMBsx+b3jMVRyFENBXBl5M+VYkX1eF9LJtga/1GxUn
NqkwBIbFmCpzsOxPVUXZOSGy99vtqRueEcaZBnBoCMP1Lk6a293vAQXV46+neAjrUfjqTiwPxvlq
35aLwvR+5zZXdDQNRE9xPbM8aaJbIFOBfkk8x8MJTIJXtkqccj8w4dEXUTxVZ+M6+N1LqBOaeo0M
cBoly5sIDr9z/aS2xnNInNBsJbwLOXCFeUyD+1ipLauVnPx2TFdwFJ4KH2ErDEeZaq/O0wmouXHk
fiPuCo6s5msQ9RjxjoEg3+q1+rZVQfrdK3pczVGpRyzjCUxfQJbiBxpP7Qe8vRV+H9RVHYHLt5aS
YNTDeqNg3xbkflaafvPruxObxWyTZYYiAJYBcXSYhOqzZJv8lhVXeFRsa7nCz5TBArv4vvJwztpl
95wvztbZR3inqiSubJFe1mwhqkNZIX3v1nb6+b8mPZmr3VnhoYpnFCyIbRKXt3tVSxT7tjG4oiuz
vd9JLnFCdQCzCb8BFaeqKO/g8A7H7cnr6Y25+h3YObfYLE6rwEhhETxKe1jYtudek8aV8ESRRu66
x5Rs4D6K3oOUPK8w8PNr3Tng9h0aNyHDoX+k4Kizp7XjX/yadpK1J4ohuJgYltiy5K5kbf9s1FJ+
9Gvd2UVrlFmBqoUpCZf2L7bbz/tu8svXxk6YwuoWh5YONmFmBCStAc8yoz1I3X4dd7ZRDiS3xDxn
OYpnV1By1JwtbPcccydQR+CuzYqa8BzsBHrsoxUSWLGXfqtj7OylwdhFvIKrYV7W9AbnmAtG/RRZ
zFU0gk8RLHGDjtNTViUs1YSX/dDzxcM1I1pgZAzgK3KqAIzAs3mPMtQaFn4f1BUfJc1eqE7iIJrK
BPTaKPzaaL93ROaqj2rgHXa24k5ebPbEK7wstvcKF0/z7TerLvA6r14lyoDO/zNVUphQ2/gnsfbR
a4q72qNmTWVQROi1YkULa/rqeyfAsPVr3InOQca9pU2MmWL2y7SCFDNM9M8/t/3GThQ5sUmDrW0h
aYaH0lqWz/3eFTfYnaozba2fPwlzZUhgoUsmOozNlKB4PlLcXKWjGf1OjZEToSJdWdWBi5erubhT
sH2Dt7Pf+cJVIpWDiuLgZPUPbjfq3sS3urVeckz2r4DjxQNZyCGDqwCDQvKQ3Fok+ngB3MOfP+kb
09xVIgHDqbqZ41UimDZ1BWqGOAO+ws//BP6iThDBiaOEQSjNm0A8rx0SISBd+Rn8MNeWqJO0pSjd
wYNKszWXOoKKFHeZyW+quGqktAaYMjotLWkVf5VqGVHCGA2ejTtBuiSl0JVB46UwR8Dar4V6T1r2
Roy6xkR9NUsJa9bkhFmPedYl0fR97QKhs9iY0HNRdz2KtrUYimjCn7IAAXwzdoEFRr3xM4gBlfz1
tNG6Hoc6wqQETn07zJaBUB7Rd066bw2Qc9LVnCty4m5Ce2K7x638zmt2bCaWvNP+WxHl3Ewb3iMt
X5w6L+ePrB8ugXfzO7646qckAbNE2lNusY/GTA/RZS3SyW/jcPVPgKSDfxBKCth5d5vq/aKMxYPX
IuPKnyCXBimHod9VV8cQbBhgVgfhlzt3FVCDhtQRmGMMCgRreduRqy7Y/URhWKlez8Q6HIyBizcO
jFrfmrC7Z03qV+rJXBEUiRIb6CSAHVxa3bFEXnA/oznmKqD2ZtqJIadFXSSPM21vRceV5zRxYjMK
pZiSBGnitexBVJrBJdhmz8O/q39aQfhBqT6GxC7bx9KUl6nuPZOWruyJAiwxAMiEk8W6Z8XYfgSz
wGt+g4/3epaEIViIdMFqyEFdhzYWcAPYCHrt0NR1KgKkoJNgjwPtJGA6xUiQz/20e31N6noVheUA
LnaHmTIW5YNtZ7j3h598gh4+4a8HBTfnRNMRcQkxwuNGyJTXKLY5/rnx3y/i1NUMgfwFOQIEK0gS
R5+LCNb3KVgR4+61P//rbf5SkgR1dmmByElyVpoNngudeezjRXkdFWnq3ELNMNi+MPiipgFD2coU
gq0yar3SLdR1LAoY6RQ5DU2rhkcax5cM8No/j/rvtzbqOhYF3bQMqkAIKdUXAILSD9KmwnMqOvtm
KnGABqKCAn7WXNVd87yXfuI16mqGghWaZZXic84tCDjVvvSHlVu/4HdVQ10C7lM44iwHotFxMPp6
62K/T+lKhligcZvjOKrEGsQ88H3VoabbD6+P6YqGmrqAvDpGv6NU3crhry6JP/q17Gya4HfZvT7d
4URljlzTHTLHxU8RD8DA62WFiDjgwOkmeR8Gt233vCb9k1+3nbDEGksY5zFaTtm3euQ/lp1/82va
2TRt2CTLCENS0ONMCgSTAeLP06KMnuivLxerRsRzLHVyOovzR7xCnU3V6FfzRl3F0GwtK/UUYSG0
HYG2R0UZxL1eAhbqaobK1NqVzRgVSckh6cx9NzO/BdxVDJmoGmW0hUm+sx3acjM+TKvxWwVdwRAp
yxHkJ4x3Zeot6/s422LwmLxmiisZSsSsOqD5MOBqGIELj5snsZnCt3knNIFpDk3RY1zqNj5UYM8A
1Jv79dwJzNHKuQ2hfcB6sukwC4A0uBYLZIN++4OrG5rSAFZwCQGIdV/ukqk8pqXwW2e5E54gzuwK
mDs8yc2BzvRefi/j7dlvWJzoBIYL76kxRryNyjtLGLkWoWaeU9HZM+0QkpSs6PjM+J0JxEeYj/t9
Tlc1RJsiIuMMYbM1ypLMyGG+rPlav1d+9MZZwjUtomyTlBWQfvHJPjdRW+IFuvWcK654aGeQTrcl
1IhrIfIhlnfF4mfbRl3pEIxfgy4Z8DbcDza6YnNBDmECLOOfZ8spDn/NOlPmxKcJmDJLP0InGJXJ
Ia37+IeMKl2BUliWnl/WCdRyHmHoBCYI6ukXQKH4ktmA63d+wFuf1dlESbntuGtCBUGaIbnVATyJ
UTDjV+4JBeLrrU6LDT4jM4YH6bNrIEa/pUPbefbcCdQpZHVVgRKZD3QUB6LE5Vhre/zzd31rWJxA
JXj/bNMGh9ttYkdbFkCUKmb9VkZXR0SB0xAl+Hn5qMKqz+qpQj3VLBe/1dFVErXTZNshGoB8mKsz
ItuP++5XikRdIVFvw2CBmw6eEgtg5QDl08C2+/mrUupcQFXbyBCLLgQ56WYOotmn4yQqzy/6i5Bo
JcCnc4AwQEo8pCOwZszvwZz+oiQakB5WKkS6jAHNjon5z2I8p4oTnu2wKCUXyEPaOh0ycOxV3sjA
7wGUUic8N0B201VwrCzJUmbgO14HZvYzvKCumKhrFN9kSFjewWj6LunknI9Mjn7RT50ABZt3juka
ovXIjBmp7J0G0Nor+F050d6tdQ8nZQaV3LZe8d0AXL9Wo98ZwNUTDbSM67g9HdHH71Gd/tUIP/YI
dbVEw9oxOQwnVfJWfG1YOSF1VvqZUVFXSoS7ZzvsukHOTO4QyvJqG28Ctqaf/Mbc2UjTPmjViPch
lDdCzEIMvYArUO8XRa6WqGfgu3XFcHpCiM9hWJrP71aAvrFRuCZARS+6Bq9muITOoIPvrfkm4kL5
3YpcJZHB4UKFM86i8TwEOdHzz0mb3Uv9QH9RENlJmmJUSLLMaZXXbKih3kj9nF2oKyJSw6pGoEeR
LG+no6qTLVu0Z3k2/UVDZEq94S+knvbQZHUYf4lL66WWoS7JTOtZpWDu4oMacq2G6KuQym/EXQug
EEiglJ7yiGFRfDg1zehy5hU+sbN3pjLtiBmwkps1PYq+vgX91C/76cqHmrhjQAYLXM0Law4rjkJp
Qwa/Zdw1ANJTC/z2gDqbTtUfim64Xd67x50Wjt+czF2OmZRTyvZ6x8m8ikkOPB39Nk8Bsjl7uaRP
fqPu7p+6IEGAK1YOycNlMcUqq5AH9WvbOd4GZGl71Zb4oqUyD43aw3PIobp3zrfijdFxts+uHWhc
dLicN8Va33T9WDzR0UJgiUKLAPzuJuI3DU/Cn2vPgAL2+kmussi0ha0HK3G1ntqb/ZSDKeBy9k7j
p7eb33xvV1o0shiMtgrbKoqHyVM70jbK61SMqAld4cuWD8tKg6wb90kfioInMDyMg8lvIrjiI721
KaDsQQy3YMkPYKM+g1Aev/Otkjd+mRPbpEJJsW3xrfqIfdajUYcwLPysn6lrfhTPY5OksojzdVpU
tvMkOjbpzP3C2xUg4WE9qLYNk5jW5D7p9+iCbUPitzC50iO4M69FatD1YRsvbQ+9ZxH6bbyu7mhd
u6QLwvr04oMEE6br8gC9cPOOocMbwedKj1BRL9K+nkS+orChyysRik9EaTz5WlMByYktkwxnvGs2
vHvMrRj9tjZXl0QmvYIViRROOicUsJAkSG+KELhov4n6izYJ75EAeSAKWG37rOvDJQtC5bceutKk
PZ0M4UXD87hvoyebzPV9Zce69puprjgprohUQYXJxFl5mKTYwfcOPZ/KXG1S1JtokRID0yxLfdzK
+KqXpWc2wXVKYixIG7Gh8TCthzMStF/NvvnphqirTsIdKxhtcFrYSlGcN93zFOvO7zjkapIsZCV9
uWE7KNLpQau2vQ8VCb00eLDRwGL6QoM3nRb3SjbAmBKLsycTf5/qcP68j71xtHDBaasOt0aRFPq+
cpi/AURUkwwH8yE+mr7ZPv75D3lj1XetUybVl4oEGB0VrM84QJss7MJHr7ZdXRKZUEa0WSzLhI1A
1VcQJncN9ZztrjCJkTbV64TFk9FYZhoOkmdj1NbvDP4b4+Jqk9a4rZgBwgonl+VbVKgbuKT7rV+u
VRAcpeJAwD4ht2t4gPvynZaJ36XfFcrwEG/OOsaY7DtBcriSEayIJr8SJepKZUwyaa4b5LaaPV4y
gZt5uPnRehNXK6N3QlpSQysTmOkJfob3mgfVO2e233/LxJXKtKDFj8PcntLDKkAtqMirYn4vYfHv
GvXriRCm06+XgL0ypq5sAvVDO4r2YpZk4VmQlkFy3jZT86EjRbtlOsUKehBlxT8FUJDaY0jhhJAN
rSrn4wwR3On/B0HpbOmL6D0PgzD8d1P8tXfUlcHJVOxEWjx5oAZJFDdyYpPJKlFHQTabWfKsGlv2
WMlZlYeQaaovOh2vuj+PrJntnvXbDjdcCKPqLcQ/W1HVUSdheVnNfPu5VR1PM6in1VHKdL602kTb
WUkDZY791kGNvAFxP8NmfYZdHF2CDh47c8WzgvXts95rJvJ0qdb2WO+2UIdo7opv1G59d6yUWj6t
pFfyFvJDPmeFGMrhsG12flw2u/OfkWqLEgZYtRqvOt0u9xuwfsldXSrBbmDGtcubnQLKcK2CrpTA
2O5j94zXR75cb0utdZstITXFnolx7FeA0AmAgHw1LWwjAYAS6xnQ2ruCPlaHEBDGTWEugGlV1ble
kAD7PG3Rlp5vm2iiwziNhfwEjuPwodW4+N3vgjZNpmLWVVcpSWpy19VjGB/SHtnsm0CX7fKBjkO3
xlkJWxyKBSzUKZKiDWit7aFRTWxv5jFdq7+XMAr7S7kpNocoImNj9RDEoOzclNE+w3UpnAnXD3My
yx7PtiFk2lk0LzZ8GGfSTZc40UuRtasWE4g/zbafgS4L6PaRjkUz5UkpNf3bdMEy8Gys56jZjhPh
kxBwPFfTAuLB3Kr0+9IPRfgTpIVxeIo5lE83fUOX7j5IeJBej0uQtvez2C0+gLCqmDNQm21HDyjX
3/ZTJ/GM1x44qhrKJ1vPVN/Lmoo6OSQDkFt91ppQmxuwBJh4VtGIh6d5UntRXtQEo4wakUqeiXIv
dJ8xqLwe5UzD5d60LZIQvCttfVjapZv+SfVSjHNuhg7e/vE4TNdQOgsT43RNBSMod17tx66o8a4A
k6YmfGqKMo6OvZbiOE49qY/B3ob46sg1gdLXJbo8kH2pdzzPtOZu4NFwJ22VwBJRtumXIhG9vGKC
j7jpTYUcd/ygoG5w9xsSfWCiPQ1Of64xCuExDpdxOhpFq89k13o6j9M2uEJGcgyQpi1bkm9jn3wI
hza8NMLGw6FrdR1l4dbO/EzHUoksTYCTzsTQgJGZJrTQmbUNctMN8A5f2qpbtkxIIcOsDfBepSYy
ngtAMs5gIce/oPQbb7b9uOtDV5qqOSbFMm5ZKNr+fOyX+K9lZBvNJtr3CkLlSixHsI7lfN7TJP6n
MjYACbVmH/mYag0qdL0XR8oTqS/00OOVxo67zIil6VO80enYpWxZzybYnZR3q0yDswBkh+4S8sLp
yzCE8qqay/JrpEL0SinYFR6ahS3xpUmLSj/2ARBehzKEp85xb9ohzcK+TceHYRPqodGok8/GpQg/
rIUS5XGqCRFH1oga5LZWX+p07x+KPsBlbaNBYY+mmx6baWAXGwdh67jGfBnPgrbb+jMzhtuS4/RM
VQarjfnHKLuY3JJS6TKDAmWor2U74w1No0BsuexqpQ9jETTdRbwX3ZRjz92mW6iCLzuxjD/CXWJ0
Wlkfp8BKiXVmiC+VDs1zVyb4z/FiMZhDjXeihxLV+CKLyEY/rHbg6gr8JQotgKwnehYnq/iohlDN
18nUoxSo1P2izuZ5r4Ib3dTzdAHezHrdNcAlZ6KHK9PByjhaPkRxDY/DeNibs3bc1hXkZ7Ltn/pO
rOccbyQ3VVLW3TGMUWBMEyQ1btKdNeSwsk2jWlKr6aZhC+t+jkvT8TNJZ75mqRJjlAW6q9aHIS3x
FiLjvcXfE1Qs4wVQiTAPF1qo49Z2FoqgNa32R03LJT7CRhiVdWQe98cELwoBEBNpr77Mqfkv6r6s
SU4cXfuvTPQ9PhJCCCJOzwWQW+2by2XfEGW7ih0EkkDi139Punvms3P6jMd1dc70RHRUVyWZCVpe
Pe+zwCobiXgzy6q+XC5zsHvR4I60bTeL85lLowpWUEljwsbsqrZFtm3C2dwmDErvc8pKtp27enqM
HbIMFzdF035swOg9m5xz083S9TJHzwkk3/BWDq42l9iLcn6pdOzeu1jSauutEF7v6siD50LajAyx
aAipCV8LESrox2PCcsgBqyY+aw3M+Q493HmbJqmLkcnMaLhgXeq5iivEQlFSn2NEjZdlVFWQtS9d
ge4rono2bizpctsfU9KuGa8HlppG0k+BgPMc4LyugMX80TflfSTFWLbnrIgEz2CDSfIKrhuaZlUQ
kY0eitdaevoRgP2aQYyCgV7G8Zh6Al52OB4E4rZFz+pDqIb5S7y2dkxobUSc5nHOD7JiEh78i70M
FDF3VR1EYTpMsASUTc3O1TzPfRIsQ3cOxKZINWR0KZUtOQSqj8/tsGqSLVGIJMMIf1R/lKqUnwLo
d2+aQZa2ToJchkMWDBj3dyCIqWA/sZX0iRWKlNu6beI6rZd25tnom/AjzeMQyLqn7ZpiVgdeMvhm
pI+YVCbPbNx440XRriUs9Op12DYqr4IdaFa1TDD01HkbKDiik5XWh5IhQDj1IhOMCaz3xH4o61Wn
sKKYyn3UxOISKXKjSYbKa+2Ol3UVnLFqptKkk52cXpKJOMWuZVOKIF16BBZlcdMWt+0owzGTilQP
hT+pNiH5wnSq6lYnvUEcWDKFYbNceXUsTFqpuDkMfdt151aItd1p0XjqzvfpalLQcdDuYwVKkCJy
FdtGkfSGfVXXAsiPCboEPj9fOzr3/XbivFZZzAt61tihrnYR8mvGzbCQKmvDSKUsmFFOqYYPH2ak
G8+JVtgDEkfbj200xecVFOEJvHBv6mZEkG3Fah8rPSQ0TVZaGqmtj4ojsZiMecIcxSY9k6i+sm3Z
JRVpFoIs8HmvG5whxEJFwgbKErzTkE1xfm1N9eQkYoOZ5WxvqzkCCiND9LyZxj5mghrunp4FL/1W
E9Pxs9yUvEhnK5W51OuUz2moCgQqybH0wi2TI+SlBSR+vklQxBTLgZJejGmru7pJrL/aZiujUI9X
bC6NSbXuWLEf1gaewraKS3GmBeqRZBzlbF6d3/I4CdYW0X4zivAlU/kStdk4Fj5JK4raAf7rlkwf
ojL3VDbSKDfZUCCoEx/IqgfgZLJKV5hPX6Coh2af8Xz+upgI/jRDkJMqXRqMpvNQjPEVENk133kc
xdWuHRR3D/E0tRxj2V9I2hfadTdjObMnyaWPOeK8ARVKnHtjGsGCtkNf3B+qTClYvO2YBxeCLcvj
gB6QBdnGGYtIUdwV0D6Rqy7mq0hQDhT7rqeejzvQ+foq8nHIyMplyeNUtjH9YIRnG2BvVdj0e88g
ZTPpK9Stacyrjl21YCiUaVMp6G5mq5rr2ddog5YBTByScAVVb8/jsmnPxzKiD8DmZ5Fi3ex3wqfR
dW0d0VkdykrdrXRa7vC5yWcW5TBFHGB6UB3IiiyUBCa10fxlnV3kb5DmDZzOdnpxWS0qJR4hLg6n
fYin34h0EjQuPptOIxl1rdClTQrbxw88GmwNU+cyJBsPobhV6jxN+m3Rw103M5M27hweU2ZKg6L3
x6w1cLJLUfSTi6ro7YzqV7X9eQefqw9wSolIMkgD78lRagtjUSHtc+z3lpYgmSxLv1czFui9anU/
bNTUQB2HzzrHyJeveQlyJLbejWGj115jHW/s/WCgMTpfXYmzqm9d0x2sBfU+mwQym7Lc0jXKqPaD
IF1pOAb7avEjrDezX8KyW2un93QNcQxcaqQfP+KZM36OJPFuepE9ttAdD4N1fG58yItSFtLC3jhe
OnrLZs+UG9gE5VHW16TbhoGgT4NP9VXJsPdnPh0Nx2mh09A/MIiKszYY8zWL+8GYvVS2ZlkU1L13
iEuw7W5RiDKTImizmt5H3SrlZQO3N1Rcc28BfZR62hJc+arPVxSYXVey9n3t885c1D0YvE9ey4Ph
afY7El5Tq5do72jEHmbGmcQ4a+X1ME+82k/I9+EZymrapCP8/vuNNXHvpxA/kPiFMXALh6Si6wLa
nzPehSfCXJ8FEm2PdG3HVmLGyGFNxprHYPAKUO7EGUZ9jPsPAx/vuiJ57t0gFwrlQJ17mEF42HUZ
tpBT4TltmSNuQesE5mcJDbUh0CsE00Og2xCDDrpxO3yUg6mXLzFMKPMvusnp+jWeMXLVq+9jopJj
VmM74YgaR2GemtYnJnFisGyjxmNEXFXFy7lp1FRnrcXulTRTgcNtUenqOejC8MkiwOuIysuChIiL
F5gB6BItxdZ02DNdxjz8O0cIQGMWe54Hyzi4G4qEy9Kl8cyaWWZYC8oeD9VEsESpcWgaMr9WOL3o
0vmw5UMPMt7A5lc1Gasap1LkIPgkAROnkFgVLFxCZhy2H+cGonOA0JAmdiJD2Uhg9h6KHGTgJJpb
FzxRv2YClcZAvTQo26q4nunCihcss2OfLTHG0rY0o4gOEZ8l0hZ4bKf4Y1xOvrozJRCCu34Qsk0V
D/sCp4zCIEi4ZVj8BNbRfMMpLaoYBC/N1ks81rA6X5F7cu/3YVXv6Mzm8dpTjPrZjBWmPhuGcblH
ACoSW2VvyuBWVs2M6hRYAXkxnAV0IwikhXuQmuY1nVByz/fKKTInfO269sypJZ93paIMba7VfwWz
ZyHJMhT2mUBEcB+ZwkAO4kk1wdnUsD5rBxPIc7Es1Uvfu1zJRPnwFkMJPzQYhRQRh812aYmo8S0j
eP0redXJaNhjEpqnkrR5lLDZRHs/XKPXmggcV0PSCp46NEvUhjWVaC81noqsk2Y0QKkTp7uhTdZ6
YXgSZuU3SL+G6M2tgU0IHm+2KB3Mmc9H/yaMtd+fM7TrGGofbG9J0fZ8AoGzNT6shxU2PSRfxmzr
j/BU3cTSZ80XS4vebOArqgLEG5Y0xtxCgZ1KOaGvoj0CcYnlLb/2Y8Tb3XAkZg0pAwzdpysOyW1W
rVqV56utuML61pYsAVkaIvEK5099YDCgv3TGFHWCVKklulCBm3CG8gZWqQSpsuEH3qroK7Me0R8J
VcpelwJKvC1AXZjK+gPP8RVsz5EEBnZamYYIor/FJUZ+MUdepLEOUWpwy+EiBz/hbqybPQmXDoHp
JhpClsK7gj5SAuQpsbCauG+oACqDSJccJ00bDtEB+w3khAHIUgcg60OIYLOGxcBzYMGQEm+cKlAF
sMzB6GW2OAaEkgTZmA/gsZmuGPPzifYrksipyP0UR7zobinHWCQkXqI+lZGqnkKYoh30kE9+Wvhd
9D43EdjSo4zLh7EYww+NEQ1PKWmqZ8i/1vsIMRH4kAs2dJx8gjiZSxbfhHNefRLEtDTzlqY/4E3c
DXPM22BhbW6botY+iiW7dKnJI7XjhdXk0NUODOogwtBIZcMRWFLPCELarigDii3MtGWBfc4gfWrJ
sWSeedMylPfFkfj7STYSZY6PTkzwClluUd53oNejRUOxSwGviXB0qHIAbVdNrNsL5TjZ1MaDjU+F
2zFupqluojuY4pIlFZ6PVTfHrtWbDO1znmeTQXE/YoB5FFCa104Jt0CR0tWWHUyngY4kvLKbJh6u
fC7c+8VvzL5oI+LOdTH00xdlSY7NotO6OPOc6qCCJFHF4jmpIam5sYSxNo2bsRuTQDDPu2GjKy81
KyOSFlqKwxpZLz+o3sL/e2jyonrfFUjPu8mjKvBRo9LZpqYqilsifCQwxcp0V1zNDAEkbT64S4tD
9YGNy3jucj8wKc5OcBniOTZSjSNZc9MHQfSZdm1bZY1AZZIMvIrvGdJFz9AKl7CxMvOEKnOu7CMw
mh4VtAehK4429aDPvUmEaMxOi/tAhmU55N60sqSN8/pKzkP32lIhxh44BMVqkbt27c67GQe+83mK
4joxKzU2dY3FOZ/3rQdzKI5ntovqdlZlAhudKr8XvJDRuVd71Vkrm3ZJp6Cx3pmfGyNxN4V+QYhg
UyTc6FIkdA3cuAtgMvXRRNbOKeq4/LryF/8iyONbY0qQR2F4F9kMy+Z6qVgl/YsWTe4XCOnFbQQD
go8uwuHirC9pm+8n2hK+I0HozA4xL5NO9LhUdxzyxNtA5+WYTLlwHyFbFE9+v/RnjWb9hvTz1pXA
Wnj/ZWGYEkmg1PKE/kGQgB2Dag3deqycA7kqcL68ZsC/kZ2lQBHYzCifHku62sOIvfMWGhrlHbrQ
AiJtw3y5DWJ/PZuV4FXi8rg9K+Tui1yXRDskndmALJnY6RjWEml4RIJLWhf3fluUTzTC4Kqiqgd3
KeBmh+xIyPIm0BdlqrsGj6JGDNGVK1r/KixW95wD5Hvf8VxdOxlruo97+hgTl7hleuXF/LC2LQWw
rIvirOZrIwH58fKcj2V5wIPxEqlgpwkezdK5TKtp6RLcfv4+91Y7ZyGK5yk1XluBKwSM7ZWtMJjD
bGDAoJHkGN/FODRfV7GJrj1Wdwq7jitUQjFsMU+Va29rsth5u0oWNJuycsBdZxKMH5HiQnzs3IwB
ne+8Wxp7+kAZ0Yh2yZf+S8BX9xK5WRIAkI6P2BK66LWHE9rXgM81XhqOc5PmWHdz4B6A5oFElv69
XwCghsRuMR9Hv+/8ZOkZzAzaadJ5NsSinhK/4LlFcejshbG2qlMOfP4BLBhm4cTj9QUOpWr5BIhQ
9ts5HKMXTCx/H4brVe+x7iquaXPJ1mluklAycz2GcXGJ5Vp8bjqEkf+EdfHXzSZ+ag0AX2etJK9A
ixezf4B21aWMxW/zweGn5gAtAbThNz0YIxji3oxyq/W9j29r17IfG1lFJatxro/NQ1rv6xnLEfWX
t0XdBKey73EOqkEhNHhj7XH8SCSHV6vx3qRFCE5135QNrsyxjW7gtUmjfRWS9cxX6IRu33Jrgvj4
sL9r84OtXgPwBqVyWcI7kl/4cf30tiuf3HTnakAt5QrWVaCStQhvvNB/00jEyvXjh0ZzCYKPHmOl
KPLPcuk+0in6GbHvr0d5cCr5Nr1oc1bi2rzIP6hoTWvxtgi+ID7hDFaqanlt0a0tvf4T79DHKuZP
b7rZp4JvhvWVwRkAhmY9khz4EjI0QV/edu0jC+u7IcL0WMY4FUKU3fkvKxos8Ujt2xrYp4JvtI4g
iBmP8kzhfUZInM5o0QZvIqEB8P3xg+NkYzvGIdCE+02d1ThAP6KFNr6JkRCcBkWwwAFAVMdBaGh+
QQFVSLa+9eIn07LEKr50zQAyplFXoatTX6o32cegQj65K3YF8B5CPBVo+whoEQnq5Ye3jZSTeRlp
9Mo8CuFUPjl2UzVlkCxrYd62oJzKvtEWDeO1LKGy99DKWUbvIOrybQ5MaDj8eFf4QkgcEgnjLgZs
Fr0LUBdwrn7TfTnVfc+FzcUK+y5Q7+LHeURPCgDdG699Mjs7C2d+IN2gl0z+vhVm0/b0bXvPqe57
DtcxFxE+NrDc7dLXn+JmeH7bHTmZmhPsM0N+NNYTzKzpwhq3r5Ras7dd/cg7+27FihyIBUUOe8fa
xAqB4VNGEUrxkx3zyH75V95JcBoVwYHjwLIXWph2MagdC5YjSHUiFrQLJtEXBqxVN3LfhdT+GaH1
Xz+4yau//zd+/jJIYAbIZjr58e8PQ4f///fxNf/8mx9f8ffdy3D13L2o0z/64TW47p/vmz3r5x9+
QOQuWLK3aAa7uxeFFMRv1y9ehuNf/qe//NvLt6s8OPny+29fBtPr49WKauh/+/NXh6+//+YfSYv/
9f31//zl8Qv8/tt99TJNz3+7eBl6bFZ/XPGfL3t5Vvr33zxK3vnCF3GMvTqKfHbkSC8vf/yKvWPE
Jz5mbozwF3o0F+hB8C5//y1+F+N/sIWLgGxSdBx/+5sacNb7/bfwXexTEIgjTpmIGZgGv/3j8938
8fz/eCS4H3/+/LfedDcDDkDq99+OQ+3/jxIwBOII7Bpk9QYYGPh8pwPd6b7L1+hg0Lt4dl0woOOr
jf4Mw51fC4j69lY0ht6GUeEHoAaejHpFaT2Ooz3AxkelSxSzhOBc/EvLzD/eRPihCHGHyCnrKhrQ
x64rexBCLlvuV8tGCv0zifxf3DQax6B0AdIkcHo6uWnWsGgdu+WAm6u/ootA9oPPllsLoP+XmNxc
4BQjoNxCF4mGJKCnBLqwJ0uZL8MBjB0+JF7RNgXgpEH90kL0j7eJQowsEsGx5eQL6RBosijkoco1
ezDllKeE9PonZc7xIt8PNdyvgPkEoxoMngAYyY+rXh2v6NkswZ53i9uZRQMJZyrUbdbgUx0cGpG/
VPkcv1WI2tv3Y4olLwpP5SiwQ5wmIxjOoYAUde9I6snpZ4klf/WtMLWFiAXEFfxUpyo0EEnVsT2Y
SaDR8TFPyBIsCbhCFVDE5mdP6t+/XXgqLm1hqTWvHt176EduCRpBqZadvi5XE6CtHI233y1nf7E8
fBNwnDw0jpsYhmhyRSI8DfNYQxWawfb71i39p2Ek1Wdp1uKolqe1Rn8JPNSk6aIGjZ85LDI/n+Iw
8ayZ3hNg0WvmgD1MSdG34qOEG0mYscJWDci3ZX4TqAavblddfVDdCCgEpAa1BwZP5uemrbh3O1nf
x3srNf4s4ex0CnMisOIxhm/mh5jFJ1Wmjrs8qEazL53iOxEv02XnR8Hesbz6ySHwX58Ykho41ng0
pQT8io6//26zz8NoIq1Te3Sj0UoFBSE1k5tfkJTJ01mv8mdHlb/6Zngb4tMwCjg7HfXt6KiSxbTv
K6GydZndDj51y74l9tcibo/zC98sFiHDyBeQ85+UdhbRTmFhxn24rmuq+sHL2r6a038/Ao8niR8H
IN6HgMfHsW1gUzh5UHDfwfEiH/bMCm+HQhJdvqWj23//Jn9xz9DsCgGDMsbRsT1ZmoAVeeBJdvtZ
gwnXWBmBY1SgjTny8Se16l++E96AE0oIFqXj1/1uNHDQgsEzGPZ1NFUXNdUgNQy9RK1Wsl86P317
OtwnIcU/GOhYdX98p9ER31Kv2zvfC5Kia9AdEKX5iTTrr76OH1HBGRFxBOb0j29S8WYkSjT7pY/6
ZOGh2pUanNmqN7/m3vrn10F94nPiiyA6/Trgc7kRWPveiysHHjCrsinofiZj+7Fm/uNNUJGhEYB9
IwpOtQcAr4aA6Xo/iPiZQ+pxKYVBiHbnh3e9P7uvVFr5E0TkL98S2fKoIhgnLDo5k5ak4P7i6n2z
jmVaF2W/JQvt9uHk+r1zGr0KD03pn0wq1Fv/Mq1QkDLYsoHS40M9czKthDC6CKZ2p8BtiDYw9CVf
1FCFiHnHZAP3tAGNsAZNwkcMudQAn6f6c+yVvD96a6lpg3KWXEl0Tq7d0qwOvPJhOgttOD2RKEKf
Ev2tiSQlPj90mIHKtzOoktEGPvkx8pOnuJrSEYmn4hbxe8EVb8RkbtDUnastbftG3cEWHDHReiRE
ZO06oTce534Hn1rezOUzr2lP7vwq8FyKdKkwSMPRz699RL2+Vjwe1VnucLthoukNDx76/XI7+4p0
ILcve7JqUJ2YLcEz9Q3MwdWIm5EK2i1nzF8FOikRWowbBTkrNFeNrQ5gMkEsQuv8Y8hcXicgivmH
3jb56xhwFexso91TawIBck7bRGBYjXXx4vXoAOXKkCLpeCWabVHQucmqkriLaAC5PfFFPrfp0FsT
ZkVnx3Efy7GZwYSa0EUowFHFAxGgd6bF6LCIj/WMRPEGHHeetoEA7lKLsPLTIeJLiXjtNXiaCeg+
WQOLmNcSDuJXE5YzkKKZzu/H0cEcqaigLXWuaEBdBAHna1DMhZegTTR/JAWV64YGvr0EEwe86j7u
3VfPyYkmeadq9LbKLvcSUrfjuXbonKZuGXKe5GOvw33hzNCjZaDrPuk9XrYgD/fuzgSh+Rgvjf6c
Y4KpbAjAvkhGtAMearA37kqZo6mrF9uBzzYihLzKQAim0M+NFY8uwACq6j3ajM0tDEwHdgl9N0jb
JaXDboKVKU3XUESgN4wP8GdEbws9ELdDLLUk2xFI45LIWZldmcNhMh0x1+4i8B6mlOmenWn4ujw6
Hq2f2qKjl+itFR9Q+tsGKV11ozYo87lL0KftHpAr7DEQGUbx1KEfbzKBHb1KjYM6J5Vi8rot3D5i
kNwirT67vBBzBuoVWpAMDahngwyKr0qjQ5vGeeHAVpeD7M7rDsnfGB6TyhO62Pa1kArLmmoh0M5q
3ZXPqy0GepS/5tV76SncbYgrXJQsWjdVFrRTfc/RedephwOlxumNHSn8WFJUAkFMTyB9KTyXgNy8
XhYCLTNIX5w9yKIfbWZyam0WB5O3Qz1UeJmZS++Ria6gWW5E2KSDHVvwAycN/ULk5fJTOccVJhIx
bldiTVObUlDSJlFbEXq75tQjWRmF04eQjsOwD+0w5ZlzbfTYjh3kBj0MqYJtHKygUYUgwTw6Q6zM
2IgU3mQoSCBTDkazzkB06t5LgVclOqaqBiHMBHaDNlz3pbGuum+rlauNA5bMr6QQoEWIsAteWzf0
EDoriGCStZOgMAMBGQe401F897CL8jIFlQdLScX7/EsIFWGYOrBSZ7iSDG27laHy0e7127oDY7ec
NVi1vv1SR0zbrQScBWoLFCgVGsDFJJOx5O3yiFDBgMeZ7OaBsxSpJnV+kTsG+YwrSj9MJiiHysvQ
V/qPHfiXMJfL6ss0qOFVnyIqP4Aw1/Klv9fTy4u+fJanf/m/EHsR2Ar/Z+hl0/7t/rmdn78O0/fI
y/FFfwIvkXgXxtQnBMmoLBDA6/4JvMTkHfVR/fMQBSX8fo/wyp/ACw3eBQFD7xIvgrczCsJ/Ii+U
vcNmyTD/SYRFEKrKXwBemH9SO8FGCidTKG5xTcKj6NQ4VQSrdQwkxG095w9Ac8N7MACGZ38K173m
TQ5mf841GmuyyxM15TUD0SGiFxPtphswMdAJryCBSnRAQIJUvnfUZAfcfRyocuchhF5lBsMgew1C
O8Y8UVwdaKxtBv5+/57ytvqUh6y/UyEDlaooB3rLpwIhkzFtzuXQlXuBIvhQcd+GkDGVMhUT5lEH
w/7Pk45rMKDQSMx6N4c1EPV22hgYcA5pVRD2oYRMXCScN+6pr5V0WQMm6WWZq5Vl44r2dQ3m921H
O/5VVv0YZIDOfZkYNeZka6YqKBKUIKNOTKCKegOSNI4ALXiP6JFz6CpbbKjxHgbWVmM980MJ+kM9
fpwGsV5YnzbbESDUp0oDokm116K33gbBUKeN4/EHuRTBc4OV/SxvO5K1Ub988g1oBziBsgHXC8Cx
BZfIqUh+9XrQ4KF8cBIfCZO8zfAAOrh2FPq69dmEr27ZJSjNZQ2Tk4acLXLe9Ys+6+Ezk0Eb9IoS
T4PB3rE60Spm2byuDquwBbU+JYhOv6StV1/1srsJsOh8HcIjn7+ewnoFm2mAJ4voVNGl3GvJ+wKJ
aXkmpBmewV8jLPPnuNzr3son4vSTbUb4zcHbYN9iY0m+lV9aLVOW1/7HLtCsyHQBm4yae1f5UfoN
DdNcvOYIpdo1yEAHvZO+b+h0peBXfznlBpLnKQ4+zVP5qSlhH6I5QjhRGRbqXHhjWSQwW07FuPgZ
mIjVDryTM7Gofgv5h76sjjy00FwV4McnoumCMO0ii1NpiCMDgElsS53Xutt8JOFl03sCPPRKPayi
a75wXUB+AR1HteNSrxoDKIo+rCtlGbgfNLHSPazlUGz9tpR7jfpmTbo+orBl9hFrorSyG+xa8DaB
LTbfTm19P4uq2dmIp0WH/wzsroW4sH8NF1Om4KvOm0J53guniiRIpnueehQ8xOinxXdQPTEOD0IK
NjedzQXEMslQeyDYleZTaDuZIGmyz3rKPo/h1IGvGYL/6kN4JZTYmLGFMjXnkbevW+MO0PcVyIyS
atvHasqWXOytjm9V3uDvUdo+QDfwoigGe4QUFUQdTDeS6yYbJB0TEFRj2C54xbqBWG+9W7WhR3Wn
CLCBtZ6Hfja1+6Upqk9DTMjTFPjrtvCXxU8D6Dt3DWgMCXIrbwdQ7UGUq4cs0rRChBCBrC+w3bbt
wke3qjbVoNZ+9oGA8mSmij0Bt+AYQJD5gaSDNMB07CHSSXoXxmnn05vJcMymxgswVh3LHB/iMvEi
nmnW9ikd+ZxC5Tana+T5Z0ePRMTDBW1SSxOkYMnGdyJHJKoYB7o58u/SypvixAWF2g45HQow/0NI
JspexY8gvtOLo6gNCxBZZ/iKwnY5Y+2YPwSQ9vFsHauouCIL5BaB4+vOYxVTmXHiDjYlPSyURK5v
LAT+Z/E4qg8OfZJ764BP3gzxrDfo+VYpyOWfm2BFPB5BFk+8LPambSHCG/Cd6owtgb1pqjKsMyQh
0/2q1HBfyDh/0LNY90Gj4100abhjBZCXRUQqFHRlsQ0FTLhQgnl3iA6GnKmx3bqNaQCZGfrNc9q7
Pt7BsNtez4ulF4NtpUtHhFSl+HW/44uFOEqGHKwFbvMz4CYgp9d12GPNGOYXbo4zzCr5XPUB9ozY
9vmriSPZ3ORFNH6YUIVhBocyvO9HoShsgKB4/MkB85spxXewDTY38IIBEMXcB3YtTmGboxbBcQRR
b+cyvpIF6LFjaDZEN2dd5Z+F4L8mTd/sBR7SBlFKwP4a02+b6aEfxg9NP1ZZGK3q5rsK4T9AM799
KkEBxwHrwRZ+6kgBfT4hpav41nglS0FCBBF2eVwhz0hAwWGHma4PFKdZYvovDIMxGaEqyYrSe2iq
8IoySKbyoTY4seGMFg9xFvCuQ9kYPaBYXdJVmdduAEleqfrsOHj+/cf/ZiNyelMpwCP0AgjA7VNe
SThBalbkAT6+cf0uHsuzBerHYhmeIwTaJ5DoPYTxcNOOyibSr3Z1S4IDKB047I4b6Ph2xZwDWqDR
Tzw4TjCMb7cVLSkAJ0CKITo4AQIDL8TJA62MrWglWHiyf4SUCYRoTk0CLd+G6fmPXsIvVb3/Qafx
PyuM/w/1I+nRS/Z/Loovh2n48mX4viD+9op/tCLfodcXIg4l8IF6oxcHz7F/tCLFO4rnJ1CGcp8i
rhhI3p8VMePvsPoAcgPaS/6olf9sRfrkHYBmDEUSoLMZYcL/SkUcfAM/vxvfAiA5hbibYX4CIeWn
tiXRCklE74rnyQTeet65xu+uZFA7WJj0ZhwPBeKKApSqkK7KDKR99BgT5BjFChzbFdzuttoh/bIP
SQoD/t64m8XqSeYXDXDSMU7JBJvFJEDY1Gtn3QpzBdMXkX4A0x+uEYkcQLjOD0i/sij1UBkIEyTh
qOLxQ+E3Q8uCLKe8tBMUlJVFI64ePGJVlPkdrNb/H3vntVw3kq3pd5l7VMAkkMAtgO3oKZISxRsE
ZQjvPZ5+Pqh6ztHe1OEeXU7ERHdUd1WFmASQZuW/fmM/CgXT/8GNnIh8kmtHELY8bNEPZP1DEyV9
djeHfW8+04nN9E3F0VreWTIO0L7Q/nNe49zJkwsI8XL2sqKfrI2Dd4D0Uhmm2TbOQ1W9gNDDATgN
nVpvplk0b0GktM2uF/rQPJhG41SfnH5Uu9vKyrOvSl0q8iBHvW2QKw9q6Re2Fb4m+djXXjDqVebm
VpFIV4b2pAJt4BbJP290X3RK3fpmW9Tc+bOZQh4J2rBFI2iXt3Io1ZrqvEok9/g5VfZdg0nDfZkY
RePZQw2YFTWdWe1iszb3LS1ux+sEgMwq6sBkOaVEiHwKsfSZTOH52gg0lcO9a6a3ygIv+y4wxShu
qmBSERrHbfiotIZVeljCB99p5bTJzpjianyqTDV2ArcKk7lNNzEC8vg1Ry2FvjRvMvtnXXGvf3Ym
sTS3sgqd9lId+Embvi2dchMNcjAucvzK7ocxq+ytsJvpW46+JNx0RZAijzWE+kkpTQmTXxsEEuys
0wPokzhqezg8TSmSBqp1L661JnAXqugXZBjFAwrZ0PCxJh8eO5Zaus1h/yMwaUJ5J/VgQgElkDhv
KKIm7gMww5HdlaX+hpFFR1tNHYaH2ChxjV5kQRZDGqnNbSNHm7ox7rlcJBuZZm1Vby2EzZUXpAY4
R1TXeDdx8NpbTY0z54J8vLlxUzXW2w09tGy57gpbaTaLymJ2qUCwNEYn5KQ3Sa9V6ZZYjPmp6tXq
OpJ5kFzkZkU0UwK5OryVbayHPjpRJCRdZWkvmd3Xlruo2vKmDpVt7NRWsGBUzFKt64xOsPDnTs0+
5dWo2YdxJId1NyDZQiwQijncWSJutnEWJyaIaJl9IpJELu4QKA5wU9wo5Rb0elnIVJaU9jNyMATA
zgTUZLZd0+yIMbGxaTAr+kJ9hXp+36Od+ho3ajXwoUogJvqxAad624AO+aaeDnw23Qmoj/q+T4KN
Og4KTOcki1BB0b2PDyOi+WYrmmV8qoUe5Tsl0dP7CPm/4tsLAK1X804G9ANWnriRRFjl58E0xm6W
Z8oV98EQFwi7nhq3RlqUeFoRRtiR2FwlvWmqlsmtS6k9st2GD4KgRwxe7J6mtB7giP+YZvic7OLe
HLObWFH7yEe/li/uMga97um5prbbBBQ+eh6GadB4gCpF9bMoqU3Jl2uvvOVxvCNRV9wnXaeSfT3q
ivLg1MOw58GJqioK+1VD11YdxMiFjBeeo0tObIEWNG6KqtiEBAij7S8MS7pjX0BkTyotXTp3bKei
2cdTObTbWHZattU7VIAxtQYgjL/ktl696HlZXKoCjOVOr8a23LZ4aJiumLrC4c6rxK9LY5r3+SDZ
yUEWerkrFwwwXIGs/022Qt8P7PLVl7wHA16pXbW9i4HZtau0K4rONUbg213f687zHATlI9cD3lYy
KtV0hRZzWTAAH1DN5gMhrttmMkmKxGIGIX48JCFXNsfq5+hmBLDTr5NMkbOCFZylf+4BEV9tmtL9
l1aRZocUOK8rtKRRmj5AgIew0iiqEe9HC6HXQUwWNH2T23R5U0yl+pBKo4bbWiQWxZ/oVHUb21L/
hogIkxknHWW50XD6N27VPBr5dsjcUHQbeID6Ykanw7a0LLrPjZOMxbZOJ/ET3YzA3IOG5zI03qCl
4TS7aw+xokaN0nq+i1BsJRKfzTbuU49sFfyVXPzh5KS7ehyUqNCIKleGCzuTYXQpUM3FnbekViev
zCRXmm82JOWQa0KAcppNIWtGw1PMPKx+6N2EWcus4m3w3UpL9alFFpWU7oycIJg8R8mJnEShq9fy
tgn7WezLMcvnrUzr1a0gEQMmMnOBHpeTLy1QQKHjvRvo+sy7uJg5H33RDD1ieQQXQUExrdPf8FDI
6Z9yy+47r9LHBTuUadI0P1Qmc7lJ2kibDiKBeID0E+udXdlznnncQPR7vCLkOMFHMOrwoCKv1Ham
FnHdzUDDzSvDsCPkLmFop89pOSwowpMQ3Bcxh1PSmXOjPrLbipSHPOp+gobP5WWbwtCRmzKopqzY
ApnY3au95MVkuwi/Opw8IH7Q+2zrWS8+J1ky4WmTL7YFt9Tg41aHDPtiNdtUwTwG0wbtcTRfFxAu
0V8CZQ8YjPStfdEqANk7QWYqH26JGlXMnsynftoITrk28NggbHyi0YAErVuqWtXTSXK4qGSuNLTJ
7N2pB5rY0e6dQJfSPlOXA1M3ZG/CLklG11luKNZL3ZncGQZNrfrbsWhGC6EIvojNl0o3KvOqg4uk
X+t9o1iXkZJ06Z3dpXR1nHqUMnOtplyGuwoW9/xYB406fO2ga+DVpDTILzzqojk+zHpYSw60OG+a
T2aAmKp1CxkabyVePcFl1mJHtRFmkwVfA8cs600e2fIRTqRzzYuTi49LafGN1itOPt5ST8nwMppt
5tA7oHNyiX2JJS5iqoH0cY6aCLLI0OXfaEEF1T4rh2y4miyW8SFQkzFGfWyJ8S7NqwG+BUWutU9p
U0WX3PhFfhEoNupzmRZL94xknSdFiR82X6Y8MR+avC++WiDC+pOVa3gLFViviV21qFW8D1MTKGOc
iqFmS9EzFShubPqDZpMN/phlWTl+Gp3SzBXWbx03e1vQ0sABNAJswdlm/BShmB43v+r9v7oY/d/d
ev5fawdAY/jw6vOa/YiHn+3R3Wf9I//efaTxDzdTWCSqRYVoav/dDJA6bQIYmCrzC97grwyT/9x8
5D/cdwws8QzDgoYJfee/egEKV5/15vOLzcYf5DL+V+2A9Yr831cfyaWedrwBR0h1uIOtpM4jXkg8
s3AsHFD9ePjkWJ/KNCw8DL/x78oyA+C9iS+1vwv5YExbY+qiU9fg1fCAJ5zywJmionRC1cezK/U1
bIG9mbSFf2ckraU/M0x/EY6PHm0dBrLVym+FlHQKuqCNzo18jFQfGzA63sbGCPYIvFFf97Mr4q9l
+iXN9pWg6XlRLxsuajESyNRXVHpnh/pJ0fDYubCyG2qwoMR/xOs0l/9SSdrCxcJgQZU/eW3vj6UH
VYKOcKZtWHb2lXYzSY9zdxwuOTEholmaa0Tgv17ymv4wXp1yZy4emCnlS7tsk9yfv8/fa1SHo5+E
W0InXUtHbX0pnasifFiU0J1GdmQfky45wNnwgzPA2bt5wMvS12A7yHYw1E6j6McmrlUMB1TumIgf
1XTZYGoXXibJ8Ck1M5R3S4i2dLHO8PyOWVb/TgWKI5iSDA5N84QslBWVOZcQ1Hw1KqetumB4BzRd
nWGz/vLtP50KUoe/wx3fYurRrPud/TTgsTDVZDH7kTwM3KOlLwr8AK7ZJ11ckyhHV5sWq3klR7DN
bjTzNi9zt0q2NtN/9pbEm9xGHLTHuvTs6a5xvqRy9Ar1VuoXmryMGyyDqXmX4DCNX2eDXbt25fA1
7G+m9NtQnGH2/fFxoMtagleHj9CpqqmZIznlMlG5FmHheFtm1CFZso3CqxGyaRlzZU26nWllnhwm
fyodlE93wBSosv0A0rDNxeU2V7dRfZktr2b8pkSHgV5YJieE8E9WeJU1SDPHQ1pvMKuUyY0j/BX0
SJvJH9N7q9/GjuLKc6yuYzzv39nAQQstnD0P9vHJxhC2C1ea1Fp87KKIKa+XbTwhLU5tqC9BP7Ba
OJh/26z/AM3+8tQ9nRoQ0EmOZZOGrwTO9fvUMHCIiIioXPyQstyJXxHQBjeRKa5Gs8pJp8bwI0aH
Xjpsh31lRDt7OeeuesyJ+vXYyCUsC74c3b136HBpBNA4CgtWhCwoPPQrA6JTPqF15iK7+/h5/zSW
LVXqNWtd7qeuq0KRq0ckG4gdB7M/9bjfSblFix7xvdVh+/Fo68s7ebmcYhx9DhMV5uEJTW+uyCvl
Ljz7emdclQkBLGVCYkcOX3mt+D+nUnor3cVO7DNL/g8bCyMjM+D45pA9TWWidK+5DZg8YhLBEBRd
sqNffM6o+Q+jrHg4zE1NU1ck+njyiF7VSUst2Ve6sAHVq0PCx43Z//gt/rJkPnmNa0vD4SxDxAD7
9XiYFEimMHoVM58h29hz2roZLBaj1xx2GaQMWXJbKFhKKFMTuko3ntmk/3A2mOgNhGDjFJQr67//
jTu6OCOkLGtY/Dhf+FTqa905k6/OA6Zw7TxfhGbsM4PPjPqHzYB2ic42IFRGPa1MnKwV0sygckNT
S3cRdmpe6yQbNX61gkHzrCQ4JxX744jsqnCYdeQIp17KqYbxwQhW4ie4v7gCtMKViIzdAH9Qr1JS
ULHE+Y926X8sU/6wICGE0MpER+/wn/WX+u3lVjhXtt0wzX6u3ZrYdOLYM5v+4JRvs22cKYn+OJaQ
q+zHYTGeRhbiKxQpKRwmP4CYOM4xViLT6v6TLJU7K9qZJfin0RgJv3JqXHYbQP/fnyzAbRT3jhYK
Rv80zDrahKXEXmQeQhdHkTNr5E8rkXdIpbcS69lIjwcz1HDSZ6mx08Tj6OmTMnpmxl3445X4/pF0
1ZAaVrBSqIbuGMej9OEyhqrDKPBUUUJnL8OQfsPzwBNQuc+cTO/2TgcikEB5bpt0LDidjseKa8fo
x1aqsOQ4/sbEHvdY60Q0o9XPc+u4aqMth5Z2QGudi/X+ZWJ/tOEwNhoPGM+Scomd7XjsaJ6r3hj1
tcCIv+Oi/NQmeYbNxZj5bTmCE9d+PgMcRWO+xfuo8Zulfaohz5z5qu9WJL+HA9CB34tjrzKQ498j
mEKLqPEGUGfpfuisjg1uPLs5SHepXmN0oWCx+PEX/uOjU45SCCCCWzuMx0MmNSjLNPSqb6R9gA9T
4I+1c2/V3ehiqhiRT6Zj3FiOrmPWtts74q3ALq6raRad+U3WkU4+Avxsk9sf7SkI0yeHi6rAF5Uy
5mqWLv0mxvbGDXXlQk1q5XNtm7dzOGUu7AN766jZ4zTBTh1U+wIbvxsFCOxM0fnuEEA+xSURqZEB
igpQf/xe1GTuY2wiUNbgaE1jgDALnD3rYvZrLITdWY8u8ip6+/gdrN2/k3cgVWRAgm8vDG67JxNR
x59Rz2J79lWtxH/pbeCCEIbPZfWTNeM6ownJchsUWAVuWmvrLJ9z60akN2r7kg2f+/6gKy/wAGLI
SaJy7+Nb8yIb9+Ho+HnqyWLX0xQyf9IxmFjC9kFmD0GEtdOm0g9l+DmZvw7RW27fj+n1dE5mrv3a
/46/L5XuWvgZuk7xbJ7MtEWxtGSqeKNJsxfqhcLtU5o/ZvsuxxiuwS+5wNzXug3mxzK7JL62nx/t
9HKstnnEFca8acbPGmKRsL4XtBfj7tnqd518tqt9wbUWO2I48862rnfmIbfdZvDhYys5B5kXbmrr
Lhw3TXco2y1ZYUFyyIwrZnbR3yvhDz27HvRLo3oti2sxbr9O6Z6oK2n5vXVvaLCLfeN5+prp2777
MkQPWXajd3uzR77tQtkpv9EnmOJn+KqW8oaL1CIO+HLAayECGkh+DDbzJ+jIITSzcU+8GMDuXddc
6oOr1U+lszdL5tXj+B2aWh5/Kmh8hbsULjnMvydQ/0K9i5YbyvEs4jm27YK7mS+dLdds07iswnuY
VjDBigKu0/gk4Z/3ni2v5LCjfFFwAKMUbXCElJd249rqfvja0tW03BRuVueHpT98167MwLP6W2xy
8/QwC7fC/0q5SJybZP5uaXdRkG7x+FqGb3n0bSo2dCqL6lqFfNNsJaSsckzwGsSh2XiFYVYfcPHW
bS5jm2C6rLGANP1AHKYYXO/MCf9+w2ROSdY80BIShdN8IZvTKQfypCAFWHZRvl5SEiabUMm/DAm2
9Tb7+pkz8U9L1KL+NenEG8I+DefBLbFsmmmt8fk/dD8GASdbPZdTTj/+D1sBlZlKU5qTSTu12anj
yaxnuib+ONxmFfcWz9LvMWouhLt8by2+5EvVPM79p0n8MMTPtk7cod0TWefq6iFqfRh6ReRC2FwG
v7c3CuS9eGM6u1HD45QohBbmzzN2+Fss8obhObondS34pFyu+sDApW17z6WFXiwctOWyuwovJNI9
N7K20WV33cE1g0bOD689Z2deNzf1g469PlzZ2SuwP7Tc8h5IoXS8WtuFN0N2VfX73Ng6uXswcrfA
1uf70D3a8UNBv2d+gzqnbora13tfKX0WfcUtfoaTPuJEpZpfquV7V+7N4LLFSW7w7fkmbg9Ku3XC
56a5qaK9rm2gfE7DA4iALd0uJcFvh4P0MF5j+rEULBEat/SeL9r2K7aE3X2wfCmzpxy3QcEqG7QX
G8fMDnFKp9EfrWPXUl6FvRfVrUHUWWcVflPfDflF2e+lcZ/OPz7e+9/VWtwZIXiAcaz8D/73+MDp
SHWUdS343lZS+3C6vpsNDS3FFJdLMAf+34+m4WPn2JCsuXOcHjRWIYZWYFVb0IZKxAqe1zotjjbQ
YC8kZ0Z7f6MD8gWLQu6lwmRBAX/8cOhzSXQI59lfbDv0ZnqGfmjIZpsu6bXomXlY5E5bnNigHWsP
TiPMv1LpgTn8wpypZU3ktcL6BYv8du3AZ6OM+pTnnSC/eKheEx8iZHumhvnDN9QdidhV/aUmPz3i
9AzzUnjUXG6kuUVOhQYVyzxA1CB0pU3T8eOP+L5GWccCxxGQvsAcTiqmpC6dvB/q2W9Kq94nyoWj
gnBxEYEShiKKnr0n7ag6s+eePiT8I9xidBB5hPJ43J6Ai3YVLLU5DYOP5yVOsmODj961vnyriSw7
84CndwKGYhidktigIjZOXa8SvDFDC/djf9Sc/pqTr6IbBVfIeTIiMO7gYogbX+JAtv34xZ4eKyuS
bvNowPbIFPktjqerpiwG5KQAIimSFnjq/SpFSy0XkghWj6OvLoo8M+S7JYKqU9qrGsKiAuZWfrJE
jEjVensgtwEPbeuiV5prdYh9Oc4eNsHpZimwsEt0nY58fZjwtvvLqcvwiOstvBwwa5PcwY4fOc5g
VSl4UfpOVoOAzqbb07pFgQMM0C3Op49f8Ps5BDsOiwoBjkSZe3pu6yhGIsj4FZs9cdaqKDD/w6Ma
49h8M3bWcubMfvc9+YGsEWnwKWHLOicPV1kIwCkvC1+1JwSRes1yDPB5r5Uu8pqqf0tz7Mk/fsRf
gM3v9S4eJBQkQAGU5lBJzZNJhGesohGnkfulfbfEWyd1Nhir2c2TrI1bGr+uWlHHjaHbFFsbtWZV
HdT8ir8ZlLtlfMFwd1H2UQP1By3YU6JVW7g6MSJHs7rqy2v+OpfJZnS4iA4uuk5scF2nuuu1J36G
LMgb2Zo4PlPxZun6RxUotDhULeXTxw/67lvynNIGHqAMWwHlk+e0h1KYEKwKH/3iA7Q2BcUpZqEV
/BXXxIfwzER9tyeArDBp1uYGBMt3aVTTWM04VeWIFzUuZwhIOdYh6uf47dEMfluMqPSIMrgbCnH3
8YP+cWSN4Sk54Tyexg4vWmxpWFvF/pykP0kYwMJ7RCBaI+XbkaGxddrFI8FCX5wzA79/wzwyMB04
Nkc2PjXHa7PX47Q16iSmd6juZjXsQbMlV6C5wwwfFt3Hj/muRWDzbnmvKxcVTdc7FJvUowwZxDL5
ZdbSPmr9hvyHfd5OB2Se802JH3bhDMUN7auQPBrYNXBbzqyeX4D18erh0KZLCQbM70KL5PiZjUqa
U94gmjQ0SKLZoVYVNxyetIEacY32EjGsrKd8r2rh46DQ06TvGR9E1O6K7MCEX8qeRKD0slM2c/qa
l1cr3w3bUVeJQo8FUjxgme7Z3Va17pz6wHWb22FO9sxqJFzWfpdsg/qVlgiceRYTf2URagOxOMAO
VXhYss9jvO2cgUqVrJaKwa4CfnTUUSH+ddeGT2KuX599hNYhCP/x2xgSzQ7zwBwAh29iDKVc28y7
y5VUBUlQI8wD3/++NP0mNO/Lrq1dHdLLmU9yWm2s9x2gxtUmwqCCsk8RkcCMu3qhQNeGTHGXWN1M
Ni6tw2c5yRBO27xZQmX78Vx8P/M5hPHcwR/qV8N03dh/K9syO6uTrql7f+mWlUxYAknHoRcKwAqh
njklaC3w444mnQEABYQLceGXXvHkEceC+J5RGTtfvTe+l5/YW9TPyEyteZOG94H0Cdvgb5XvRe7R
izAbv+yvBqCY1p1gPKZ4frvq03IZHiYISzmMxdva/MFf++lL79xms5fUO1vbKnrHhj25nfE69TeS
KaRAoQT4PFRE5ZguEr9C/1TOXyexT6PZDR2Aayael6se1xX+inm9ZaF+d5PeFbXXki8XwR0CJgET
2Jj4j9Y+VpiyR/Dkt46fGnsl3rUADNE2U/a1uSN+3IBQQy0ceLBdizvjdrnr0Fagb3iUX7TOhRcQ
ITxX9lqxF8nOETsR/ijs7VTtQISXGyTY6FnoSgA16Q+Y0pTWHi/gDB0KOrBm2yRe13CkH9Bfddqu
UPfzclMhbUMk7ezacMc/FPPWKXaLvpu7Q1rA8sN1eJu8tAmexhfa1yqGfudFV/rN9Dy+5ZfWi75T
roqfNegHXqihiebSHeer0kDAOGxT4ymYvzf1U5V+j/P7XPG4nGt3WICTMaM6voLaRfWcH9H1cmaH
fnc0rBMH+yTp4DJGr+Fkh1YybRb4ezFx8AJwW6eyPUMCtRik6WiTEV3gJi8wBoHai+e6dfh4lbyv
HX8ND+tjbT1AcVnn9W/LJDbLydZ7XDNNtdiUTYJqjHvkPOyUNrH5WiYdliElgiyAtjcOyCo//gXe
LVPGt2jQg8TgGQKEfjy+xgMnVhMy1ZT2Io+izrfq/iFbarCKYjoz2Lt9iJIc+MXkbEJkwb54PJgd
R7KTrYEFhGjCfUtAJ7j5tppNOCdz9hqiUXSTuT5n2vjLquNkc2BcKDw256INQH88bp7GdQOPr/Oh
rAU7nClWVoWuu0WWiB27dn4ZEzwIM4HM0zGdbgncMDfKEGsencvFh5s2bMqMOAGMrPyi138S22lf
ULfpubeYQ7TtCG7ygrgLvC4oxr/dvQ1KCCbnWtwLvEHWGfzbFIGKrg+KM9b+oNSXjdnvaYx58UjN
2LdY009j+WVMzly635Xd65j6ate19qgQeR+PaZEQ0RI3XVOm1csOFd3OsvqLodaxY8gUttX8HAnq
/USE2QDCjMHaqnIRJ085BJ0DsAFRCTiiu8iUbxnpSfbYKzfjXD9+POnfz8O1QwO5a52GmnNqYhOX
8LNl3JS+wlm0q1UwMom1vOoouNgilwwd54KyuNh+POz7l8rcU9EtwOtBb3+K3DhxR+ZgAYGSD1q7
rdYSI6equyzQ502mqc9p0ufnDsZ1+zqe+kyYFYmkQU1D8NQrtjARydZkBfraNBA0iSMGuwhIo7X0
waHQlRh4LBsvUmwZ3K7X6y0pgbg/aOlfb7MORzO1P9dUxFWn97i+Sg2L/LrcV1PdnTpTd3MHybOI
katDnHVrpvBkoXkxl/uP3/r7iXU8snk8lZNx6ZFvriNLX052sMGdwyHgy5Qb4j8+Huv9YXI81smy
qUCFJdtZ7re18jLbXPWj3oCcGLpGd7N0V0InnxyPqOjMuOLdV2ZctlW2Atq98DCPn5FoTdOp+gho
Dn8aDFfa3kswnT9zf/vTm6Ss54rBQQFX8WSJhouJOiDSyWzI0VPHquXPZC23TRh7NiklZw6L95cZ
nDvh/jBxcZ9gnZ4cTSiWyFEqs8JPpuw7YWFvpdJ686AFxJ4E12VA4Bw1dZRJeaAfGO5pUB4+/pz6
+6py/RVMNkADuwv4hsfvNWxoIXI4YtkzvFTRCnIXKJ1gGRZXQQXPX22G+LJUcKLvhPZKeJriBsDz
GWGw2Mxo41UDsOExBM4PPQT0JqHmtKO8QjhdEMoaFWde2vudjV8Y3wYmGlcvXtvxL9wT32hokFX9
KFFuq6H2tFBUWyLOyeWbtyBVI8kljXbmhHo3MQRdX9AgKLIA4eapBSKmNznckCT1OysetmWVvCgj
6gchvxg5upuPP8ofBzMo9PEEWd0J17Xw23FYQvLvSAkhATFuQk5vEkbGVPvaV9WupZv6t4PBWnRA
vS3gZyK0Tsoz2ETq2ES0Iaaw+dbUbbGvbGfXk0dVaLV15uO9f7J1+VKDApiuePvJk6HrizDiIC8W
6HJvW9bODFBL6tSnxAhabx8/2bvDSDAY0Dr1GOetOF1dszJBNdNo+NRA+ngqWDm1vf1aDJGr5ZJ0
ugjJ98dDaufGNI4/nZLTQhli0BA7gJEwILcuKwTjadGrz32rbUAuaC7X2jbVrMnTomaPM5BzkVK6
e0WGtQWXM2tSxKUMsD4rDHnGDvXd6uGd0MIHp6GNY2E+ePz7TXMfsP+J2OcWgNFTZmS3evetLoOd
VfYzkZvRnZ2N1ZldZv2sR0c0lBtCJwQFF7NMfVedTlZjhNiagDaS+ZMpyzfNOQv9n4Ss26BBqNHg
zwNVrxP5lONEcNgS6npA3A9yyK0al9Bt8Ylw1Xy8b/lH3/Anu3fSkEhiXE783tF+oPN6nsVyGWFI
5SnjUh10IpHZeKvDiFu2W2nGQ4sx/5llcHyI/vub4jO5ev/g+vPOULUvBQFTSpSASlrXhP/ddHVQ
UOuGyaHijusYX6OYlGBrFmc+v3b8JRhZBz0HTLfZWOz3SHpUhIKQcYc1EXc451ghCtB539RYXs1l
o+9UuMqtCc83IBZuM0/RJp4vyXMmz6x5Ccfl85n1cnz8/Pp98GfCEZilCqNxVbb/vtVNiTJKtUkT
8nVNfGFrA+qHr4SyIfAJtH1Ncl465xk+DIk2Kfjyx+MfL9f/DA9ohAOQSpV8ymtEKIfKNmH4oYVr
MM8TRoEtFH/1Dsk3tnuDcs6Z9XgB/p8RuaWhGBN4d58swAqXv5mWAlGBtY6Nc+FMt7HhLaWNODWa
8b4b5MEIpPnvjPv/kqD/tUJ9/7MZArYOFGevvwuC1j/wrx5IWP+sBwNALlxFGiGr+9a/VghC/QdW
Aw3olYG6Oh7wb/6jBxLGP2B+JjgcNqS/LA/+Sw8ktH9oH3Nqc+aQwgaf6G+sEPhVjrdNfjxNGpPK
bjWlpZd6sjhI1HNQp/dIV+2uTncIGCGFj7KyPtO/ER3Bj4HaenU4GBYRpM30pA+Z/QpUOh0Ce02u
HxYriuDS9EQ7E36o9xfwVJIMQaPhPJtBH1PVdbmTEvPtpOauCNMR3s4yDLeTLtsadpdeFW4etvYL
gIHRAx6ps0l+XR1cFza3Z7cZSalGA10qyG5SWRkozcfpqus02CC2hmA5lPhd3o5DkOzjQXWuuIzN
N6Fel6/CTOq3sgJNQM6svmKIZdBviu30a+kUmeHKOSMnWGaRehPH6fS1Y208OUU+kvwVRNSmQxJB
2bDmEI08ymnZukhPF0HaYN6+chfTfkRFrglXWeL8i97xqV0Vxd/oEvQHIWsCrw98G+duCoKuSZ/N
yFou0Tpb1kEhwnUXa5yOokFh3o9Oc6Gjw013eVsoN+QLj7iRlknyI0rwzHKRhxB6blU4IalDh91J
hCvLGoCH5bBn6t2Yefgr0pfGpbelaRkURow/OK4ImyQzDOJGi57cLKswqmuyj2kFVEqvvxD8rSVu
aWXNPbVwqGyMVi2fk25BT6umgpTjWu/s24arp+JloR0tHh7a0xqWlqv6RlFE88UoTedbNq0QW43n
lOq2+ai9Doqmre6iWCHiqoVT2RA1trUPyGdV6RigfvU0veh6N6sFlYzM++UOT0TCLYtxHqu9nYgE
c0lEk2KrjAWC7anEAMxSx8z2Smxen/Ji5OqrBAkAvCNScqSxmMLXk1ZnjFp/chDACDQQ9UWNNxwD
mYQwujXeP/DiSvL+vCHoK32PAK7eTsIpSd7EO3fYYK7BHb+JGxtJddLoD/bYEXM6ESVZMPCnCbW2
7eIBQn69ZTDHwjAmg1W27fA0pQ1WTpIeMt/c6XPrYokKzHxo7orXLJzJXESrKi9ryKbNZibZNfd0
OwAp5f5G/9fMK8jF0aLY13IpscYUo7RnV68CDXvUTLFsN5VIuPcJPqsEgMeNaaLxaYjmngujsN0o
TyMOVuy5Xopucr5Wik4Wq+jsjPfTCrhTgTOTkUYVNm/VuXG+NUvHT6r73nEjupjXi1FoJinaibrv
8iFLN2MCz8E1rGnEqNeKuL45yH/f0kmLv8p+gSyEMKEzCGZszPkQWU5seo7KDkH3tm7e8P6Fv4eP
iUD/Z6Za6A9EGZNebeCkSgRjYH6R6PlTzxATZmidI2pephDN57aIs7dsGJWXHCDNcEd8Vn5iN2dB
nM/b8cYc9IUU3gquuIfdBsT9tEmgTaVOk/VuEGvRF6Lh9dEbjdrSPIkbL6n33Rowjqk8lEQHW4YQ
UZ5IsLrV7EX1Zq3AWildJw+2D0krLwrBSeqKLiJSm3BeaLgVpgbpznSU5c4mbCD2iO7LAUdsotFd
1miPvZitFIFfRFC6D1Zrj8mui5uE5lpmC7ktl1Ift7MSsjXBx7eM/eykceiWWDFjLRfimbxpYGID
mouKm+5SjUqzjZaEbklQT5mzVYdUPJck3gsP4/X4M6lDzo8yUPtnAkkE6bFq3A47pDLEu5P40T06
02zFHuGQqbXvK/JkN8bMfWEbKITTb4tZIwoxx+ov+c6vM/WH2EIkTnuwFS+TI/rR5cH7T5FMw2iT
V8ow7puyX4wdAcha90k0ETNEIRHQurNz0oY3tFBpVRVAeUTnju0IKJm32Q8lsVrshGlhJLmV+xUE
TicxJnZh4qKBekpc+Uihh9UK59E1A9X0mgUQOQUW5/tBd3ZDMwlgnuY7PCIEDf3iOhl1AU8lOJh8
ezIaL20ClR3d2Dj4ZNTx/2bvPJYkV7Jr+y+c4xq0GBKhVUZqNYFlVlbBAYd0AA7x9W9FX/Kxe0Ca
cc5J30FXVYoA3I/Ye22Cya1yuJPAUnzeYzzaV7eFRN1kDyag59jJraNUw84hzniNWRqZX9nvtRzX
TlidiEHnEIDD4UTLFRhKiEC1OXXKe2eK9DN31dMkKSoR7WnL/rLSe923l1LOBRvqvdOJQ9dTdLPE
mnXJ+wChLi2uUzZvyla8K02T1HsgmQM1PpPYDPqPYJG94+Pyq6pHXRqcbey1iBi+VIIw6ILMHZOg
12D4FTKzWmmNYDDiqxVmusvVGJdjEh4jJ3/zZoepemHeAlMLMhPKrbH49PkQhhaJtN+Zj9nSyKPb
OcYxLIfnVNIle263RtZUw/bb23XJqzqrg0xnhAZVuFcp4L5QP3bWcNB+dIyshsMnT1nMfS/a7FfV
GMwH/v5botK3Lif0Lqncp0JmR02CXCids9QzCEEoTBy28063MIEMk3+2Sd0HUUy/PCOvNqUWXbQa
PUtDBVLda0VhXpW8qarfGK69Fay25LSc8sY83qKeRgv/bllZSHfdK0YFnhqOHJMg3TTpUIECS3kH
9sLyQv6u/WjTmsV+yO29OYevTQcfxYeGgDIvlK+L6a5Mv7l2draxMoekUdiZHEYor6Yy20DNRB26
jHIlSPQM6r5C4HarZIr+V1bbj6otw9XA27gaFnMdGMW2rdtnbefvnKcrLIHiYFQ2LCBTURrVHAIZ
YaRu6wZIKMz5qQ3qU9sWXwAn36akD2HyWtbzVInt4JWgEZh6xKUAeWaE8LNHc1jnkVgN7MAeNPye
uOEFIi+NnFVeR9s9lYP6FbpGvqoDbV1GC6JFP727TVHxVPu/+XJgWeSdgMoSrHvtIZb3Emo0ONU5
iXQO8fG7kHpjbTfGzwLysGrGzVIsydFuVPOEbYvaxF5WmuG/Ie/dHMp25TzmJiHaeL2zuLb9mSmf
dj8GpZfzItO1bIloL9obnG9+sNGcl+xvrYo8UAD/VpyjXSmrZoe0lWzA9OC7BNMvsJCIIlVFFfGb
z76XjD1m2ccL0evOlN4ZvnfoZ/8+6HNw4dyyU2Ouq9J5sr1qXolxXNsYAoVLNphoFqb3DTbrWYYC
llAPi6pOYNzKct8PZmwb8jKr9CSlf29b5WMVgMYN5MbjSEVzfQ8iZ+VFMI8sqyOOGcoobaUZtTu0
jwKYiVN8CmlvDdy1VBnvGdr0SPyqmvDsFg/ZfGcMOPeq+mmYnaOPsCD29BdVoLHKoo6/nO0drEf3
Q/pKtDDEeLVNVL8doh+j7s8zGNyhT5JLobyTiU7DKEoInkScsFMbiX8lj9fasK5gOyIgYXPJMNRb
7CWu1LC30m6TV9pc69uX6rLqMwHl55JUb+0SZ2HGzkQ6lT4b5lFePc0lHfnbAjKIqO3ll2wBUhM0
vaxRSQKdVlQjgO5/qk5sa4i063wBDDNW7j7yyztwGqdqUhXjEo4TorLx56s1Pxo27FFGmDHaL2pr
mEH112QbTbvyzTlCeQyQ/DPo+YAO6WIGP07RX60xaQV9Qd+D9zdMBCkw0cxqW8tBMV7wS/kZmRIM
b+4XNyBPHU2bDNKBQBvv4xHrk8FA3Z9zF3TNkN25euzKlc4yxHctQO9fCk7Nl+WWs96wWksa+D6J
r2KwAuW0Sjy8ibELblKt9VBYe8/Xpg/00udK7BHyoAJIulMTlihpaPCdIx3M8JvfrdQH208CVu9Z
MmIsb0L/IU9L4p3Z9CxxYqrmUZH8TOkZtqjhQMNXr0THC302ANJkV5+V6H0QaYHQotDuU2OnVoj2
PHKLtSBGkwCFeWp+eLVMKFbwkc0t1KOFmHDQdDKeQn4w/Jp9UqyIHkgeQDV13crq+/nKdhAGaWmp
yFtPfQn5n6vHDNfzRN5KPLo532DJfrc4mg10k1iE9q2yjArbP9YyM97GpWa1SKZ1e5KzLzdlNwc/
FgJGHPbN0DNyNfLl+x/d9f/NGf6NSe5/P2b4d6wzX1DP+q/qn0cN/J3/II+4f7GkZPTmsnUGH34T
0P89afDNvzyiU1C0RQyFsB8xnfhP5mL4F0azG+aTvfE/8OT/iVyM/kLVaIMLRwb89//1v4CQW7SY
/zJoADiCp48xQ2QFiIqDv91R/7RwGDhgOs8wko1VjfnZcMLfs6AcM5fx7MK2XdHtHts+F8ek1sS9
a/Eh3dzchtB0TBvvoaVUfam5gIu4S4CZG5U1DPEA8ClYUfXyEg+hiu7ZDyVEaugMS8PYp2NxL3MO
bY5D12tN/pXWDiSqnEnW9i+va1z143lqOi0kSxtvTWTX6VtDHsI7Hba+9G7wHQzW8FBUpWnSzXVc
mmyexpKDSpJ46keH1o/WmixzibIlDR8E+yvoH/Vk4hAa6zQCozTW8IWLnh7yHIVZuOwzl7ezbgrK
y2Y4NqGnWQAWFg1yP6y8lrVPb2T3wTIh6ks6iqWsvSsNfnSjdU4iGT45d+v1wLt/45Fn6ujq8tyB
BCxIGLaglk/1Td+v/J3PtRlbVrURnXOyxJDvCtyc3Va3feXFtGhDTaBDZZUbjSD4tVtAKM1ASjqr
pkxlUxlraM4c8U55tnyQXm1dThtVRixn08K/liTOM/22/gzGfCFmfHxK2/JOsTxN7xoC2CgnzUC9
KuVSV/b5peOfHKi1fGkxQJJ83dkU4mpLOxPQogVxjrN2EZW2kmA9ZYsIBDcUbGBXbMWGlei8V0Op
kGS/NF1ox0xg4RNtFUqUMaTRAeX9Os+WeBoipz/RlLy2GfS62B/ccms1Zr4dTLc5efza7s28OaDM
WKe6ua+rod/MVmuvScSw16nyt5buvuB35bEHqhuAC7WXHcluK4pB7XQEHRGgWITTy7OuQDwHbyPt
fyB+eWT0cew9cU82maC6lc44om2DeggI2WLjmzV3rM73SZ8fa0beYgsCH81wvcDW3Qi1FIAvB+xL
Q5bfmupwvCRJcVC97NFhuly0D0UpFnFshEVIBsLkUW1BDAdqzeoyVCti4YB0qw7a3W2AQ23rrWzU
GruOK3WYxuQzsjWiRdHplVaDBiDvTRteay4o11yepsIr6eam0WSBMzxbyRJc80GnMubQqH+mxs+2
HSNFKt/KvTohiNOkorFp/NMt6XbdN6G5rdypZYYyf2aExDCM2jVWfUyb/rzQspcy+vYlwe6Sqykm
zu0cWBnBxAINaTSiJURkBLGR/S+PUNVL4C111mQA8+uk39UUm+Vvmzdqy4M9T8dB5s20WhZ59D0k
JwLdyRNUx5nBxDQMl2VquMoE54881nQc94hNc+pjcJnkdlAPLcQJ1LDNUtfEIpN3R8M2KftUEDyl
2jz7dmNXlALGfKSGPSXpmJ9qp6Lqr9uoqCG6+SXJ9b72nO1Yu8Fq7py2QIRbd7sw6zWL/sAUxW7K
F/UFurJ3d2yzqD+WbnLsjYvZ7TjYg3wwh6JL465TzYXFRGbHnTlX9/bQIv0kFAqlNVHF1rdOrVRu
6RinMi6C+pZejILeTd0QbmOZ/lny2eewmxFrlc4U06z4DwYJIeCxjeJPxM3+Tmk+JDudwR4aBGh3
0Go5EpIwkdPGqET2OAbgDu3eOtuLFJdWIoY0UscBHinGY2DoDhKn7exKMGZr9LmjsUIbXsmNMfcK
eTBQ+H0bNZ/ugiYumhE9IeqgG2d+gLfanQoGIk3i4T5TrTNuW6+IOPp6ZKF2KeDcN+g9i3H86ovG
Xjldn275nfKYZQWKBa1gmCOwP5G0OKitIS0cdaOfqiX2CIDCoxaUd3ngNu950I3WSkXdThI4uR5B
fu79GpB2yKIYocyz4d/WoOkt+QBypXqBC4Pf0MtjQ4d7rGhA98QU7tg2v3O+qmOXBfoc4YNxmcB0
hBE1l6Bkd9TSf5uhF4vGJFsINXWahIje8n6rJn+mFvdsNvu4ZsUSqJNhjFdGGRBSblBWFBmunUFr
Z5Xg75ss8x8kiv6jQ33+oWUuXpbBpdJubfvDidoH3DFsbkVDr6+aFx5w9sA6oJFiui0t98FX1myC
92svgO9+Azb+sYPRwwJtUNzlIjHvCkDuPvLXiubbLCFjQv0Eq78aW6ciNM595IoKjxl5imiq3enS
mk35XJV2pWI3LDeOYbbnxopmnuACNCBI3wD7ymAvX3VDhdzj+mBCsPZuu8ZeVVy5WdkdR6bu4CLb
eeNbdhkrybS6UcohIspNb6xz5hPrIlmIKmfqGifdeCbx9EJwz2OC3aHfjp1bsVHP/CR5ayt2Kuss
LzksmBUxx6p2xeLhuLSNdF8wzyfTLLOGT2D31XOfhcYhY+p1XVq7NlD2OGDBfEa82SobUFGtfFU9
U6fnfJBi4dSMyAerHwyLyjw3HSY8SdreeOtcY19M6ei5SmIf1M7NgvnJhhRZxhkCgC627eEXtMoB
t2UbeWSU+a35ugxhdnQqH/Owl1NpaMtpj32f3UGB4WJZOqZOAeN85Abmecow8TqjOE9hYDAEQ1HK
LeBVRuwHXf8hA09YKxRMVrjtoqS89+fBIW28MIsLHazfn0yrm6a4m5pz1Nr6A7Szss9TZ99BBs3v
u6Le5QMstryoflVwpTKtHaSXtIzIuKu2f14yCdQVLf7ZT2piYdhJOXLjQLMm2SjHnp0H+dHunOjZ
GabJW6HO97kdQVfmXJVVo6fs3ArnMUvscIh5TERL6kUZ3QuTD2ebsX0EhVuMxXdq9XKIkUqxS2IY
pXoGnl3S4FxORA15suTnkLaL9oYdt9PsejquYdWHptuvLJNl83Paz8HvotIPSW72jNKdngGU21BZ
rfkEezCX4C3qV7cBzbzKp65WuHDD4AtyiHlphgmEpEtRCgXKCU21yvw8G+KmgHkDDsIgwWOE5evv
cwV+IjaHzBi3k/K7dqddY/yTWwExUIYyXrOypnPiUdobHUZynwJlgs5TaWfbebV/1TYvLTBJmrY8
xbtUY8XNm36b1fpNCXDAjQX5eeYwFQPyevZGEckK8cSTtpaTD100b3JeFJ9dAr+b5m2SZsLM3zcn
iy2Hed/hbqpqe8aRgVE4KW29NZIQBHYVDnLaLc1AZhbrGJO9FOTRlUiyuVnryUuLuFXLcmAVkR3H
XNjGCm0JgxBG1CiqVWxlxe8ic/04l459l5kquCSzHtsVATMd/W7V2Hcmt+i3x6xi4yxFdzHLFse2
j4UwaPIH+lSv40WY0yPCkRMrAHvHp0zR7pTuZXY8sYsG40lNQDHX5Kd0x8yopw3rhBeYEGpFFSt+
LWLem7LExTZ13WswVpNgPxc634OdAEsJa+sPH2yzT8nO2EWj8UDLMUVxBikblXydvPVNMG2k4USf
bWux5xRTlx1TPYbjCyd3OBx7kdjH2VPjpi7H8EVwRUPSJFHDX+ewgr41absvDmE+nyOJpysf3f2O
ZD1symnjGAforsWXcKRc9axVBKYZq/nFeNrK4Xp7fzyHAmZT5e1RGoML3zZVWbNbJm8uzoMTcFLm
bQoNLRrz4n2ZdPlTOIGej2R0uAVRP8MSHUKjMTZWYljtulnIQYrx+chny180dvGg5M+FNjTR1Tha
HbFiBfKLS2gvnncRHhTbTS2rzNmrPK1QcDrTyMqodas7lOSgDfOZ44rZd12z6wy7fs2f086Tnzcc
GoFVVr8rDkbsNmk0OjZEL7tdGIr39rzDGNes+hKoYmVwPbOTG8E3hJP/netS3xdiTt2tYPQM1zDl
FatwdchMLU+R7rzmUxUB5bXbKrD4+cjiNGqb4WupesvaD1k6y3O3ZDciSG6szMG42UeIBH0ozGz6
kYGw4WKju5rimdSK5971WFzIIfCaTdMW3LsIUC5l67rdM9dIyR7QTFWyYff0ZGV2UR/7VCx66xNk
Ch5pmKFkkrbUdz+tMKOB5UVzjcZmFziifDHV3L2js2RvZXQifPNszcGeqwKaY2526toEtTwlSeZ9
l1XtBLGOevdDu0XVs7DVqbeVJQjZbYn4bgW49p4oKV5iR0DmL+iOVtTDD9PSMgSd/b7fdCknCiMn
aMyxU8mpuxXGNhVnZGhvUxY5GAsS/jJja3J3sXE0+eh3Jrk8q4RLFT9NL/N0Xy+J46/spfeDLSrh
fIyrIfJXqTFKd9vTNPqfk+5adyOLtmjWZtO7r4lR+oQjEiosN1CHy5kFpQ9SWzJcBj44ZcM5Eyk0
aN2nPu7L7Pailky2VAKLcFtHufVCAaPUqnP1rUpK5b7SGOeSMq2/pzkIicA0MvPNR/tJm6VFFZ1N
V9b3Mmq8YpflSUUR59TbCiEFe6/cq/OLR6MWHfI+t26Go8Y336OoEC06qsa4FITs7Yn3TO4UYWW4
XEVWv4BGn7PtnPb6oUis/luhy101i5P86aoW1wxx0XFAmkLF04JCcV2oxrkWJgrv7US4YMr/BhiT
fJHmd+bktOOjN7rFKrW8xYmbxTM1vFCTsWSfJVV+GaI5aylJA2rIVnTslBNSDaqVozHJbESYEEXj
Jb2bbId2Ht6mplGP0ZIMMNKXkcmv5gx4r6PETI4Vjd2NxB4W9VrYnatWuWdfAmNxH12pj0Vqyp11
W+XhCZ/sex01mpF2wlpvJwhvZD47F3K6VCRBxtbiwN20WKi+5Us/lcdIZ4Y8dGhRqXkRpzGkhVl9
DqOI9mckbKxkhIIPDq+TysRTSOAh+IAWzdnVcTMm+q01+uPB0GYw7RmcNP2F/aRf36MxI7XNiHJb
HYfbPjGF/1xvCRdItpS53GQsA/sPOFfSQC4PAXrKQ3uT87RSqRe58TCLAlwF9jqfi3B+9BVt1RCS
dA5tj84wz9w7G7HlgUFMd68KJt0sW+uY3Xj1HjhDeqYCCQ8R7cqTshzxWaSTS81QkEYA9LvmKnUS
Uhe10DihiUjVaK/tiThTu7TPurFMqpyy3vh21eFnmJdr5vI5iCm76xH/riMCzdaIHOkfqgTGe+Dk
bg+Bw7Dmp6Ip3D/CmXLnJFtdlPsoN+Q+zdpAMKfSzNNRmEfqlpjnV0CvswVtTFH75JDFfTBV0bfh
jKXJCiFq5acey+asWt47giWgpe9hPkdgdcxq2LswgkxnTNYMsZ7ypn4yQz7ayPsx0Oy8jUXAO2m1
z1NN8KdpqHtwCGciwh9GVN5liKsUzOZ8HSj3nhhdjzEs+gvD7r0XhsgFkvS1l1x7lXdsdflNzfpl
5O0DsNZHZVu/wVSf7cEMII+WGxyxXzY5RGuCaVm3LY9RDkW774qvtgQYhcL6jVgsMty8+l6F9UNo
lR+ecp8y07iOheud65TgQN90KGZEfS2BLzG4ObHUxJVqQSyt649a4HANAzKVygbON5PxHqGD96v1
pf1TWAVNQc9quFcpmwT2X5XE8cqSp4gYo9xAp96QIoqJupaZkX17YPDhSZrp2OqKZEVo3r5ssmez
VC1jGIpOnvbfo8NTYmn7ESnQqwKfjiiKjAj2+/TlUNpSjMnqYEAsWPZmbtYscsK6GD0kRM3Sbio0
J3wLga/c9EUuTrsxF3Xmfr5LZsUd58x9HC3T1WujvVj8R2Y6l9qqDmPlw11k4kH64Ha2aCmg5q6T
Re6b1uwOo6GddWLn28CcTkZX3TmU8InMScnwtRHLBWdkIc6jb5SXqsnBGwf11UTGgUul/ygmZyEA
Kxu2ss2ig52zeo+m5kq91a0MpgGEL4+bcgj9jdn3L9Ec3Csrqq+Nk55rGimT8ymegmhqXwBu/rER
bZ052MLjqOly03FsT4ZslzvEx3eUWnZMjuM+JDE59nqT5UzyOyU9Ms6S5cvxrQ/Ll2IzFvJQZ0Z2
7mq251O9Gyf7Tvez++gUPnhij3iRxhyiIwEIzaGrDRyZFXeTD8N0HQwhGVCA1092R7QGOT7vkTC2
TcM3yO0fU7ceBdXqKlmgBFptsJsgWCnLmw6+yB/rW8wjPWTCw9dm59rwOtDRt888oUVdSv2dTL0b
2y594Jzx26wL/FVlXiSxXUz9AYb81TJyslgKBki6ma8RC+7vDr6Ynyavg7N8ZvVwLB0/2DlyvjJM
aGOndh6BoqzMBcL7rPMMehcdX2N5e3au1llY7M3Js2Cp2C2EW2V6uXqT3eyR5u2yGpsR1xCPE6f3
qrDL7okv02zIpfG2t34aLYH1dYtyg0oVjMRJNgFJyaW59ztLMWq2L5U9DteQWVqMqeiZ7dkjmoqP
AVrKOuIGp9pgLmAmvwumMCjHL35JYZpkWc/vlUztfCBGMFTVsRZ4ADl5hYoK+mjMWMHMkl443jtK
p2nLAOTai/DTSdpTbXmf7KDBBuAyvNVFA2ZZiGZh5Xx0RolULFvuwoBYxNnqzqkv+89IaCKS3ezQ
Fu7R7FGJiZm8u2uZAo7Y0m7fYnJaVxj7bkgLb8+Ynzlp5RH89oukv7b4IWV03C1CRuessZanrq7R
qDXCflAidJ79JV/OukptKBjmG9s8uSFml1xjtErrdDZy+IvdPO7HoujeJo9Pv9JzsMH2FmwHu58f
u0QsRweqJ6/nZGyHmdm/aavgeyiZZ1QDc/WGskjkDTeNntqnPLHKrXInoOKlOAXjKA8kJFt4B0iz
7pvsMckzdmv1c1guD07gPKeU+UizwJdpVc4EXQx71POIBm1ky/6lciB6mLxWa5HBwfCiGaFmLkau
uODZkn3LnhoibpXZ1qmlSNmHZbNhFnnixYWBxmAudpb2TZlLfpBdVu7LHlWU3cGp0ygJEEAse6fs
LwFWXuSX2XXIzZe59fdmB77DZXp2kqJpfxsLVUA6kOPT0zutQ+Wes6rz4llMhyoaDmMwHbuyTEgu
HOZzmuYW5BrpHFKfBjJxZPfeeFik2yW/w8m0zxGxXZxi7DfK1vKc6d7/yNrilxsuxIBj+0Bf1b8s
1iie2QQRBd2SKzSG6jjlk9qlontWQVmthLKPitlmk8FNwL5WvdkZWo9pqL9TI/1uyNJEJY/8wMMn
HhUjIBR42ZIN2y3ap9xmLiftQtNIN+kw3qAj5V+VtuZVQku/LRBqxeMYuDFN8U+OTC2Y+/tCEQjC
OXLI3OKHBocL3jB3dou2IASVFyYrz5pf0pKYH4blL77b+B8YC5wtzx7ffNgB5Y+0vIRm8L2Eo/cz
EiwppuAzyaq3gV8opEi+57a1d9NMwI70D2TEX3Sy/LZNLVZlO5bheswciC/2NKQH9mHlqhsiNkmM
y91t1sp6204oJb26qtM1y7XkOHBMvTrmgPaTOOCwDV+DJP+gO/njLMOVePplixL0jrpwJtjaY6Az
OAg4o5vIjYEN/+ZT6Pc0PAkfnVLLl+tyAA15G9y3hNK3tXvRTogl/maa/Sry0EKIaDpTsk3DHjVP
3aYUfVpnyIGHoCOzhfY2m/yeg0VCemLcFlxHgdymCekW7E54Z9xU4WbqjR0DGJyIIqrfi7D2AXsH
049nJt2XZXjv5tKNEFRVMKO1YjrQXW8ePIN9I2HnSETM6I6Kq3L2i04S+5C4airBY/MrIPEqUa9T
mzLCyPNtPafjUacVeMAlDJaX0DHJsh2L0eppig0/G1akaGK2MJxC11fNUCHldwxzPAljQuX7/FEv
7eRtBksNOWqEehSPpWGDavd6tjWzp2+O6LL6QzbufDGHMf9t+306xP1oZdOLJwttciIE1T5snQ7N
2oJrbrDGyZMXfrpAXEXrZlAvGdBuS0ZbiLZk7+wYmgEsLYDUNCnSzCQLP+eyvEiCzktMNVykBTTE
xp5XdU7ylfLqrV3JcDtmJkN3jXr2jizSS5lUxq+MZ+3e6sifchjvKAC/22jEhE4oPGhs81j1XbK1
UuOH4wbVjrMh+NNbd2Ea3CbSE3oysaqSJHcZIERyk+ve/vHsUax5dSBz1m393tLZxPMwXtskF2hF
0jqMlyjcNU7ZUH/zhPXNFhNS6rEsUZ7BeOkPuc+LkZ8BHVm2T7Pp1CM1hZNuZZ4UgQTUQdQs0uIO
BScvt40UK5DLdmAqinve1cl7s0j5jeMTuxhr58lC71YT4nbDpLj/wZ/7PxHDv938QP+DimHoevWv
ZonbX/hbwmARDumbt9vfwqTv++gU/lYwRH95iBBMLDh2AMsas8T/VzC40V8mcCm61BtIC6O9919e
CR8NA4NguDGYHExWev8br4SN0etfNAy4QR30C4yZPY+vx3/4xv/ZSZSnGaXMMpGmHenk2A1sjIp5
M43Be5KKYOugM48UazFn5zQmAWZuv3GnT8Yy6My5btEXV+I58uZbHokh5Auq6o3BJQDZN+Yim20h
YyFgkzj1KiqddGVlHhojif60sKdtlj13M9pNy+1JkNUb5aJIrAWtPcS7MNWHIYI7Kt97xs1nB1W3
Go6zHd7ijEhinhihu122rtNbDJuK06k5Tr4uWFdQDhJv4nXhQwvUpHLfDItwLxaKAHYObUkcBiFP
VxR0HZehs7MTuyWQqFjNgbGB0zayolCLwUo3P5oF1BZrZF2h5K6F2dUiPFQVI/YuedfAVGxJpPWU
Azj2ElZLnzXuOfaJVvPZ9+SiZ+E7NZjLwn5wPobqp4H0Uk1vGqfCmpxOKtsIRWp3G/34HUel+dIW
5Q5o9MsgXSbES0NNI1/q5WjPIesDGW1D2Z8LikrWvGgdnOkUESUZsJIF77cdXJkeR1DTqygXe3d8
5D46jqKaXgMUfV34HETXoIV5ZHiIOlH9TfV0VTmpvmgmhp2kuUSTLR7a3N8qYe5Jo9+1dnk2J6Bl
efSAQMB8rZuwfWbSNVzMpH7tWUkYqv8syYY0x/DNIrCyMNsP222OZGDFNd286FYkrQFOR8GC2LOH
M5WSYJ2oel/U9iaIqAuMi+wgk2K7WLMZ3nTLePRsrG1yJmA4YTQettmrGnDvjCXZfrmpaCrFY7XM
T+x/2++lHcbfYfOWwEvwpvnrZpFjZ3k/5MW9QjFftA+W7cUGWlCjYBmBxpJtcoMJpwlArATlwmYY
NY5yn/Hjdq/kgr0wbqI3L6tyn9Vzvm2Z4MUk1HFH1dZucqwVEUjroNIrr3rBY7kZrUu2FA+235z8
xNCrcoE0GrrUy9EdaZ0xk8J1N2R7kCMPJF6/1jW/UkpWiWi5YDkuCxM/wm6sy0OCQJthd+MfEh+2
Dzp8U7j7CcnvTXGi7PKFEQ9n/g/iu1Vdn2RQXrHlkDvSrEPv5NnDdtb6ZOMsiKLuGeXJU1b8WtJT
OucvdnPij158IOEbW7trX38u5XfUPfhufnTITKFnHcASC2tirn0Cz3GrMfn+rfk0Gv23RayAOTFi
d8VDQvGawIDNW5UQvwLgLoXcjCufNOqXdjbv1ZK/zWkIX8zdLkBJLX/lzOhgxNSCdj0WYVWco2zB
adw8t3760GDnm4pDkGhUMp4FqaxmsntrM+0cEjZCD/ZZzsRayvgzIYw6eWF+b0l1cdrhz5hln2x+
xWaZ8/ea0mInhLlptXMX2TlUIZzE6yr35l/W0qbvS9OAxy6I/yySCtoP58amcqxn4Wp9XKawu5YL
E3PVsrhCp8arpSbBrjWkF4rUvd15T8qpHyWCFhwaBEfnlDrL7L2SyjkyGktR8dvJs8eUryJxhg+s
ybpHMua3XieO7HP2wOYugzTXKlwo6LrPRYeCxQMKb8/+tgq1h/95UrPxhHI6XwX5h0tgNuuOHlqX
TrdVgenHCGF+p0M40r9g6SDFI22/EsJR0hoGd63ta+X8GduSbEF/eh/cU70sq6IZ9Fvo9OmGXBHx
M95QQsA6bpHAAA7m/SRn+IYIkxzCXZq4BFs4Ik47W0qgna3C+qZG7clTNYE/VTymbRigf0YUh5Tq
KnOCE3LUJynOMQZVTvte2uGzsJS5yyOj455YzF+6DUlQrP8fdWeyGzmSbulXSdSeCdKMI9DVC3f6
LHeXXApNG0IRkjgPxpl8+vsxqxqdVYW+dWvZQG4SMSjcOZjZ+c/5DiilZl6G6NA3lHoRjsLmwN4m
CF7r/EiZvXtT8WfVZDzPGRIdaOSJhyzZ9zwc1ci03Neca6wfTUTHztu1wL7qdRvyaFS8IdVpyspD
HvbvNhktP3CDfRbKY9ro25TbsCq5ZeUH3iF6dgmRxBMAVMz4lAUESx3RaJ4zvOdjgJnYMaKdPr02
vM+Eo71xyPQdxaa0yU3iM3PpsDksHXBNA3KIu0kG5DF3vqvy5IaA/Sgp7I3XegYQvcrdi1PF78y1
8aF2453Lx+uZqNJIHAvMb8DK8WhHR0Fvyuw+uGb4lsexHw7Fst31u+bONB8593CD6WtSQO+Ey3yx
7AVbCsvhiw2ed/XsBAXv0NR3TfgatOpda3io1bFnkGNhyupwRfWGQ2Uy3lun9lMtvKi+3RFOPFtj
9sax42CrH3lWw2WfphVvwRMI7Ww1hHLaFFjhUF1LrOfMRyKvdS429b7E9pi69bVazdAuEMdx/tK6
JPjZB3Om6TzH6ranInedO5ciHHZORHdZGF0yEx9wz1WevE9zqrch7jXXrV1GRC0kviwDeB8jrqtD
J0jNVGwzpOWsrbLvDx59mas4SybkY9KQWvkUDMVPM6sgiLNbHvIAjUssgcs7TBnbsi37x64wcFa5
n2JEGRah+dna3ktreBUfrz2aPPn4aPCZzznuuQk9/MQICmK3xa3iFe5ad2aWkrfR1njhjZwM8iZZ
UTLxaoTTeBhVw7PIzBBtlllozofR+ydqGQ8lte+LI3JrOGQZnfrVkvmTZgQPhpqNreIsEKkARQlj
CXMd2rlNXlVRO28NVniOjut2BhRvj9sAJDYWt7KrECK759buD8xM+fIroghzvHiwBTsTeidS1zgB
RkHtOEB9SFY67Rg75fDtKFwjRXos6GXLUspizOEUFzt2B2Un4wOLmFinHICSzNnN2CTtMb6Sel91
uvbVS2RMz/EZED0YuXrkOPMwad1V2ONNi8rNSBPsmzQZT3T2I3VGb7r+jX9r15XfBkGBoTkZ4Udo
4YKUiMQ6h01t2Dsq26UtMzYeG9IfYXGOqnPvvjPJ1nsaA2htXlJkJN2rozW9FF6xUfq0T5O9hzW0
gEEzRT3TmmfJCdEdPprc3eCI3Yr0gv1g3aNUcTm5dpzNdOsJP+G6KMf9YEQsF/l7smzwWr0QLwRW
yRhZ64VE7w7uioj/tMeUGZILdk7GvLSTwbPTusdkQFyOGZCXQfKtuzxKXXoKzeEuLkkMOnV/SaID
QNDTmAHotnP9Qr2TH3d49GkU90bdZCdT7o2WoacMeetW+wqdfy3wByqL/AgzBsYCbN/Gn0Wl9sPc
FRQiaGtKR48MoA4U1dBtOo9byy5/oLRvWlfdjOYsoJHNaINd/O3QDDgbKW9b/dhE4ijn4t4zRLzU
D0e4u8icON2zCg32H+0miANGS8yUASRvq9h7Nvv6ELN1umhZXKG9BMa6SXlxmhbOzGkMMA/3OSUE
OMPW+liuRq5F4pbuttUpTWiO0jp3Od4sK5PfdjD/KGlIXhnSJE7bOcxX6Da0aXJdZ4m4L9WI/yt/
sKr6p+3qCFm47tf2WJ7iRLsRl3kfp3YzG9pV1Ma1nVLqpz8tGJ+BxcEhx096ZNrJOYByQyt57OYf
hUlepeYLLZuDTD0/mgVZ6dI961lzRCx6bk1MzN70YuGvTR3B3NWgsiJYD0jmSamflMRUJKKzKMu9
0MTI9LE7jY0Sa07aA+9snDG2k9P0jisgSgQvYsGwPolOytY3lYnkOdsk92oyXWX3lDTz3tPIjrbx
08RXrg3AoRiLeMlcIN8K12/aDBdV3/5w86VKvNMZKiTzjoLniQJHy8fT/dHEnAKGTv/F1rV+o5G+
wVdj6Be8SyYvj77YxY1s1n1nmAWACGH7toEOQyukmIhSKYApSx8rbgdVGXIPEtiidTf0IdY9ZvYc
3mejRhyvqasfRDd540Yooc5Vm8b0iqd08VNV+tbsi9z3LKoDlpxZXu0Cg0GGYbu+XXhbB/8n+h1f
RlRoL6NbBvea4KjX47fIGNtup0Ae5lpWe6eznkZNu7gu+F/uHO7ICgzittbwO1o60xFRzETzOPaV
fbdBG9JeIpfjQEKY6V2zvfuEqSCgVHbsjNKvU+LMWzGkDfRYOsaqtOR1YDqbqixhxwQ3p5bMPsqK
oFhZkUws7uue5FVffFKtvslqIlQImXKj4hR3XV58GHaS3MdJ2HwyKG/2TF9xt+m4R3DAr5SU83pw
Em3nAqS6a5miQBMjYtNgg1QY8u7sloWsxoDujrp2tHrzSWgZTSSYlGgC0ffYfCGRiY8eG9oW97ba
x6Yg9qoGbzU3gHicvpYH9j/YjmtefninJh3HUePNLhdpWxU1ENH5CvbgENNm1uiMFdj+RXGwMtL+
05mXBAzDF8COfqCMb9vN7oqZQSzRGGt5WETn4Jpk99gaGqe/MrbX81BE17GYm11pcsYlEi2oEyvs
dWXlzXaqiW8aFqb4FsZSVYvXoTZukgD61Dh3pVKbVhbXkTv7lMbfynTfar3bD57zXcDrT4v0q+6Z
ZzXBB4i8vch/ud5zOBjP0mge68x8ghhMfmKKfmmO/WHVzXuZN2+O1t1i0vY4x8SVKpklV2x/EMdY
kZEjywMfaBljNaLyZQlUOf7MOcSfcAEthCHGxHgD7ZXVWJT+dHRepAlfLxuJpJuZGljhttRidu1T
hqqASqhhkmvmB1GN0Z4UXGV0mKP0voTr2l5LB9yTBabaRz0/YxNjdp4UkvGmu87dcjsDJZh1/blh
CWmy/KlZjoRx9zMaC9yRxVzxoqE30aXdT4wt1vnwJSuix7LILoHVXCqR+ijoCMTzZ4+JT7LwMgIw
ghXuZV+1LNdggjggD5vJpYMUCzKn8ltW9ds2NWG9OtMHGI+jUwf9neOG3zHbHFIQp0z194Xef3qt
rXyuLId+aHTZXLy6s0NEOqLM25Fs2otNUbuvdYIZXBIGXxUVHTkCg88SKUiM9zhp7+Mo2FuzvZLL
QiJstSGulm1Iu3NYDUkfzMfM9HY1sxN3NI6FIU/6wMQ/635Ygp6KKHd2wehse9fwU2Pw8blSUiUJ
lla8tHlTpTZxuHZcOSH6UCfFy5wwZItN5A2j4ZhdLUSNA451tlLOhxmXuAGaRf3/4bbkISSSxhho
2crr8FWQ9WJYE0GMC4x7WclL6+brVuJ2LDnFl0T2WHETF1Qu29Z9SLLuzimniK3oeOhxDnFqTdr2
hR0RdUFK/DJZ61qN9ODA1g8uBloanqhLPw1AnWU1GodITvFlcJbNCeZLpr9z5Y4PjPuI6Q+WPTwk
DXQt1IxHqRiuY82dXttKHAl5IEp50CNajERM8JqfCgCpN34mo+mnefsUxeOlj+VXSZ6fN+agLqGs
tGptmTXTmMAeUgSpHKFJsfKam27ScdBwP4UM51S5T7B13oAonfhnt9Acmsdi4grOPCSbdtCYKsnx
2pftpi+atdXzDUpCxBlXXmN4MZTqHOkx7i+73DGHK3zg47Zvtst3Pme+i5syjJtNlEXPJHE2roks
08FXv7MQcy79XOprgyOyZLwNQuBQV5NJwqKhKqUazCNTtFvdpfFdh9eN+WTBMAyPZd6Ox1myKKcj
Yy+rSNInVWPQJuRInGmA/6ZRKTH6SEEYtMdfAOg2Fo6i+6Sbts6iUhSOyUlkP7TQn/t+a+R6uMV2
SlNsPHLbt7gBLrzk0xdXIOwlnAV4X791E9m/cGD/0tr5rrYI93RZO106qxl/THk8fWh48L7TArGz
u6hc28cq/CVFG+/CCqxLl1IK5UYcthBFjllF0lazj332jPFuE5fBOqwWgEVnPXb4avR23KewSne9
PDSj+S1jtI900ja5FT+MZbGVybzt6XSf8BXO56ir8KPoh1yrbwMPMfON6NbofbAKA+u7XSzd7FGk
PWxgmkfJSWO+WNrm2rSanVFnT678Jdt+bWTVBi7CzWMkjNFfnp1u+BQDLbaQZ+DGp6fYybO9mINb
YqqzEtjyRqQpKADZvm+59bF3sEnI4lud6+ccS8VWDxmEEfKKXyitb5LxTrQ3L78pu8DBVx+CwA6v
CFO2FaJzZrsqGS0SOcp4nxvwIw0W8U2vk/ZU2cVsxnMc/Kzk49SZxrq3LnEtX6dqU1uvAlkOSW8k
JMoo7RKPGk5e2m/bSPOhVmzAb/RsReZXNI8jhTZ7w0ABIdl3dPD+kXriLGCoxx50BPwR603TMVUW
Kc4umw06Kv3KTd1bzJgsae33abRa1m1vY9ciJngK929I1CmxnprQ8S3eZbh2/A4toQjjU1YaR5eK
w3CpHG70ZB/qEz1m2OrzARVBmAdMi9AyxFrgOFm1k0tKnrCAxYht0OAXRCw24CnUqmixFVyx7EPk
Wbn0I9gsPBMUXvbfK7tJsCuRISG7QMknfZLDK7npb4155/JU2T3l4IVisKi/thkv4L6YbxW4SVNm
x4EupOKADnpsHAsXCREvC7RGTyrsJeXeGQP9ocvL99SEXtH3wUZU2cGDj9IN7WO5vCq0JyAEfjmT
uOCLT8b23PcLRHd5OXu7Yvw1Gtk7fDB/Dl5tRAno3sPkfiWccKj0PKYddHXib4C+drbTHdORIFS+
ocoqFY/R+CXyj8x9nbJ+FUSfvLJPXt1vFlSSnb418Q8UDT0nj4XUrpszqN7hwmxs2zQcGQzjYnra
Nu0p3bKK5kSaqCpZVYz8XAcjszh953aY9yc8OQwb/QKTimKmaOguoZ3E3WrRi2OnWw65fIFmCNPo
PRLyUGQ5XsH7zEBBTu1uX+fmHgPiCnPbvVU8Up2W0VUmpmgDG+aWZxzoaxOIj+hbIkLptYmx1XJm
Aw4gN4ad+aPERTejUCute7Dn4WcOn700WAXHprrPXOFjp35YJqrECnxVxIfMnRlM0P98rHXxUlG4
YqsX1V8KpiDB8GzIeFuF3yOzBHIQtXgphispvpWXP5c4ggv2zqY95/ez1unHwSwO2nhLe0YRY0PQ
cmw3Weoezbi/04Eij4zVe/kaz+0hroanTLxD21klvXPrG3OXTFg26dUzglNovZmxu8exuIBvnB+A
HHAS58WdmcY7LA+nsr0GXlc+GXGE3gS8PnFWBq7SHK49bXe4ZE8Cb28xajuJ+T+xws2cDpgUCFSY
7rot7lXkrGcNCFN+G8ynoptXrhD52Y43Yfve4XhH7G0PWkfbJfmLlJR6rx+Z8Rj1Heco0zjl1Xmm
ty9BnIyOqXto4vmghceC3XGUbFI2ivjai+dsvmZ2TmTgXWMJT+6q8jiGeDnYP0Tjk9kn5yHeZDrQ
oSDg3jl6sLxiaBCuUpBVUxr9SINp5T6ePwM5+l4yPmDCWKnxxTWndUjkvydZgL4MBgrZGY+ZxRFy
kFu9CO8ZB8N/lrtE7iMzvtTqbKVMsEow34nJNgllLXZ737TEwVHWFTuOF+CSJIHvFPBUTlZxsrKz
zeZT25ctUtFWxuR4q6+xeJbNy2I0IlBhVM4NUyP50fKMx/spEdk+623AKviwc+0Znxs2YAYdPe5Z
ZQo8WbupknsimwAvOoY7l1pw34Y75Q1vMnmYG38i14O8QlazuisK8oKUx9iHVvJiWSyVYmt6s2+O
xk/IU4+RA0uizu+hDYJiwqVFJJxgsnPShKZ8uAKMAM383GcJLCfPeZmmQW7KGd45xy+2T5u0nA/g
gldMCvwGV17ERcwU1rUk152NCxhwPzHQSCrouz2Bf154HfOaiMUnM1ZKd/ODOTUcz6i0M5Bssw5v
Pt10hVbh9Ao+Brt8l1DH57Z7AW6nXpI+K46e8NgUGml1nrz6LR1fgRWAzWyaX2UW39X5DCQ+Revp
MJFhZIv8Vne3uXZNg3a1SOTeNO1qZ/F5QBaYrlCBVsb0rme3uCH3qFWbTpXxD1Iw18kx7yYF62Zs
dqMgADoxtV1E36eUUYSaG1zzSYzBkcEaFUJq+higzXjPk/GskosUASkuYhUaYGTu0klm20Dc5bLH
8vBrIOQRl/VBuB9eG99gw61FfB9AvXHBSTrztAuxzrBVGNLyEGWHCdRI8CqGU2E9onNf6lyyA2/n
tbBESDIaGarBfjtn+My0Vr4RK/Qz783tq7vKlgBUmbOpgAyrcnmh5Ickm8/6JD+L8KeJfOx3KJWe
GNWK2up4q5zigmIgUaPIwqZmf9fr/CMpAwLKY+1J4KTXIqjTN3sO7G06iXuesHaTMCnZzBTdo0l4
2hsnbR4qhzlQ072lFAdGuCRkJh/CJZap2/FXQOy1ycTZ68P5GFOH2abhXjWyRpor9iERFT8he4k/
HH0aQdTXJmffE2RjtAz0g2Dnz1LzsIYwydV085JB7TgtKdmnfjY/bJ3nHGblzUAfGr36u2vVYUoC
DVZLSIA+RvP3ECjXBDQ2EDIe8KvrH62l2Xusku7RrjlUzgTVrY+JUfvKM40RsQiRJezt/OB407np
sOIaTmj7RRCCyHUj9aBZwW3uOH90VvQDZ4lco0VCmA6AyEAaC/dJbsiHHFyWJyM22DiRoJ5N2kAG
M5YfXjTHCKnkWyUDkKvirQSLDudgKUwG6aEeBy8cDT1uIQ9okRG2O3fwtGOuOsPakIsizYv47pt5
vSel9BKOXA014M8BrzcM7l6LrA/w5dsUhvQK9u5zqM8cwsS2yTB4ivlq9+rAjBgzldrWQKcqod+1
nn4BJEJyTKOQUozjMZn1VdV5JAtTapazGV+ax51079jTySjDnnL5IgwPRWplW71yiP7TI5q9iK4y
kw3euXrXNKaIfF0sjH+VS7JiuC2f4hSOHgHGCPkyjfi5fjIlu8HONk0l26MmLezEWSlPHa4wOCbJ
hErbpkGwDlxMq0FAgW2jFzdLiuJWGoxIvSlwrhUUx50sknaT2rH44TTVOR1yueGwWa5nB+KYUXG6
6cnc+nmJWDFHevuo0F1g/Cjjfsh08uSAz9o9qTSm1d2YE9qwRTw9KNCMMAdgtG8rwelYN1Edcmk8
pkH1q3M7I70UgZAe0MNSvg25o777ReYNhTGsqwGtieBB/U0RUEqQdgb24mDTZbTbXeeydjYSk/Vm
gjd18ipNnXP+HF6GqedgNWv8FcxjcBoxooCn4CJYVFODjzYT97XtPPceIhlIGYyQdM9GHRZZhu4L
D7LqrsRstY2pG7w9isEgrKNnW2uOvdeQthx0iXZ4d13xBWqdWEJhD9adagb5UZMoP4U4Hr7Yxw75
io6Qo6MbeE4Gbe8F7RK7mhVamx117D7mYj/A1bizNWSnMthzLfDjceI4Fqr+anujWhLMnB0ZSLLq
js4agy1qf6j1Jru7gRZWnG2844fuYmST9doXnoIq0TTeN7ktWa5MXet3Iqu3CB+DtYkTAiYRZ5od
OXeU3yBSjbMKmWhxEs6m7Ks2nfQR9FF164uxYYQykxAd5ndQl/lWz+fsy0tKAD0NUhHD2L4ivAkh
LXnAHOyA6GQDR8U29Czpcb7r3SV4kQvoaoN4M2gkuSo9EG8tR5sDiKP8LIZZ7URtCeyBU8g+p2Jf
VbLACB9inLFuUwXWIhoCJqBZoGyea6O8SxIPgXCIsKupMd6YblFz3ejM3QZpZdMDdE7dSWOWOJru
Z2X1WIThGdW+jb/lqpckQDBdG7tkxtHYVzWhDMfSt2AAtCMaNVsp1tPrgg1+cfpxWota2EQ/p2Zr
Z32BXFlZ9gkPuHeBteZg4m3xwkgOFtLT0CRGRQcK7//+ZzaEVr2LNdorcMjp61rWhX4k5cD6CWLo
ZrRhjidQOuUm8BjocgabfFz6JdpcCrUzlG1zxhSCA7bEGHnfIQFvOGr296k98vlaYiSvxGOHrde1
0dkymAeHEv4mjzKnuVS0u1SGVB5pWK/dIJjrrYI4uDfzzH3v0zbswbflM40teqzdRIrxx3G0Tz3I
yX0mU/CZ17CPwBNZvoVhdxNjp6L1sw+8ixeim9QQDvw2cVwuS2wdjMa6HwOVs2oWRrwJqqX1ybHB
NVWlY7yYWSDvkXiAeoGLy4yLnaadtkqCAPwrej8lUVq30TQ3MXhmRXmHuoECntBJRlOf75Ip9+WU
uA+kjKfdSPzxpNcJjTcDpqHQsclAlHV7C7IxfoB5+A2HBkIB20lsH0PwHVf1NKwCFbrnqozvR6+a
dkAs1kYBzqlzJKPcYEYnroRYx30Vvg6pYx6TwXoZykJdzbYY74VoKe5NoB7ysQTfdRDskZHak6K0
+XV5FW5hlqVXgLvTj0HvuQjcE7cwFdZuqiv+7BhzF5m1fjDNcnqyOxvdZcwNdoXYaGIUige9Ft0D
WlWlMXyfYsz7eu/ZfjQktbNKNNOq/KzNf0TMEgJ3MGmuy4dTkE7tkSSb4okINX90DffLjBPmNBYF
dGXF3JdniLGK4syzMtjsY6WOpjOS3E9IDlwRt9p5M1BJch4IMtk4Fxen9DhEJQ2bfMIf5iGqU0zZ
o+AWHuRu8vDONB4d706J5u86pHp0MLCcth+qwuzOjC3NrYEH+iynZtpoYBK3egKqjMZgG75rYZ/B
i3TXCSfoPi9V+gzuGM0JRJDZYVSguEwyJ1EwRvWA/U6f3o/tGG9x4aerVkS3Ka/ldeLaYt61NLlh
oOTss2h8jhM3e7Bsr7vrTSd4KbVJR3NLXw2khnWuNYZP/KgErplvvR40ntHXlR+wa/zhWd0r1nd3
Uw2LPFpOWffsDjJyFu+0Pa6U3SIozU5bgVsnlW+NqTgnCUUpYVjqW7Y/TJKyiZmLyagSBo+4AhPB
mJUjBDFLPo3pIC+NIrBQp/M7Wg8STTmMP4NA0ryWjbgvBhtKCg0Wm7GqZ9pumKVny9MoNtXCZlKa
TpiqzukE7Asn3jgD1SNsGFoWDTYiBPKr7dRRjICeBxna4BAzB+8ihFrBC5tWZt44Y0Aru5d+wGGF
uSKwFsjcA86exosDQ9GAidEL10kL8POrAIZ2NyH8Kdw1/iw1vDzALnWvdNa6PuhHblDwfGJwfoKc
wZzJWPKKjUPyg2oHYEREi9xgCO2iCwCQdZlC5elqdJhwtA+EQBkDjTLkAD21wZW7jdN53KgMt1MQ
31qsjWwx3b7cJJWI9y37D3IzuPoy6Dt7hbcOn3QMZYV1zHB6v2lERFTNyUeYR12LcISP7eLomXFf
E2g/JCJIsHx23bw2nSZ5qTgj4PpSsfArIxy/B2q0rmZGxKu0e9TplAw72oU3HvG/MtOJ+PuglQLY
Nu5ct1L3qTkFP5vR4asr7Y7jUaapz6kt5+80I/nszfqUbsA+Mysg9MQMdgzf8WBYV403+ZZEdHYU
ePJL7DFWBEOmKKg5NNrT0CGU48Y39iTVmzdCI6Efeha7aZlVN69T8Rklq9zkg2AXHY1vGecHnsRS
QzNssXk8dcE4f2fkB89eEFB4ks0ebZNCiznwOfq60/H+zeUIInlCuKAVEncsOfLZr2eqln0C+vV1
DL39mKTQnFmS4BcUxlE4rPDpMBZnXOsFfJBpuo4lhp46dm4BE8rtSF7zDUqjsvG8zu2p0zpKrEZ7
U2vR/K6CsXpqKJk6qKRk6OqM7bPecFNRH6LXyHStc4J8hEVxeJB2iGjYYEcg73+hq1Hu2kJ011EP
mFDHqeP9qO0OQCrtULs+NxSZ8655kHCHaDTsM1YhJ+dN2s4zbja3wMA0T+5lLrBd8cxod5E0zJ9k
8+Mz5NeQ9TNUDNoLxDyX4dAqAKX4MCcJzMge+zsWH5L169HhFZFaifHCy+Rnx1zxwGDYW5kIDJth
0KZtEY8JBIeEZyQIE54FAibDBwgh78ENz1nA8CM6edZ9kEf5MQSe86lGk9UpuFPpvEPRJtPYsgWo
g3nrGMtqPmsnFaJWml3ByOVk9fgO63YF/BdTbX4yi7j1WzCDHCfJ0/DQuzIEf6qhNrBBIcZZV+Yb
KwdEorCDeTnANPrlKY0AXV5E+ww5g/k5Q/qRdkhdY2Of2L5TGabpZxnRXx12ABTtaAfMcA9Z4BlG
RNWtKY8K7115BKNyglCFvkcSmV1fPR8yJ0OpCdFiYsaeYqreyNiD6prvArd7ppe59mXETxNo+db0
9Yfp/T+y/z+VOf/9r+XP/Cqrqcax1f7B2Pu//3eOgbs25Xf73/4uCgguH4DR/vk3/cPf3PzvP345
/Cr9j/bjH/5nAxC6nR66r3q6fTXMYf4P6W/5nf/TX/zt64+/5Wmqvv76l19lV7TL3xYyBvwzrdCh
ref/HQ7Y1l/Fr+i3XRd/FP/Qp7D8sb9FBDTL+N3+owsYEpLjOH/CHGqW+TviAH3wEAttjMRL08ff
OYfW7w5FidKzbc/xkMaoTfitgXod/fUv4ndOk66hkxJYOt6oCvmPUgIW/7Q/FdFYtuE44BcJCvBD
KHH453p41WKm4PiPLB0GfXrotFm04J1cJvBekzLemURNpYLI8AvihVCogHVkdrsB7zcDd0Jc63JB
ivvtrJj5VaWe4ymWYYjHbDLMrZSEqZCo2nzT8tSiVQqwDU098YTTK0DEtepC+yOCgcdGpI7Ca91o
ZbyVOCLJ51atBj5GVKxTkqGO4XfTrB2guzffntvkz32VA9pIgqq19rMTmOOa2GGpNnlOqpy+0kYD
y8vsP8XTFAXjI5KJjTOtb0ZoL0h73GqgZYwEyqkqR/lgh2lPqJCq7k9KDNQN+2v65hkhU5Kwj9Qr
h0pssM3YJ9rFKQaMZbpUABojNX3lotQF9JrS+dWVInptO9D7lsxy5m2lM4s7MzA0uY7nYg7WZWOZ
hAHIza3NVEvcFQSY/NMQgZ0/62Fru88NoHJMT5ppUx9m9PIJJw67pJBTBW+q2cJhFUC751yHaQ+2
JCBH7JqWsCEFYsFMl2RBPhDLlR1XMepHJJ6k42ifNsDf+a7Tud51RR17wH5DdTSFqz6FbqG/IdrR
WbcE0Hjp0cZAO3lQU1gIla685N3ACdFImqY7Utk14rqusjk/xkYAD9aeQTmvcDhrzEo9Cwmv6hsu
p7DzCgGmQDqkX6D9jLxR1Hcdx5TgIHJZv066RhOVGMxPm4oiTjFoPM9mouGZ0IeET+MWuWIyZS47
OlwwzN9zr8OrUA1NU60rqlbPpqNM8tqqyK+pakzsn7FGogG32Zj8aHFLmX47FsTXtFwymhFQyoA/
23F6NiKWolXsOSb4I7zT9s1xKrZVumbrB8+xQsMvmEknvh3ZVe5nDsvHU10mbtKvYgM7ACldnjPm
ll31ysE0N1chW7KfooSgsZqWowp55Kl+zRX4o1Etjoc6t92HEn+StpX9nOUPRCtYZTqvHLSDmZnD
d90GHvPkJqGCiRcYPidpBNI55Y0OkDmfjDbwwaTiTQBrZgdbcCacZOumx1yQU5yFEabNkm5lZGhc
q94pAoRGdoMVHAQyrbs5LONXvbCjL4WEmq4LmzUKk4duQTKQgB24VrLcg1wqHtq5NhkyZKribkq5
3/3YManQrUqqA9mHFa5k9zL0ka/1nvmtpWEF7TNpNZvJiCuQ4PE5fDhGo0BUmbJ+ZPNOCUska3Zc
JhVo8xrGC5PnLirbcSNyCiSwtekRelkpuiPW/BKfem6HW0NUeoz9pMh3Y4KN0Ae20D/MpSIUF4VE
wGvopYggTVCzszbap6xmZ+AD2E+fwtBLAfaL0XkJSVLeqhYJS5+0+pzIGRh1aLO74p/DTIGYCK7D
Os8xLqqoKwFecth45w0Zv3gtEIkAI5B7cD2y3MCiPFj+ErrptKQwi+vgavT+2YPg2QwRsO6nDBve
Kje6AB/dlKbFitOpKRh1WR6zCzaIBufytKPnFc/bPuTAM5Ef15rxmAUdsRnOd4BREIJaTFFx70x/
q376j1b5/9kSfu2/ak4VX7+dP6rmty3Bpo+WpfP/gxXd/G9XdNxyGVujv+0NDp9//cvy2/++ktv2
7yZLrok4s4T2/pb0w0vh/W7SlQXG2NbJTyzr698XcY18IL9Cps+xpL20JLLA/30V1ywbyLFNSJCK
YnOpav2Pwn7/uIgvpXWuvrSm2aZwaM78o4PvT7Ri6WQy0QzqBYzIagCgkSnOHjAkZsEPQEil8QMW
UPk3rjXbOzZd93/rqvuNxP99GROB/etfjH9smWXroptwkUEoUY8HYXz5qv4cL4QBSsd9mLlHZ3UN
V7eXu8vjQ/pv2sj+CcP8Lz9jaSv70wej94WwucWcOl29vj+Fq7tg9e/63/4xJfmvH4MU559/BHSU
XAG1cY/N5uH1/HSf+Pfz+o3j+7/5KP/U+v2vP2j5rH/6LMpEy/gv0s5sV25bW9cvdARIpNrb6mva
nu4TOzeCYyfq+15Pfz56b+DMUgklzJwkK2thBQiLFDk4OMbfWAj4P71B5+LwJTwwmeyQ71+koGuf
Rf3e/+cseDeMtXCv9EVo6HHBZ8E9nOB8xqdolyPZiybszhH1HpQURaOL53w2gMzqaHNoZBU+cglt
gjya+ZRk0OBRI3z8uza+pKV204vZo8r8v8s8n96/9/bn53rn/X8OIW6HgIsG9ixl5tnur3D/pd09
4/a9sbyc9Jery44XruRNLhyotXB7F5zaErmgMfMcJH0dczhqiR8e7AjPDQqFzofHK3brxGf/Hgog
NcK6UIwlVdnb6ZSaLzDOqdozvb7iS2C5ABjG+DJoQfI0IOdMcbHSNzbpIpCYQhhSVw8SwWOAcKIO
y4uvlExmPCc2wk0VTtWnWR/IIPoOAJ4Q+VMmUGR+PEe5XE81oEE9n2BiYg+nIuvLAUFkVXQEBANm
4DlEbdpHM4e/UViJc+hKiv9JUvlnlNa9Y9iiKoL8eXlpjMFF5yWoTkHSDj/KUq/B9hkGT4Uydw+I
qY4RYtTjTJ3Ejz9pNjCDxsq8d46PGlDHk+ES1CUdjxE/AXyHnCsOrdkbLQYnaKIdepBdVZ0s0biA
bMGUoPxs8L+y9Fj2mXV6vAZqy7w4sKYwbZO3l7BIrQWS84sYVwAw47XiBSfJK+fkATc+FcXQv3YU
nIwNZQVqk5ObtlyGOc2SfqLP1Wmy6SENFiWsGluPjVHuPufvd6Tj2QLsAsT3xSmfa43q/JSh0dd6
9R+lSxMI/5/hc2c7xuXxsq0MBf8FgwBuZa5Za7FsKCBlTpj4Jkp56IYkjAxSs4U5QFHn0+uH8nAi
sPCD5vq3FqeiyCaURqVOid4IrGOlDCrMGYObUICoeDzU3WbwJAfCMUyA28oXYbGAMSSI0sdg4KTU
A3A5LIdDm2pb1uHL0CIlUBvJ2WMrkJ64y1MHR7lpB6+7OL4h/s1phIbkzGb0LzA2wtrcOOVnr+lR
cnw8u8XdZJrkOaauW9iJYy0q5WJ2lKz1qkW74hxQ4UfGo4d4mFrJkJxyPYr+bC2n/h6RaynMZiO2
7odlcCO6kYrhXemaUhio0dzGmiwTYdmbTXox8BQI0LJB4emCwK4z7B26MZ9E70HWeTzj5UpjeinU
kSMDBO4AeON2TOg9ddbmGlhfAD8Xom7wrbR5VzW1I9/MLoAYalLtxtFYbiLTQgvAMfiDwIKj7uLz
Wpk/Z9JyQcrn9NdDXnPvKt6Z7x5PbXkAf4/ikcUqP24MwBenwrChQXIAi0vVNtkbI/OLnZ1a7Slp
wOc+HmplQoL3Owk2oANHLJOHoEeAaHSZkF2DLRscQ9s589wfH4+yMiFcSj1CMXU1is6LbxVDTHOo
TaBahkYYSVIDN/MUeCZuDlVFHHr/2uG40/E/sQxp8m5QVqsvrz4EgH0aXmDBBx2thMKS4RsXEUte
wUP6/Hio+/XDstXiGcLRs21nGVXmTmsLCMroEftw/Cwf2Sa9pAnz+lE8FwkjfOQsnV7Y7YQ06pUB
nnnTxcgm7dQOSNdrVf73qwexdPrPhidtk8eOOuQvMhS6Zk3mafFwKbHUpLFZqK5qFHb/Ph7mLlaw
Wjp5EE7MhuBtt9gLhQuF0zTSAYUMi7ZjRy9B6IA0y4k6RQNp4efj8RbpMbuAgi9fR8d3xsYXZ3mY
rLQMugmiKj3FADZoi2wyiBxQjhmUFQ+uR1uCV3BjX0Eto2Lj091vfcrAuiOpNiMbgwX37aomxEtk
ifvh0liRRpsHcUMkXnT6CZXdf3081ZXN6LDlOWKERF03l++gSc+QPzeGS4CxbKpUlcC0gDiTG6F3
bU6U0HXdcHR2/7Ky7ZeNjGOppA4mM//Bijqw+vImMs4FgxXXx7NaPodNsjhVq0ciklsV/uNixzRR
10YAH7RLHwzSxXXFrtwPeOwUf+SIdz3PdMma73HmuV/wO3Tx6oB4fESxmZpp0aVevBGdjbsdjPoQ
jstCtz1sxGm83X5S2sGxGQ+6DstJUqQU0dh7Z83JnfQk5tAEYt5OVgNKmKT3QHgHV5aEikZgxqJ0
zgkykvkptRzg/xkEd1jP1PIgaEfTBzHmMj48Xr+7A6DEkrig6UhwS98t32g7cUdRFsVA3Jh+5b6m
D/tQdMi+18J6M4ggVjL4zbvOGZyjwJN3IxrfXdRqfOyj2DF8PXv5sHParrTMrJouk6yQysw9E/5S
H51lltXf/N6M3ubMfWPT3G1RBqVyIw3wAEi208u5CWZzB0VW5Np0iaK4/yvxekw0A2wcKAcaeTNv
3KKro1Hutkn/bMPz1D9/ETrLIRnr3rYmVK0jlASwGokQQKhghYZC39h+a8uJoBqhU3D03GXew7H3
h67l8KWthkY5Ty7C9BR1WOdFyNU7YjyODpS/jTP/O7V5+ZjioAsiCzqhuvAI3oscL0Q+eXYamPxz
gXRfNYdpdxat9D9AshpMaHD5JUUBriyd5E89QJjSpJEe5BJ+fEhjGXWi6J3Bs4UWQRq0YiMxWzuT
pIGui8EKhbPlqmiRo6UDyruXyWwtVFaa6UvawQ+CytTWbySkyU+PT9XaZ/AoClou2ZqqW9x+ct+J
I1dHn/lipejCYUbgvUOIr/haIjlx7GppnnGA0t78h0EJhBQ3ETMj37gdVE9lr1mhmC8Vjhn2Lo/N
+mj1ovosEFH4FEoctHYIQEtn4+Ov7G+KF1LiEk+04j19Oy5a3zyq2ggps8ErzX0Seo12TP3e/WXz
cf989SQlOalp2abCMMnFha2Nno+ehjNdwgRZaHNUhH4rsrvnIWxyEG3ADfyya16byKl7jIxRkDEa
Ho7Ct1O0e1mksraRb6YuCujHMNFjoz3mBMfH07u7pH8PRDRWC+lyhd4O5IahlCkVZaSscGzlQZVA
uwYs/fpRbM4pkxJcmcsSsl75jvIwMAAi1QVO8Gi6oPnuWLQnHw9kqM+xiAuI6lFO003k+tAkvp1P
bqceZlqacalqXR+PaCB1WFJ4ZgCTI1DLZ1AHBkcToEg2zDQ7dmUtGsCeIU5Be8zqdRSxSiuJLhEA
8Hrj562tNhm64xCaKYjZKm68iMy+5+dllJXGJU7dEp5dnFgK2RjOW+WFtSPycqDFZ+WtmvoTus3I
EYwQc+YcANyuHKv0k1FXct6Y1t1znxBncl3bXOckYcsDWVVth28qMrmWpjlIgUjtTztuBaTXMfsM
vwNRJ8UuQjtQRhtDr6QTUKNssM2SJNNb3gOTPyRT6hALpszLv1gw6UAMV9A0uBdQC8EuR39L63l6
kmhbwHFN4WY/3nIr35TnHXO3Df4ulg8VfOe6yrMbQJ6Ibxe7HPLQ8ITkdOm9ffVA7Gzen7zFTQw1
F9d6PqUzWgutc0E4RMGLSvgj8Jlff3XxQiFD4m7VVdfndos2shuwGAL/5ENdoXafQV4/9EOU/SQQ
4Q3SzL757fHEVjYr7lEmhTW+Iw20xZAiKSBFhKlzKbRB+Xo5zVFOk/7EE9DfeP+sXMwetyShTuXM
5vKeJDNyjbQF/QXgGqnDJMg/SE9xgWjqIsJRF07dbeR+y34QDwbqQXTsUFJHKRSkz+2KWkVdToYR
mJdMzJVzaqYZNYSwypIPtRFWb9DmKD8FVdD9a7Z04gFWRMZH5LNw0ny8zIa9slV5TVNuJE8wWOlF
cKQIb2VonWFF0nZevIed29an1mihGemBaT8bei0h+lklQhZondQKZi2sn20gPR3hpfY3SzzvIQZF
+JHDn6wKNNVBDlyjWMC7bdM6dI99LNs/lCMxpDmMttA66804hXQ7+58LYaR/Im6RPesgRKtvck6Q
hfcSY3yf2Y4iIzaAqFDSnTP7HAalX2IjHUscGISGohVOYK27n83aHFCinpx4b7mZ8auu+/ZfEtCq
eBsKC8nCFKfGPyotRJfCQ57ZOeJhU3yyOpDNQLM1IIll0ziAHUVr/oTTMkx74NJoA1S5wZIMk+Z9
67xM2TOYMJIOCboJ7mnkZAx7rUfKGwEy6b+nP9QXn3C2RDPUkT1Wjho1OAtef4VBk8kj0EAvzIWj
OWM6+ZcBj719j40XcM1BaQnaoVX/hXuWwy+m1vWjwa/FvaJDMEwHQInTH21fdl/KNoffLZvZ+CJR
TvpnAk3wM+TRV5+NVJs/2p6yIkzGGNrq7AtvwnSBlx1p+GhJlD6VUEw/Cf9jjbEFUgNmYH/ycRJE
aSEP/J+AdEbUsYFWPbe63zsX5tR/LfAN9d/bsN8hBNqxjhxIUWfPcBRKhICoZ0F0k4NWHwcrx3ZK
pyVxlo2bfh0HQONHvxq6XzgRTsGl49+RAIdocFGxIEj+dANjYD5VmedvwgyNrj18d8AiQQH0l9uw
wzbJ7/hBpyZTrLEo51X6EUdeyKAZmvSCevKIXKKbSt2/alk89ftW6IMAY9InzR5Ar7gkNQg1iJYe
ogwFTgTyEFQDjKixT1AVtAILMK5hDKgQOnWfPUEOTH+MWTf+JIWcr5OTuDEiZAIAlCWqWp5qd/T/
Dly9+NuULXS7ou7gpji+ruXHAv3ubyBYkJ1OmrT+WJJGkEV0Oj+DfRYAw22V5gQOKg07ZKTPNqRj
Zh4DLsl//0+fjMPYxJXk+oQQiJo31c9dgBlruvEwXLmnPe45S5kdU8Ew1T9/kX7EslTQ1UZhXwH3
7XBdqZJjMo7hNyBMaAlAvMkvtSYDctq+9bee/mvhBwUi26TeBp9p2V7JpObng46sUEuYfIY1hRFl
inbS4zCnwukiA+TVq+bH85A2zmKS49S1spCZuAhkepRCwJRy87t6h9iszg2a7juZOn+HzgTC9fHQ
a7cL1zNIbkkjl1v0dn3NrghUqgAfJo0BCeWRNZ0bqc+frNLF3qOxvz8e736qILToJFL34bUpljeL
X6J7boRwaGeUx+HLQVuNFG2s7PA6mZG70BoLNblw1kh/Hw99v5UckxqKAKGKBvZdP5emkxFVGiKI
5YSt0rFoHfk3tjN6vK+gGVQ7gJCoPnSC2LoTIa5gG2/PlTIchVtaderRwtts+XBpp9A2J4RAr3aE
AxYSorBl91jqAZqWuFvD/uVJZ+xqDfG0C32AUjv1Zq30bRu9/WoiEZtsLMl9GqP4S64DWoAUmG1w
+/UTJGnRu42Sa1U39KG9pvbeoDRkPfV15P54vPz3O42xOMsebTbH46lzO1YZWFVe6NjTgMaDzC2j
BOio6N6F5uCdLBezhcfj3e803ixABlhyKtemI2/Hg2lhulE6uxc3ipMziCB3Z1tz9g7ZHwN5usTY
TbpsNk7yyoKqAiFCLswROMZiUKkjm8Tz1bsQudNnLvIGz0x7RiJX1zfmdx+aFGib9JO2iX7fOKmD
0HZaq/EuhVWKk2Z2yVMbI136eBVXvhp4b04N5Vo62cv8C7tqHgtlByhHjzWuEF/73GC+B0VQHzil
RrhRRRCCz3IbC8nk6afRG+SoUI2//WwxYqbDyKuN2rDAGVCGaDTvqWegpTsOlfxYgAi3r0C8sXwe
DN/3z3FohO+boXY+RJpZgCQeRlqLsV9rX/zJafDkaGSWvouFiU+7L6O5Ozel1X6M9RZ3OyefzO+t
P3lf54BUaGP5VvYDQABee7TuMC9fdrOjSZBaWq1/GXUxAoc2/Co8SkT7UeoNIJW9fvu5wH+oWzCk
KuXdLp7WuF45g/y5oMKKHTdeeZl2pGpcfzHTrNBe/YwEjqMakobAnIS4ejtaNRlYhYSGf2mzhvQy
6O3vmHfXG1ijlX3OKCZXhUH1lLvqdhSvZoQ0nXyoPxrqtzjAx91X5J8Md2OglfvBlSyf7nJPqIB4
OxAs0L6yFVF8diJnRoMfiUGkkJp9jT+BBUMHyQ8E1MK30TQjSfL4nK1tFFUO4PnKtseB4XbwlHox
PuDCv+gaypxkRK34lsQy/yq02iy/vH4wSoM88njDAhhbVCMDHETgufXaBfF8Dc0uTAbhPVY6Xghe
tHECVgIIG5/6LsAKsow72A0E08Q0sCsIUmjHaQ+1UA9wwwUz/vfE8diIiitRn2aFIqiofOqunWzp
bTt6maFdaI2H74VewQaf7fQt+vZYN5W9dq2NzN7YOerjLGIWg3JqLVXO0ZdXGyp57cjdjSVDmdn6
DvA2QuVJBU8az5MGcSIbnDamo1E+/NCE755F00zmRnqxNnP6fHSK+A/IrcVpTPLRziy70y4ULjPj
Eha+0s4JrGEAGd9P+mH2ggDnYAzzPj/eTmsn1AFn/D/VJLAzt3uXoxj2XYPyXFrN9psMuv0+4Dm7
Mb+1UVzOJv0v0lVrWTaDLTNbNRKnFzOZ4OkO9OHkAVh+42wMtLZj3d8JGq1vGhSL6dhQBBLLxwgN
30e63F6LJGXU/zIxtt+jargFvl07+RwLS2VF9J6Xw7VeFKeldD0QMXBATIlu4Oi0SITG/X84HPTQ
Ve8VWBpbZbFFXAscquhS/9JhHeLtOzg3HyExmCAZsy4DkWqWTC+uPO/1QYB46vGnBaQLPY3bHTIX
bP12Zo6d37YXyrL43Buz/RW9J+ohiEwcH+/IlTVlLblvEd1Ax26Z11owTlL1mLykeBPuhG/EhwmT
OoqPTbMRuFe2JU0WwqgOwp4i5yJw08rHtQHL5EsZW9FzKvLwqbP7+Pz6CZGCUZhT1j1y+UwLgAYM
aLmQFSXp+MZtkHGBvxr8gzxDfng8lLGSgXE3eBAKCGkuO+X2Ywk0Ig1Iod4l9prialJfOY2TQKm1
1m18Fn0zRZjAz+GjdKD0mr5Hg99z/6zlHJz9VHM36p8r1zKSVmQAwOK4mZel1pTCRlaP6v5vyoRG
IVpC56Kr+6eAOto+0oIUAXRkf6iTINv1eC3W9pGEGAk5kvNy1yqOgI858M59NIPqOsYHdAQO5WJr
5VxtBJP6jb20OhxvVMIOAfzuMR7hao48jUW2iOHqNbRH6R7YEsOHoZxg1D6e20qY8yw4d7S4XJOD
on7Mi8rK4M/egGSlR7oDlNoYR/xOpZBwk7FzbVLd2xhvpahMZkpnEJCy4M9lLmxrPQoGVutdYA8i
r5G1QmZ77BTM+Tj5eq2d8NBEIZgyf5Ocs6BBCSDMZVRRDx2ndONA/X5sL+5sfgq1CNSDeSguQ0Q8
QDaPcSO7NPGQmeht0XV7QimiCN/XBR6OqInGrn/E6bQfD1qaJG/6LB7/sSe7+xaWbtHuqi61UcMc
oxiv5cDIMsRoO+dpoqw+7Dp/qPzj67+Yyi5+l+ZVZ/L2i+V+FIz6jOaxF9f1P6Uno+96khTfwcsp
df+4t8TG/r8/ezzF6JSrRwVP2mUocDjnVmhkLqCAeajOZtMb333Lr/QD6IoUS3UcTPHAEqX5eUaM
SGxsmfvY6uqSFhlXh67euYtro0NmDTvvxCWvkrW3HwM7dk7JCMBv435aH8gE7AjMhmCzGCgE+du1
getcqiBwz1qY5teuNceN6dwfb6bDLQFgjWILe+72+6HJXttJ0TBKEqYnY8b9KKvBaoNLHDe29+qE
eAJBfgKOCPDxdqhwKroQnDIyKT4gGpyHs0sp+m7/eEOuTog0gsIhVR2ysttRANkiPTghyBNi1HNo
PKPa170ur45Wvz5LYu14SlOMNBQgafGFBPJG0VgOlPoJFXs31xXjNxz381QY/2VWLkgYbnOuv+Wm
zzMSbLTMnMscjn8agIUAYg/N2U3KYeNquw/BCmHl6JBZgH9QEbxdv8gCZTjbIzKRskDc1MhdtLcQ
xhq9XMB1ktarAwhz4nEEAFYCJ1vWVnyUL3LQRUikFrb+VOiY2VXp3CAA2iDCbCP3/3h/rMyP3Y4a
ABpp/LXkQeR4upE44JRL20v/0NHq/si7rWreQg63fuLgFouNl9jKjoQDAXgTwJ5iKS2OWDBAHe+0
0r2EWqc8g4YCiTK0u6ZyKjdi49pQfDiSA1JN4w7O5bRFC35Muhc48+5TaLWwqDvuitzM+42hVk4z
VUMOskqBVAp4u08Sr5J2y6VzkT1V2rZuksOIOcXGvl/7Wi9G+X1/v0gIJITosp0a98LRAHyJAD49
v6n/MiEoeRkz2/4Pu5FNT0XcIbST9NzOaiB9m+jm8q0KlMPNHEO6yR6nXaB0xlFY0V9fY3Epr8Dv
8NgYlJMWQRHrNIcaX+FeHBTMj06D/K0NII8u17jFJlFf5Da7oAgM91W10akCe4uhOituSAhy1rLW
xb4taUwlJjsSFbZkPw9Sv5Qu3ecKpsLBimvx6/HBW8nhGR94AlUQwHX0W27XFlGiJJQ2a4sxiFle
IiNI/kGwvUO+P3Id7KcFMvcfpiqph7NbCzS9vFE2nzNbNE8lJTK6zUMYZxv7eCWdIBaA8ITnAqZq
mXPl9RR39YgntVZb6GGCFzDexbXv/Og6ZBX3tJ29ZufKvvvXqCxawI8XZe0U0eWC6EKJDSbhYr9l
ChpdeSS8dq01hzG1EZMwDe36eJS1sMDmkuDGoEbyL7hd+TBwzDHSaDs4STU91x1m9HGPgaY7lj8f
j7SSUCtyNjfVb8YS74XboVqO1EyBx70AeejfDzlgjb1Bn8Pej3lqfzfzBpnLCF/4q67z2PZwijiA
Nd9qIq2sKxRJ11U9PR4Ud1majCQEm8m75F6YPHdJ2e/6KX81NB8lKJ3LhG4VtrW8CG8nW9tmIoba
8C5+HuMro6ojoLAnBAc2Li21aoujq4DpUCzoMqhy0+1AYRYoXEXgXyAZFP4hbbDxO9RpnfyRpr4d
PQ1xWr2TRour1ePvuRJ/EbsBOGnD47zvfEw1nfe8SNmfaWK8bVntp9EJg3dmgJQ4Bhn2Ro64un8U
3hBoH6tK3/l2pg5CMCm2TFRJTNl/T1y/fGc3IULDkt4BWpzj0YrIUaG7eucGdbHTYGCN9PpJ0z5g
/yAPgIzLYrVHE8Eu3KSoDNVW8n2Mi8Y7Y2eF5HaZS1Me+T/mZOPiWTmipODIJdBw515dXjyUPQb0
Wbjo3Nbp9vUcYhJZeOUprqfiPwzFWJRuVBgmS75dYolsco4MMnccQIavaeSZ/zQEZwvvGQsNocdr
uRJewar+v8HUQX1xgSOWh4DMxCvG7kLd3Gtk4d8xRGmuI/AxrPlQm/sA2MNF5BCE8Hh5PPpaGOC5
oRr7Jh90GY0EvUf0mTX3oomheI7MZHgLU0BspMxr3443lAo0QhVl1D9/OUd8IOyymwivk1UfTRn9
1iQ2j2FV+hvLuTYhKqW0kAGK3rNmzDDAVywl6/K7uLom/ow4f47W7uuXDQimel2rRu4dKKCN4dhh
+HEJ0yw8z0lWHOaoKjf24QrlxhWqLUharCvQ/WIjUsAey9nO7EuBxA5cO6P5NEncpjng1PTMBF8t
fwrPpRijQ1P6yoZDd1C9xgGNt7F20PFC2+GPUj9ncVDgxBVbG192sXuhfdM7UeUNkjPVsV/cZo1l
FXEOxhCd0VH8Mcg0xGoUwzj5jlKb1VwjUWC6GsRhjL0WYLQtHPYi7qvx6TybBES4ZpQ8Fhc3XwGu
XYSH0NwlGMl2/YTLRdkdh8LMDlTHoyMS73Kj17DYY2pQ0kNH6nBDVJdsEf7Q2Q1AyvXFdQh0eZJ+
h77xOGyBnReH5vcotN+kQsiuNMUkbS/6uH5+DY0Ue9moLM+lFOR4mrZFVF2CXP53LIiqJq+w+15Y
gpOqRIw6vyKmVI9nnByrZgfMJPuQDgA8T6VVRG8Du8bpp2e3JW/FWLjasZ6cCndh3cu3UvG1JWbn
Q8mku4o+1GKJMXILutmYmHw/5j8rMbTxLgKNv3GRrQ5jKlS54vTdVQ26sSHfC7PiirpX/TFAVPgK
vUM7PI4WK4eEUq3i+hPmIRItwl8VpaIevSq/Wr2XSMT9QScfZNbFxqkNwuHJnELquHGvxedC8MDa
CCMrkyR95qaGDACOa/mCQgcOG8EG+6SxsuUXzSqGJ8PDC+fxJNf2ENVNlDdov1EAXN6a3RwOAAKy
Gn8iU//qabX/vqx154yUebMvE1Pbl+BS930/tyeg0VhHJGP1xdKyZAO/vnJwPC5u9Qelwbs+UgTu
ES+uoL46WZ4/Q1DL//Q9TNOR3Ow3srG1peWyofqo0wq8S0qwI5pHI7YxGJ4R1UN+3Dywh7bwjHdB
jk4jYC91R1NHxiPy9voscATTQFokVx2FwGKHPZ7FbAYPBWskSSr95Npm8yEQyOW9duswMvVIhROx
6Zctm8RpDuonrtL4GoVe8Em2XbyzTGT6Hm+du1VkFOCaXCBUWangLS4R36vb3DWS+Nrg5bTL0xmh
5Al12sej3G9QNYxl8DcpKa4uN2iWBlEV9X50DfqKM46qCH68Vp155XOPsCHSVngm42w0CBw1e72P
sDXJrFw7VggOJ+7O9OJYXDd+1F1s4EeBBwOpSvSBS7mIDcjLNMLBB/Cal5Mcubd0VO4mM0A32RnZ
cEc986drWRezswvd2PspzTHFo8UI9PiNjxzhW6xdEaDTa9Duu9GWzXdjwh3wBFQz/NLUJSLqCPxE
Wwyju0PG74YxRrUEhBnIl8U3Mzuk+EFJJVezMsc3sY291FikYL/TzNu4bleHIrmgBEQX+i5+aZ6T
I7UzJ1dpJsllxo14NxaJg01S+vXx11gbSRE92fRUgO7eNUFWlHEftDEHLbN3razba+ojc4ken3Z8
PNQSMmdDZYBU6sAv1EmIiZq3h7qnHhgAz0uuUz6JX4WZl+0Raw/vqzYO3gShKM3+qvgGf8WxnsRP
dgXzcmcASfxehbiY7qu6Q7O6Iu3p3lllb31s09bSjk4aOcV+FG7+N9oMprHrm1H+UbgwHXYizXqk
hQOJNeDj2awuHGVxuj5rlTNRIWwv4iG+OgPwv1yM+PagboAL1GsT/P9ZN44vgGBFHFomX+DHwxxy
JL7kEfSauZuit4XEo/LxhNZCElc2dEWFAOR9f/t1qgZ9y9Rx4qsde+4hDutgX0STfXj9KAqjDvzH
I8Av83uYIXOfiS66WtmEiwOPpxNd31eCHdSKEcF5ywKUY6wlvjAyYhGilR9fh0QEH0aXmjeQo+z1
QZxRyIxRqMEiYHlVIBY75LILGAUt8GOGN/KJLozcCOIrG40WAbxb1RKh174IO7XmFVNcJcSCvJoc
hNsht+98pFzwkyuBxmxsg5XozHBAv8nIyKGWD9ckC3ubYkd8FUM+XboeyVi0T7MJUpA3/zkaISV3
PZY/sNLdwmmqHfaiovX7q4G9IzdVYe+uotWEmAhyXcXXwqvloZZBpe2KzJjlZYQdgr7sOPyRt5r3
L7VB51elW78e78218VVBFI0XaPd0Z25PgO1bSZ7XXnJFJbiYTmR9bv0cwCh3rzaKpwHQ3Kr+iJw/
ry0iFq1EObtJcX78K9T3XK4CpR2UVGlp36fOKQ9wCbYhuYZ6n53l2BCITem5n1ojzj+HSRyJp8ps
9I2DubLNaEZxMbPL+AjLbUa7YaC2ZAH6hz+F/qqbVxhPQyvM9nlhda+/4HhEEmiAADLcEuEFcb1x
Qvy8rwUAdIFXvFl/qtwq+DXKyd5K6VZW9GYwcftdE9OvLKv2ebF3CQp1LgbudMH0XRN/1WL9W4H5
7sYhWpRI1U6m4aZwq+SQTFAt9ovqTxe1QwV/PrniJZz0+LbGw5cmp5YHvyvCNbPRgmzckItY9lJ+
D6pYGw5mKhQHln2DotE12cMjvWZuNX+ki4JuVTRO6Bb0ULTsfDj1kJIOY2wbgNaLfh8HVX0kf6z/
biZ0jl+9jTFm5y9+DNeJucDusnuisREuiQVm0bi69t3T6Lnl2y4I44PPu+nUwU6dNkZducRUoCSt
tkCCkD/dLjwd+SS3tSK5wjicP7ZFjVMpoth/P57b2ucF5U3ThGI0jYRlSBYzfMWWRGYOXe2Uw/s6
tV5cfa6dvP6UQEL8D2eTM8Kx5Lxw1BfbyW5JzxsUm666jGhaYGF7tIIOAIidbbW+1sKAWjdQierV
sLyfwauPtKWz5GqjGbOzqvHv0jTm/QRxeuNeW/1UUE8UYo0a3TIExA0+VKkPpyfs4vyt7mjDk09t
7fL4U61cZ5STVBYNUA1A5+JTeTqgeGfgoQVldO4xQ2wCvHi9aMbNmp5XDccpkOLg+WPlPOVhEf77
ePylmoo6lcg4EgkgBZBbLV8Ns9k4TjOTyie5C68DsCdyQtoI+kSb62T4Jo3ISf/MqwLSFG7siORH
2kRvZ9d6TvF1imLbxJkzrpv9bMUmhsng1JE2LD3sDR//1JUPwi/1gApwB6jodXt2ZrCvaHxwdpqG
V02SRph4iGzj6KwNwj4GPoFa1n1dvPfNWcLPDK6Riy0zD5tkZ81TuVEPWTmg6m3JJoamQK108dXz
qs37lib61YJu88nwp+h9Y43Rj6mERluRq28149YGJBSA/UGsB6LCol7h5NBZwqwPrlqB3nkbzeLc
jsH0ztXm73ICuvL4U/1OLRdJgirDg6Cnda4qsrffqvRphg9FH17brCo+Shs1qp0YptA64DGYfzYG
vy/eub5u19eEvuxl6ObewnlomJ5sSPLwqDtouIect5r1I44zmV3aOA6ng91mvdzhEBT4+zbOR3Pf
jRDLdwGqQMHR9iKZUNV2JXWYoIWpk2exoe2LOkhi7pPU9U+pnhVIb8Za/VT5rmx39QjN/JDFCER+
hc9ROKfaGIvo9TGSgjgJBfefwhMsVqQQuekGVhxci8mcjoMLPAkEjjz4LR52j1d/7WMjR0EuzrFW
BarbxU/5RwPlVe3ijt509XORf2nbIv3LLCN9HyWa+C+7i1omZRMII1zsi+3sV/B9sgDKxGB0Dk5Z
8jkwTN6b4Byf5hnz1cfzWzujMGCo9RO8FObrdn5zlugd8DgYGrreHCJpBYhg4w35eJSVmwY4Lyh/
etegoJbhRqe/E1SerV0M0eo/rB6boyarm08DjMvPj4dam9DLodQHfZGODQRe2JCedmkAg2KUkGRn
B8n2838YBawuRQEAxAA3bkex7XkM+6kKrkFaI+9AXfwcB/EWwn7lQgNGgSKfTe7Bw3MRpdMoHFO6
pMHVdyTt9sTQjkk9I7LZ9eIps+vwHLgpBrYpMe/x/Na2PdrEINxNsEl3qLxOb0U5+JywbsToveHI
n9HSMHZewnQHRJ33j8dTu3oR4yhdAsXm+uQxutz1qJzhExU74TUzJ+2j2RjuCa3wCLFi8JuNHacX
a5i28Jurg6pWKl0h/mtZo2rLxk/xKAyvAz4yx2SY+31Xh9bVbQXOmoXVXjxqqhs378pRQGQQqLlQ
xVqwWLc7x2nsyte0JriyU43nMrFbHrsOllS9J0+PF3V1KNBa6DhxzXPEb4cCDm33bsr9m0eRe+ps
H09sLQue3ar/9R9G4o2nOsYAiZc8qDj3MivD9/IKnafq9kaUmiUNtiL7jq/QMBwfj7YEiag8y6Jn
TFpBJQYhhMUNPI1BWGIVGV6btsPL1tV+2ytn0GzdwP7cDG5UHq1sxvbQRKbhLwi41dtqzrZlstTD
ZrltBTQbihjs3HsKTFk5VZHmITjZSh5Co0rOwOq60yBKiAK9p/EGrDBLi4zC3bsWdLTG7+qN5Vg5
qyo6cEcZXIcUdm8/My5V+FGNMrg2SYfXT+z8wre52Xl2YlFYsV8pG/d78SUtVSq7oKyp7N0OlxaD
KfxCETVVfe9QjF10aYI2/LvVtGpLlHQlmrOb6HNRRaZgvWxqjMUMhqIotUuUDcNeGk39NCW6fn28
odYOClkq7UOQ9vfidFNW2Z2VCu0ylqjbH7C3sy5T0imbmTaS3x8Ptvq5eAeBggd8c5c+hoNuF4XA
kzns+8ra523Bl/MNuiBxYSgxNbBqrx8RmSL41xS64NgucpjSdEbulprbt5qx/3XNrAPGEAf+c6rZ
U3uw0gxHxsdjrn04CiO08FlX8plF7MFBlocaYo3XOIo5hpnp7Que8hujrEVw0jLyCioP93Vsv5zx
n7BJxetc6wBi2FBzzjWc0JPby/aNQiXD6pOhtXH9r2wY1WpG4kApfN1lhd5AcSnMdbYlPoxPYVhE
x0QOzs4HNrDx8ZYoGXXe0AVV3DeaoDzV1H56kdBoQTNPXtxH1z6ExHsWmd9WB3yRcZLrBlFrf/iD
VdknpFqyCDtwS6v2ft6gVIKRo1bvkM90P+uoeuiYP2BOlXRZ/zXNmtg+xZZv6RuJw9rKvPy16ou9
+LW1NsUpktPRtQA4cvi/lJ3HctxIt4SfCBHwZgug2fRGIimKG4QkinBVQBVcAXj6+/XdDcWQ4l/M
LMaoG+iqY/LkyfS3pYK1O+EdTw/7v//4J/YQUYj0TZr78FHYfDGDYkYN/rMvj/a691nfMTr2rFHf
IRDh56hfz//45U935UPE/3892Jg2H4bgx+avW+ZB9wM1Q9QlzcNknC0NEY/J5tNmfhwKK4cu6n/n
57HzBe2rh79fq0+CB6wciIInrPGUBv/7epe+CieDYthF6HZel5eDYHAaB5N0j+Xq4g272dH8rx7o
kzKU9gAqEoUuXclHhFPKzcY/fa4uEsutr5y5H8/Y4G7T3RIOhwiI1YFg+72AGPoP5Y3PThPFGVUS
MxdA8g+Pu5aqaV1kqS8sVYR3fYTP+XISwHIbzH3/9zcbYVqBnBuRibHIf99stIXjusvTLASVDkp6
7TlHiYfyMVQgl6Wt93/clM/eKvRhuqKTTAUy2P/9QOSbGw+mdHNRlUv5zYytgnClm8MQOFt0WY/4
2qWEzOSM7t2S//jw///TP5xjdgEotOn5oBR/hKqC2cGJuNO82blq5txdLDau0Rm3q0tvjLDlxQEL
0WOzYPvqTbS8TEEq200HL+7u0LwwTxjH9ah/le7Y3a0k5iBTpVNcRt48tQ9FUU8PyRAPN27B/5Yp
Fav9bIiDvvvHjfgk0UQUCAAkiLP8Cb+vQ6X9RoOOaNWsd1D4nTKdqzE++/vx+OxjkDw89ScMjP5A
mZpmbWtrEdVFt1jbdTwjDdT5UfWPT/nkvMMkR1WRI2hTTn4IaSE6U3NoQnmhAn/Zc69UmCYniKr5
qQ8s/Pr3Z3I/OYKxjcgX+rgnl6aPQ7AlOq0vn4YlBZpz5VkxYvCTwtByv9bSN3MWVgrdOo7p5B43
PHSbtKW+wBYcxWjxKt2g2c94jlrkW7PNb14R7xhbr+4gziNsQuZslSg1p3MSF+Ox38v1wXSzbe58
uyrN1ynEPTTzu2gZMgwDSutS82OSsZZZXPnl3D1AUsaB5+8P/ckrZmEJGw6od4AsH4OZRtNsjmZP
Ui13cs8KvZijV/qVupixUlf/yFH/Lxv/4Z6xgQD55ySvTf7+EMHwmZwWuLO84npx4mxuJhxIZ2kP
6JoFbKsj2j7J1wlqsrq2fdnZR1Vi14AFOmqsuFCrMU6tZXAwAyciYQW5S/U/bpSfKgxqC5ieDByY
ZX3sgzvbwfxy2cRF18T8/raaz6x1G9NACP8fUfazt38ylaH95bX8Md2Y/L6q8E4XFwECLGezGKZf
hWRvf3b37v1//6FZ8MOd4TRdZc7x3/hanqbbqljEhT318dnWemE+WXWchW33+PdP+uwakZ8gyAHP
sk3u/feTTNHO7T5KcQEa8ypkHR+ScItTdMX2Bz8xS9Y3QZsbRzX/aCU+CUqoMwN7M3uEBPexGCmm
oLRlwNvs+0kdEHuNbjbIX//7/JZq5zQkCE+rfh/nbGL0RTcOI8ejrMX53lrqUK17dGPNeAP//U2e
4tvH2wIAdOIOIUr+B1WuRjlTYsfHA8VldVlJ02VDSEdWz5tDArKqTCi7f/r7h35yJhMYEJwQ6Ah/
8p2LCaWFAB2AC/xmR8hQY3HVOOYVX+L6H4/3yUHBXei000WNAY/0QzCYajcZiMbthVmtZb9I3H4Q
lxXBVGVo3u3Dzd7063q7QDUNv7L17Rb/Ckfhny/4NI0hKJNg/qQ9TNsg7RLFu4vG9utfhQVmz6ZW
1Tw6oRA6HaNQPgbVDlKL4nUTfrE2lZz0fIcYH7jAr+/ciQ2544IxxRUcL9Y2lClLP0U2Xk6Hv/8u
nxwGmh4Gk2REhGg+gkp15C9z0zJNU5RkR+muYdrb7Y62nLdnQlLfF5h0/KPi/PQngqRJNwm+xJTh
v3c5Vr2xi+jk7I1J6Hcn6cXT1neGvtyvjs04tdeS90t6s4OLvz/uZ6gWFQa3mHRMx/zxo0GPto49
ifbCjbaKJTmp4jp1emRbM4HgOa4jsStEPu+96rJlaR0vW1XsOem0aOvL37/MZ3eCFYATdZzi8A+J
06nz6J2jQFygVqwRKaQpealLX7tnUKSxG/77p30Sx5IAbyL+X5A01mj++9LpsmXVKxIQ1L+INYcR
vV+3+JeIzGfPRL0LGgEjkV7iQ3FVUq8AHM58inCiB0i0Hl5fW3coyYv/eKDPrhnFKIA2JmonSPS/
D7SifK+tKRQXflC0x1HKqM68tYq+ra2pPOYFc/f091f458M5rKkwxAffYaz8MRXsSCaZIUHH0xWD
AxDq4xWXJ56agrTfWbT8+6d9AkpQCTP9BFg++b98XEzpfGBAqyCOxEus+2zum7FkPhi0z6zs0cn4
cox1NpX1oB7w567KtCgS6OPbEFjbMSQRswmvy6U4oJzY4BipfdMddOdOmLwGHpb3f//Cf/4gKOqH
TAypOtj9/9jdoW3GooWBwRnAPmKPfA0ug1axdISD9N2UTPs/Pu+Tn4NF61M/yVIEhJgPkBt8OgXu
0jcXxdB4GWXHkDXxzjqqhzL03x/N+ROSOEFfJ4AUMIo1jw+fVU46DBdnEhcElW3Mq3kxxXlYLTTL
K3Hqsadt/16IUffHPRrqOdtY11hTb4iaMrU7rVBcmGQVXsFKxzt7LZM3SEzDnA7JarPHUBpT5jac
B5MvjSEb/+P7n/Dp/yZ9QFcWwU67YDzFx98m2gtPYUTfXtSRM9wXwG0/TUFdl/qbu4fZUAT+bxpH
1Id2mRCBEEVsvsq2ldt12IlmTSv2aep/FD2fHJgTI+9Epwd4Q5HovzeY9zk7yXhK1U6vHp3aClPP
JMlhkYvzpOb1299fwicfd0LuT36j5OU/Cx/sm4xYanGhC/oRBOHL27nBX52hKaCOvzf/2pr5M7ly
damKTzpLn3BlGp8Qb7UB3J96qr+YCk72aiNgsu1+fCzkNp/D2mz+Uf/8GefhNEf0z8wUuYwf21u2
AXp22NrlQuEoiVsnJspD50YXf3+XXLETdvLhSDEypamlymF/7iP6HMq6sJdWJBdjOXh4ObPFUt52
WxQcEmQfq1QaVgczU63Rd2cyqNtVwTpGuRn1sqUSJ/o39tY797SWFr5M6PTeqUJU8jbQ44rgniMX
fc1WyTRmplu3njHzUJVQetxyPBZbERkMjqd1uR8NS+8p6q4dvXBbiOlqn205ZF4fJT/QDbdefB3I
e0mWRbUpcIuXuCyrHWNIyqoc2qH1jqzngJDSvvS3jiynH9u2Cnmd7Ov6K3CWpWE1Ili6zGvZ68h4
lEqkjTOxEw1hbHw+XeEqZQVXB2d6Cqot25Noa+87X4tHu5PtS9S4/QvONcjgV64Yn9G2tTHTq/d9
T8VgDGr+c9G2v4Wlq/5iBhuy0jgRlUlVoMT01RTdJEXKbmTrH40JGZ0k6JyoH2XtgRFumw6+WHYf
/8RlSAeHmjrcHN1ah2g0Oe00XLcWo9JrybpUmc/BKtqrWVqbfQVp3PN+LiKprRSbS7P/IqK1UxZo
4UJXd/auyOpkEzfoRlhkvGFQzr3oCo1VilWUC9sia2K/oYmfdOz/auPdNF7PbDZdoGS5hObI6sRw
EY8txNQ3N67mMIOH1a3Uu17wxmShC69o4Ldju+16RJoQOO18BXFazkW8iLeqcOcXBsZUKhI6w9Ns
K8c+X3FvWFJYlqbLm2lz17SbVFTi5zIlKgMOMzqDQFS+x53y/Ix9x2ZP506K134rjU5DWRqGFhrT
u0YVjoARJqtvOiiUZsVsEN+nofZF5sYjNflGskvguEHcO+ABLXUKm8dByGwXUHXE0CVwrjZPvhXl
kFSZ40D2gI5fbmUOTw3DWuDe9ZktW+eWMmb6Dolo6g6VGtvhsIjSDOngxsuMxUJRiCxOph45pWAf
37njQb5Ar3jYxqSr03qbwmurm2OodhGDR9mzxZ/RibQZlgjhnC1JVT9Y4xCxlDRipZxGvp6v2ibG
7IW/hudSt+KqCXDOsDqpfm5eKJOj226OykfbjkWWmCJ6qKc+bFKrc5c14/i3TUp6sL102IPot7N4
xcvuluVl36z1emCrRii8coUn8skmz1xXWrssl7TKv6zAq3tMisx4NdeYH6RtVBYPzm7XLwkpVGSb
qcuvfVs0j3ag99fKarCYC+rK2bLGLcpffm0qK63dRdSYZ8m+TK1tWk+2EREiK8qZ1mfP1d59ooQ3
o/tTts8rcvJPSenPJtv1Ft7OEmZpXtWx+dX71uam89KDXw54t1ZscM14fulRNWXmRLK286pftjlN
+n2x+OdzcmjieSiyZe+bu3a3S4cnqyPd5PPYBzr3trHefrG2x1Uekzqo8p75nzi3Ju1fo/Jl3e1F
leRSW51K+342Wwrt0N+zaWH9N+8Z7slUhl2cSTGaLxbiLWO+Tca980tP8Legw+pc7bHM1t0EVSaT
uXup20G8t8piKz3BKplfF8fpiVPYdfd601WUBRjbfatKgXapXkv8BLAz4IIsAxaKGQJU+mcbuL1J
C4KZzEcNfHg2VWH4HNqNeR/DWDx73dyuhylc8IVLxrC6D5QVlkf45CwCbZ2ey7wSQ4B1Coill1Pw
4yGiUdAYU1Na7tEfW4mDeM8QKV3KcbjBigNbi7mQ5qlwXcCvzqduTvuo8X7Vdl1Wh23Q23jWtlsM
tMP05bu3d02Vx0BlmKcjDPA0WlUxZ7IOg2/ge8N0aKwS5wv2Mvd3iznvaY1tjXdkRq3tW7+absDI
05Lng09TnRndOk3KLM9q85Azk6SOpbp7dtyaFwgWcMCWcVrWFP3k6bUsC73hBdPbP0Lg2W8CroVO
q9FtX0WwhfpQ+oLwgO29V6RRzWdlTY3TAA/UBQFC5LV6x4woHPIBWxJ5WBbsBRG7scUdWsDdA5rg
05pNa1VNGfW598wmNxikXc+xeiomO0Rq0F+6H/uJYMJ1dLAw2UtUUM7cSHm572BIkrfandBFi6r1
WbGlQ2karFZwKKnEEX3BW2POo2HYnXQfXL2S/5x1PobdvkeHGAsjODiRBX0Bnmrhpr6vtgvkwYLi
OPbqtPEX+TUvxV1B/LOgbV0r65TrSExuLfcZeAALA0hMEPTmvvfesMFNbtg+Yt0w2thxSbXs5y5X
vtgevHVR10FbjVGKsAnkJlJke7e5w/bk9+3+1AvNWS3XOnyPC+q4Q4+ChSZ2tMihNO1skylPFiv+
qgsvTdSMWqW92R1vppG+uPb04l/U5Vz9wEN7WlPTVFhAIRejn0bfq9qzZmHJZQHm7y9rVe2a8Y+P
RIYanR+6LTETXRR/wmy5Y02Yn+3y0A2ReVcLwvRpz2IPaLIcCYP22Cc3LDkUZb7NW3R03G7UmVcE
YZepoJp+B10hgnRXmAqeNdsUSW5ZmbyzxD1saUc0sdK9J1tmEhpgheJCrUXKDFq+z3W47NQWFf4x
QS/8LXWgFUyZUw6lSB3TJXdVWY2Xi70Fa4ZNrRxS39PNCy6d1e9euWbJi0jGG6i2FT6Unt1z/wPL
75g4iYACYywWCEok1lbzO6f+3I13e+zOI7ZFsfOlsFiHOxuJ/RdzuBZJvsqC4liRiVywwm2OoVPX
Ucx00JB1w7AYvrl+jwCRXMv2cdj2RBy6HgJsutRWfKfQG1jyaC04kz3G0uN5y7bab6+zuvvW6vC4
CKQvTVbGsWoz0yQIqW3tKWoxxdge1rKvw/PGbeobjEwmVkzq4cTnCIblvnW7cDsieLg7Z0QJ+z6e
rWGlKHC2Qz9LldzSwjcPyQYP9zD4OpI5KilQ3TbrRJcg3yBFxcBEqINd22JKVWmTdkovRGVaYJlT
X1tWqXp013qhMsOyBfkROQ2uKNH+d7dPzT0yiHT/DqLjKpsBztzzferWt8SZy+MYdkHCfZnWxz7c
+qtq86ZH25akQXvsmD90esTXtXeJsJmGO2VS6dskf6ttbXEeR/AOwsGE30XccMPsffAui0bGE08A
9JkWA0E5wxAaNzDfqpY+Ld0+vKGXq9c0QsBe5X7jzfZhb3vXzdZKExcHbw2CHJIONCKBOoPLFUni
O0hADTofRYU0oGW2ouP4Vdb1iCiFTJUeF/5lvSR3vWBuR56JsKsqTGLMcZlAz5mfCQqvZiiL38oN
5prNfIpY6JSyCVIxupyVYpvbt5nvVqTCrZyvUqryyQrm5CUabZJ8KYjpc4PK59FUVTGcDfskZ8TC
XGcAoVZWnw3jGloc+M5ihBJ2/cuS2LgDC4YD5/42VBiprrX3KDE88ug/HPybsUyE05jMg9Od2dry
IXQHcDRyphrY0Nioid/58R7R4PpMiuEiBZVK6bDEkKrNrfC6YFQzpT28q1O1G+E3aYVB+3N2u304
7/zK+iKlXTfpCFH9yTkRRLJg2Bc6hBD6eAo7wj3HjQGluW2o2zolJ81fk1ppO2uneHkdbae8riKu
XdYOntDn9MlOk7FSQSaxaHZaykPp40GEAFbaxpVzieeXY44S2t2YitjMj8ikBHxrO8DnydtC+7VV
TXNpQhwHsy5SPW6RWq3fNKS9Ka2cMTRpwqr4mlXoKU8p/PtCZUVr2urgzBTiWdLR2eQcVQe5Z9i3
v6rWX1C7TeqoSckyln3jWBBBrmgO0PR2sVSjlVpc+UXXdT+mfSfcX6ydB5QgSScPZaSVPJim45D5
9bSZFMEPfV9CaexTlAeKn97sTM+7ksOarxQfHe/p1AkMcpVDvmztBHAe42+WFgwtYd9oXX8dmz25
Y3JD/t/DbTBnI2WSf9IxL39N2it+MPZ0ZBbE2l6ysPAVH+vW223PHOlt8AMq7MoOv0iL5dy0QzXp
tlQ2A9itC9YfwiQ+r8lhDzrzezWafKPy+okR6vANL3g8egz1yIu1O6jWeQn66cU6x6cgLbcpbale
fkix8HjuuC2gy+wB3BbMY8yZa4n6Fy3a+i6UwNlijARH1JdqaOkmFm3SpvIJwsUa8IWNcRBtEfQY
cgRiKrzpBkZDgJdsp8QvL+6HX36ZkDWEb3By09WIXtHUWP6LP9ObZf4amRcaWgIZAQueZEx4vm5L
6dfZ5tRLhZY+zBLej0RSZNrF9hqsocbIddnpLQN3915ZFKXyseplWvGXS8TA/tLSv9RFbd6CWULl
aCStUwo5xbqjYg9oX2ctiuOipYMm8jyt/Mwi0PXBU3h/5xK4YSIrrtt3WbcF8Ho02BZqynFzWSRd
T7QZ2u2nZcr6qndxHHvoHKhAvSXDZwwYy/ZMmS1hGaFXiXcV27pWeYwF2zEuhqlF1b5UEFicbVFH
uSDPkK7D5pXU2UXfQTtxZzpn6btca7li91eEJ8AY6Wmd1UM0/MZ+PG5Ts+01PSDYn8CXuLBedwtP
3TSEGtTmxOjidtVe/R6Gk9/kwWiJL4tr1x3eoUF/1cskonDXoa0z9grca4+FDYC2cYI9Z6gev8Zb
OA/ZaMxqZ1BCkOczVju/nfSmFuLp3mM9gnTNedck2kkprYanMt7iNYsaFChSaxisH4Kk8bNYw/61
9co9SY1IZmI/xn50xCFVl+OvDv5Os7KSDLuB8RsOpEGdDtY6RGfk/e1rY/f1D2gy+gH9JfmKka+D
/9fi6ClL0JAr0zHcFBlDdnOfVbuMCP8SOjA63tqnOW4rHxnHYbr1aj43rbtieVtVKwVd924KdATw
REwR5t+CzNaruRf8uy+ithLrGKIE+r2QMvmCh1uT5IUF8YqboAcysw+An/7/itBJwWy9wGVvr7DA
nj3oYPGO5rUxXf3UUvseExknr2YPkW6ukq4JiHcTrnhKFclvNH80hmMVrPpDMqBif4YuQtxkXlwR
UHFlld+oGp1r08X7nPoqcMZcRc44nvW2jn+sRbO9+sadLgOngYyjy3B7I1xzVuIp4AMTOXdESRiD
ZeoAAbzhYR/fzdGu8fENm/on9VHipxjvdZcsZUwn19kZxgF4gC4uKrWDI43a3s2xSUwDZG83ZI9w
H6KEhtaTx4bOfD0f1FJZLMUHlnOoRjHewFvZ8IKcYoyBubBAUJ1V8us3eh5EOrqdIJ15m4mvLGXs
p7ka5jtWvimGdl9W1xTNtGtbJUr8UYJxkem2uAB29W551IUw/URaqX4ZDzJwywdbTuK8c93+i9nH
0cqdpOuStHDitc9NUUUq3ePFdAhExHGdVdXG7ZhZqQAuW9ztEPuV+LkvTvJqW9PQZJVOHAayek/m
dIk3t0xVDEiezbPyHj176V8brF0brmNsDODzqOwL+sbZULGaoc7KabCdrAJYxvMRic2vJRYWnItF
V7e2lQgcqAVSQWcsJjLtYA8y+NJUodPlwp136IsAXFvqOyGCJ0209m8hBjVjWiIUS65P4vG5bdbi
i1m9osgZMri/R57mtk1c9gkjR8QPaz2tfEfZnLaR3ei1gJIl07ahKUvHAlA79Yek/IHN6FxmsteK
DFNWsT4ouvbfrmfiKp9U35NWpgWX40B5rIX2EItvC0+SUzUAzXjmnDbsLqddL3eYi8oKPuCU3Ktw
mAnQmIMCbESDN+UWaGt32IMeZ/uVibeT2nJ3L/u5D32+cBG+oOXCNlssFvlg+U51g9b0GoLorf23
aJtHP7PDen00jVvyvsotvLSG3oouoR/HDoOluVwzknwUXhbesL4rtNnaXMGfe1f+BixT4qCZMFZK
CJzDJOY3FZh5SLepda+pzLb5iB6zS6FYg/GgU6rWu4Ey9rVLQuRxI4bxT8nezBUN+Um9lOo/flVd
Ih4XqSlailWxBcciCb1Yu/fLfZL0OFP0aFk6B19iwcpKVWR/ZSBoDRfdyW8rTQo3vBVB4V1GXFw3
jZdyfl3LQP6kgnPfPbkxC6hqf7EyozyEfFQRtRUV2+4Mx6Kr7St2SNUAsbro1zw2pfpRe0gQMkJL
yhERB6yUD9NeDs8LWJtL8V626kAtALQYzXs9IvZY6Xdha3tkBlTIXwuGwU4qwGxx9MbShpu3r/Ie
T7rqHYYOPbar5+Vxd8b1bvMr853z4X0JQ9//WYFyYgk6wg5NHZT4XyV6ETdl2Zcu4oFL+WOjYoyz
odmYAyYRzVi6t27/rTRL931vHftlwQ/164BW0IslxyE8GviDd+zrRz/quizUQY1b2+QaBK7Ld8tZ
j/DSYBVSZLq/d1jg30dEjF5Et8o1Q+qIxpVK1X2TGzh/jpIUDob2zCWZY69FOM922sfQx1P30LoF
pBKf/G+nSTWNSbpJkQxZYK/rekwGEBbKln56ZnDtPjRR0n9FOrO/cnQdteeTtO0qb9EG8TNDMlnT
qcKnkvmus4/pZvzysbD0yQYkcptvJqkswuZqbO/Q90Pwu7OiDTiVkc/LXs8Yh1SiVj7QdmurAzMf
c6lCs6KMaUfTs1O6lSaolV50xJRniVPOJZRnng6pgW22rwlEhLe66Asmr8pZ3qESElVsnImcjOFS
b53xvk7TPo7546ailX5hosu58BR2s+nWM0dMVYK5c0rpsbxqtga6lLUXzCdhi4ZDKpgKdKlWtT/n
80SESSUE7JqRyczB8kpX/B4BGMCzHRsy5jB6qGbDLXQyf5o92udqYB2XNRFCo7YELfGuUFVJA4DC
Le9BT/Eax1ntfm51wfswMuzJuX2SZGWjh0vjIu/GV2yWJpdR6d0ILZMwE1VrPxfrEL4jFdt97cqF
GmNqOZ8zTN8BnDDofcLTaCW5J0T3zZ0MbmlrHdVPy+wt3pMZjP9FQyVT3VmsGHp/Y2Y9/p61axHj
x3j2eppmcl1wDOtG3bRuMtPPaDlcOzV8jnME+BZ52Ja+eJ2JHRdUhqs8axQcikyEU//m10WzH/pC
xEOKYQfQc2vJhNa5X+YnlKYrUFZidnVcomm+SaaJXfA6Kpf3SptTx0aD+BBsrbrfaifqUDoYPEPx
38gboxz3vl1Wuz5oFrTqNO7H7b2RoXfVV9H2GCin/SY5pUG+R9rcb6s3/OgbHT53DNpB0OqQdrM7
WdgJ6Nb9dTR2MY7EjTC0ldqleF6k0wAJLUtAL0EgrfWtAl0dnHPRo43dAsIEW4ArfWBvPdbx2otc
GQIWDNj2MhXoIqqcZqNytyEGt4dqcAp6LserL5UWoM92V0ZdasWrY+cD8fWpwVPvPgY5pdyAivPb
IAL0bW5H62Xguzj4wyfFxlxodFhPpFt/iybPZ7xCi+xlMA6aywlMS+XVqE44IFEGW2ZX9GxhuUYf
moKvw1RjDS9Zjej8M7tiQehNOGwr4zg9zBOqc8VCJZNQUKLIRUdPcICGhjxviuRycRusvr1myyaT
r53Rqz53sXvfjjiyNHS2rbTVuWto4g6BK9flILyu/NZZ8GSBLwYgHbGbKszsPgmavNqqfbqyw7Ip
Dqu3R0nedWE8pfWoIpP3J+taypKp+8LGxtYwmN80VOzI8CLaZDBfASL6MWsSYcdvlS0CpoJxNdiX
4+yg6xuRPatsVB7l2RTjW8llokw/Mhjaz91xpnHQodIy11LqDfyU1Y2D53Q2DWBd2qhxJRsEj7Ne
OKtz70XJAnWTHPfN3YoY8L87uYcflO9J+xBiSPO8RPOU5MaLJjaYQ0ZZKOkbs9/x82mU50Mmbvm0
xOqKpC1flsF42McI/aslg1XnC8zc9gwzcdmchVond3IZZZtzWYAQGjfSFW1G2OKW67AtmtZzQIFY
A7Crs1N6dC5KU/fRTUOj8KsQ/v4u9OJ97ycMSPJGOF2Xrqiz9BkGNQQjKMbOe9D5VDYpcNgUHp1I
udP9FtTz/gLosY43OxB4ePApY6q0EKb8zRZfuR0dRnfySu4xsAzeJpF87tEgdc8cjRRGDijo6wuo
xU15tkRD1d/6myrWtDR71F0Y4PSBTtTfoox7QREMGl1vl9LzR+eFsEVHkyi2EOq0NsMcpqImB9+u
tqiDeytB+MRLrWRbpwPLo+KRqqoIL1xg/PIu1AuNXRsHm5tLu9/f+hoo8Md8Wt48Thy0iStvM7ir
ats5eIS85lBjNONly1SJgqjbYZ+t43KmN+X8MEp1DCJudeEvE/9lX/iXqFGF0xWWIG7/ZNwqXn81
wppxwmRyNeIVHc68LzS011u0V2dCW283Q0bP6nk30boiWU63K9uM9YgGIN2YCuXQgowf/urDQCVH
oHxZZiIemY9UQZksB2YTyXO1JRZcQL27v7zNH9cvyJ+P86E3bZswVe2m8cb4C7oFVeJr+ygqxKlv
EJi1nKPV1Az1rIHQe0ac0++rZw32GZZIyDZMzELPxO6YN1U24CBtsa2G4iVx3hf+8OUaCE63Zx4g
5vSEzlgn0nacrfW6CprFyzAbY9DFyHHzMh5aLy/I88zXTkeofSORxCZj0tQ591ahYy+rYpVY9z4F
m0KcYZ+X26QwMSNJ7rt5cPp5MDdg05H/4iAAEh3GdfSZrPSbay6bLTbTDWfemTK6SoUu58QFyP2e
rfh0WcbA/uUw1x7yuAaKv/CMEOoCGBc1Afj2JI2J/YOROEVyOB+CSVV5ENaYybgz9KGUTZXNfRTA
QWOK7wua3a0NdJ7prV+7my4aif2CvnXMzdBBSF/RqpGpUDuRGmKEfWU7SwPIVHvDlrnKTyZaIQRR
LxOAtrddbcyU4aKP04FGtfDOSl2g/FcSH5brLtGcG0ba+5pPlDr91+a0LEFuqpHBWecV0ec+bP2W
rzkX+GXDAQjXrOin5dVt9wXLLBah95QDNoWYe0bNdDbiZkPXkNiiPLjd0k3Z4Ddzm48uo6BDgaKc
m1fT/xF2ZsuRKlu2/aHCDHDA4TWAiFCob1Ip6QXLTuB0Tt/4198R9VRWduyWHbPzknvnDoXAfa25
xpzL6/efVdi4NsNJbw7e/LFz5CVilkpTSI5hLKyWD56X7fRj6LcMR4sGZo8XTKVbPE7dZhJVL0tA
jb5P03YZs0HtyWY8Vaa4aFx+rMDgnymsgSTyaG39F/5yLkTND/c+TuvoJGaaI+IsmOP/pXMaHwg9
yvfzwMv+HqiK/r6o19C+s4uNPcddtFJJ+Cv1JRM6i7KuCPKmu5T5xD1YFZYJEogPw7R7kqLbY2TT
Xlwia/JePdpZaLtyItDugDhZtbQJ2Wze9W6zcJ3k+DBjnNAy6dXRnGVHe7G97geDh5FfzFI2+S3C
BVP/UU0TmjLzrCCttwLwEM5sZHSd187yjuxe5EezsS2LYZ0f9EkXYhRmL004bQ/tLK17H5wivEE+
CLqD1dnKufXROn5wG2VLMqErcL6jIb26fAsocV7l7XeTBDSM611E6K5u0yHIOU1WHCeZB+wlVzSP
F/ZyEgHcVsp5QYilo3B3lsuiFxFAf+A3UX4VnqNNolejsrgJTDeyZE57KilbcJ3PrmkodAXTqPIg
Rd3W50Gr0X6MKiyTx4aVN/a9TbwdB/aCQsAIk7EIRQ5OADYkka1aklLJsKtOw63FRDYPI06eoqzR
dB1AX+tBsPN0fGb5d2X/ZPNlUTD7XRjOpl2Z0eZ6gNb+axcoe0nmhTzhv+WUhT2zAY7NmnIcuQYt
1uY57216rpM3oFA+GNcpVWLBuYp08tdoOre5N87HCByweJ2HbaB6wATXHjeL4PCOJaz6vK7j9NYQ
P33LQsFwSFw1GYaIYB2JKBy/vZOi1N0Nl1oDWLgpFBE1jcwFByWW7UiIR/OBvJUFserDrDiEmT9/
kycD7uNV9tLfdvlABtOC8+Nv1znj48qs6wMrO9unkUlsdP9p2sURZdhybxQKUPEW5hELH9bRk33i
dqWVER1EBbyRecyMC5hAHNuWpMA3omog1KUW7b9yHjdzaTkD19RaVQj0wYl302YdU5qVt819AbfQ
2o6bCrX7n65ZKXnCYFo18cDYWiZuK4Pl2HtM5XGRbdbc64M0ZaWCg20vS3efkyK+kE6MInMH4qqW
Y1Dq/osnlYqOrECFkBjZLWkZJHlmHIh5nseja/Dj14sZftI8NMvj4EfFHSbiIT8Vw76Io0YTRhRY
Ksa0Y2ScFqqmFVnSuVUVHIZ1CoF5ggENcOxtTx58TGjNYbPEeq8Y0UcntXKWxM7IhDD2m83dz24/
0LzN1qjmY1v13WmCrcpjUQtT3LnMyBpWQ2EQPofkYQHd7m21J2xKnbtYu7tjkin39RwzUuCC5lZX
gjG2N1vx7sv8fut6QW56u4YIeVFVPEwQm4BDxezzgynHpIFyJnHao3b4LNshf1gwKYO+KD63Q/5v
czS0Te9F0QcPO5+7jaMsnGm2c6V/rlvt/iLzoHrx/Lr7yjOnAbRYjGeerqBNeO+IBY0VVGkkswaN
u4vRorQ5rATGfonKldVxqCswLRu+8GQ2q/3nKN7oY71lU3tsB+X7J97CKUzdQi71kYQIYKhJ73t3
cq2g2k4B5MAYjyqX/hHjz5i9LTNNcTJ43vUiaCf7J3+ZM9xNFKbOr7WbIv+kteW4iS5WUxy7MBij
4146pnuZs0X98EqPd1axr569JtGIUrF54ouxDrxWSTzY67QjDKZbvvpfQ45V5NDTyDETpjjhXedE
eh/R1oo4K4b+e/U8u0kUM6AHlL8KfCaY5BMRAAMQQ+gv5ZEp+sYr5BZsTrCFVnBFerZbQgHzAAW8
sdsfhd6iH+UedN/QwV597+22AlJucDi4i66bWOoCLc23VYd3reeTvU5+r4sziJbm7l9QqN9meR1O
UFHPz8Ha778dmJuGUMmQ3jS0dP+XQVyp7kQ7cdFnQTB6t2KfxvFjhYuUx6xyR+80FBwsl73VvTph
zFNb0o9igY1x1waraUYDUyIdbTezktMrEbw8m5YVdF8NnrXfK4T1sxWR2By3OWEyvIosPTqXG7EA
SSDXbv0h8naBoxKz2s/Fbi36ZC399rJsK5MfRH3CXyYm8VHihjszotyqJ2S5QrEToOtoY4E21n08
AyzNa8K/aj9hJUIV01gWyQ+lr2VpIm3fP72EG0OoXTJ0HnIevT+swR7yg3A346JWLlt/A9zHl0AB
0R3Gtt2boygmh5XcbOz+pI8ADUAs25v3WU8rN/e8cBnNoWZ6fcADoslB7tyxSGfE1vK+0qV6L9aq
rpJeR46dVnIe9IfsszbglyaYloiK+djZdiZvJUGosX9P2QqgA3TvG9Cpdfk9TpYhNaFX83SGCGI1
Ast5MlZErQtngXQr/9GWxbD+rfsZLWUWjOHi1R5xCtetVWhIriFQx8IryZCNyNYjhU903fvqkmh9
HNZhWM8cRpVI+f+a+QitWst97PA8j30zrfhOlflwijJrTyT5knEGnudNacaDirwLUf+jrHNb3vdB
lsMk5JOTp1sxoZXbkRVcdmvuEIUK2dfMaoZrZUr4pR/70gcMyTGYI6LmdgZ5xKClvWnriPS2pQ3z
LYFxKwpwkg65aunyyRyyLkQFdLS03ve2oWPi6/q0rXBE2uqwizHBZ8ybbEvBOAim0gZ24Gi2DlvO
bzkxcy2Hs2KI/otNQshkEo14oX7LKyoMVfRvy6Ki5WYrNudfMBZBlg7o3M+lGYGJuCMLHBSdDK5j
yGZOsV8HWEe2wkuYG/pvPdhMkGJdyP6ROQiDcw3LeTKB25SnKGtseeHcXKqEMlu43A1dT+frGxtW
iL69OOaUi+HJ5xf/bfN99dS1k1SnGiC5/jUOJOIfqDWYPR+UbN0z8n9+wQFvzTd42qLqyruYLg6a
jT7eRWrsX3SAan5w2xAxbyxDZ7vl3CzX2I+6MA2vHrHDxOTAOfsEtDYnGqICV1/OztELhHK1AV/6
IwZ0iaJ25Alvq3sHkLThDUTNSDHmZxdWtQ33xcSv/2iC2X5lSLa8sMok+hogLdDzSQTSNjq0zcMD
kGh/qyGyqsPEALNIGPg44lhFG0MM1PYa8mtD8J57NbzI1bPXJOPLxro5t114mADkVgDlcXVT1PWK
4Z6jXDhxtHh1W7G7ZMAW50w5A3v0qw/JEh7rTgkqgCTqGffGHmtw19gtXMs8w2agsE19FgXJWtv+
fQ3rVbzsmk9cHibTjHMMfaLu62lz2kdh1oFh3rgX0UlYSl0T80fnxcZvSQifpdztuY90jknY7qZ/
m2Zdz+2G1qsfqUXY4MeEOKMQbm1tnxixUod4wdS7TyhQekotOuaO0zUsf+pxrbyDyFx/eDPovNRR
VY4GnFFCWD+dvreWu712mMIZTCT+AzJXvRzZGuB7PyxdG5GAb21IxIES4bU7WfFoACcVyUhFqw7V
Wk4WX1MXPZU0ZsjUDEDtM+By9CmgvMvjNHs8N1FUbyCLQux/5iXauQOrnhFzDjFz3ZQ+5d9WN0TL
S852IE7AjDWkT14R7tCiiELrkxHz8gU4Ww2gqxB6h35hr9DJm4Ce0nyKWK0nzD6Osd7k8mTm0l2o
YDP9OVEB5fhMtPW5dxZVYu27uJci0SzrW4jfY/oTIP6CjHvrhAlGm257NSwIsZ8mhCHQCHf2vP6s
1oULKod8e3bl7nnoHX70s3Vq+1cfDfKd1WzTfO3v+s8mZ435q5uVQOKuYanY3Wp3ef20GXFVpkIV
9icXvBaWV8AMx53LUPfZKBSku2Ho++jO6SRzBG9aqlcfP2nwYE2zW54ofTI3dSsGJmwkihYLPcvK
BjraIFfbXemjO6Ure+D/RFy1SzwWXcdRPWq7PTbc23jhHWdE4yfn7bGEPWwOgepmMIuWDvhpRyjS
CZlebXag0mimo9eZejmAvw6kYPqM9yEkr6kFNFwLVUtnXH73UwiiN3kmm2LJKjMkL+3OIs753omo
mvtVU10EYRfbHLjX2hV/YKJ3ZtwI+LCSl4xXMIp3hVYZV30TauqXrm9j4o75hGHU2cO32UrhFlcO
et7TIXJ9N3aQvz9VtdbrAa+ncNNZFtK7HwfN79EbCWm+J78CVLqL3G58q9FizXFnF8n1aYwQ33Bg
lHVsgrGtjx5Iyg5yeW1rSOyAfeK+5hJcAv/D6RCUYkpcpzlV1tgNt+tSqTdn6JoxXsZyt5J5g8Zl
8ipgkz106kfDpg3rGPqiEWnb5Xl3WZ2+LG69sFuoVMUCi8lXQ/3ZqnV/aAlHIMqrrzUpqqyjK+k2
x3ak5o72C76Psv7A2cyKNVPML70owIS2vut+rb6sv5k5hm9soUH6nt0MzN645p6thtVjjcP5aW31
NKQbEwlIznl3X2oKYWbbjLVfvIVLiNklUUfURisb/7LaBXO253E5ru0oojvkSEcmc1iMX7wNPVcp
rT8jcGdle4OmCv1swmXBFLEPYG87iyG/8y1y87RUY7XFAHBjd46KXnw3FhhrGtTAE3SQoauIyO3L
LmDuXG2/Z1D/n9vIHXGdXQfj0TN9ZT86O+d8zLjCHW6EmjNzqkDTP6GhMDu4exO+OXIKhscOGG9C
qpLOir4SZvpxDncO6TFciKtbttD/VaiqlCckDqZiOh/VRcg9wrxAUn195lKfQExlbqfSl0OTwq4C
yY14LW9NZ5hElGRFFpeGdbnPeho1GyE14JLbZ/xQu1ozChlte5dQNpyyYtDj59JYrn2URcn5TsPO
IcuHpDuqVB30vxwulB9bEYxDXBCDI1LbL0R4bhQFforryeuoclqfDKgs1xJ/SwdBVgZr82erw/nn
vlv9fLGkvd5UU754L53jd7t3yJrZ/ZtLyRTNa10k/5XMsM/FuKh9PRnN1tFwfCXg5GWLB7fro6OZ
fdovlNqtaI6OtTkKw8I6PxWW1f4l34N2eLft4UurutRHwCzoZBZhIuTrttM+VXpr/2RR2li84bpZ
f9Cn4KDbwj1KdsPtCSMhbLw0A7fxTsH+u/aGlfX2euY4YzEgMJYtQmDnhg7zoYSw/EGEAMM1ry/6
PxIybTqEVdTdSqG1l4bZjJbDgkZ1i/LBU0S+7TbGYeH6X5uTl++7CpU8jIxHisOwA3XgtFZmOXh1
oaCurqPCu5BNM1vqZCPVpZwcuHAs1oAbq7BcBJRxJ+trIjfjzTNNzpQCKuKPnPE238hlNbimbRMM
R+mChceZvYn+JCjWsusUP1Lxwtgi7a2CGoy8ev1H8ToWl6nFpIaU6Lp1Yq2CY3a2tIdaxQ9U3jUN
Awy4/R6SBH4QXL51aQvSegytMe2ifHsgJ2kNfhu+SVJVqBvt2056DZ6ocnaXY6GiWaTBKvbqXMvN
6/m+fE6K2tQT/p6lYMkezQ1p9YeNcpLHwWbygSTf6S+StrB48asQKmESesWLOjv6bXdwVgc48Vo9
GHus+9QKQkgu6hLP48tl2Stcer9k83HAGjOeQwuJncGtgZEdJodnboR0HRP2h+gIvmYH6FUU4dj0
cpaGpeR3u4AsxfRQ0cPdSzmNeSKLKZd3gdid32IjqZg56rJ6J3SlbT+NKlq7X9UoRzdWC0T85cqG
dQlLMJBAUPjCJQmsHE8XBUYYnkdnLct70zv6Dy3y/sKpVqkTvhl1b43B3J3WLVf+LUh49EYYlfrT
TvNOpBlMswcE3A4s+9KtKmjrCew+NHLhgoahahW9CZBpjLUA8xHD2hyNSdMsHslHY3lfrwQXNNid
b05ruUzeEzYqRx0zdyrvCF02UzpS8FYPI33GsZ0FKVuR1Q+cmcoavlnZ45UXMMPlI/Iy9eDRb9Ay
59X0Lw9s+dEJTFYPYbQO+mwGe3qW9SaqTxsdwvww+bI2LBrd84lnFM9I0sp+iSgUKjnelLnkhuEI
dH5sDhm3ce3VnHWU/By+3IMzKaL0TiPZs07rnax19qwEZ0L7gnytvrW1WH86oD26u5nZIaDg3Pyy
mpY6kU2AvTkzIQpU6hd1RRFVbkXqqvI64AqvizMbatq7AV2hTXobKBcnu6i8tHKk5aPZG/m73QpG
dc6CL4gapq9MsrV4StNaKujBhdA1cQ4seJFTORv3U87wU4kDhl2f7EBmv4OVjzrM2Uy+EdO3Rzwi
gFXzBgRzzb6B3Jmadp9ufJTvYxXsWw/fwLPUYH9rh59FuVjuGWiRvMFB+Ot26pE+ew6FJvyFY1g8
A1O4vznbl+BKTlX5Ea2xL16dwp47SH5u6um5qFbN/AamNEvLZttXLiFfVWfHzV2q7WCnxQRqb3Vi
IY5/6L7w5pPYabiYYOW6uS9cVqbg5Mv0/GQXfjcmS78vd9VStdCloJA0UIK53z02C20DwSrDqL8R
HXskvUnN29lyULcPCKzO2e3qwIbq2vDyYNEYy4T4n/bWL9vee2TDRDEcA+sqxoxLpJ74QO0XVDHf
z8EwFaNq250CYaF18+5VZBsjj9ksE1AvAfZ4YFa9j5dS6qhJIxsercJdB3lPNHl44oyzl7NVgKuC
QkQjpyNa+Rs4+k4V7fdufp8Pczs9rJExM65HaWAVbMwPDC4mHC7jjLH+1AxZJl/4UC3yLUadLF4z
W/xgBbSv4s5RNL2yKKIM9K7lMI4KAMHdnjGZL8ACd5lr+fLYYnG4rSoe+mdpk5N0plsHx6fTApkL
esfKPupqm5FDW71++2AH5obma9hOFkNdcQGOp9wM2kocAdtrHqRSVfezdlZYVIj4N7xSsF48p7p+
oQSN/gA4VriEZT73MQYul76VONDiLeiL/BdUkdyPHcGdPv0Em/jwZ3nSPfbNfzef5OIJ3jsk9z/u
2g3rAXq2vEcpGtSFvQ7NEm9NNX5vLFQuT0hCUP49EYE8QH3Lb1tRvpuj7c+duWhe5TypPaWeVN6U
+DEkr/I7t3ML+Q8HkN8XsNHhBYxciWSuMJ+CRjK0TbJ96m+bWpRZjI4X/uyJmKpOOAWpZ+amKrsb
OThVcXFcpdmlSYmBHYcBE1mZOargIc+YcsdD7Y3dz1VXvGWuWxJhSTgaSw/81p6mFLE7rB/BcsnW
D7YdL8rudvkji+I0t+5SbykzAC9Lm3JF4e4sEf5oc2gmftJ9ze55yQAqri3dq517znyuTUjlksmQ
IyLwsSUFWHvDZHRGrv5IdDq4mzeJyUAiBnD4Oqu8X6vAfCj2QfPPoclHcSMyZm5RxV5uDEfL/tTw
3+FbwZegeIE7+hF06JZ97sACfirYs7GmjcAFmLaOZ9mcsKh7h3mAq4qD3PWqE/BNFR5dFTbeabMY
lZLA1Q4nO1TAtP24C3X2gkx5x0UV4kqL+eXjNK2Zhmirgu7RNINqn3l/dXCTOda63WCbQDSuvfmx
kPhmY90VC3goXyIVOWFVrt058z15QFt4ibqhfch37Os30U7GCLBLZegk1B7CumTlt8HXOtww3KSJ
QpiKlP3UWH7YHQhUqzyettLUSTMVvk4Ghqi/x4bBfSpHSw9xL1GSKLFM/jziAth+9ZNgzYWiYqvS
DBQkOHULw65ztwySypFlCN/scEeBKiXbmBI7cMv2tMzesj5Njq4CrHz1/i5XUvv5TwRNiD1BDLeh
3nL7ZE9QrofZ5EwnCHjgYG9z3ImoUT03T1MBvhy2KnD4oFnJ2AOJrgZOtq3gb1TIfIhzdytUHA57
76QNAdY3W8TxGcNWEmrqUy0P3F/bMP4Yl9wEjKnYpaQpmjwMWfm8/xirLHzOmfA4lA4A/IntTVkZ
O2BI0M26wOTcEtaMh6P2x/XgZ7L/xSSEoX3URoJO1isAC/lyFMoFdWF1Bh13qtQV0iDYBLOnGIJh
IU4Jy8nl0RkYAdzsgDNIVy2wKSVYZY9IgsB0SS9XZcVlNXK3ZeQ8ejebAR8/+1sT/mXygPUKUajM
U7H1m0iNbvYfvMVME7Fe7ofQ2bVzEi3Js8QnLN5bD22o73S07tMl7/3lnRf8uo9vmfO0ibT+Kyax
fwPnKvxivbVDgIUUz8EM38mlEeJ26spGpXakJ+bdWOiik7WNZoi3PMtMOghBF8Xj/qQhor4ZoUcJ
xN/VeYQ+PXyYfTElHy6gFl5pNzCSLHn/yIyqpzzcIFxuqNzXkLp8GMKDzgynnogIdIgx2rQ6ZWWH
D+1ybXiSrSAEnl3r4/5zifzpVfTO+Lk1cj+z+1qrS49afSvJRbtaVlesNjVrU6B2JWn/KFtZeddD
vH24xRC2lJba6YCuObh55GW/pSRYZeiaLFeR53C1wirZRYERKFrJ2ShCUIdTB9ZHgIPVh/AIYd4+
sRas/yTctnhRe2V9OnPLeKeR3CZ3JGHVIkWuXPwYzD28k+WGbYT9Oh7Yk80KP1FJ8Igmc9fzdQbK
ZA/EHnUdnu5+9Lbut82y4zWdN4/YAeITcIjLUOfBaWNbR4QuCGD0Mu1BRIPH3XOgWYreR8g7hUsm
mwNChTL/zYddLk9oCdubbEz/M/AqlkwJRxe/Jk69La1RoX/3FnzXAaQ4305k0Nu/eCTICaVNsemL
5Lo9EifhXfPxjO+xNWSoqnSM5nF8YqvLAEItjPMn6E1LN8I0rk20JDs7yY3sXhVZPyLtuzl/UgRG
/eUyl0FizfXu0k47Ao62revfLfO6DeC8l/Q1ZvVg6kTFYGtYNPCQERTzpsOhCgkbVv5ZujRncQFl
j4Tkkrh8CAbSKGLXKZhreFsekUihCC+aGNPMpyrXS8Y1vwYfoe2suFlE4z/mMqcXcspIfCyZdJn+
a7k9l6rO69sAbOU7kIv6GK2Od7nh3fpvodTMCfl2jYwJQirepdblcu6VwZ0hcxmdrUi46wNuMLZ6
LdE2Q0+6SuyXMIAxpXhc0ER0xcbSQzVtwee+blAC2xxN2aliKn3rYNFTx45dKTal0XgVj7E/eidj
mf1u7qd1vnEx3EVJUNG04i9cI3nLrHRseAl7PoU1a+RoXJllxSSUBInEd6aye2jzjEALnl77R8Vp
0Z4AtNjsZIlqH1+qYC6fqnE3fxy8DTebg4fyOibfMR8uus+PMHi+wYoUIltHWRC5sddRBdy0Qe/Z
gCgWCXOeKqr85JPEwEze93SebB715QldvnC+tnFb37S3WOMRC2Nwb6a8GU4BARCfaqazQGTtmhfw
zXY9rD5fHI8BuQQxNybZGmsWmBddz/5+QEjYYXUHi9S13AlgWWZrp+Wh29/zc45Smbr2xoC/VI3j
Ubgs/d/JDWkSJsiC6TCtwebR7ZjsuZkbYR0FdoE/dl2L4MZbXfFvNp3fIK0E9lNmqgbAXofzx3Vh
9AgdNnSUCl4b+RcDVslidzJCHluSqjxs/TmP1jUC5bGPAPbTvVt8c8Rl3oLIYqM5+ESP/lpxzqOi
h/74KwqawrqZ0dtee4wJ5QEvtHqYwIdLhkKd9+SgjfPA7YLhgLtrld1jPFQYPKshehydut5OGDLZ
vuteRzSwNP2r5UwoVXbrRkXqT3XPm2QN0/wYrfmWp/tas0NsJPJdnzmpKL6ixmGTL09mzc6gLaxq
Hi1JiIhqoUiKnHEZh9IUilPnej4kz3+LRc3VEorMwY0V7xi7b329LTx8DTgTNVTBaIbwlhkm0GGI
9bsaiuix5KYjFoY75SvA1zVcVJHlbmptEikCbWIVqSRcRCV4buWLmxkH1l10RcOeikE+TUXPgT/O
1HtW02OLJQun4ygnIDFiTBDVuUhMlXUIbm4njzaDKmCnthB+PDOMQZC0bf1CvUZNt2rbweM2cmKd
jC/2x9rhOD0sO3O11S/VtZoeEKDNEpSIZFoVsdoAgA9LxhalW9HZ9Xj1oVBV/qa9kZIoEN995Hvm
WvF9m1VhGOn3Z48grp+Z7kdSFwoBgG8Uh8mRuK5puNg0My/5Kiv8936ngIVwUi0HXcKh36NAoInl
evTes7DKnqbcZPc2o5vs1tOBkTFhG9aaRtHqNAezO8EOveMRnLZNdvPN2sHu0yrm7H2HGjU31yiu
b6Yhik1mLUzEIZzMQhx4XyCTOVnU3JELzfkrvKX4TZBRIU+kybElcd/rPaATIg/hxpJd/5gVvYMk
H9CDpf7A7I9fQ9FiYPKDTJylBT2PER/nWRIO/cBQQodO4rUNoCtbBv0zczJmF3AyZZZ4RoZQbCDO
LN2o6rl9wewwP+3lvDyLRo+c2JDsIxh+sf0cvGurgnFkuRDCAEAWVo1cbznuMvuVpxEHRbCLdoFd
830nzTN0ExyggGwHetRr4r49rbdZuAFN+pZPTCbTvCYOwtyx80PFbqV/PSP3K7yGxfiAir98zk4I
+k3LMrwUUwerTwzOrZ4C5afZzkyOwKYcI1omcvU372dnS2DFyXy5hmW4BwMDkh19JJiJpAAR/fQz
t3gno12/VpvixVFeO533QNs2c5nCu8WZk7uHkoeGzH9KnzL1K0GcxK7s6KSjUtwxpp1a1nCjez+2
cw2dg3Ltv01RuIyHbhYDLwIgUIaykHN5elSS44PJVB8dclKq/Hh02qt9O6fESa3cKT+CsezNsWfy
Mj/xUbeXgXuKRH6rjxBTA19MqcFnAFjJNRbwdfmMPBvPjO9kPTEOquuw+zNGixwOTh6E3Br1jGUD
qgOIxBsmazrk160IcSmyRp0Ge+sYG8wDOzsQhsT44JpIvaH9B/4DD2JNWKgbzFnq9D7XG9MAZun5
DGaNfun3eWpXK1Ew/KtLn5J7TGBBKQ0ZeBgZSffnu8VshZKEBkumgyyTYVmn8jiSZVvQaxXLg+su
9jU9ICzujRFW+Jpn3v7WXF9GlIqShrfTUfBmg4SQa+B31W0+hLUgWicaPxamoNupwVz/0HA3sEet
ZR9szhxKc0vM69dEJvQ/ohK8O89qPDKNZJiFce5BT1+wsNlEN3d6uyGWyL8MA7sWDzhawCQMRRbP
Ky2//+Wgjf50QDWpoICQ0DbhK+Vr4NaiS5dhCYi44W6OR9xFNyRQLP2JPyuqw7huzAtqN+jsRGAp
ao6hN+9ftVwRuc1SRHni0gw3X+izYYq396ruiIESmk7PEmfQwvmyiAVJyQp7nxJF+tEvxmlujfve
Ka73A7HQGCXqVbwRwWa/bqNb/7F4Tj7HZtP3hZfvV79IxgnqZ3v7B4e+fbUmOyhnEel1/4rGYosd
A5lgO+zcX7cRT/p+W3tN/WRVZeXHBkC4PPgS9uCDSIwcmxsLiLGlkcuMhG9oGrlnmD4n09atL1tZ
mulFM7/DMBUN03uDPAkkygLYD5CLNTzBk4keLKjlpGQbpPQPfU8Pel5tbY1fTMrtNnZX1Xd3SBz6
oim1zGmAk3HTws4tvAwwXaTzNFvxTEnifjl5RiHaGjgS4O0JGs7YZT+Ro8PKh0PPoEmjMIuuPBkT
7VjJ2po6ugvsiGeuaD0qZg7A7djQzXEK6NHpHqPWqx5w0Qzl3drVPmyQ3UBhVblowYZLL099ZOWO
anK5DkZ74hefiT/Ds+47KmxvwGYCEQNqZb+I3srLp272h/LIDgy3TQc3WsEzQ7d/YHNz3x8cZfOp
cdi47sUN4cDBtcP6VDtNXVzQSjUlHHuJIObbcbc/prCz/tKYt3y7q5bPe9B4QJh7OQQH8iJn9drn
ZjyKfNvntHY3mn/jLiMorMj0EcyufHKIOCIjSuvOPKi+F+ybxWPD5jc43Lx5+C8YwcCa1LTeBOFS
XMjl7OT94qosOhi5b07yX24mBg88trkx2cKKLKdpu5asHa+t05U44O0Ijm5r/ioDpaDLbj93w97K
tJ65sfaZXxyOiWr9P2I9/0OCaECBQ64msa60K9c//x+LVJiG7sx8uvmGpGib9YZaAIpA8rq0nP9X
KvR/ikuU7D8LAzIo+d//CrssrzGhWHnmm5l8hCQj7ShVgRs+7KTCxIhF8svKDK1FRB3IkBsYTVOY
4wAsxf8Ru/mfEiKlYGc8EyLJPqb/tRTD4pFGObPnm1Ga6TgThEk+tlpO//+EyP8QfhlIUuFCV1zX
OYjrn//P7zZH0d3pSP4faee1WzeStusrIkAWi+l0JZGSLYe2nE6IbrebOWde/f9QA2xIXMQi5D0z
3QOMMV2rihW+8Aav8+u/+IDBNz0kbeT/oHiUEsinqhQm9u1Btc1VRvleA9mMa9DazCSH+zj41B+9
oe+1j+Aa7DspNOUo6c1ciLqQLAJwc84acz6VQ1IdcDV1juVQ7Lnxbm0t9Lr+3w9ZxEhfTB+Zpdqq
TRa5zzJk98Bd2bYWPcAT7Xe8WTc/J/gNnKAWRfcraVdzNFNL1p1n0kq+023deDTRi9sRq94cxZIW
q6XrIN1Wn7MHsNJpjU4Giy0rhSppuMVQG+fb329z07wYZVEOf7FqehuYwLLGzithQ3tYUwRnm0bR
NyS48vu4BllJzNfvnIeNT4XXj4p7qaZaGAqvpoZzvEPNUXaehRDimRZ++9glg49qG3y/2/PbWEXA
ocBsTPBLyNSvlM87VJYAiMSdh0OdgDjbmvYF7CR99LeOI9gNqo7tjYYG7fqyCXOuc1At7L640R+L
WYAdncdgZ09cC+oyCmGkLi3IkVdSs6g0ghA32Hk+OosXu6jEk++Myng/R7HwKAn6YseT/Vo5HiMq
VWIhoFoox6/3usDjxEKIqPEIEbqvoUGaocRpch5zM0BLeRH5T8wC2TdfiB3F22fjgNd6t2g/a/9z
hcJo1Vq+7Yu9iWaQDiMsmr22V0zNS0D+orkkFYcEuMxF4fUWQESv7ojHXBoEZkWaohn3XQdP4ZKo
TkVe5UMmpl2PYIuRWlN2hBzhG24OjxY8QYYAKE1X2wnuM8ugIV+C9z6kcPGzMz5QQGYzxE6ADqaz
/GLVs17uXJ/X25Mp8jBIIDQS05qV7aDmpEUURWLyQjsxv6AQBaRhDtVPtzfn9XlbRln2Czc0rkir
81YnSiJpb0x0rdAXCJWhPSp9KLyhnJu720NtTsgxHduRaCeix/T6m6lwVGc7sBgKo+xzIinSLljC
nVO9NSHcLbCO001pUnN/PQrKUU5dOxJ3QdBFx6kx0DyYSeogMezZDG4cAIqcKmVWsh6LBt3roQA7
5xAY7dELSJCKQ5oNCEN1w6JlhHKhCN+hrxr+PTgdOFyRKlO4c7Es//zVIbAZXpMWXFVaBKsLjMJq
nHWyGj3KJQrVxIzWbTGA26Pi8FBVanwy9WLPfXxjfW2KgQYWZVwzWDa/nnTpl1FstfXkxUqEl4c5
pGer7oazjt7N2z8lQy0GCRLrDhwkXw8VmDHq8Ql7M5bjdynGDp4XbV9Tl9nOSJsr+WKk1aZpKwXt
mC6bvJYg9DMwLvMxd4oJrozovQp5E9qztnm5fR42B3VoLOo46KhEHK+nBzOOBNqG4dGA4/iHExP8
ykqSFzuHwptpnfh7ogn7z+1Btz6f5M2TLKq01bVQOAS2gP5OMngBpJf7KoNtpUgoEFSr651F3RrK
NoUEnOdoAinC1/NDdJoUdShHb5CogQ+ygo0U9b+7cXB2XqLVSuLUYwvuFeAGrKIKuvX1SH6PVZAJ
cQ9SvehQGAC7pZ3Oao4WwQgQaudifr55X5y7q+FWF1mYl2gTB4FJ77bX/vZbqf+L3nmfXbqiHsxj
VsvEjcuwAGSbyvLe1q1enh0fOt/OBbBa4ecfQjtFx9HOYf+tIwtUuWAymb1J4ytuvzsh0hCGqIIP
iZGH59v7ZnV5Pw9F/EzJ1TENYrDVEuNnHqKLPFkk+4oOSFSdTwEiVjtbZhXEPI/icLVgfKvxqq8/
pBm3C4uxtl00qywvbGxx0qkfXejwo6VMTXVnATc2js4GsHiNLF7atT8RAVvZlrRhXJx9uwefys65
njPlkRUYjyNiMJdmaoqdpdz4aghJ8zKpxISqWD/sInH8wKZi4eotZSuUAxfxNMXgCBrRTjqysZ46
+2OxmMECSYr1Tg1BJSUoULtDVDpHU4Pu25cIu4RowB+VoGhPt3fJ5tRejLf8+YuwLEWLlb51bLmB
GUUA94R4tAqIf85Yxe4fDMWbqxOzsJbrvV/S7OgiSpxuRmv9gFEXLNtKGZ4K09+Z1NYiks2hI6lZ
mqmv8wRH16mS0nvzhgIxQGQWq3Pd2DgbDAjXxZYh7m7PbCk+rK4XCgLYItqEZQy7Kk70UaboM9mX
R0XRSr3W72GC5ZpWHJNCx6YLlf/0zHUL1oP+p3hokz7eia83TjtFApsNgUYGd8tybl58xxbCvZYL
O/A6FJnJwjCyUelZ7Zz2Vfy0nHauLvIiDECEaq/fIqqfUUoFK6DV0pbvaFD1703kX9+Tq5vvAr8t
nBMr1AYgkp29dEnbHBxLMiJrsWQwy1d/OUVrDhCCxckcoJBTHccp1vVzVGf4RXfNUNINrwoKETgb
UT43+ib076GYZShOKChFU//t4HCOiC9cTJyH5kMF6Kq7A/AA4gGMEDjoWaO0c4RqVcnvt3fI1m8n
0xOs3fLXupzToU2rl5Qx3QArlxDJWAVWaReGH1MU9u6hYxs0dRqg+xAC/uDy4hGQFB6glVzFvL61
CDq1JFVqBoPMAXCKeYqBEilSujubcOsc4NLJkcMejIBz9eRYHDo1y+fIy7swoRM/iR5GzEI8/0mL
TPzE8Vr7MSrSgbUXSvtdohWps2Mbu3Wh4TEkqBNiBXhVwkLqFY5shBMwDL8IGkLtnycr+AVTbd65
ZTaeIqmhrITLBhUduTZQoiMWqHKKcJlHTt08hBESoseoU+r5GMKyQMLbdNrhHFVDt1cO3bjgJI6R
z86Kgpx6deEgNMlm6xvF1Ulpu/dZb8OABy+CaH3Bn31uZNhVOy/TxsKSBJpcp4Zha1fFA9BmAlWz
RHGxQniit54/qWn2lLV2v/MFt9aV1SQARE7/OkkDI9opmih8F+nkMTyogNDDOdX7+2rAh/XQz4Cc
z9SDEVy6fUi3ZggMYRFFhchzVV6iPdl2LW1mt6CJZp8wiMgBeJharEOOrecdp6GNK0HCdYeIyrPB
tbAKtq1OSXlKJt+tRwh0d04L+hcjit5uXcw46+IOpSbzN9Se4C+USZvp7Ve5NCS1SOinGlpnqy0E
IwERUdv2XUIt5UlzkLE7BVYzwQIjzBjfdbYEIyPtuKi9ah565evtxd64KyQ66VhnUwDjDK2m79hm
odF0DD3UJqz+345OTHhfsP/60yyGwTqWthXnR6BiqFp2gQGJWXMaIA63f8bWN2f1JUtN+0tdH+Ki
qiogJxmHeGyCB3hJMVYvyF6h1JLtHCBtcyzJ/U/AzM5e90sKIIbJrFiKW1cQPN47pR6oFwT9QnhV
E93uwoLch1GHgqT1JTTVrPnmwN0Zj6pAKOhS9Vkd31k03u+NUVG6h0FRJmRi82LP43Tzhy7pmUVT
5zpLMbKhVJ06UFwbFpUBnTwJfip9X0tUzmuo9bc/wdZlxiYU3Cn2kluvXo0MTmjiw1d2w9wkMUK8
AQFdO5x1L0DuGtFQZFYut4fciJZ4Ean6C3JP2qGraIkYpx1FoEaenLTsgoJdcZkHU5xvjyKWX76K
CwlUaC0s9RA2+2qPg1pFFMo2iFjqNsz+hftCD6MxNNxYavT+RoB+InDupxY9oLtOhXTk0UlHQcGn
tx17gdDT+FsFUWmRQNJrMBx53z2GQwQTstX70jhOc2xhihGZ3XQvYphmnyN/js3fcAUWRYCsxAsM
lHZQ7Fxe607REgk+HxrbXETiro7vILUx0VUt8hQn1R1PA5czHhQqGOJQTZMTvO9iFTyC8B2wr93c
sMKZIZvFnFNJH1HwxAHh9mpvfVOksDjLWGeSpi2b+kV4aAJlUwfdjDzN8ksP964S+Hm755a9cTSI
a6hVqsLBp3Od71bo5vW1aUceJeb4XiUc/pi0c3lnRbn24w8mZNBYUWlM8a/VuYB4XUegaSIPt6jx
bozxyNDsRt9Zto3Xdvlnc8yR1iVCXO1R5HUTNSeP9doOIqdigf4BmNFYblGaKHkj8vQ+0MLy7k/m
xiLSYCHfXeeC6dzr4Gc5gAhTBVC8J6nEp6Ky05013HhkjaWobNBMFHh5L3/+YlMgWQfTADq7l8B4
kyfmmIv7yBI6lIAk99HP9e2ofFSwv3lCOB1zoNvz3LjbKLgKYWAQazvq+qIJQESMULOXi6YmLaO2
eKyyCkhqrfr0LdrQ/YPxeFfJAek1UvR4Pd8BHGapSwA/mQH2Zy4Apkn0a0/RFE7f1DHudnbPxvxA
OSxdcIrqhrm+4VqqNE45V4EHj6c8pyF2JUMc5XfUnEdXhcWzc+9sHD9zeUCph5KEWvbqkFv6EKS2
Xwbe1MMznFu80zA0E5cJ07odm+XtoXgBJbjl62YjV3c8AGUOPKiASLVXpnio4KJ45RDV3u2vtjkU
jGC2KuXQq0wCbQAtLQTZYT8AyJnjJn3wq8C+V7Ju2JnVxnE3aR5R37VZvqs6wYwg6dB3SejNEwpl
Dz2Uf6xaSAj1U1nNaLBPYRz7342sncNvt2f53ORePYcmmFTHWXJRYt/V5tRwHBZGpAUefdykuoNB
T9dxhFj7bxO24iEZCTwv3YxB1WnQVZDOrQPM5mKZUZiCBIJ8e1RABn/rG91AObDrrHedyf9wNsGt
PgaqIcOvt3/y1oehVUPP2eLBowL4+jglo4nsztQ77lAZuGvpgeNSBUrvyXyU4+2htmrUVFcMvJip
MxoUbl+PpciFNwYk0E01Qzxi1CQJhIvh3IugOIL6Dc9D1oxntChhQYOnO1Zt1O1EwxvXpWmjM7Rk
tbwI6+uqAXhWx2rtoA1Q9v8VAJvvm3EEmGjP8jjhJvjZNrLfflz1O3tj4/EmoKA+YQIDpz23eoVm
GFlRNGqOm/R+6/o4K3606DrsrbFgDdc7kJSDcwZC076qX9Hg7vRR1R2XcDvJD2WjSP80gWMLLwLK
4g+EReNvLaTTbwbaJbDB4jAn1wyLorgoc5iYd1Y7O+HbHwmKdqqmL7bqrP/qXADAbqC+s7eauk7e
o6g9/2c6wXxHZxAe9+SX329vtY2vbFFEWxoQ1IMAMb3eaeGALLlplrY71PRdHPM/S4s+hLX5HnOO
b1hz/13kcB1uj7lx7wAO4b6h82E4V9lugwJjXiej486BXvxo/AxrQLtF+ma0KNPO5b+QHeTOXbdx
ejm6JBYcXCa7DjKQPED2PygcN3PiH1SaWmS4IdWWNRDt27NbvtBqXxEKcq1JUGG0Clbb16wNE0lU
6bgdfgjRUWkFggUNvJcRwCWnDc0GFHBR3dOqfxCabJAuzWrl4+0fsTVdam+Gwyelfba+rFDsVvqo
oqCglYrI0ElSzcfGMnztiJ4FDuh/MBrviEHsL68bPwY6lj06gz6Nii5dwH/B19oIkWXR++pPJvZi
qOXyeBHE4YTXB2PW+26EQDEiQsoPAKbDZdKS4Q9OIgUdAUJGBz24hmllAwlGjOak26Eu5S0wv3cg
rMOLPUGFt5E4vvuDRSTmZm8Ca9LWL2Kp6xTT0sp34TLCXoPVqHZn0bTZb+xMhPMHZ5DciIyNxsh1
7yzKFyuN1nRcKMWoBbYjsm8o+BpGchKoSlJgiSGRHYzAiMrz2ydKGO7YwKZZ3fVEHR3xLyQNOf52
3J9VFuQxLzLsCQpZ/cFQVPBoK8OA5ziuzqICdxiJ9tR3cSiHgUSf9djIQHW1zt6rAG+dOCSrqZAs
EC4umtcbs10M7DHcs9ykGNKPGVZ0nD3U0vu5xM3o9gpuXTEETrQFl3brVaQ9WE6Ofy6NwVJ21kdo
izPQUKl+ksilojXRDs170qwGLG4z/Bhozezl11uvBnLOhqZhaEcQt3o1AgmqdsjQcCrAWake7Iu8
u8yUTX6jW+3/V4Vl35yCIdW/ES2kwc4Nu7XUDqUGgKnM/apc6dDDo+3gWEDDpuxDm5njpbQhIlHc
MXZikc2hgEEYBCPGtTO7hZJFhDup7RZd71/qWJ9PVR8l92oj9gCbG+mTResc6XWDv1+VvnR0zHVK
gYi8OPb8rsQn99jabYqRAiTEPqn3NuzGJmLxaEFJzTKvmyMBchldNCMqE7clhk2+bsxP6DjAYIlw
D/kxGQmvF3q0xi+SiOJ+Ek30+/Y23gj0ACXwJHPLUn9en070XADeAc1G0MOwjnXTYhybWXvYh41P
uDQql3PC60pA+fpg6vbYYpKJGFU32tZlqGR4BKMz3kHfNXfO5XNounr7CdtBVSKIKozraApjGfxu
HcftkTjoXWNAkCOH5WBo/1SQ1pxvWpmiUpp2XVr/DpTWeDePMnqEl62XX2dZ0iKSfWkNj4M+wIwY
2mpKvyoIbdfoYqEyB7qvCDLgRWH2V1HSd0GJt54fzR5x/+M01Mn8rsfU/S8awMikQSmcu7sZjYR/
nRgZFMx2GgGYbZiqE2SAJj9CiQ8jD6OMYGH96Zja1MKS4T06FIfaSZ3vmjVM4ycjHzHtEXokNTeP
mvQvbW4C89BoTtSfRINzVSNhMh9AWZbtMc5yoULoitq/kawToH+Djq1kV0342UzsaURUJkHSNG37
qqfPIEukTnOnhuTaxa16UFTaZGctK435YJe2fIwR5E2+IWCvq+fbO3DjzNnco8+ngA247mFPGDPG
3XLmqGphXTWg/6HouJRkSJV5Pa64bw+UGG8BOoEag/C9ujcjQlDfgErPzlCtT6jfZvdtiZJVrzo7
Z2tr13MHot5tUkony3+96wHWQi+Zw8ALDbjuF6vLUfbWksBuUOxAKGdn52+E9Lx8xNcUZADDrYPe
qQLsQO6suB3AoAvPY/DFmMbmECeheYolGm1UjoedQTfnyD8VLCPVn6tGOgIUVaOpBl3Ifmg8Pp7/
KJzC/NDhIHi+vVG2LktzaUNS4eI/6zRp4f1PQ1PTlwCw0tMREgFFC6NGab1WUKHHp2kq5DFKEc0T
fWeNxzi09Mq9/Su2JgzuaGm5aoZ29e77oZJN5ki1sAyH4Mm0svwo59r+ijTfHrz+OQpbX2XsUmrn
C1D76omH/WrpLXqobk0gOP3VYSX6k36oVR7KNJLhJcUQaLoAwc/ThzlS4ndBSwPtgFeF+T2xdPsx
S0un9XRYpvnJmkesJpCNm3s3LxQZf4oC00EPdTQs/Dfxzn3CVymxj0PTqurBaDGbOub0Rv4GuxF/
JVTNlQvEXe0eL1CUigY7zx9wSI6St28p8Cx4J6GtiMXDeh+P1OQUzRSK66jZU5Lozl05mXhuIoq3
8y03Hj/g9yCP6S3zOa9AOn0sHB9jZ7dL2nSRjebuLSDV394xW5UkSs0S2THGotK3unGKspROnUk+
YyRHtD/0+oRkIER3R2OJ4xw/PJRs4vNoJt+HPozOQaf9vv0bNi5ZfgJVJGep85FJvb6KtI5CZu4o
HFOIeq4iE1SnCgjgZ4BC2kVL8mAHNLBxTLj2KPDz2ANWX999zWwipNpMiptIvT/gopoepaNEiHfx
9t6e2+ZXJAbm2nuuk62WFyaIHhudrrgGhmBuZIaTOzi1sQN03BqFxHoBdFniuigU5ZUIy8FX3CaQ
07GpZ6R1WkR1b89lc68sIDkT8U+6lGs8ZWEjSz9OFPBV1C09pwoCF0cg+aE3qXwbzog1FWmHeZC9
Y2LCa8wh8hCV+en2z9h4ShyN+5zvBhQBsPrr7TI6A/6oSkRZHwVxd0JWYdFYixHNsmaqNyPCcggt
7XzHrUEXrBLwA8lzsm79V3Sm8Jwc6HKHgXkOVMW/17Umfw+fuHL7IK8+C1RHdioMG48KKtVsUC4C
g6O5ikzrporMcSwAgoVR+VULMUEJWrzRIS9Gp1Gps4cxtpF3GXk5tRxv29sLvXUuycIlgHJTXFdt
1GiRJTMqziVNzvf4keUnzSl/+zaVRtL+cWeJrzcxdQ3AHahxWvK6/RVriEIIXIzccLbEFwspG5zZ
82nn7F9lpmSl+FvQqKGywH+WX/GiPjSJCr9iuhquUzb2p7qvyw+dI5pTl3bWI1J01nHG+yI4gF96
c6LB0LAGyUqpLy54pddDZ53jx4awOheZ/U5FVC2sfjb+PKO/kKN58ObTylVASQMugE67lrbE6+GC
yZbzhEKtCxqDTYPPgZIeEKmbgw+9NVbmSSsphB7nvEymQ0XiIeDEI7pyIJSK4x08y8aykyDD71tO
D4HSstVfLHsct2gkxXnP3HMHR1GA+1jVsxrf4qqzv9tq1clL0OgWYnihQTJxeytvDL/QDXlgCI94
TVfXcIeqSD/Q4UdwuNaPBYbVxGiIYR+wVOrfIbiMwW6aWveiy769fWRBML/Q2Khor28rB5sLiiz1
wAPg18fELtMHNYfVgw1oPtxpaLrhUlRhPzrHvnd7aO3qRCErB7aRgJsWEeHKagf4NtRYmCKDG89W
f5/U+E2dptwXJ5SgZqT0GwRx4k7/4UxdT9coai6xqvuYJ2ILQQ+zPjSlEf7q/NzZudiublN+2PIc
8jeQQ/gzvd4NmBthMhiL3u0Gxfxq56ZzyMvZuoODMH+pnVB/6mQ6PN1ejqvrjOIbJjsUFBiRCtxq
D1QYhmqg8Tt3iDurxzfAib1JneIvI26O+rkWWZPvnMGND2CbEgltOjZIl1jrXT8kHMCg7F0UmpD0
EdF0VimDn29PbHMUsEPqUs3nvVjCnRdnq0HROSrshrNFRv7PIgb62CJssvPNtkYhR+MVAi+w9Ehe
j1LJ1EaKk6JFPdjGXdOPxYUG5F6nYGsUGvaWCkp2QyagwbYAIa+JLKAslCOiPOZxsmtr5zq4RiSx
F4DlgKzjLSCWXy1ZWVGpMP2sd+VgIdoqiqA+4b2HuLSOXuLJigfqDBRAjMcZTcePVdYV9omYVEfU
Cr3j4XT7C15tTdgb4Ejw4SWgoaOwXF8vvmBhtWFpaWgJhwpipAeshXCbaFMVTyLTKfAdGIm7/r09
5tVKL2NSXsPC0wLzclWPLouwbwCAuQrh6cdOts1jVvrDzt7cnBncU5gwvOs8SK9nhoahAZFXzoQw
AZ7r0uncuIuqz7RvxZ0WhbjY3J7W1U1PP5yjRl+NII2oaXXKA3Sdcr765M4oSp8d4GzvkPmM/xrx
ETiMWmDdCa2o3KCNgrd2EJeR6SXwb94Yasmvp4oVmt+BAlFdBQGSi0Rf5ZOc6CWYeBSGO7Nc/lmv
ku9lLN4zvt4Cil0nh7aOkHyLOJgLtFmea4wT3rW1Gf411Dio74x1HfYzmGZwZ/J0k/Mayzd+sTtH
OoS4DojZHVKl+qbjwPVAPGpH2GzUvYOXSBMhB9UY7a8B3dpHGz2/D3FMRXAnhrjesUuDdumagr7V
aNm8/h1IVJV9gIyRKyqRf4SsgWeHEuNEc3sHbQ2zkA0dIfg7zJXXw/RZWxixxZZlg/nxIaimxj46
Giz/nVtob6DV65BoIlMq/OtclKvlQ1wj1YSvxZtRVzS3XkznGXf64utJJqmb8TS7SDw0BzTI5k+l
jH/5Yu5PlSbGnUldPe3LcDo1MDg/gobvMukXwyEqQ1XRUmcXCw78wTOj8SIpkd+LUSDJkQ/zsCrv
T3/wyV4MulpJLMc0Y8arxbWNUbvDHThDyHUQO/vv+tBpi5DE8hf3GU3z11NDDzqQJnYjri/G6WMo
purcwgx3A6gOO0Ndbw0CdoengDPHy7B+bDFiDltkq3Q3V5LwJEMQPLJr9qhv1xNaRlmONBVng6z+
9YSWiiWYw0p3W3Q4j2JKh+Ogj2iRdlTfb3+h63cAwAobAwYB0NGrVDaWIvWTSNXdaZ7VxfJIPU8z
6lptlkUIhTbqt9vjXW9DGNXA57WFMwGjSbyeGvFPn5pdKCkIpP3dkKnVTyRIkeYMygAxytQJKrQf
O3WnELO1okufwAKYA2poXQYuoAhbYRZIFyBniN9W2h9TjWZ5oejqzp7fWlFqMQucgmUFgvV6hiiC
x5Wax9Kt0qTywrZLnoLKnN/NsZh+I6dFTH17SZdD9PrNAWtG0MRrwMsDnf71gAYCmFEZwv5EqbX+
O40Sq7qfYwNCgl5mhSC8bRTjLq3RfBVU+r1ciuLX7Z+wsbxLP5coiXCCSHf1EiEC3KRllFvujB74
oXOs8igTXzvjzTje3R5q4wRS3Qbxz5Q3GrvTFNKlCjLTnQs9vIMUZ55m1uZ8e5SNjwg1hkMBQJVa
+hq2DQXUyHquUaKVyqI1Z2SXoTS6E8RR9OzSUdkLj1bTohPLw2ZbJjEmyB8KIK8/ogUKIKfDlHpU
Vux3BlqDCDmGe/ndxihQoHlZQJAAMF5vlbTudGdq0hS+TpI/akFUn+bC3iN5rs74Mheh4uqyNFzo
Yl3NRVZJUgL99KSGiW7aJRo+Dek/Fg6P5UFOuPsekBrey+lWx+B5VAAxJHXUkOnjriLarm01WBZ1
6g1GlH+JaWLd9z5eNYchj/G0LhJU+A4+vgJAZIxA/5jg/RS/7Sj+7zfAimZvLhyGNfRS0eU08qim
HtqC9mdDJ+AafdRVqwAxNTOa6/eKgpu0OcXZd+yHyqfbu3Zr4YHn0c4jmSbfXP78xRtfprR++6Iu
PNrM2rGeBv2Hb6HBQ3yGeYAi8veQw7j13jyqDqUe+YBnfYs1ZwMTwbFxpqrwZshmn4JWFXeVOTZf
G3W038dl8jsCg/H99pgbG5n9Rcfeosl1Xb3R0Nxu57rPPaeo9A9VoVQ4nqupe3uUjS0F/IAHWFCr
AXG/qtP0wQKQq5Tc02zH/olNWJych2pISpfIpg5OmQjy4tDHQWwe8E036nO5+LF/uv0rVpfrsqnA
sVHaJ9KnjbVubQ2tjZSNkRYYTPvNd1/2v6YcYWsF2ekvt0faWtVn0CERIhf5+pUMNaw62igrvMr3
WzSzA+My62Oyc4Nvzoc77vmpoLS8eq/Q2QtriaeR18SknrQgawTYfYyuGmUP7nR1INAtI9800Gin
zGesKbbVJIu818zBi5u+/RjEqX6Zurl4woeiemf7AY5rkbrzFm6OSahBFg+ehOre60MYTWgea4uX
Q4+TYXaquW8fUjAVp2hU++JcSjXFgAwDTLmzW1dvFrtjCeVM9iKFIEq5q4Ex7sqTJMb1F+/48NFB
rBdLpT79t6BI8luPS1yP3rhdlgHl0qTkroGGtxqwRhpoCEVTeZj9NKhaagN8nKjZUZm52pTPo0CE
gYPHllxXKmjmFIoytpWXFSMdZGfU7E9ObIqdyVztymUY3q1nGu/1Z9MQd5bA1muvHsI5wGqome9M
qv/DKdSD/r/bK7cxGNBtDdwLpU9gY6uVQ4p/sqoobD0nbJWHNoy7Szj62eOkltEO2ebqDlsuD7Jl
tuKChV3XXZzBMJA89xuvLJuq/TePQ+QVRDelj3m5GD32UW309/gS+x9TGq5ocWqIkd2e7sYnBMzC
8aOURhFxjcg162KGcxo0nuGH3Tu17fDmwSL56+1RthZ1IWhROyNBA/z7+uDZ0Vy0+P91XpiJ8OLP
2d/gO7IzMKV+Zz4bJ20528RrFrVKsZ7PqCIFrI1gu8x4Vu+ApwUxKtuyXwwy+u6udbTW2nlkNyZH
9m6bMFA1kot1dIN6TDvqtdF6aq2MH9Gryi/kvM6DqOReQXldV1ouElpJRFAcaVA66/amrJwQ0x4D
F2bs6rN7WYRhfcgUHIUPGMHK+wZi++88mYa/ywT0/yJm8kUEOMC9+XuyYYDt8BNQlluHkdgwjhSU
FpMVDAi/ABrBU8GO0EuYMhxBb4+18UWZ9NKColpPurB6kywrIyuNos6LsKJ6UIj1n/yqy/Aob0xb
HJshr/ZI69dDUuLRuTrJhgEer6eHrVCep1HceGmN5cNomGeMIpqTWmJwm8O/O92e4fUZZDjTITKm
mUtoaL8+HfNAYShs7doLtbDzWsPGmJ657oxyvU0ZBWG+RfsILsxVgoEJovQHv/ai1pkfS/TJ79LA
wQlSg45/e0LrofhSyMegJszLQ3i2BqEqlfRDp1Nw+6BAd98UeoOtHgxlOuBvlVR7HorDroMBBFG1
vq6RiMfyqk5Vb1TD3EVW7Tte58NiJL2HkF5/pfVIy6Z5EcFrk+4kSVuo6L6Ww2XofPMkFTnvLN36
TVhGoeWGCNaSdBI/vx6ljyfw4QSVnkY0ki/eB1+XxpKHqqB17lstPhckv+/H3GjOozbtaRluTPK5
FrmIzLAj1w2/REOrYckQPYFDzH2u2J0bLc6ot/fH+nwxyaUWDVgTXQKKnqsjneuxKSNuFi9PYO3U
mQqMVp2HE9I2WFDmRrXz0G7N6n8xCkxhwgjxelG7WSEa8hXVw7pApW07J/H3urbsver0xr7nViQO
grTAs75+CXqsiSYlNwXA4g7SgO9TwPXQrRrA2Gm1ke+8dRvTApjBAj4j3K8eA6NA5mKiwYawp4Fv
MjnQOz6u5d3+WPqyOi+KWGQdNKEgtEGdhBtxVcQSrRmDQ8UyjBPfOF+jAsqmF8qi+VKVCoZVthpS
EvHTILzkspm+wjwXgucWfOIBs71eoKsWaeGltTsrugSOWsOxULXmWCN656P8GyKKAo+EILjAceBT
UeetcvLxfPg4YyyEuGxK9n4xhyRyfoyOOjU/w1L0mEVifiqQ7R9C5X701aQ7tsacA4FJExWjS+zp
9nQttj4wlSDq9Usr6YolMQaIXM1JKrxQtWNvxiL9ECukfzD49z7uxhmhks2yQ8QGI/scCby4buK4
jhFvm2ZPHcP+mxVhR4qD9nDqZFf+Hqf+5+2vvLwxq49MHk1VlFAUsvk6YbDroctnleFqFCPVI1Jg
//lWbz8FpSyOWjiKDyJJMq/MpH66PfJz8Hc1NAAjQkO8L69Io1kaxE1V4Q0FbjwwHspcRt9xbHE+
94pteNTAbAQ7wi74MHdK9V1kXXXBhNT8UvmF+Da0ffah7+bxfPtXbXxpSpnINtDw1bmuVvdwNmqU
4BI5kwY0hhvUbXM/YQ75hN3XHk5ueyi0GmjRwVFZP2EOAgLI/5h86VbV36dFjZ8QdbL3BWWEnYt3
cyjmBaqKdM1ZJ2zUTavYxDLCC8MKo+WwH9tTqoThZ0dJ2h1W4cYGXpQkAfwiOwxqfvktLzZwBQXY
iRsbGlVRzMnXgNjuacTu5H0HKiL7JcSkvDFS5KLSYd8g6w9Shf9ajQiSOwqAvs6eNpTWZ0A0xgmL
LvWEPRBK0WlQ7ezcdTlhGQ/ABeIeZPRAlVZZTdMrpVXBIfGSMBCnUaDv0Zd4PWEgk2FrF/xSSQDf
GHk/j8me5CIm4rliwzhhaGVZYHAB51bxOehsLOjxK4TLnEb/n0Mtz8+LD9hS+SmC3p68WdhxdM7b
afiUJYt+iZKqYtrZmpuLCb0HoailRLqOCejBm3aIUY3nNIP2MKRlegegKf1vcfp0g7ksv6oEJzt7
dOs80FhBSJmQWL0qui+2YeXQoads4JD8OLZheteWdXS3pHQ7McjWBQulwmYwEFxgcV+vZgzCuOBS
Gz3eLGTUAwAVeKpreLsngqSC6KdrigBktfVWVfrnLfNi5FXg2prGFCvUJZfA1UYexcKfCUGYizrm
jitHrfu3DxtcT2qzyHcKRGtNySV2QIp0qcGCqQM2s5p1ZZQ9FiEJX7Wv64KXHO1OPNcm2tl5I2PI
CQBaxlNOWjQcTfwQvUmicnLITd+5L2PF1g4qapELvUwG4UETU9YexDT69qE2qmY8DIiZFR+6oS/S
89tfAKpABD/0kuVVJJ6Fma9NWaJ6VWqnl8FRrFM5pynRo7qnn7x1VRJQUNrltb/2DVB7aaZymKFH
1dV0CYqwcR3AYic1mOZ3YVhMd7entnXWYFrT/iHIB965ir/xLtSDQMcyqnd8R1xkp6NxOODM87HX
C2F7ma9oNcympv18e+BnRfv1Ww9iC69Unnoi5dXIZsA7p7YJptnKKMoTJW35d+2oUey1VmXXd4ij
WvYlxzQ7OkO9C+fLVOHVixPcaHwfnFLNP5iIOIhTrEZ4L/uFHOxTOUVdcLTnpEkujZYBJyqqPn7K
FhWUU5/7ZXdRy7AO7jEMnZ8Q11BxUZoME5M7/LXkzzZInPIIu7D9NbfzXJwiGxOjE1a/1ZdpANdy
mO1qxEK06638QVVDvdzrkG3sAKq1dP4cXhOi7NVTMsZ5YyrL7cB5KbqjUWqp8gDRa/ipl2qcXpoO
BNjl9sfYGpPO8NIcloiSr6scpVoRWbYKFfhCLYdTVeYT246b4YwlH6oGTdhT9PiTMcHmLzAzSrqr
TmBNO0aMNWNO0vL5CBqWiy13w8VQxvEvKHs7G255o1b7DUsYnkpVJ4YGSf361gUkrve+jy1akM2S
jIwOGIrgQ0bn7fbENo4UIG2QLrT5kYdaJ85OmOi4ZGejJ42mCt+pqfp/nJ3XbtxIG6aviABzOCXZ
LVHBlmzZHvuEcPjNHKsYr34f+mDXYhNqeD0ngxnA1VWs8IU30G1PRaUqp2XG/dZP0nV9yMWSf397
4IMnDLYByi7wkbam+PbD/nql1ykXtmrhPqCnZD1BameLd7JjWDoo21j6FbDG0Z5hj24QUFB0F3pb
ZjW3S4frc9TJdbjDyFJgwZgp+hwi3GLoJ9sor93DBw8nLQzE8CA1b0We3ZZxmzSRRtqteCb1Xv0o
i0btfRutGEzZqu+2ojw6tWPMQe3K+Mqbve2O/e7B0GEL/wHiX3ADl8WpVUF6GnGndOANmFslsRDr
XTOPysI0b+1Kr0Kwksrqt2PXX1nto2+76dg7NhE0tbvd7qUEXBGca9wKsn5256mKRKH9QJWruvIg
7KUzt3eaWNL7U/uh27KPTgrNaqca2F7UESbp79EZo6gKXRGe4aDndER8b63aR8MZJuwtU63+1omu
vsVGyv2MJLGBTxpMhh+cgs6+y3DWkVFputSR3t7sB8eZ5wpsHqhK+q17jBcuOtLxqnmNzBSjeX2Q
w8kQ+jXBTHO7bXffHfoHEm+bkDqQxl3UogB35T3OKMLx6pc38VgN7b3oML6Bij6PAS50UCLyTMvv
HbNZZ59m8/qVOm6zBnIuMN/F4rO+UZ0MW1LH6bVfQkWYPUhxI5O+WMGGBmZM9/qmbMGTcU9YdXVC
swdD2tzzcueHrQg3DjLq+vo9+WG53Lqim5IQbFMx+X1WObEft3LhI2VFW/qIu47lw7gs+Y/ZTNtn
M0uS33prVzKMJy1RcUB31CFAkXbSggqp0Tu0UR3a5Iq91Ld9O+l3hop6z9e3v9eeTrHtK8C24Nc2
pYdLQYTSWqtsy+ojey6a+AtWej2er8W4cG2YXjv9bwBj/EXPCHmeVFOYxmNXpd58i0WpfdsN84oZ
Il8qDaisLb8dfC2rKy/SwZaixM/ZomBHlLpvL7ha69plp5mR0aigxhNL+5Qm5fyPxLBtIUgQaX4h
nQ0dYC+UiNxrPTWtZUaZwkUTDrHszDsE0qHqJhLH+w/0HNJ/z26oqVCQRBmGIfc3Z7JmembNpgHP
sEL5lRjCy86TPiTzfwvs2Wutt4MnEIkdsDUUJQ+gkalY6DSumhFVRmNHBirxNz1wGr/W9eoLbpPT
uVLbKwCMg8dho1dQNQI2BUZy+/9/vX7kkc4o69Skxe1gl4eaM6ztya2mp77zCKXR9I3aZC3uvRUq
4u3bu/tg67gWpDheeyJm5C9fDz5Vq2jMpLQx0Suxj02y6qbI5uXf7zxedVS9aJtu+MjtV/w1xSnT
7bVYajsqBmvyE90pwzzV8itP3cFTA6AO0j91Tfr5+xJ5Li0vNonOornBJcnTuhw2qlRORkMb8e1l
u2hichZICEFEapiasHq7GWEbupSZgid6PzpGqNqV9WC6MjtlirXeOguCu4lZyf/MYTTCVHHzcDVG
48qqHgQyG/yEL0cVdyOmv15VG8vUZDRzJ7JwSf5S5pb84HRafG7cyfqyCC+51iU+mjWAxQ2HT++W
J3b7RX99R1eUdtvjrLKFvvULjAvcfVdEI3rPakMaSwqoMEh8xTSn5yrJpiDuVid8e+kPZ406DDfe
hp7cH5cC7taclqoTmZVnngtDZ5TcnkPcglFPM5z8Wv6/LePuJd3UmWkWEzLyDuxgWliflDYcDyfC
ojl3/Vl6xanrzTqULqYhDlpLQVa42QdQEGWouKoIPIfi/2LlCNFT/w2nUXdvMtvtPr+9Ekc/jCIo
tEb4lajY7cJmrZkoeauKxdl1zQ8O8a5vDWNyZf4HVyIr/f9G2d0QoMh5/9TMjtRCS05eOnxzPal/
mSfz+4hezp2YpHHlIP+BAOyXHAw30DTar0gC7nb24CjE7y5PbttXg+K3jjL056ae2yfDKTdZMtBw
2AqXjVje1yIVWCu3cTE86vlQGw+FKsevUjbLLeT7ePyalYqpPJl6baKRXRq58EdgWz3WbqmSBP00
FR9ie7J/i0If7YBiKVLKtVLOn2noKM7NnCTCitLWEg4audp0kxYw70IDWxwM0rtcTmHT51ocQm60
4g9uPANSQlCBImOCc2gSisnG+FjAEb7Wzz08kMAUCXYRiKNLrb8+kM6cIEGbCJu6WLN45zwnkrvp
O0dNb7UixoJd9Egc+ChmOLeaPSx6EOsJl5PlpLF9JQA/uH63Ps8mEY1OvubszomXDVoj08WOVtoO
p9xO3FOX633Ay30NBL/tuf3+4O6Fj7GJxNI+fD3twipwRcY9LBqTLP1VWNPsu1UrTlXSL4/4dM+3
KCktd/T3rSs58tGZ2yAO1NK4FOjE7kau0GqEVWNHYh3XU23pY2DO2bXG2dFS0hAlZSTKAvu62/92
uS5FBrsO1cu5/LEmWsXNlhtfijT99PYdcjQSNxsMbagLW/T4ej5ykSXmCxUvsxfjaF5kzXccAo3H
TIKteHuoo4uEwvEfQwdiGnX3eCg16hEtsilRNTvGXWIp3YtdVfpDRgb+oM+T9c2x+yux1eH0SLUo
1nA4uAJfTw9jBKPIMxbSMZLBOSkEYVWQWWN7Qk0xv5IpHA9GkoDONUGrvjuMZu91lZWMVpTVxnYz
NITiipbfWkNrhm+v5eVQ5LCA33mHN3V0Y7cNlyxDSnTkUvb0cr3v+kVFoNlaP7Zreq2we7njt3TZ
gK1NdZdQYzeUZTYFl6puRdbUqEGMMFtQlcI9vz2hP1zX10ca1gVoRRgKoNAuKnnemMapPuTwxNCe
8G5mWhj6szU0U3pfzVVd+o3qDffbvvpVK4p+iwzxiB409dIXgQv0i2cCMgz6Ku+0cROppIduLLOj
oGiWd1UYC6n1YR5L9/Ps2Enta6le/16xYv04ttiJnuPGNilXznH80y6xXseoIE0+YWzdVA8uBGgX
CSMKkT7SdIoWuGNs/4R6YBk3Wb8UPx1rdgvfTRXrf306Gj/7da3f55Xp/pDegK4q+eyIDtqot6rv
dY64Sb12cF6wxqbeVaxrN34Qc5nX9+jAL89rbU3FOR7b9ZdrFH11GzeZt4TLBD4oUJdOf5nsxQCQ
1AH5DYB51dqZAp2AMlbCafcTCNQ/yyJOx1Oz5HIJuUvNR7xqbNQ0KzT17/RYqb4rGnZP/uC48P5L
2xiuCbEfvE504XnCoQyQwFHweH36Mqmqi0QtKSIKXgVfEP7VD7VLeQ0pu2Vu6ssi1ws/tb3SvbGo
ceaUw90xo1jdev2VcOkgkedQbjkk5B7KYftccpTj1NSAdIiX0o9uZ4pTTrv+tjSozfeP2CDK09DH
Jn7HNLFQo/LCFFuNsOzxEFPoLocL9eWXt/e9tq3Bbt9vQDYEXkkkaMXuLuC1arp+Rtk9MstlKHLf
dpX6IatzEOv96iVfnBU0y+1cZ6bqizHL8qDy1FW5w0dYlndVW8352cxwd7ry0Gnbdbz/YZv4MyLw
oPqolb7+eDTCQJwiXhZt0tZj5KExnZ/KZeq8x8VTh++r4iEgMorCbYJ4GFQZdLS0dDx5hVJ91is5
Q4nOVt0Iscgo28AtpPxOo35532ba+OvtZTy4pAD8Az4EX03osU+FLGfphKL3Bm3zSv2IdJQ6B4th
L9fKat7lolCKB2MMCJjR7N0bNg6OJd0UNqs61d7XckzUEIRL+94gTq18dBXzKhj0qexOsyidxO9y
XNavQAQu31GeFvD/0BspJIIafP1hFFfv7KLsuJD5l498Utfv1EofkQZGHf/UKQv68AAkr+QBR0vM
K0B/B5g8umS7YbO24t6SqxV566ifc6vK78ga9CuH9OBh0xHlpIYFxYmO9m6BY8QPFPxzzYh+QIfq
WCO8n4PXJs8QItX8/M+7hiyDOJLSNJT6/f1ESD/OdV8aUdNWVrQg3vm8yjy5UgE/WDgyR4dqL11Y
YA+7KXWI0uWFMxkRMWVyF6ve6EM66q7IEGx/y+64guEAtwclxUa4ctdiqFfpxAbsoajO4tj77U26
XYQwDEzbXwQH8LGme31lzIOduMlo4PhGZHDZGa9XG+nUppsjrTPEt0ndcCoCrpQzNlnY5k7xsDRd
ceWjGdtMdjM1iXw2oYcjQWyB1kuazcYYjcXU94+V3oGac/qULgrApv6J5VH0yE3R5SrsJaHbbTuj
heqQSFuU7fjekC3Trguzqsq1MJlFn7yfocl/mrJ145cC2Xh0yq5Geb5IW+2FWqog7ycdyHyt4ML9
bqRNWnxtSa2+I/KgNbcFF4YA0qVnSMmWRYEbA6F18qF0xwrbv+a6kfzR2rOnQGhS+4Gau+u2OqkH
UbaTMspzY/kYK6L0M6KJDmCL1M8zlewunLVu+vD2kTnYZluTDtw+nTrEZ7bz+1cFKK07oyjxTow0
rBeeoHCtgdW4OLFhLPrMZSWvPEPbrbL/2BQo6UqS3VJD3Jbhr/Gofw1Ez0DKszm1nqdaEz/rxk2D
KbXmE5ZZ608gNx1qVqK+ss8Oji2JJXcQalTb6d2egr9GtlpdtHFPN3QwheObnS5vrMS6xjc+emYZ
gVO03Q5I0uzC6w6x86lrbfy0s6Fo7qQVq+LWzjU9stvJTtiwTbH5kLqKgj5wm673lmBPfBy0mO7h
OBix/NUnbVOduehG9SnWex0EUINprq4u6TU1+oNtx20JVwT6LbZo+yZbOU1Gjuoe7TzMhWgU2+3T
UpYxgYA0isHP+riMGpSVvfDtfXc0Llc0yALAz2jK7K63Njey0V3jJVIap70tB4nKSt/MwTgW2nue
SYGRV599fnvQg83+pzBO2e9IvXYcZ5uvg9e54a5tWOVqEXbu6J7mofkcN6N7pZ57sONsHIl5K4A3
0p/eHem+LlRz7LMlEmIwCm5RDxtYsy2vATX2Mkg0ckDGU6ghlPH4s2fgrFZHY7D1pgjBEwTvp8TI
vteUlxBho64dY2bSm5GmdMsIaKPIPqpKauo3o9lZDzOtyuX728t88G0xkKTr4vKKwGjcnfE5rhXT
LVUUQyYCPGSnM+e5ZR/fSBSa7gslE/pJK9Pm36ssW6TIsdgo1azI7i5bi0LN6EfALRzz+BTHceqX
RSJuR8KC09tTPIgbHS4w3i2KOrRbdtt38RYS1awV2BqlWmAltuZ3veoFap7J82y08Y0Wq/KccZbO
qdusL28Pf5SJsaloJXGXUqDYQzvyFZR7prcyWo1pjUPUCCvXr8VcPWVKi8cCUoFWfu4cXo2TkZUm
JdZcS76oqa1fI7EfRHgYZm0RLMxBcAm7e3UmxS6WEg7PXAxLaIPWQTlUmYc+FJDLr3XbD44wNzhc
Bs4VSvL7Z5JkFxCXFLC8pgbsnkyHW9KswfeaOg7FoNZXStdHs8NZBZNvhmN+uzOcIrfYGl4uIwlr
vQm63nC7m7lekq+jmwr931Qtt4NMR5b0bPM8QH5kNxqt/VYMdi/hlQ0ywBLXC7CObKIh15SzMy/y
bgZs/NyVFBDf3lHWZd5KrWULm5nm1qDdfUaALnnclFCJ4PoVHNWRUD3UrKFC5RHWM/0vSCTv1tKd
Pnp56kHCNt3lS7m6yhSC5sNWr8ZZFk3VFa+BsI9b1eCViyc1lJMUeBqt3Zz5izf1WuiulINOYirr
PBDJZrHk4kyt+giMZRaWW7H2u/IMkOZjnCyOj7ej81HDuKn0V1HN7+JBs34XaJOkZ2umZRDhM6S9
NElcmf7Y1wOQDzF89CanV88IPtl5EEtLMfh4i3RPozN5Y0BZoQDWq4kptOAnRraextPvJrWHOIK+
J53AxviiDvteJnGg2Rkitb5VDUIPki61rSvb7DIs4iiD6qRWhjrtxTOMsBOUP1Vbogw5bfNjnHu5
93tdxJDeFIUNriStelgnOfctwo4GGkZXvv/xDyAuomyhahdgvy5JJUYjCu+xbcr8wypA2WBPI7rH
hGjuhoZR/g6Yh3i/wC397+29d3mmN7U8+h3EH1xqfy67vyKzTNBoWwtjjRLqOYHqFFmomrPjTxYO
uMtEWPT2eJdnmoCDIJClJt1BLvJ1JFgWTtqhqgfjwBT1KasK62T16v/kOEzB2yNdvoSvR9oO3V8z
m3W9zqwWUplspuIkZ2/AHmHszjVv4llP04oNvHQ3bw96GXYwKKfYRTv+QIZC5gvM9JTp4Y9IYJ0Z
7t04F9f8C+kP8+Nfh/KM4/0pWHNrXVz8dbVMkvrJ1jLP6+mzMU5u9s3rmsL4jrku+AbVTPXpBt6Z
o/sy66sFj9s4b8K+jBPrhDGs12H3C6MlmoGx5X5rL3INFRzxipumqVbLNzTZdn6ZYgkRrEPb5ve5
V1IRT+yiHfyhAmUbctEMXSRasxyfiC1WPaBTNf5qzRiObJp1UocrFK+Kb5WaVvtdMTsopqWCu1UT
mrQCrYzr4iYx1mWET7MYw5OSOkShwLvT+QVAkPIJUcAWseQyGZJ7a0SU3vfiKfkd207hhGbrCOxi
hoy2o2mnwl8n3OWwdKyz/Iaif/uOdnZWnrbq0nrWy8x+b9IoQRPSkPXPhiDxbOLY9ewCg3/q+fH3
+uRpaYjUomr7cT/1IlxxhjJDZcjz7gFqs0XVOa+yz5rU3CJI9bifmZ7U301SW/P/UEZPMp+yuKTM
Hi+Ox/NY9e03Nx/c/ocsG4qi41h66b2VIE3yblWV/LNEKykOu05MzdlKTe8GXwxD/vSMMftYDlVV
3Ni2mKdbN5nX5kltODI/a2oCPfNV2iTQU1uA6ZKr/nHuhTlxvw95eWrndmie8g6SWqDOlpt91wXl
0Tvh9jwtODeVRqBVvZ74nlWP3m1jqnEWcXjXPlhnPYVP3kr3bBe9ttyNHQXDoE4h473HVsSeQEhj
JxC6TjLEX+02t++k1M02pDJObd+g3PufYvVipB6uFfNLuba6F7rwYIz3cZab7Qn+Q1UEztJk7ucp
AUr4sHbgCT/bhtI135OiUDRfd3p5a/Q6W9HrVDyPzVyPkwdFxsnkz/NAdLXSrzbv+zUz89ukanry
KQGm3MdJQdFCgnA78y3aAuK8zBqvXun2NADU3DLaL8h3OtMXYSkC5eZO178nnZGK+wbvLralSM0u
mLl/sVrplGEOZmcL5zxpNO9xM+KaRMHMUc+p06jNubGH8XmugPuGfIi6DyW1+ExwtDRkNGUfY/KX
yxU3y6aqUFNpLf3bWGToI/ZrTvHELOXyXJixWfpuono/vLWIDf7Vnh+bqliQ/oPMOAQF6Iofcdzb
1IaKKm/va9ebf3nCyXijppbPTqFqNu7b1LGUyJGQFvwyz9LsvCKjuZnGOvjKkEGUAn6kopeBGF2p
BUbpGj96CxDEibYP7X0kbDw1wNNPVGGi92oW1rOSVUgtDniquIQstZ+h2/e5mZvh3rZSg464G5fP
qiVt6+TmoNbvYPiMy13raSgjO6sTR9zBxfSeTCJ7zJFeam7KyZZ9UC01B8tJFzqLc7pUyYOqycm4
LUt1+ojfVfoTGrycfLOcez1YLYTpwmkak9ZH7ja3wtjuhyKIRVtaN56aro9L73b3rBqLTvuaPlZH
/wm7VVettdOae30XgkSxh8+zKnvnF8SPwT65YjAJNeYl7skpdN7exaqLIBfgQSB08WT9wqjT1n7O
ujp+njNZP2mlrn2yIMwkN9imZtE0i0oL8a/rjPtu6Pr+hr/CiEaXzMtveot+zQj480rwetCP2eRz
CB63/BrB+d1r5xatleVl5kYxqqwd0Vzqop+qm9/NbrE/Fkh5fWstq3zsW6N/zLLEPYtEtyffwUTw
WzLWc3yaZOI6NJNM7UpOehBjIAKK1AD0f8wp9n1+xc50dx4USOtx3AVs+/Y8e958X6v9cq+OtfXv
Lz/6khw8qt+gpfXt9/z18stE1qpsWYucvPC5d+Z09nnFytuYvZxu7u3ey9LEw+d/fvsBjmokpBa1
xIue/NqIVQGZh6sD8hQhSer4ENO0O789ymX2u/l7AEJnywEQ2bcOBmDK0os1J1LwgS99ksJ4DpCo
N97VeKx+7ru0vjetdnzooHR+WPu1+/n2DziI4DwGoeCBaBxJy251bV3NddmzuqtuyxBr4MlvE8ga
szJdkxXZ/qpdlMNQGzaFnvkl4kCFnKrOg85cKY75seqkpGQ8CmopPCTxlmt2bYdTo3hB8RApggsR
MT0XoiY8dyJNT7+biY04Y+nZH8p4VW/fXsSDOBFNTboYmP9u9dgtJfhri9If1wuuE4B3SUpyVE7a
O2uclg9vj3IZAv9RtUSwhHYLVIndpRAvtt6N2uxGllDU+zxPlLOJsiyLKNtbOgJNMOnsnrcHvVxE
iOMbWn6jSGwkjddTs1e3QuKcgp5epZZfd2t3IvO2gKeP2un/Zyh6tuwQenj7syDztovVqafMtWTp
uUlmw09Na7mp8viaZ/DlB6PkBE6Jnihn+wJ1a4o2Swns3KhLgdpvSPRHot7uyjV+ueEZhVYAQjUg
9aiyvF67tQRZk0+mE3GTx+oJxGZS+kZiOfduo1T4LXSZVvn/voibtQLVUqrRvCKvx1RzwWkocy/C
LWmLqTgFWsBDrAS27KYrufbe8ooqyyajtdW7tx1Co+v1aJXjNAhquXY0dW6iBN4QW+/okFpmQFfA
exkyPf8NLc/CYhPAdutvxIk+EP1U44VXgxD0KeQ77XnMhdLc2PE4aeHYJnlxHt0Bn+G2q3s3TDy7
7Z8wudEHQvklqT8mCjSKR5RzkUiB42f3J3AchrxdUKaZAoABbjSuPV6ibV4YP8GQDPqVe/NyB1Fh
QPGKw47c+MUr2DXjuqBF5USyq/PbtDeS+xX53PDtr3nwPCDtuFGjECvAm2m3vh5uga2ncIU17dR8
GJa++NqNXtP6hi41wxeDk97VVYpEtt53zU3mVt2Xf/0FwNJtDWlUsBgU33fvgxCYyxtTYUXDXM2E
XWacpPi5lznQ5gm4ejjPhvs848oz+AtSbnFIU3e+5hD9R5Dh9duBfj0niXY0tfALyIUqsryP0feL
jMmp9RDciV1/nIq2H+7dmhJpAK7aq4KSFOllbOCb3CAlUpG9tE4mv6aq102hVOamvoXaVsUnFcP0
7r7LJ8c4Lcpki7NWud01gvTlJmFn0HimDrn1gfeLV66O0rJ1TYoW2nrKcq0K5kS7ZhN0cEVvZwr5
J+peHPvdNTMpg+31mWdFNR6MgSxoEvhoApP0daV+TcFo23G7D2Gg1setSdl44xS8PvF5m5gyUWFF
KOTEweDNy3/jOjm57wJwfTIJUrtgQO78ITPkVYGLg/VE09yhMaNSLWFJXw9uqGNiFDYg+86hbJcs
dhHIxbr2OBzQmAF2Ip4GcxbpB6Dtr4dBHUU4fTe4kUfN8hFmHtNb2ko8C11BnY68ZFEorKlS78jS
OZpQXwqygqJWjAnKv5poPoiy9Tt0LlBtVF4TzmqTa42P1IKs/N5d64zed6+WJ7fI+7tWgusOKsBs
jx29dFDIxdB/tUcijgRCnjuMCCDrnXqCluf9dDWJ7lbtdMY7ryLLJ/3TlSZAyac1TsZae4U/t5P3
zzcesht0Y7G2IkyE9f96VaqxivmPuRu5gyhPWI0ZtwYwnH9/v9CXpQfCrUP1VN8FOY2nxnYyk11k
MPSDWToFtkS19z7vlmuv19Fugs6EvJj6R+ljV7wc9ZJXVCcI0HShhtTArTAlWI/evkCPTuffo+wm
REEvRx25YNn0bAW101bnZI7HlxzjgStDHQSIRKEIbGwYbCKP3ReKp6xsiyR1o0HVpneg5uLK5wXp
gZ9l5YPX0ayHNH/NOuYgyoG+xHHc8O2b+vHrfRGvUlcxr7Jhbcr8bGFyeVYnIw1oKMynPu20p7cX
9Oiz0dbB8IJsAnzAbpaV2s+jOU1OVLCW71YxLwHgM/dKaHO0llsLjpuV0I19/HpWXgliKBuRZqMC
6X1tpEg8H9mzwJhX/a4VkxJlwFmvKTofbJbNBXnj2RGUXjwYLiU+pMJNOyrnaT5nrYKn35Lkvu6l
/yi0Tui2CdvQiCPJhXu2zya43cHp1aqH7lRak3MWlv5TMZT5HV2e8hEuZXUFnHfQaQUkhxgwoH1e
Dpq+r5d0TjoWEQ3yiOpv8ojSlvMLoKTxhfqU9zKDfwzrzdgTpQcvLPTKfu7yJp7Pb++ey4gK8A82
BGh+2IAm9u8XkU6DNlyT3DU2pfWwwtjofkWzHMUS1Ao+p4R1XkC9pUgDT68TgnQssq5pzh8cmU0H
ZzPc5BGDyvB6JTBEgFQNAjuSmorZnafiUgsKVFl+12vMlZraaXPl9t726+7dpmSjowAGoAABsN1+
Ni2kRNPZUyLXW7NoBr/x1EwJKJFs6W+zFPu12ktXfySjuHl7xQ/OKwz3DZUJ98W4+OxTUlmtt1K8
tBzpPE12Pfpe7ZVXzuufy20/QYcQiBO7KVLtH+0cFmmyep0Sxdasare2gjbVqFWq4xcTGAMfLLf6
P1VxiqcchrT0qRpn71UzX7/r2mqtL1Va5LFvExymZE3WOr9rEOSu8F31EJlttc7WAk8Zpe6riZJp
Z1TvnTjoNQzignpIPAqdFWb3pxEm64OAWIlyyVBqE+ymUpF80sWdgnHJpuJhLOkz+COgdeu2TRLt
BRqDN91qoKvpbSSj8UFMIv6CYk/2QfZ1qYdFZjXiRCsllTcLJNjnFSUsMOLTpPE+krsDU186c/Gn
Ihaaj7/U/NEuYPIHBWJ8czgvg/bemxXbRXysKj+MdVrZYTzY9ctItIaHl9sSachYsWl/ZMBKg36u
euCYnXREWI1eWwVSGRrbl4mWSOITJfvAMzMC7Ud8ZfDTYe7o5TRz/Ww1mCGF2oyUG8I+5aw/YVrW
1EDGjXrzt3aXu5pk9HdlSf33kADwbhfW+DQlQ/UNecrC82fK2SJQaVz/gGhsvPRVVv2gpRl/Hfqk
/+mWmb7c5UO+foJYpdWhy1R7RDgG9wEeLSyu3FHKM1akZJ4x9SHTRzoMIn0JTdH8VCmOnV55ew9u
7i36BoBF43njgL8+0svgCkMbBgWiefZlmXW8AvNec0+mWWdXHsCjoVCURi6DOJwoaRdRdI038TMI
VDAJnp8RYmme6gr71SxxktM/n90N0qhT/IEccPHW0uDLY90lopB0TG6LQS7vlnw0rtSYDq5Dd6NC
YLqzIY72Yb3dtEPdTI4bmaOm/McH7LDT8tQMmorhkjI1OEaG/z4xcCggf0BVqQQvu8+ViySnwUeZ
YEGAQ3HG8bHUIa6+PcrRlyL2Y90oD25VrdejuOmkdRl48WgS2hoWYzWH5jD9BE5WXNl+B5fshl+C
KPmHkGtsz95fFUjTVkrbTpmPk0OrMpSsDO02vtYPP57P/x3F3M1HgQValzVANIqdZVCgg3FD4ygL
JATY27eX7mhCvFeU/TfZGzQOXk9oqDu3GFOPOpY2WCdBueuXUJz8xz+PwvvLu2RtzLSLKs7QOG6p
9KkXJWKsTsbQLGetaep/P0UQCFUeJTB1hJS7ZcvRfqjiIvHwB8hcjQxtir3bKu8neWXRDr4PGROl
rk28dNOieL1oUl3jqhKbE3U7DC/FlAMU0A101Oiid4n/9todDYaTLhq/eL6APd19IT0eKb9IEhvI
GHEIxR4ULiaYfmxq+ZUL4iB48YACGx6tGCLIfaya2DWRi04vpqT8oQRCq+mPx4WbG/7SKK0EEDC6
P+q0XXhE7fX57YkeXE9oJfPpSHE274zdRFMDLatqpe6+THPlK4vitoCsWxOKbbu8oGqSXPmMR9Pl
NMPBpSXEP7sB8Wk0tBxwRoQaRPET3G9OwIYvcki7r3ynlGAwYWSo78TYo5T39mSPvio0CRqkSE5R
8d+PjU5ZNmzZFfDe9U7ao0WoY/XOI/APU79yPx4ccuhd+MBvFT3UtXaDCS6QeHUaB1QeHuK94VXv
3Eovr4xyOSUkKeia0MDYKrX75RyNYXUWIWIcnhARB9kg/EGkzfvZueoEcsBZA3iIEhl28A6e7Pux
AJhqdKnTOKo7Cj0hWfqShlvZCFep1XA/kVL0U4Axuz2FQlZiDpoqhrZvtmad6L5pEh+enFnY12C2
l3tq+2GUquFiwFnbK4CoaA3Zos62+GRNkjN1z+IHUqPmuRGx1iK4J6QZ6EvSZ37ZdFZxentbHQ6/
AanoTHDZ7s/Q7DZYb6haHGXDYFVBSrtvROgI9KevJKK5HyfV+AIussxOckLj7MoFsm2k18kBnQrQ
G0gwIs1xIRHe9OlU47oRIxEO68dUPC+s1XY81bFnfKiS4lqr7iDX5UEhr8ZkeiOp79Otvu86OqtN
HKlGmwWjKaGTInVg3yyDUQeDJtWTpeX4gbTu9JSnQp4Hc2o/vL3oRxufhAsECQVTXPG24/dXUIDn
wiiE1ytROk9GsHgzzNlS1ie9dqwrZ+zyJG8PKCVT7oyNx757eZxC2EkzNUqkz5hVmDn5tKNXxv/H
LqJHjWLaZuF+0ZN3Vjm0de1uq5ovZ1UruxuAX/lpLtCQGjBRCctiMsLMQc7x7aU82kD0dymtgSUm
Vt0tZTpAzItXM45QALaDzjbMx2To6sBVlfq9Qgfi2ut6oJuNryutNW4MMIgX3d7CFCb2eNKLVuAh
W95WFfo3tMKS7oM1rnZ1rquh/uJIaXwSY22WgWMXjhPUsZs1forO9O8R6t6z0QiqO28vxtEtBx4S
UPUmagGSezvtf20sq3DXUu1bIBmlVVTncSqKj6qd68i2otP3ZVpUrT3DHa+/qYqXmD4i+fWzkTl6
H06Dk69Bp7RacWULXlZ2gKASjnDqrK3OtPtRotikUHrHifJM/bAM1UODIPlN5gnrbkm08kR48Gtw
9TVMyq787+0VuawWsg78IYdBLeJCzt2u9dSwK6qFiWY/DnURFmkfAEQq35VN+n84O69eq5F0Df8i
S07lcGuvzIYNG2hobixowDln//rzmHPDsq1l7dGMpkcCda0qV/jCG4C9obt5eTzixtkGHYSpLM+m
RTdEu/8Evt/FklaW9tX2AgDgttwdg0SRfxbK+Hp0A5VdgkqeM/SNeUHuh2qLEb4X/dtraKaqq0lV
e4Dy1ex8vs0JwTSZ+52Ibi0DjzjUCFIpwVyB6flHYP0pGQZUw49Tr5FsvH71BDR3/jV0CgnL76eE
AJWqewMptG8AKgR7mh3QwxGOoXp7OeC87RZPD2BsLizePRqYy3K1nMNat6TWvqZCtOGl6aCQOd6A
SYaD/dSQu7IRgkRXO8v/KFextHdYN24uxifMIifgH0uAD7UPixCLe0S2pOlgQQw4TlpTHnKzS1xI
a3tK3/PSLefLV0SqkIYtdJZFTAf/VFXGOZlva9G/JRnS0dcP93qeW7Oi2AJJi4CcB27x3oydRB+A
xOTq4+sa3oSv5B/TUOMalgvTa48oDb0e684tbNHMRZJgA1nRx41Vqz5ZnNlrv1S5rp6KdPLeUolL
9qidW2cBpVmZ0Zjb6iyMUtraPXv0OhRyj9AryscVNUlXRuZ4pzq7MRTdQfS7ARnMCqGLzyVPIGC0
0dCugQmK/jj1dD4omQnpdxHUcXp8fO62Xg5Ks9Cs5osLaY3FcHGpTP2EbNEVZGf5u081lMDAHcux
EyXkyOdxyvPhRav6Cd19v0IdprNhTx/iWK2owtawWY+DXMjJzvu+sWvxgSWP5aBwTJZ3HOonZZz6
UPgTXaq+TLL/ZRCZ9PJ49huD2HNaR/qGMtWqUyYHnqYUHlp/SqH6rkKl8CqNoPsfj7I+GnNBC6jG
bDbLf5fvoFcqrT4DF1srLz5IRmuPuHeFBhCcKfoejr6+c5mubzgGnNVUKaQItC8WZzFG5tKsFcT2
4PF5HxpDT09DaBcfc3AjzjQG3Ve4RplrR6LeKfpvTnV+8KnhAc1eXuO14jVaJHcmIPdhPIMaK2gm
aYarQrilE6m9XhUBHXfsVpF54iWkTX3/bIyxbdDhL4Hlet1wzgdPuVRdb776aQdSNRejVKSJiQGX
762KyiY1IvMKeRmel6z5T1k1/bDVLn/9+iFZSqFo3vV03BfPoG62Xaz2IDLRz1bfqa0NLLqpUaCt
JOU0yaHYqVKuwyQ6jRBpEM2jY4z27v36VWYXBQbMKyAEyKBHRlgdB5Qm3E7yhpsU6aOLak+3cx7W
NxxpGHm/wWvEM7zs+AHMsNWpLuipVrZxCHOMQthQxXHWgv/8+OitDzioReALc4fNJk9ZVGEB+7SM
P3iXwQiDD13dV1erUPo9g62NGTEMTyxyayzikhU8ag0Cl3D7LrmlS4UrKUp+gJI4tAdZjfdaAJuD
UfcCQjuf8KVaMmLJuEqnqXcZZSM5122BM5NRepdAKfeQ3n/6nnexA5qVtPWJSSiWixV9TcH2zEqN
KrhJowUuM0CewzzKbYwQUjXqzX9jWvTDIUeD3XDkKkGLqBVN9j2b7Cg7+qbI0PIfhvJLJvL0V59R
dDq1UzvmVBqS/EfAuHDFyr70XF20ZuJGUwneedAsyXzWfL6Z6vg+zrVOMkW6idBR2CZunuXI66Yq
0miHqY1978BjOn7RSq/81Y9xBKoRYFeLfBSADm72EVHjmdHqaqhx8YdT1mfHrDWbzi16r3wW0kSJ
K518fOLrSUu/8BdQyJqqrPs9RX51AVcklEOQ2UoLxq5NIHzIU/wyTBY0mFdu2HnBZzsdOrNUGpc5
EwzENPPwQrp5Q+0faPVk10wF4PB4lNUWAmTLCeQMknGBJFxcM3IgIVHQDNK1BhP2WZcL7ZBMSvsu
8HjTHw+1OoF/hvqjFsFIK7iyFSADIQToDLOqw6PWVeqbKUv3QASbo/AOUE+irL9CI05J2xroe1BM
6xP7jISkdMzgr+3MZfW6IdeCfMks8gnRYlX1Lia7ijpLeFeai+rRM5vEVSQ1/OrZbXTTqyHccznY
+E5UuRHNnYFvPOiLh4dWWG1MuBXfunjWq61l8+yBxXOCoNvLilYvARcJiTKxIFwSbVVP6fSiTwaj
Sm/0of3oINS2PnRKgze9FUKDOgg9hvHXTObHx/tjFaswrg3nHTlnjVrgspMgi1wrigTW1oSa+xEi
GnKcmpw8ax0dhUyJ6lNXtvJzlqT9Dhh8tbg0Gak9kgJyZa9r3UOaSrS5RHLLGu4w4QfUhbspATUQ
NDsv3rr6yFgcbBpAVNZBmSw+ZG1Qgs6RhYCbBufNMUPKyYWqDKcoMwzfoUpenlojN28qeoEIaA5l
a7wpba398urVxhhoxouSxdirXLCQROgnqhTfbK+t3gZSXLtGDKfdiL1fsRrWn2QjGEEQw3x8PPDq
gLIAyDJSHqGcsK58ogujjYVhxWwv7DRxRtbfNgUuV49H2fqk0KBoHELaRcZo3uR/lcEyCkmRjDPh
TY2H+pMit/1J9UfvSRfDniDH5oT+GmoR1Aup6MzB0+JbMxTGwVbgsaP47+3cOBunYxaKmxndZISI
2NxPCN2ToKibLLnFfZ9+J5xG5tGorHMBjviqzyxc4FACLmRptNnnx4u5uu34ZH+PPf/5X4upamNX
wX6Kb3qcZkcts9ENoJFCLC8rTsja7myRtdTLPCBRIdcdSuHsl/sB8xK7FlgH8c0aW8ynVNVPrhH9
zC+4hcU5hUrMV5y6CaqDPHpg8Boy4yfh59NbiBfpHiBhay+xDyGaAaFEzmfxayJ94uvDarhVY1uo
jjlY4Vtu6apwdK1vP71+rTGjmnlReIPzytxPPcHRRbOHKYakXXzLtNA/BZHXg9yvwkOiDPnp8XCb
c8Nr449YEMngYvPagVlGkzTGN4W08Bboeu1iuyQdAt8QO7prWzsY2R4QmwpYs1W1Sw1Krw+0Lr5p
lVbYjk919EMv5dNFDlqA973pYw5VhYY3HNBPiF+/h+cQGYk+roU1aIFa4ziIIoxvcjgZJ6qXv5Ak
9Y9QJNsPkRntFS021hVWxiw3NueLq3aI0mvWmOhVcuuqrnlvi1b/Xfp9+W/RUQnfOS6bYyEzxoVK
9WvVRLXEFAetUSS3hlz7KfMMcVWA/F1bMb7a9Bly4GzZhyctcqSrrnDmoShCeYPLGzeed5PUTyfD
T0FMS6V6frwzN67Vuag9Kxxy461LF1lvyFD441syiOj9IELr4o/gxB6PsrF2lF9ZOWqwSKYta2wK
sH4DmYzoVrdl8O9YN6XbJJiBdm2t7UxI3TgAID94bnFmAeC6PNpSWEKXIx+69ZR9JbQNCrM65j1X
yWlIkw5MFULAWJC1yKM7NAKNHx55EhYzlSZ/a6a2jw+Imo7xkWI2+sFwfkI3aHoDbySpq22nSnz+
fyMwWHPSHuY4hpVWdCREHanMqaDDXDuwoUdoY8CG9/NU+1UGVR+dQInUyKA1lpfvPFtb60tqj+0B
EDUF9ML9ddZVATyUNItuCD+XyCQk49HOJus5qPv3j7/k1urCwoLTg+IJ1NHFTSZZwCuxHqHgXOM0
ZpIdnK3BiM9NKnIX/n7qavivOHKte8fHI89zuEuNobHOSDVyVKDZqzot6WPlpWpO4N9FKAPQHkV/
I+7PEfxoJ83kbmemGycDyA2URJ0Xad1N8wNvDKRcCm6tQTsmz73p62QO9k44vvXliMfp6VIUWiOj
UkrOE+K54c2bOukadWr/IvVVe9ao4v8PQxlsjj/gcxqFy0+nC0n4vhzeenC1hzL0q1OERBDo4G6v
ZDLHfctvNecZBPz4eq3YpdLY0gFVvfCW6JHUn41Gw9hYogfp2rkXnpDJTD90okLp4/Ee2VrNWUYN
KjkB3KoJX/aKOfmRxbhBlB5QXBv+Tb3hXeuZ5cv/MBKvztx4RJF2FTsBmgsrIcKbKQHchWmqu3B3
dXdU8r0ge2vjz1twNrwAuL883E3fWkABx/AWjCPS8Ui7fE/QwnWF7Y9PZonyyeOpqdrG16P6SmAE
SYDtsrhNsgbJlyyx45uJkuZXbczUL6UZxx/kQqRfRJEGcBVK5KhDhFU7HHs89XcuRdNHawoy2ZVx
6Bhd4p2kOJhdmV0HO28pwNdBcuv9JgXoEZnd945KV3Fo7HIwnHgQyLBXai4wA8v0ZmdXrPri3Bww
A6Gnc6B1/Q/b7a/AmreClqM3RLestbobxyD9WZD3/sjNqMKiYdItfIcqPP5gzVqftR7N851Haesu
QbcXpVC6A/Pjfn8/18Ia4NOZ0W2aRP5FM3zFzWN/z4J369QBtwFp+ceTbFnMVr246UAmRDepGjNH
jUI4oGH6GWmK8mJjS+nCplUvjzfL1okDHQ0kEfYT0dEikJ5oSdTIs8S3zpR+RHapvC3iKLioSdPu
aExvHQMq9dR8aebODeX7NZx8ChQEXPFNQmLomyUh60FbHOfJKJvypx424M7U5vtweYmBWqZcQcA+
16DuBwzsDkLMLGVtBlXxzJEYXTuUmgNyiTpN1r75R6ul8Zgk7N3Hi7r+kLMvL+XzGaxHhrIYudZq
kEQ5N3Vj98A2lKJ3cs0ajlbpVe7QtrPLsQh2apTr6TIoefxcCkX7c9kAnEoiGCQV2D1ek11USf+B
WpruJpOvulKQiOfay8VBtbt8py60Bvr8AVvOMHEi0Fk18H6hrVFoVYjA0yzPFH+VOj0RDnLL0wRn
RAuPNFL8sx9VcQjlxJZ67h1h/+PVdf6uzMZehV8i56pbQyrZu3rX3dr5pyEQycIAZlv11/ySFhhJ
IfkMcqj/mOWQ+Y6ok9Cjg9JlvxQjy4UTa1L0XI9N9oMGKgGR3qjav7EOQd6BAgWK4/HumJfjfl/y
mywAVlR3iIaWB0FBnkhKWoJpOW3Rkuoi/WRU/qtlFJg5UdasvbOFODazqJXgkUdUrlJx66QYYeUC
WzPVaXUbk+rHc9rafKRwc/NohigucdsIMIVWK3FFx0EovUmTWZRMToYjyaR8TmVtPEGT0d/oVpDv
hJXrC4x5kkxR98W2fK2xjKltW+MBeut7Xb4ghO4dqpJnTFKy/H+YJHVAEmNwIZSYFzdYqdUQr9I5
1vOD9BpUuQhBq9mSfgCDnw3OOHrWPyWaT2+iSYOA9HiJ1/cnjUfClZk0M2ePi9F9sJeIlCXhrdTG
2sWhLv5g+mbgTHkfnZFvCXbevD/y28t9qqOaMB/pDdkiVInGEJWI4FZ3WvQ2VJs+d7u8yBqnz6Az
HRoep4qPW2W1O+VWUTiJZ/rfzdiuraNptUN+jeJ6rF5kP2u1J8DDiHYGfdi/wzGksb50YS81R2pm
Ufp2MtWcW7H1UiwlqlRIl8qIB+/coJ+H0ZU3KrNhBz3601DatXZMOzS1bpruwceiVNFqztR05dve
6CKIcRPqWw6vnvcmjbs8cHNrMr4Y/CzANQHa76h25fpbfLcD9MT0CRKsHzb5S2KGkXHoB0nLj3Ze
puGxmpLJdsykombm8y52zoC0oDij3oS2YAcKXWLSYZ67RVFXkA/bEadfLPu6H0KiZHfoxWCOZ6nq
Eg55iA2Jm6HKlLuqaOCm8f5k/WECuRw74dDFBsqoolNhIXiGdVLbEORdUsjpwPkN9IIGczq0p7aZ
qvJCHKd9TrNCxho9lr3iUA6d/F6uehw7W8/ogsPU9Iq2EzZvbELSAvCxcxkAKav55fsrFBuKWfm1
4E2Ni9J2UrlJ3bHs9XcRv/snQijdp8ebfuMlRdUJOA23CoiQJSsoVfKpkcowwhKlVSVXt58Q/A8S
tJd87WeH+/FL2lnFzku6daVgPgYJbm5NA7y/n2TbWDbPcxncxsjH/xHZWCxi8vZc9q/HDHJLC2Co
CP3DZ17nBtBSytBIgpuPf/GJW7py/Vh4b+pc3lnJjS+HOQJJCGiT+WVYPNJiGk28/rrwJtuF0Jy2
MqIXMi3j3AxW80OUsrRzX209c9TDacLhMbVu4WB/hCVPWYa3McXm3JE8v0yOWBPhjv14j2zNbFby
ALMHFoQJ3n8u2WgNeiV6eMNvqXJ7Ty8PrVI2DmVHMNzduIdH3Noe9N+AtlDkJrZYbI/B09VgsMDs
afJUnHEMBooYd/VLW+3m4ZtDIeFB6mjOzeCFwAMWFWEnZ0F0M+S2e4MBXnhTCq0+jqPxatcxdiJZ
AEkOoEMaJ/NP+etkZ6OCZXU0sIpZph+lOtYdhICrY6DHe8HC1qzmShcsBmyN6dLcD9UYxoCrcjzv
jMGwXKkfogtal55HkplqO7tj4waBwaCRuUFpneUC7gcLdWVMUqDdt1hDHlWbbKt1UsQzkb60inMz
tsk76hh7hNB1ykrP8P+huejiQpi+H7VI8pRyAvFQOujhD9pS5THWlRJ4uRim9Ej3AplNuEnIWs61
+M8++Nrd4Hdex8UDDvQSNirGPvOFrd3/CFOueHd4P28gvk1KUlkpvZPsHoM0LFKSJ7NBGu3FB+tX
OWMHYJTmfFp8TmU5Jb4I837Pm2DjoKoAY0hN5gIvTez73zMoGBkZYR7erAEDZqofk1NFueqIoIqP
RuNNp8cXw0aDbDbdwsOXTUbtRV4sAJJJQB9MQqZAjZAdhj+CZ/eE2xtapIdYlPHFMPPipPuTf8So
LaLY3Hq3yZr23Is37kKg9RQ/UWMkhFv+EKUTcphaPJtRkrQX0xPhBzvVvf9lvrN0AP5KXLzACe8X
uKLdWQs7iW+R1XQn2Urtk14GultYk3iDqmp2NeFVug15kFuJktpPraizZnF1frzyGyccyscftz/o
BKTC9z8k8fQ8N3sR3YZx8A8mmFIHRtbkIlazV+3a/MgGCDjkVKDVrG6TtA49ZLu18IZjvdY5cl5b
4tDLavWTGLF47nIr+pzjBXERwfjUe2pHqpepgPTr+vp41htXDReaybS5qy3+937WUOYJTqaCWaNv
eCEES7o3dLfa90YbtmeS8eofqg7D3s29MSzEQDHXyMCDUIe+H9Zv0BLPqahelWwwPCfHqhaVFywQ
TxVciMxFCyrDX66wECR49YRBXdMtnGtja15FYeJO2zWxfdVFY55UmE1XuzeHs6SH+Zuo9rRTgUTw
zqAbZwnJFwhhMydgXQ3UprAxg4xBQyX3T2BkkqPRUeN4PLWNHWwh8gnWmfBsXYn24sqiTwixM1JM
RNjKyD9Uunaqe9nbiTY35oM0AWXomSOlryrReCQERgpC71qAunAGrVLfN360h2DbQNRAPmY25CRU
+lYZeg3RqWlUH+WxsRl6t29K6SXC2IqIqfdDyZnawtDfykVUhSdA3mWB+HGd+08lhZ3o+OrF5dNx
QwFFnikCi6KjNBqeiSUKoD2SxVOe5sbnPkaSMzCnfqfquDFvuLPEGty+FDhXluJEvUmW4R92NTJz
espsbxp55xTlR62mU+lGil02x6KYvI8hep2xm0V192w3lfbz8Zy3fwjR4iylsNHXRGc6QKmkmHV7
cu+AIkToVhXQBYdCmYdcUK2cMDEbXRVlkEMKCcVRkZD/9fhXrLc1q4H4KtVewuVVKX0sc1EUXSEh
sFXAI+P3OAPXilsKOK2Ph9qcMBuNG4IXeM3/A5mpBx1WwNeY+g03kl/Cdg9zzUOBHfTEJRANvlt5
gOA8th4dKng47Fa3srLU4rDzW9ah0Cz0SSjD/UzvfxlyMpwdN0L49M5qUKsIbxkfo0BK3qV+0f0X
Ae+80HrSX8akGq+IKqTTMZYgxqNxHvjdzsqsg8P7H6PeX9iFIpM8T6N/UzM5ewkAEsdOr4zmUxkV
vYs4uHVEaydxbMt/X9TZuHPhbH4YqqGzBKIGrXYZF5Z1obXdGAS3iBTtQP0wbtys6rUfgzcS+iVx
Yb8bu9w7+fCRX/C7t2+shfRqUYlZwQuYpjwL2eqr6CzS2Yy+0fq3WJjNJRUGEq9TgtvNzm2zDjtn
Zi9i5OAWaa0sv33emHYg9UCEa33AtdmMwGWKvD0h2o6PA/XKD48329YZg7TMi0zDm1d5EfsHCLJN
uj1wu6WFdKiHAtf2qUNcNEZX6fVDzdwRwDOzdeky4siszs+snjslElLo+DT1Dr415d/qTEYM6X8Y
C0wmSEGNC0TX7netGYkszbLYvzWwvXGYABQpapSZ5FHstdu2VhCNbRIoMlKaKPOT+XcuGgMgGAJD
unaJHHwIMDn4nBp99w6fAvvr41mtX186pEiZ/cHroHG6CJlrTwLeDq/9Vupdf9QLD2+lOEl3InNr
axjKZVSVsNyd9RrvZ6Slvsi9fkTBIWyH8GSGuty8HYNR8d83Qmm/hFWcKG5qTnSfu6Jsvoc+jYFz
52NH4ga5nQuXB2JEg8G2o0/pONTRye+oFTtlM8o/h4qnE5dwHJDc3MTR2jUAW+vnishiOqAIR+Wy
Ri/6N54UAPJ4i9C8CbRwiNy8SvBAaWoJia/JFGHgIrdn/c6qziM1EGJ4j3nc4DlUiJLhufRytrNs
DVnj9sjLkTNGlWlefEsudbcLAiPjScWFs9XJgI/YIhjVAeT8YB/J+ePOsYZZIlRWJ+tzhAtH+jTW
dnOl8d+Ux1GPRHqoY0W/JGaGt2ZpFkF0mWJD+2YkOhxTD50y7xgPXTqdzaSX6qPS5G3xXMhFYj0R
7o8X3x+y2JF0gFealIOJHpGX/aeyIOddA62qfpLe2sFRkov4rVo2ZY8GWVqNCNdHTXtsZAnDB88L
W9SBU7/MnVqu/Y8kTCnyX36oVg5WNX3oZJmCGrRcV9TNQknPv1P7x7/58ebcOAeggeamqQxFDMT3
/a7xQtrBaoAmQaT3yRve9VklzQfyMVFtDnbO97qFQy4MXMbkqcat2p5/zF+HzquqXPOzKrzZ6Iof
6ScMDhbqEzwPuTkaINqzNAkPihnsDbzOX0DOUIGYa2lQxpYXCz6ArVaZFu4uchz/E3WV9KVX+shy
SbKa65DGvMVNgUfI48XdeIVhVwiKNAiRyfrS+cnSAq8tY50qb5DXzxaLcsHj5rmHbYyzkP4fbU3p
jFInhfi8LXcu7o2eKeU8yssztIHLe3nv2GJS9LRpw1sh4Mk4Wd4V5zGgDOS0qHpd6kqHK6fVHp7b
pTql38AZte9bzSaZNDok8walwp4+aPvL41XZ2HJUKuZGE7QaCo6LXWCmEOnCSgY1lRvBkaeT/DFq
0d+jKbazu7e+O+RpLl2yAJ6VxVDhlOvqFMGVQqDfuEXR1LqJnf6CLZg7ETS0Iz3jvc781vS4gpED
AIZA7XGRogfRmCa95fE224V64gJRrl6lSU+RpLQ7d/7WUEinkETOsj3kx/fnKW6AnxFgsa0V2q2C
3s+hq5TuNMTZeH780TYiHPJhOsmMRx6+XEmvty3AKTqPWDRi0ZMntv/Ut3nX0HaPmnOYpaG8c3o2
hqQdOfcjUQWjp7B4N31EJbPWsPxbEBfBMaLl/4n+k3+yg7KitDZIOwdmY7PMTV6aFwIi4Kq0lUda
TwVD8m+hrfJEt8NHzJ7zb+CyDXfimnREj2fVziQ3B4VwSQIz446WgXICHNw0ZslRIyxbt+pU41ka
M5JnDODd0bcadyiKaof7shEqkKZQq0YYAOX1pS6GUdmEdQYx3SDyCHszSpKm63EgzJ3ZbX3CORoh
RiUnBQZ3v0EVVIuMxpg5YPWUOjQ0AleLcusgDdV4zsNEOj7epZsTs6H0zEjimSB5P54Xe2lkziS6
KsZ/zLQyDPBisbdRNo4dYT5AdbppVMWWx04KuwkjMku6JnWmnvuxzdx8yiy3xuvo9ceODiH8HINN
SUq/OOHjMNptYjOUrvr5216C8JFq9ld82axjbgM1frx+W9/rr+GWIpMRGGaD/jC5e2CjvR4I5Txq
WXMQQaIeQaftleu3VhIwGo+joPiP5tX992owHhtNb7Cvoz71jqq0+S3wB91tO6nZwepuDQUoWaAY
DY6D7Ph+qLGAxqFUun2tx3ieS15c9GJgFdugOz5exT+NrPuuyHyUZwAa/d01vryuOFu4PkL2z9Ts
Ygx93QIqiHoo3aP2dpA94ro+ruz4mNgi+lnpbdU7PaVngErtyInUtdGaLk2mzUZmJM/GRzm0p+aT
WQ96c9QjH2ynSvunPKT5JIv3yFOoZyuLxZdIx/vRFWBz3gRJZnzEGVF8aSKL2N3A2FN7R1HO9E48
8/nPItHSzvU6q3nrkQv5P9DuQAcB3keBzdkAsMxFpyQIDyYYdtnpJc+ynUIHIu/Y4CqsH/XUodEV
gBn+FrZVMzqJ6GX9alWZ3LteKHdfY2ya2jMy7OIf6nE8UmQoSXTQgoBMSFJ8LMjNGqM9aTSj3yml
czpHjz/GRsxJGYL/zPnrLC95/90nw4BCXyB5HKix8SZB+/cwKoN8nBtEJB8kzRIgkV8ov+U7Z3dj
x1F0hTmEJhBiBMtrolYIoORS4TLyRH7q+RuHJKip94xieHk8ya16ywwjIMSdhcrJNO9n2RRSA85M
k67SZBqXkdwWipgUj8TX7EApGSWHx6t3q8DQn/VM+96iC/bqogTqt+DTaU/o0FKWTYJUC9NWZEAS
06awcdJJG9erzOmT1sTTzlO9vudBjc+hAc0QUt3l0qapnuHoR6u6pzF0IbqVLklctr8fr+rWKKgA
4sY8d8ZXVRYxgeEpcOW8DYWlPOVjj2M98q57mC9lfeviIAYnG/AJvoiQ+xcfb8DEtAVnBVrPaj8o
QFy+x90wGa7IhqRzgVhTQkcauHkmm20+J4E/oeMBLTacFOM75NXwv6ivbMDKcvBprAf5MgsZfn68
GH/QG/eXGmVWWk6oiBDcruqblGsSqO99cOsmv77l1GpGR26D9HcnWf6FtAJhARVq4NOIIjx5b4pc
+BT3xyKSzIPo8IzszNZ47gJjuj7+aeuDNndrDB160tzjEItHMmincEDm1L/Ra+jOiZ5WF4EFs5sZ
yqtlMgFUwhoA8quSLyPVf/+pLMmiDZY0wQ2db/kgJ218jrLSOyZavKd/r29sP+DoEOd5RsByLhv8
GWEBiDjiUR/S9/eOEipC65QZ47Ontf133CebwsVxCHxzKbz2GfhL1zmgfZrvBmWN5gkPmvE86HWn
Awmj2nMYJlv9gXdkKp4DC7IMGoTjNJwwfm0o7Ul5GTtlp9Wf/CQNv2CY2geORpv3MqpDlBwi31Pm
0ks+fLMFYNyDLNr2fTFjsQ8anHjqP5JSpm6aDhgDKL4oBOQpWfve0IOh/Jvg4YrFtmX/HvocV92m
NHyDhsQYla7aDZZHNToPP5YBnP6dR2Bjh8yQSjJsqtG0hOY//6vwINHxilEzDW6pFXauOkzoOwLb
/jBo+R50Z95si2MyN+HRI6TjgCfGYjO2diI0zyb9m7Lom9JqwXmSRONaqVYdVOT139uwIQ4pzD4n
zJrx8PgorNMJ+IAUHGj3YftBA/N+ogqIA6tNKAxXWiwf0spuDtCQS9e3be+tCi8EWGMZ7dzGW1PG
wR3VGtJ6bv/FofB7M40lPSGdkCPrWNF/uTYGeq4uOt7eS+Z5I6AUL/XOQZFTVyjbCojw43mvva/Q
gSDoAvUxY1fpU99PPFdGtQxk8qgp8MrPiPBpzWHWHX1SGjJkBx3IrjuESZv0uEJP4E6oVTa3TJT+
S6RGw4uaDfLHQWhN4HjJQI0kz1Umg8ZJ9kNB5X9PJXx1uOffC62SCghl6JUFnTIZ0dCA7byacPI+
yFUbfsOHWt5h+v6Jbu52I8PMTQLBIZyhSer9shBgSUlp2HjQWlKIX0Hg9zbyRRpqbGOFrfCFh8aa
QL+Gkk+66XXSxcffoLmoSmN9T0NbCz5omS91B5iN4qug/FnhyVTb2iXOYmqafOLGPPYyOjNvupiT
74pAVMEHxRti4SIrYgBCytVGnKUwlGoXg8b4ezbo3QgaX2DtNDZJhhhMHAO5FWZblqdAE14Ocx/U
vYMly/QbbmqJTbDnqXst+K2vgCoXLVN4kfIK1yeJSBF+Sc0cKZvgSkt6vGleiff24925un74CrMP
HjUowQPyJ3r76/rparUXWZt515IW13+t0IK3hZIMumOEpOH/w2DcO7MKkUzUskSjKZ2XSSgZe9ck
6mIcmifQT2qSPmE6tJforGJr5kV/D1YG8fVMNbjfXZNntp7mIeQ8hiRtvZHnxzROrOMoT91TTYfn
LGVxCWzY2Gsyr64cRob7Al+eM7zGTnRBOqSS1dvX0sbNySnGWFxCOtqgcoLSlSxyOtWg3aGlYjoi
YJBfH3/RrY2DsQSIWmC1XDmL66ZXJjC7bW1fReYFt56Yxo1j9GYfj7K1vpg9ALCbVWCIvO7XtxYh
dSdPAvxiVqbvePlAeEMu/m+EWeZFkvrvYLFrFzrZq/GTrC8B76zcw1OGjNb9yFKOz01k0c8Q/aSd
C3jP5wFDGIzYiuy1adLMakVJnTo1/B6Q3/dD1Xon99m8Xz1INE+ZKmdvsrI1T1VB3PJ4PTe+GluV
15GmEjXTJUB5nNVMtZCHyurL+p9SgxEDt6PbwYNsfDVKGZQuaZpS81+unZFjvznopn/TOiv+7atd
f846zMiPRdXb3yYl1bjXRBac07jYw+dtzXD2NEUzHfEeqIz3i2nGkmU1CIbfirwVZ1lrtf4g65jT
Hh6v5Cpl4aPNcgBoGVIwpctwP47dTHGGwjJRDkbIR/ptlyntjnbYDBdS+D1sxcaKzrEFXNq5eLO6
Z0ZtDAFE+4AstaKETWfap6IdjWOKm99nrVTLq2ql1dcGr82dzbmKp2Y/TyjsHD+uuVXVaIhz2wpk
OlYJKDQ6IjMxI0niT5iLa2+SqfqdVqq3V53dWFzKs4Ikgy74WhFoTA0cmcwkueHiWHhHZHgly8ms
3K8ds4f0cmzqPI1OTRjl2sUblLq7pbBlcPjpAv8LejsRRCHSh/9qq1KF0+lhVhyJjqeXRLVb4SR1
XjeO1rFNHUAX/lmRBkNzKrsSFteYkJ8HEAbJreqMprjVQeU1Tm42luqGcqr+tNIR20XJDq9d0Vaq
U+R2+A4bMv+rMXn9V8+X+9+hL3s5aAFscZygsdX/sKZI/s1SP/SPRt3KwTshxvpbEwv9BS376Z3J
hvXBKckG8KRkKj893q+b35FzDyEGTP1KCre0M6XtE5W8LYiQCE8npVEcZI964dTgcwyquKEVukNU
VtrOJb7xVFHCZWAAeMBDlmWRqZZCm54QUBizTZpz0sU+lk+1r4uXPK6rt2z4/oeEtdwzCmKt+lQO
HhLgj6e/Jimyj//sqVm6jMtp8V6Fipa0vRaCh4/iJv4w5ygB1k+YG+C5ybXktIM5Ta7kKf6POlUG
ZD7otRwgztSkcqXZfZxgaO3xN9ZlK34WyiwQVMCXoKKwuK6ojHp+3XBV5lldd0cGqgu3KwtMQAf0
2hXHTpVQnBWlKxq3HkuRQK00dATQ6NXvYJa2vhNZE9UeOi6Y6C6ePL3FW6LoSZ1UbJMPsyL8MSpG
712SYEfjpYZwbCnLDuGAcW+Mvv5/jz/RPNVFpM4dQ10F/DoKFssExvs/zs6suWlkDcO/SFXal1vJ
duIkhJAAB7hRAcNo31pLS/r15xFXWFZZxczVFExNu1u9fMu7gIaihlNED6UpGt9VJuspJKjeOQcb
kegiy4HsNPEhEe/q3p5cxPLwpGWUCFE+HGJaf2aUk2zmvatzeyiyUbDoLOs6eKH51DqhB5hnznTv
2PWj+cFINXnIAFEfb6/d9lBLt3UxQuJFunyN6qgnikkjMEqF7A5JopoHQCmz3w/9noD+5pZFCGZB
7tJUvjrOQuYxnfSO5k+51JOjvjwqoWF9NJSyfR6TqjsnaplTrpvVUzdqmOIaYf759nw3jzN5NpkE
0KVriZUmHAqIewQyPZi+ryjCJ8TADRT0Vs2R50Mgui/uRpAH2N9lXG/vJk1W86GKDPmVApbi+bpd
GunOLbN1ybKDDcCnLuLNawSSmhWzwy0SPfC2DT/iehhx/csj9ZMTdu1jDvr3LHUp91AWv6VcV0eH
8j6ZyIL048lc1R+0UBtAoiqQZrsGon3jet2PCgu/79U4qV9LvW9eh8nJy1c9HarUDxu1V32MkdPp
ec4FSanXdc7raIHin6eqyX1AUsp3x+AKCsq51z6ikkXjNykb+AyqIRUzUDhk/cFFmY+qglKL0wDS
4F1tejysjaxbmmdIWLyliZNbDwY2yS1uSALASTzH7TeUnsv8sbCN/B8g/gOZf+7UR7PC1BNXv5lG
cO7FMf9Or+Q1nZrmHyWFLBNUWCbiJRiFsRVoRZwax6yswpabcaq+t65WIQLnTY3jO6lRvJAaKtUX
qArVI15arfEWzWN2LMx2bh+bdkx/NlD2fyVRLP+5vT03juPF91iuuj/S3TqaXICI7E5pZd/1IXGO
k3CaoDSz+f6vR1r0yxa/KZoAVwlSP5E4SeKgh8nEH8gaInlfysE5lMlo7fQPlx+92mS/FR64YEBD
olp0OamybVynUrrkYQAq99jN4RjYlagOfz0hsG7kQoiAmM6VzgEY5cyG3wsbrwn7/5lhljyDJ09O
pZR7EujXrJYFoMIxRdeL7jwJy+WMELJ148ZCzYG2cvMd2sH8baLX+Bk0mv7W1518L0VdfNeaIanv
EzWWVG+l0ddH8Evht9vz3rg6eHdZWdJ6j5+zWt3YgjQ0NMQn2ASJZxd5GV/PEveEOL5zBKSgf/Gs
3N75pBtx9lJbXwhTUBboQ18ugPCg1DeVFj80UVke8W3EB9OM++eoF12gYJX66T9MctEsX6hEvFar
SaqV1SNRAl01TRJqTNIt07dIKyHYS+QivmKUMM6+SRVqj6C4/I/XexcCDYEfHIWFdnw5Ue5CT6mR
t0ceCCCUb5TuHBRz7L7ent814owdRb5C4mLS+bxywpxST+scfYofRBxGho+X0vBRpYl2n3WhmfhO
HeUvCnXrn00Zjud2qPPYt1vQKEdZSPTeOjXVTs08NDsfeuNCYleBoWAJeB7W2Wqk4yopetDona5l
z1Jx5J2kD/GUzdme7PjGUoNnoHDC6aFFud7IeTzQh60hduvxoH5zhG6cuhnD6NsrvXFcYLXwKU0u
C7rLqw+aqgnofm9BY+k8OKMxHxJ0Tic1nYIww522d6rkcHvIjTXE+YJnlpIfJfZ1OCfHUuJF6xE5
Wnl+MO1IvbM1vAtsvYh3bvWNc4kNGQKKi9Ln0re/3K46cg2KCqv0oUZ79HFI3f55TlIUo3Ki/u5U
KpXe+7dnt0SIqxNCUkiPl3CKjbs+ITXmZ1qkcUJUIxfvGiLvt9Zxp0eEP9SHGBDko2W3roIYeqrs
kQe2VpYPCVRkOTpQ2S+nO+iz7UAfpoxYG8Wd6SRfh0apXvSm+XV7klt7E54uNp4LCvaKnw/uRW2H
5XhWtp6+x1nlu4ozw04atTUIQT/N7IUTfLU1w8qVxkwh4kFr0/JxbMM2PsaGKfYcs7eOAI/B4hWy
8HzXm0SxtDKJAUA+9N3w1lCGvkPm3zmZXZ4I8NZqHSQCG/qdfbL1rchVYZWDsbi2rLPL2JO2NS/9
XzN8EbUsAlcb05NdTXsgvd9Zy3pPIn9BKQ+1Oi7WVVaDuaXRRouaKH7nY4hWR9uk7wXyHP8K00re
8kmO0nfGLjIPBvVGx6eH0b3UUdG+qfYcf03TITTRtQ7r7y2uKj/VKOrfyrxrB7QQrbrxpVc7e8H4
9eenc7mIPyJXTpi01g7nCJntVEz5Q224rV/1oXZs3HBPqGZrlKVvhizPYr28XhrX6wl2nYgKmSyT
Q4qI53Fqsvp4+7xcf2y2MexOyqkYO1OHvzyYaLeMcdc1+YM62zmMRTW/E0Krz5nAmPL2UFsTosZP
BYAYiGto9a0hpKV6KyVCYgq2g3Xe1kcBu2FHRuv6zNAFpwLEcdEotq+7gcXU9UXUpchCdbEO3q5r
ZjA6aKq8DztE7H29BrJ0HHDn2HOt+J2DXW7mpSsOL44+0e/G+OVa2iRTsRMlxYMudYjUuFbobjDo
vRgP9bgwDVINRhPCXWVUtXfUY23bV9RR/Y6sdv+pzIEXHGTa4z7Na2rTbBra4mdTdJrpK00UNT5U
kyF68qokxicMR71flCHH9xbMPzvAPxLUkxcnr40GLgm4uyeAoyK7iqBfp+Wou3edax+dCJrAQcaR
Pt3RXEPNLcnnsXixwMjlgRhbUwRCA2sduAKPGwqphZkEVa2an2ejwll+AHSv+2k1kQCauXAf3dLi
j2/vla1tCRwUTBIx67XKHQ6CWE8ZOs9j2aXAXeb6qKOKBisn83Yu860NQyWMOtGiyGuvI+QafVOp
GCh2jIucRcYa/TAzgSWaM4g30TRa4I7tX9uW8QjSj+WOpQqHhOzq+R9gJxhNRpiMyYZ23054g6qV
p/li1JUDzlfNztm7LvwhZ0dCh8g3TMUrcrtoRVeWFsq4mltZ+SHJYvNnKuxQW3yTswwAJv0GZ/JK
eUSuxfmpR423x9e8jj+ov4M65/WH5H4VXTVpDBc0XKRz6rQMgyGcoo/UovPHdpLFk92pzdnUBZAj
1Mr3umJb+4l0kzYHy35tvifwrJl0ydhlnnvBYhXle6E0fWvO9wq+W9ccCDLqQ9SgF8zb5S2QKQ0p
TsF+CtUZWyO3rO8rlOJ27u3r+BFNbIIpnVAHBff1BsonCPz5bCNKohRBlRfFHaTT2FebcQqAXezE
4r/5KqurDV+DJWllSqq+9hKL0jxTIHumD5He6yaFpci+T0FJfnTjsg2Py22weFm0WLS7A9UcXzSZ
8jQUGLCIJMmDUumb6t6WirSDME68x1SNih2Izm8HovWP5NIn9EOxj4dzdajGiBtPGXvesiif3bsZ
+AtIGDoC2iHqpJs8waiL1GPT1/37KARlHEA7Gapj0tf5xwXn9q+HX9D8aKtJdYY/0Y3wM4X5DYxa
6hxt3IjTgzokLl7NuVpX55z6l/Lg4Z84BC7CrnUQunM2HovQbtHnJDbZU4rY2FvoRCBoj8IQhdH1
XWVTyUimns+glV7+0SxMzzdSs957Qhcw5nohaa8iOAVUE3Op1ULORlIvWD3l7LlinB6SKk80H769
0/luppTikbYsosV90ljaB6uuTCUwMtoXfmstrr86DkaFXyuTDNH3V8u3ED1I6betRto29mpHSbc1
+4N0B7fy9QrhhpPX4+MUpAjuIt01Tu478hHcnia7VuegV7PkZ9aZPa3I2f5R9LPxaoFVNXwNIkTi
q22cpMdMH10bMr5itYc2x/32qPWNjXjcQHuXKoszfq6EUcCvlFN0X1WWRDA70dRvTZ2Ev4o6tJ81
eyoIJ2Elf0xkbvyAYOLa5670au8xLGesqGoKn+Fpyubhq5jjQvG5xKvhkEdKKo9ggy3vyYmoDvqV
lIo4eNXkfSLCUrLTbGrxecpy9R83LB0Jt1J0P4pmQMy4wuYqwgBmGHI8WdREewere/ysCVidJzdM
FiWWdDL20t2N6hhZDBAtZkGR/UpLdrJjd65d4Z1Fi05CRa30kJoiCiK08t4vwIlnr00rOmZd+a5Q
uv7Q0UMJHKfXd26z35n1eseBdloSqkWceH2/UI0zikxO7rlICsM8etEQI8WXto14ntHt5WTpcRI9
Zp6HSmPRER0EZKlZct+mo7B8BFGldwdMK5xOhiHTL23hNOgTRB2SaRalefeJtsnU/1I1kXTQCmzK
3gXb5ZPao2N636LZLI9thNBTMCqDWr3WaCTXp6rL5I8id3KkFcjLq3euO3vv7HnRDQNmLl4gjKdf
3FqxCO5yDEv4z8aWX94V0xQorYNziKIb7dcECkN2Khy1w1lvAqvvz7FZyFfUxDgwUziJ8mGYoIbI
NumLgBMHJTz3Ju29asyt6zse+2wHKbIR+JBcLNAejjmBwfLE/FHCHoDtp/NYeWddbby7Bq6F53fk
WAepsQfw6GkOMZHuzqhbm45h4UXC56PBtG7PhdXibSYU9xwr+uSnNugNmRXVIal7ull9lYMjbcOg
awlHVb2Wj44mxZ3RTntaLhvxCM8z6Qi/ZaEUrB5qJ54KNJN7fgguvAfZZPMzfijdkV6U9dz1KqBh
p3BOlrVXCN4IRlBQQK4B2tiCY13lXA64Ac+ol82ueuUpbFM1SBvPPKlDtGcDsVGu5KGiZ0glhE99
VaoYUaETZi4BR2Zj98GkngC82cWuzm8NGF4HG17whzRBbNh3GpVOZmKMffKxl8r8zdBFbTS+EWIM
i7RnqJZ/jTDDIpEoZjGTJpNeFxIRtZI0hGPv7CoiP2ZJgRbpKIudUbb2+dI5434D0n6F8+IvimJC
9OqcpqlCcwvg7EccPMXyevTew9hnDlpmFgoWe1t9I+peTCDptYNTVq8QdFbrSqdrYuUchXk7Hg0R
tUS3hYdA0cRfmb6YOgDkoTVMP/AcGX9xF3Wv7Buaq2U2aY4vYqPzjrYWWkiVGnqmH0KnHv43ATSj
meekyskdBf37lJz09XYKpm3++iWbJdyGWrwGLlBOlhqMPOVcz9xU4EjpaVtp3gIS0ArzaTIi4z0+
2dEJxLP6OIYRrH7yYivAOtd8lqmXB60yKO89Y1ROs9urb9HUynuwKMoXw2zHuxjxi51vvREWQ1jg
RSN3Boa6zv57b3ZaLwZyzD2Ci9NcxHeyNotfKd5iH5NC0XYWaeMoowOF3vtSPbkuN8ZZg/1mx3g4
zeY/c8w4m6AaevES8ejvmTRuDkZBHI43ck9XIvNdGJPHL3oe09inB0pQ8QEpBZQdrNk63f74G4Em
6kpcjQtCC6TtqlZTZdKrlJp50UgeA23W+0OFPvnh9ihbX2vBOLOjmQ7f7fIFYoaEU3FJjpADPakb
6D4mJaI7OB457jO7+kVbC8hrRxUcO6GNeiqunaJOgWGOhd0fLCKrozLoyBa3yCfentrmUGgjL8AF
eM9rMJIZhs6YR8vUkql7wsRbfZOZm509rHd29vzmUAB1Kd+RbQIfvFxFrUOe0ekz+LP1kLzrFW9E
SM5pvxVavMd13htq9cFGMCjxGKUcL72MTrh1UFrDdv1TFCba8e8XkGcBBf4Fywq24XJWi/C1RJYz
PKemGsY+pFIRYAgp70eHS+T2WBsvxCKjhkkL60f/bLkJ/4iEFNHpKZgS71zAUTu25pw+x8WQHhxr
/tb08S+z1eTd7SE3VvLPId1VDCDL2cqAQaA2CHMTvqStj2/VQC5JcNruQQi25ke5AMzKb7TzOuRq
FoiNOlXhuXbt8llxw/wxa1rzsbTRv7FkJHkEZ2enrrY1Q5y0kB2i1XQNnOcP567tQ/esVFh42Vgz
kerN+imy5B67cOMegZoHjNSjuXUt3Tj1XaK1HSFlBaf6MNdmdJBGFwbY/CYBqbq9sze3xsPBixIe
+PHFNuxyv2CkHvZD2XjnrB/SU9LJ+R/ZWl/NrtMfEnvwdvLxjZUkO6PSsxC7eYmXn/PH9ky0pFRy
/LbA4Mf5E49DFRRJV96hLVLtnITNoQAf/34/edBW23KsMF0tYBs8cPnKJ6O0pmeqPvZL78I1un0C
NgBelsszTSPZ5ohzT15Oy7LzyJjtkDcGzOBpnAolqMfSPIzgMu4UzZlIRGDMC7x8n4VRd58LmZWB
rtXKYxRR8b79c7ZmTtt3kUBlL121W4yG8StEMc6z46IMjVfwPTGdcoyo1O6AnzeOI2oR7Jzl2eP5
W5VXMOkLpTOMyrnLq+mpRh7yXksU9STmKD+K1noZlSrdAZ8sN/MqwV50+xaZHuAnxlrTVm2LHO/O
CQ2ktoyO3lRmH+hFiJ0S3OYi/jHKama1igbl4PYojtlpQj6u06jADSfxm2QAvHT7i21lkuDzsQnn
axGDrTdQH+azibOBcobm4Xyfjdo6I9VvHoYQhgChqGe8NKg9PXaoL3zWEClygmQ2gJI1YXq6/Vs2
l5fCBd0K0oyrXNoQJO+pQWhWTyrWiLaTP3iR1+8cmc3ldWA9IiaBdss6Y1XU1InSAk2T1rDGBzcH
ROPCkH32vOI/NOtYUygBhEmLfv/qcEoQhWnTAKJ1xxgIpu6V9/lQvN1etc2D4C53KBcpYN3VxdYZ
qSdczC4eEA+K/MmZxNFC3/egpNA5BzQMgz6Lv98ec2sNf1/cwHd4ntYQaMBJ2uhYInowp6ilNgjV
HTWQ8SEL8Vf/D0NR0sJnZFHHWicjFddnjt2IckaOB+bhlBVB3qrFOVSidmf/LZ9jfbwBdbgw1QBX
XwG76aCJSm3I1VC9yu+wRlLPjuyzk8Tr41D0Mv1KAmZ96qLxP5SkASeix0oNEe3odaArR+SFpcfF
Esa1d1eZRXZwkn7aaUBsnS8SLMolhNNL7+zyrciiWJOWy1EHeGyfNaGo50zXs503QNvakCSOKkEg
9mSw/i6HcTA8KDrPDM+KsObIL7GRBUXbDZPm200uxX3ozMYvGmQ0UsWsjfVBtNgV3xX5bC11q3FA
FdBtO++A1DNw2mVvxAhJzcU/ajmL9kh5U99rBW3taMpoS5lncdheZ1G6PscjBFnlXA7qhOy6yH96
pW4cbWfU/sOBdYDu08VzQUmtK1fapAqJRiAFjapwDwuMyk9stb+ru3I4ZRl2awVeSTtcs62PgoiT
trgpUKV3V1cRyEYvRmQkxpFLDkEFc8M343I4Inr0wXYn6ApQsv7D0UXill7Lb+GedWXK0+HR6Cli
p44WmW9ZJZLANErxEx3kr7cviY2TixIoRW91idCvdnaRzlrdLqJjSqlHEe0EUzxixKw9a2BIkaix
ouLN7sx6vgNaupf4bBwrclMueCqRVHrWN5STItyYoXH6YI2Ab320XMBspsW0J3O2OQ41MCphC85k
Dawzq9COmxbd4EFkuLgNlnROiOSEP/5+LdknPMI0/xBYXd0ScVHr02wOFDFzq0FsN+yPdEUTn35v
+CC0tAu8CJpgkmOsfXvkrQlSWiSexXR6qQddXhw6zS67DSmzir4YXmloNdBNxN6jvBXxkA8jUYuY
pcMZXE0wLNPGmZpFgjNObWgtSdO6B8gKY+Er9bRYMsiydo5F6hWhDzVFjlRvY0mzZDZ6B8vf0qh3
gtmtmS9EWjAMoDWvitmVO0ZWWsG+L0x1em6pPsAIGPei882Zk+Atcm5cAsz/coGtXE5qDVnlDDtC
ux+pTD+45VgdIhuKh4GROXjQInoGfTP6XtwPZxVPzUMv3Wan2rL5S5beO0JlQAyvaHbSwhCOQ+ue
c5zMeVxR6svhhVtJcyjtCWUiEdX9N1VRm8lH6ym1j7VWWuJkADVw/UyxZbr3k5bPfvH682YR1VMl
Weq0bJDLxRGik5MX6uG57GEb+rqXF2f0wUPv32nwKu2nhwJp7/OKuecOEl9yr8CLRKsefwXlKEpT
f5FZ6n7W59L616QkXxxGZ+DhIrbes7RYSinrnwpqjpOCaChg1NVP9bjehsgRbBd7dpsA1FKI71ud
IA5W8y7bfpckuhNY3jyK+9qOYvWTlrSm+7fnlRXj+NAVWRi3HKXLFSsTldcjE5TnDG8KJDz6F7Ps
6p2Xa+u7sE242+kAAElYXu4/Evcuy5w2sRMKtnWiyoOlePHrGEElC6qpEpRCurT+ePsi2hiS/IDa
BIoPi2Hhsv5/DBnliI9lbReejcx2xUEo8D7bYpi8o5Mn3puL68On2yNehR8LeMqhnAP2DceUtbJT
q4V4ErbRcvX1Lw1qa8fOQEhyzLPi/vZIvyGPq80DeJmEz0KTcMHWXE7OyhrIIhO8NDnayjsz9nIA
oU42q0FSj+MPNtys+S0mNVjT1WUxnbNUS35IRD3Lg1LW4rsRGjS0OqPxfoW2PlW+qdjaOyuT1ktp
0HryW61JtWDW1LH2lUJR25MYlNJ6mPQaOVWnRVr5l9aqlRPokRwRhwrryLuvrVG89jLpE1+fxhA/
pEyvP1kJ0Fafxzcu6O+hMXgchmYAARH23Q90uKVx1EfF/DhoMxgGUXvli5IqxpnuSoeSHehb73UR
2ngs0arSDuZg2tU7dH3o4wFywn7P7dNiPoRajiHgYDbzBxDIjRK4pQfHShSlIu6TrKxL/qTR4oOi
C5NotoyyOw+f8vwDmnA4vejVNOcH4XoAIlWjdrog6XW1D0oJTKZRO1CEZeWgqh/n6qcek9E3UC8Y
AyqxMrxL8qaG0kxLC/3QEdBTVXjum2GgtIej3+A8G5gEfXa1tnJxVBmd8JBUTmPSWdUNDBDndJwP
sBjHxi/EQMvby6pIBB3rMvhzNCGyDY0idg9ubLvcR0WY9wejG9L+gE2mmvulNns4j45VDjVKjxTV
d1Bv+IqFZpyh/CTTz7e34FUsSqBNNwRKDa5b19oDg+gsF1F466yiMnzsFD35kgs6+2oxhIt/83ia
EmNPkOt31e1y3y+4OXY9RAEyoLX40AIfmSxL2Ge4YAjGCLMxtUNj0pGBfj4IlVqHiH7lJNHtTLbh
8kn0WEz5I062WbuzBNfn/fLHLAHBHzcM6TwfBwTvWcuK6FCCrThWdqMfR9UND3+92pSOiePIa/Ae
WCMUHLvgYEndPMPmjAN8H9WH3qriwk+z2TvNHJR3nSH39Eg3JkjfAcEHLpklF1yu2D8miGVzBwZj
MM4D1+ZdaKvNYc5iTDtl9OX2/DZGAtRPS5R/mOW6yJJ0RA1JOmjnHlM/QCNW+tqpsfrY9Fa8M9TV
u0BviEUEEg3wms7e8lP+nJREGmnQI+9c68or9Q7xoMn2o9cmHmGkEe09ClvDwSBgMyzclis/AK00
K9L51DsjqGYf57gzA4IJLfDS0AjMYt7DXl+tJNNDjYT6A1kiw66ePWLt2AJvSTsldIpP4dCFGO8o
lfalLmdF7JQJrmKYZTDkT6BI8xqR0Fyupdljx5Ij2XO2siQJ70sMZmh6l3pxbHSEH4J5asbIHwqv
ibgl4/x928/lTti9tcDEe0CmkKvn4V39hlknZdQSxzm7+Bm8iybTye8GbMiao27l5WPNFboTWVxj
QJk2QRMVJrioSCys1tjk9i5wfPHOceba7X2jtfl8MBBXB2AO+Bj5rCR2selOLIJxry+Ng9YN4T9t
KfVz5/S42sduFn2qk1hifFG3WetnMu/2xFCX++fisuRnAr8FWw0bDinv1fFV3JnnRwHU1uBv9VGv
xvyXMxh/XXRZRrHRnKdrTUCyDiA9HRtjAIpA58pm/FYXk435zoT5QyTj+tPta2JrRot/MIA7dCmv
DlNleDJEi8k7d0M8HomJ+8ekTvSdy3brCNHKQkKNe2KhAV/uaqK7okDFjl2dyizI+rm4Q3i39kMP
VvbtCW0doKW2jCsJBQ9ygcuhbNnObk5Z/9xqpRr5jjUYX2re7Q99X4T/gycexwFlYUHoCjQr8W30
tPcYBlsHCAcnCma0mJH0WyUiWi7NvEsBYU0YR0WgCe3GwSW4HVIUflEXO+tVtDfvjQ9Jf5lTu2Ac
uYpXY055SZsy1ClgJuTtZVk091DI4/Pt1f1dcl2dADIs4hQuJy7Etd66KTRXAV/tniOcd+v2UM2t
FEfii/SN6iY+XSkKh5Tv2qZFQLC04/o4azIXLxTfFp24xKqaoO0Lxfom4tZ86cMMJAGNsygKVG3u
pmd4Anb8HDpx9aWrrE55nPu0y4LJc6J/BtMsiLGVcj5Fc+y1gWohWWSGiqNRzi+z1C9bpFrOtazC
z13ppP+4fZa9qeNguIdQtSb3Xjf73AqkaIZvqjNhPjKaUv6UHeoBO3ngxqangYSwI20OOG9Xm14O
rpNJMJCOK8SdplKYLwdDWYCf5en2Z7kKHYHRQDHhlYcEtTQ9Ljd9mU+xsBUdHXBi7QCXEA9hojg9
4BY631l6QcqkTuHx9qC/C5WrvWDRgQcTT+d4keq6HBVt36y2tI5Lu5PKiby8JB2gaf9WUW99SAgl
o6BE7P3dODTW+7nNincKSpfvOztLz7SyMRftKJN+80Q373FgN46DxaovalcLy3G9T3m4rDmtqQXo
il39DBVr/jBFY/Nf1n1pYqHcvADnV5dNarROlzSuBw5Bn/Eh1LUqCPPYFE8OTpf9OVXa6meTZlq7
s7c2brnfLErUf1BJI+i6XHqh56IW8BPPONahAe7RFZhHDwqznUIGTyv1oRtzVGO0aHzNy3iPbrM1
PEUOgks2uHm13+Y2mjKgOh7BpdWf685LAiXNi/tc9PVDPmr5E1I8/bGlS3uqc0vfaQVvDY9TE+gx
eM4LE/dy9pNmp7nWJESAris+0wU33ltGpbL0DgoeWlseGi1vfRJIGYyOumubt3G/Q4XnOYPEtmHE
zHwncPZgvczF1t13xrZ8Sd081Q5dP+sv0GaVkgxRNL/SWcZsvMz52lix+YjVh9TuFGM2xvsOhftv
YWgSpJRmEr2MI1qMO9tk6wqilA9x5TePZy2mO4kMpNhA6Fomovk26qkDbS+dyMOlEe1VkDeOHHQz
TUWsCE2Rq5fXicZRERFpgI7dWWA5nfWvPar919u3zsbakz/B9EK8kmLNOtkoke1RFaXiAcpm+57q
tPYpnrrupIamogZd89e+wDSPl9IwXSJUOq+i/8zoRP0bRwxAJLxrtRY2iFP0ori7Pa9ryAoDoS1h
6Gjaos2przb1rIOBDFMCl1Lr0H7LtclGtQ4F5G+K2ynVm4fE1Y9WN2Fi8RB03/U8MRXqsSaixE6Z
1Oij1cmeHMPGBrr4UfrlSUuixNHHqqEg3YvpRE8g/KAjAHls1HDeCdyuKxHLAgCr5SVzMaNcV5ob
o3QEXFD3PJphfydjDHESXNt9p/Lq+4LbJsCB0/A5MknQxSNFqr7M9/SpNifs0L9Xl6oID9vlhOu0
mTOlBq7X8Ny+QwEIeoyowod8zt2dx2NrKJs+IMBKyG9XYX7Zz2KyChDqldlF/7bdQEepHbvPjl19
vL23Nk4mGxcsLOzo5cZe7tM/EnTNopKWYKp0bq3WhEIWVa8Q2JwdKNnGyWQMUnIPvdXr8vDsomhv
CaLeOS7nz2rcpffSi+RLwlJHQeb19o/b09p4BhZvWojs9GwWOODltLq0QPpOLYHmtfjX+Y5skm/5
6KTjlxggvOObqLB+n0Xev455zxM1eDk1ydu/YWvXLq0jhBQMwuIrLyAtbZ22KaVzlrEhvyHaHt4J
UVut7w5GiVgWKUCMNKRRzjQkhHjEPGJ+mFxF7tFQr5q9JBpLaYn3eJEvXyc+0xzqjtmr1hmMOqki
qDpfs2R2TLUYs9o67z5M/awEVhtWO8/xdduKoQnUljbRgnBbFy2ces4dGTX22XVqZz6aEL1PjYGU
ha8PsCCfqtCshW8oTQJd1Qg/xp0Tfkw9Z36e2izcO8IbwbBHak76zCUCOmu120NSrDjPQ+usF6L1
45Dv40scMQ92YnsnrRb1EbXT+fvtjbBxxpDFRUMNQBONWncVkXGhj0bcFPa56O1vzdyUj5hUxjuV
mY0rY0H2sempRF07NZBW5ioEJuvcJaJ/KNQRCEk59dOPWQvtv1YFXL4qQC26L5AevPV9HKYRvszp
RD06LapziQIajPlmPnitNHe6L1uLt0grQM7jHuSrXZ5koRZ2mNujdaaKg21HUXenSbV2ITjLE7pK
WDyCVvhRPIuLmNPlMKNaGDKcUus8m2OTHV0VJKaP3Vz6GjZLB7+ZtfSpT6o0C+Bfx899jeeNX44y
hzOjFhDubu+Zrc8JYx5NpaV8euV14DlV2+ZIb591iKqPA4WlypcYMmcHdXAhsd4ebWuRUUPBdwMn
pOvSIrVKc5zd1j4rtPeCjl5SMKAu9fevGgk+nV6g7sQh69Nnjpo7lBWjgBiFJWlYMsjMZjphy7In
OrS1fGBcec8WwxxQQ5efE4HA2qpLhnLxLfVzT45nLx29QxgJbedLba0dW5MbFEgQQOnlp/zxgsaJ
UOYaaPNZdZTiYWA8LLDGemftNh4TcGhL8Y/+wCJBvToHHqUS10Nu7KwmhfdPN05mGIRz10l/tqdJ
BBqeZf8QI9lHDzJ57ttxVWYHwwS8vRONXT/m/JLF9QkAJY/6ugbZRnTM3USzzg7uOu+GLAN9Jjs7
Gvy6dIonfer0vfxha0iKSgsynLuAVuzlGtvt5CB7bHMasDC+x9A2xfgeL95TVI3Fw2j0e9Xc6/1D
eQB+Nh8V3RjS+MsBKaIPheEmzhlnyeGQFiI6UU+yjqXAaur22dscioKEARqV4vG6u2yM6GLJzLIB
dkBIrwo1R1NS5ZWEoLnDjViW6fKSY1b0fIim0SmAfHo5KyIwGs15aJ+NWjhHNRyH09QN3zUsBo4Z
IF/fid0wKLD2flCndN+NaYEjXY1P/odg3ILAX8chamooMb4wznm0PAEGIhJvCBtoj+Ck2jutge0y
G6JCDSUs9UVLL5bPc1nuYRW2Fpy7bkHH0pu6ShMHPJRTy4ycs9pqxUnHdROQ3ZTfazr9+tvfdqMO
trhO8XUX2DQR2OpymCvpOslI6RU3PoQfWtr/P/M0nkhaXOVjvgjyKFbhvQkx2udxLBE86NFleppz
VT4K12ju+mRIX+FZjf/e/mmmo19/Dba3w3FaOljkzZe7wUxdpo4Z2DnMIm/4TvhVmx+klWvIKiiG
05zM2YZM6IQ0p5+we+2w0JuUCXgR8k0wJ+JeOLWPz4vaviYZNlH2h7pGqrd+sjLTyl6I+NvkCGwM
F4lBwPHwBydr/sXkyK1+TaXdRacGxf7kqVPLFHFuj+7uRyshI/B7gIHug14NEXChSa3mr3HutWVg
twju+4rlTSkmFEaUfgf008jDYEy9cac4RqHdd67WGYGHroIZxEL24b8O7MUCxMGYjENAJztK37WD
FJGfhoM1gtu3LZ4js+q//5+z89qRFMnC8BMh4c0tkJmVWb5ddc8NajODh8AF5un3o686jQr1am9W
mpmKhAhOHPObwkbDfI9VI+Y+CXKuWhDDsZ+Dyh3KPiS/ZSbROW0yPyeZjphLoXhd4Xdt1pyGOR0j
P8WscgKcGlWdb0+G/oIeBBOUtmuW7ARSVSsDNJo6ck/RKC5Io0n+aK1a2kGqJ0MSqs3Af9mmUfLi
6HUznPK00SKMYxpV38FLwdCvi72x+5IPRqnboUNzHA7C2GrxvjKB3u2EgeMf+i/pHGc+5mpL8QY8
wxUPU5Zq1f2YWXO9bwtKgh9jXU5q0E2mLYNq0k0kSaohN31gp2P7qhZCQY5oWeZ/2saCIIMFaPGx
n8Hh/tCMsn6K69xQw6F2Kms8onyrocQxIF5oPhZzM6hBYxrTw2qaC5pC9tYP9Bus6EWzO7rdZSWa
N8tuZB7qtQV4TEM2y/ZLoeiqn1uRPoW6qFSJ0nKkf6mFnfyrGYNHxqVP00PZIC9/sAXHB0GOqPzO
iMNpfLr1eeJLNdG+zpGudM+4+E6IG2lVbzww5zGeLGkvY2AsZvZrsOxYfEniopgP9JvHh94Vdfmy
cCUkuzS29MzH5GXu/N6yp1OJR0+0H5dafnG47b1w1pXxA/xo615Vc+WLN/O/wFzmmTsYpncwzEn0
raass3y1jUB/jv28KBkc5spBEj51kiXAf7TGCCiN4sA0hfHS0uSQ9zgU9LGvzjyjb5SDMQfCaECF
J8SXz85Y9d/7zh300CszJhcqeJ3hPo/a0jjkSmoMd6kcqn8hposxrPoq/1F6Q974uWfBPBeUo/ul
t9PvqdX3/5SOpli+rRZuzkEfvc9pl6hgzulKD34sh+lVEQq5YJaJtPM9NFZLH22TVNubOH55e4V5
TOgplOHhFEXMWBPpaNR4aVkd+4xO8F1uIHDCjzTTx6ydo1/96GpNqGli+jwgE52EHjOSF9hYZSVD
u50M53XSIsRSjDQarD3TdXwsW1MkPdXZoKlvRtekXJVQnuv71sM3Uwlau4e0ZUh7BfYlFkirSqx4
xNZ0qK/HLvEi5FlGi8xvMAzlg2OK0rmn39Z/LnvmfN+RVEZpY4Y1mDxqbabZX6Zszu9IVpEjS+uk
w8KtKaaxv59yeNfPjp6m7WNmCacO4rT3ELDECmsXK978KDx1+gFQkx6YazqZxNStMV9Fkvfqy+Ig
6EIojNFP7+bC/InOoswDjMy96YSmnykPDCK7h4lGgO0XagWgpoYyl/updNT+Jc0mkJSRbJrQQ78L
Oy1DkyDP2qx6G1MEYfajOSzjQcb05l4G0RVPSh0BFZCRyOVuoKMUc+jK2dolZorYSF1pGNLNvLEG
aeyPXZPX4xctgeG0iwkvz8vQo9VQ1or6jy3c5tlQst70ja5TtWMz1j1257SlZt/K3cXxXaS+X5zJ
TE2MYKEGP2hiSeJXrJ37r0ur8H0Ysds+tjZne59wHwAWbXM3UG0MXANPlw0aUkYx2WFl8SG9oVGS
z/t4VWq8rxctRbAjRgX+LVG6XjuYWtZ+TIa5cvbsres9cdnPQ2AntnwWUR1PGBTJcXwUswMUrdNL
pw+NtF1yP+bjcP0inbvSNxs1KQKnLmSzL3LdRlUANO16xWlDsTP0rHwlIdHqvVXqbRaksQT9JXPd
+jmYU6/5uEoUq/Svqfk08ji8cwkEzZmL+sME8uWHpgzpv47TGi9F6WoqPtdV9ivt2vGXmjt2FgoZ
d46PQ8aihuMwmx/plGcgUzFBwj2V8/fGhdyVoTfU8zdPa6KP0p66+3qq5v/QkZmYGhfz8FlSdxMn
qqnvfeRcm7dRXzA5UQplafdFqVWfHaMT30SkpR/pJaMgmuaF2DVjr6W8Fen+Y+X0jH3+bpqHVV3W
/9kucwHExBJZH7WhqhNIS4n6XLtK3hyreUyf0DBBVivHajDye+nZSYBQcvK5oKPoUJRwqoNMdUpx
7IF/ZiFzb3t+6GvbekuABEUoZQ6O6ietmP5DJQuIdW6itOtmTv/YQl1AJa21VDguyE89mEUlch+7
06R+M+a+DSPZEc+sHC8AP+37ji0DHvhaMm9hygnhCMeNKkt/LiJazB1FRRrvzd7s/pFxrYm3aXLL
L8wWRwWP2hoVospKiLTLiKPmcZhFcnTjBKs0VAu9f0Y5i5+mNZjmjlBUqt9mOTXWPmojrd2TzKnm
rm9E9aQ7ZfsNhdaSS37Uezjxrf6VfkK/BJbRDYDiJfWLX+v8vYOo59QOEYsH9uL3iDC6JydbBgPT
4E62PlKAacrd4xWmj39u9Tou8WTR+i6LIYg6FU8nqERfbYq9HM3AMfqE5DXDPHduuvaFFFLnfilS
gaGGl3l1OCvK8rNypGqhHGoNcdgCUaB2dNBEP0297kI7d5NZ201KMakHXVrtXYfktBVCCpXJQ6E7
y4dW1o150PGCxDFLXaYvbQGeMhh63RmCxPVyPETyhoI7b4HmAkWy8uxAviCepmZY5jurd7h+8zha
oIQlPKUHrvZDWaejhtPWGGXI8hulkgRQVRf7V9UjxPT2ftp73QoFa7L2x2AyOrRlL5JeFB5KzUxy
7Vg6pXnMofyNYa/mreobwOodH5Gc+L4zuuwhGxyt2SjAbpQeK+UYDg3NcOdq7m8BJSy40TT0GLw1
SYvTFxTYES2zsy2DsxtLAV6k1+sYNM3obZ1n9wTkslB6YnHUkQnE5FGBE0XdHdIv1e79d3rdAaGM
Mvm4kcumu3xZwdaGGtfJ2FjHCoLoLtIoY+OxjF/fX+VGD4DeNVpCaDjCQrmc7NZ9OahDPVpHMMTK
4qvWIL5MxKSPRjS2eztS45/vL3jrDa4SuOskG6LSZbUqTWRix8IDkEleudNkrz+MlbN6KOXGRkvl
xqmESwxIB21u5lyXcIlJ4iCtwzcg9NRas1vs1N1FOORUd32kdAcMstwCS66x4m4UWtJvLH/9atfx
xHoi6QwYNLHOz0qZd6s2bA0gFMVj9DXS6F4vwNaaHkZFUKvmjZ4u5e+N2hPuJt1AbR06XfbnStL8
RUIuRDIkUb6LyY4iXxX8Ct9eWgNB2BbxvQB6n5SBXbrq4udd1z0gRq2Cy8KyodzNMX7sx8nzkpzf
nbnfdQSxW3jfiZH5ZqzKJmxV7lSuCqNGcq9Rve+oeSxpAPqktsLCySG+tabev5mxVKa3sWqgdgqz
sr5KNTcJVEqaA2xehH3f1RFJm1qi0bE3lRKr1aXtkVNrZBSlFAMiVRAC9ProxF+JlnthrpGezF5r
w0QwmcFbpBvd5wjcyfyhaxx31YAphXuYmiJ5aYU6m/+0mjHhFVbolnJHQqnFARqHOH5i89V3cVgI
Tyl9Fefi6GDH7UhxFGndB8yA6hz1Qjydiqes1IbpDqiFjtBcWk2MWZpSsQNV7aMhNFMDgWA3UxXt
QBt5ykOpxJa9T71Jq0KSoGr4kkkbycxmcki5Y13PxJO0tdQ+wWZoss+ORYkP+7vJ03sM7Ruxc4SJ
imyigNZCwgz6x2eTEv55mcDYB5ndG0MghgwDrNjIAf3aHfgGej6z+jKVriwegXNbHxfLQ/Av8bAz
32G0ppU7zYtrEU62zACVMxww74Ssl+/TtGhforFsuYpLIeIHBBu6CsITExXfLOuyg/Nfpu0BHF/z
MngrdCtdYAeQJ+nT+i9ORrvTHWXG/Jtmd4IInrK4TAFjoex6ucr0OaYc6VUMVtYFlfC6V8VwS24G
7rF+r/QN7yDI69n4VAm7wFmt9GwkHft8KJqnMkqb9r9saas35DxtygfLnN37VHPjB7u0E5QpM5EP
Acid6NTASkx3XqW4xh53obp7KEe9s+5mBY1xOCJa+cWr8JiFxqFbfAeAAN7kONgnISbdO3Szlt0X
BNr51BdWC6E8RU35MJboPYe97RZfhxQ7aJzfpJn4xZQbHwdLeN8oc7KPk9fo9zGDSCUYEqssHoQL
StZv60rx7gpKvcfCnBHFHfPFye6KxUMbr8sZFOz7IiNxKAEj16GG96rw+VTV0e8b3X3Kk4wPp6iq
pPM7vD9EYMuy/m6ai8J/0xTeTzMuk5HvBrmUHcmWyjwyjqGn9EaiLchsNJkVYgQvPwwqrjYPagFZ
FqujOXozy3IpA4B66VdyRKcI7MJaPnm0xf+TS6MuuyYupk/5MokBHY9J7XeRYqx/M5vSfJ+30v4Q
L/3K2FCdnkYQwsRPQhZNzeDTMn5RAizK4zx6w8exGlbiWuUp6g5FzyaHxjM7ziFyh5R2T4l1wb4G
q/GvUthihuECUNCXRmmsQozW/MGelaYKEnqMum+ky1AePVG1h7QrPS/otWSpA3X2YjUghS9R8k8B
qgWjh/6rT8mFI/3iDUbtJ4oR7VKcLD1fVewm31PRGVR3LvCHBevrvTEmA9MNDIHvB10OWcDgAU6m
3gtG2k7dj59k2rqrGr3efcra2tFDYAVoK2oW1ReTp2Lwl6lovsZ45ukHHJunMMqkMP2GKU4S9AjH
IcmOwPiuRDtxCPIZdNNx0mMn9XHDzV6ouW08loak3bgirnMKtArxwaRTDZSLW+L8Siq0UVUlLb4j
xHKMBPOoC3UZe1v92fXPnHekWQbAFpcevXcmU+fLaE5FUdJk5hFk7JD5o9V1z16VVfgc5GP1L1P1
6nnuKuuQJ4qGZ56dCXs1F9eh+RrZt/cTjussAPAsUscqwgakppfPjIhvmTn0QI4eY7IHL6I+VXR9
ONH3c15p8WXBUniD7yJ2cHh/5VsJAJC534iTG5O5vmg63ek649i1uvs6DZNGjTGXe3Nwq6dRi5SN
mdnNJ9UhfwPTgsJ7mVqZiTsiwdYYxzXV82uvr0O3MdJ9EdX/RF5pf6VEKulVtnL//oNe53SId5HQ
rUBzqDaXUzQlk5ASEWE4ogKEUU9mDeGk5y5dLXXeWOo6xWEp2lfI3MLbQBzw/GjR2sizzIqNI3CH
JSzKLn7sCWbPMdoY+9xg5CltZ4uwfOOzAUm6Zqv09YHsry/+j2GktOeuHpZMPfZm0xy9IfppzWq8
ke/fOC3QUHh9qxUJGqYX0zghkxo56EI9TlpvY7g5jOUPFLL6xz5avGbXuam1wWi9sW2cllWJAzQt
9KiLd5naQ2d5yDYhZEwEVRHNPE1Wle4Hxd2S876ekekGfCUIS+TBNHsvlspQypC4SWlHxauX3dLa
+g/gUdEBTpt5atFwCqjv2l1hoJerY/G6EZFuvFuI9rZLagxkG6uP8w1MkxzZX8Y1R2yNh10rgfDm
dhaRli5ZMIzm//FBgEtZ03CWZKa7vvk/DkyJS2xc9upylHgDBWLJ6wPDXXm0LFlsgMCuRWEBD3A4
V+gNL5iwfr5Wa2EpYg22eiyjmi9bVZzueydhifoaDn4/vWLiaePMqISfZZ6SBZR8Uw9TtNWehr7J
oTo6qqz9dvKqvy4u+WlUlSi9rCP2y9dgNn1nD+ReR+R/rA+tYcw/NDlleTi6wvwpNBonGzXXupEX
Nw+RHlyURdBfkcLnL6MpYPnZTg4pA7TFUaoI2c8LgreuJYaTuZhuMEBb/cvoBxifAh1qI9hkhtsX
0QHydgmuMI+O+ZwW+xZfjQcjm7T9avezAUe6CkTrUqsXCtUsyhuXHMpyqSPpjSn0bEdNdhbg250C
sGbjga6+FlZxVg44AkDEhUsNmmmuIgYCjULvEM+TBFLwnVS1HNOONgrFkv38+/eHVw2vDiQqMJn1
of/4WDzk7+qidlA1ticzUBk83IkK5o4u82Ij4l0dj/XJYCqte0UadBnIURQkBYtj5ajMKdhiGlKK
b9qteJDdYjHIWRLNYFCWLF/ef8Sb63romAA9WqmoF0cElmvUQ91A3AwUz6GlhXlynTm+jzJXY35r
0CzsNlltv/FiZx8DT8uVjJQHLCUE0i5WTQSG9Bo25KeIAbK5S0XtmkGaeKRks1shoAYvcDgNbkx9
nBnEigEyy0/XabC1wTw5QpqHil0J7bqlWdFjrpj7A0i+Omjadh52blKMr/PiKbhFtPk0+hrgkQy6
oMi+G5YxoYVPbZHuYRV1XyOBjzQtSLv9pvZ4Rb50npRHGteRdgdvxHUCiehIvBEP1ke8fAWwBuig
MScgF12n9X+cLUdJRNoIQXatJDUj5MnJH5pZeHsKb134ZdLVxwSG/Y/JEunh/U2/9bECl3XJi8jG
uGbP1y4sbN8rhgtHZEfS3dAY/aFM6Wu8v8qtj3XlPAHPp6nGfXO+Sl2iiK+OiNUoTVbcWWqr4iwF
/SkS1uAntZFvNFuvIVOcqj8XvDhVrUiKAavA6Ng5tY0iblcGRr3Ez/GEpQ//z/PNWUlCqlXESyKt
RkEMbeP/46EdvmRt7cWCvDl/aJE4oplxkiVkiOZ5Urx2ny6xHiiNAYveq7e0za8yJQyhgfGBcYVM
Cefi4o5VQA3JxLCio1pJxqHShGqHj+AOEOUWZvI6VJwtpV88Wp1hCeJlqJYJ16l+LCWtfW8e3AC1
beOpazwyJXy2No7qVXrG8wEDA08HqpggfLGnTChb9MjZ0ynTeZ8Rha6KbcTOTaNC+oXd1a95jF6n
B70qZHa0bOznrfdL9De0tVwEx7h+Sn98pnlnuctEvXsyjDJ5TqalenCHRsDwwo4q2jjBNxdD8Qys
JKnT1SXQMdbTlaVKTnQqiycj6noAmtH0UtR9tnFf31oKSQAgUWsVTPw/f67JhMudMXM6TbYnQtqp
Ahq1p++63Cw2It2tpUwmMNZvQQu8fc6XUttKqHGPl3U6p8r9rCnFr86QfejMxhZ5/DrkoEpjaaj3
wdLB/W3953/sVgGZdObawRRNpSfUcVtYxhjv82jMQR64y+79j/13hX4exFkPSVADRUQqpEslsLbL
5jQe7fRE4et+km0V+dMS4R9Gy3gnhwHlls429kMWz2FMd/lBiAHrj1wzNoQLr28Tegh4BVIxIU1w
1dG3C7DCQvJDIuDtL15tMXy3UZMzaLkF5oSCR9rQTG4qaW1k0toVrIwv9M+lL7ZXqfLCksOcn5pF
VREGGTrRWzsg2/njguxS4wt68NJncIXld6m1xmmAMSZOQxGp+46LueftNSDfNvbmCnzI70LCC/q3
RQi50qqcBmSnJdCmk17NCSzozj70ypLuMzkh0FYW4t6QXRb2UrpsWpscsnrcSvpvHX3uAsRUmPVc
60l2ptbpCmfklPeWE0RVq37ThqFnxJEZG/tw6+gzQIF4whWoX5lASDWmEY4M5CkXy5tXxpUauHqM
IFEnnI8V2n8bAeTGbYsiIuBcCD6cNzpq59+akZiyIXFMTlE2FHs90dCkTOfS8AcICGFtRIzhW+JW
DXLl2WpQWZWJ1240lm49NZkM6FaE0jTIFuc/ossdt+pi/G3pI7v/qG1vP8sZTjVsoO7eJIPbolHe
XJD3C6EERw+k8M8XdLQsiwoG7TjccbQs0LsfZiUr751RSV4L2Gwbx/jWpUuhY6P3S4F15Z1U0/A1
hJulp3KokcIfxymQ1cQ8qhqyGTE6GYVtZhof3v94bj4lRHK+awbXnKfzp0xiMv9Mxump9eT0bQKO
5VdKkj2NFr1pPU63dGVv3fIMRAlduBRDFLiIIXrTAoKr3OTkNPbiF8h1HLRSfptt+C1eVDKUo1ES
zOjb+YwGfr3/sLdOMs0tzUEkglBx5Q9jyRrosFev1Yha9v46j5r2Gvh77pDeXval1IaT3urOPpb5
+Ah3xfhQySVxju//kPUpL24T+gLMN5gMc61c3l52Y01JMQ3xqWDA7xeunXwUo7IFCr+5ClUmI3XU
ZdzLopYGPqoYaDed5rQxfoFe+NxUk/n2/qP8zssun4VuFlHvd5v9UkLSGG0LaCuadGqlLMA9vdXg
Ol1SUDKqEHhRrfRc1U2cr3y5UDeneQJBUkn8oPwCrCuo3yRaWn/2OIy+VokB8Qx7qqswTxqrD4dK
Ytcw1XmubF3qxo1tMEBxE0R1koLL1Kggz/bSUqMUt00wTcqYLA/ZlHTuAeU1U73L6MNCyrX1/mtc
qtICSDOp91qUi+9xP0QPNtJYZUguUE8bmdSNzxJVYujUEIOhpF6mGyOcu6KyFGxglHjcT01v7BPc
737pRa2+TtXSb0TXW0eFzAXKxzq5x9ThPAxwVBxFpnwYOk7yJ0aYZuUPuF6/vH9YfuMNLg8LdySt
ALR+uU0uwo2rUJahWxmf4F8Vrj/qRvI9Ac/9uVv0hpOAHpsWYCYaf9cB6UyPCqihO3OoWhksQAS6
J2Ouc2enMzAcAwyZp2+JA/AXOLQO6NqxCrf1XUXOX1ujdH60MuvVgzbxxYe2mzWlHy1l+bF2IyDd
INtmt78bGaZ7u3qoO8wZMY52/UXFjns/TgzowdS4CFbMZl3f48fjxf4otfxjNUMLelSTbBAIpw5x
e9B1Mf6DJFGX/9cnOMr7HQJqzq4TpEg7fdCb+OPGm7xxdMl/dZOMlC7cZart6PRzl7nHU1sF5qU2
nv00dl119/4qN+4kiGMETKIVzbHLOCW9tNZdF6VkgbrEPZz45t6u0g5idF4+4Rf82asj7ev7a97I
pCiLqFXgkajoil0cxV4KIJ01R3/OPBFMpVkeG1TbIXgt6UYAuPWVcdYRKflNxLsMXVz6WcFoGMme
pv4pPFeyp/n8MTUX7zmKvWr4+68aijQ9g/UCRLHlosSdIzeGfFgi6h8ZM5bHLSL/+6ZAXNCPFaOd
AgyS1ezz++/zxkNyqWELvPJT6e1dvE8NIfFmHlAN6VNF2y2j/gOEOnANoJCHEhLvRiS5sX2IT6MF
AeOSwHqpq9s4aYelKIrCQwtFxp/iNXrzbzMHr1Mj29jBG3EL+yU6t9yTv3PD87gVm4aI1WZ1bKib
Hr2blYFEUNmo1m+8QhQKcK4CCUdn4ioBNrFNFzaC6K2K7PG+0elOfLRHL8G0zGuXeifaOrbD9/ft
xov87elBrUm7FvjW+aPNmbQ6RUcavRnNJnTlouxzAWYmp9jdeIs3loLODpmecSYm9Jcq7EU3Z0Cr
NCwmGlnvHcrXRykMVEabYjNw6Te2bE1zKV4QvCS5vvgI0NFEtGgxipNTph4SpsiNeoG9qJb0GU21
DOEpI3+2g5P+k4LHAMnNvCbHWLUw/2Xw2jwScQU6ca1qVjuR6wX7HifuHjSO9kUdSKyBG61EDq8e
cPVUxr5j4qOrvww3BnCf1dn40QWQm24c/FvPRZKFQgR4OxgbF/WCOcETiiclP4nUa0Ob7yuM3Fps
RORbq7jMeZCIo/lBEXh+KkxuImtCiOdkmUtxJ0YXMLAxb/XCbq0CDZwBNwkq6cd6L/zRXZljLU5d
QxawY0T/kOKkGnR1P20cu61VLk7C0LAMsKjilFqI/xuTnex1u1E3Vrl1uNdwhOYnztbAWc+fBUM9
5G+xgzyB71aQwKFfhGJ2vTfVpd+IE+sPPs9u1jkjURYDC2Zjl5uDz8PUdUuWn7QoTtuAaqLdRYAc
P0iQs3GIsqizr3T1znDyvxYJoPXOtcm0hJoKPbiL0+eRF9rqZOanpTKrkxUDJDJMOZ+A780bxcut
pwTZwQALuT26fRfbljRNWVF1FyekD/rykHRZN+xbB8wz8DAs73/qjtRMMHtGhCDVjGX2+4Hx5voo
w8PKJpOERXS+oWmbj5qt85Z7YVX35jLGT/RPVWCYVnJXJlP2hPGsuscDdkuA6/oo8ZI9wLQkRQx3
L6/SXkf4C2c3Vl6QrWNyr7o/LDyaY9/Vxda5vf46qJD5/OCWsuRVHoRacjF0BebjSKlgSBzNyQNe
usPh/Zd5neGBYUGSlriFcjlElfOXyUh+ZM5bYXGe4uEUjMlklaEK47z2ZdQQW5ukjx5tGi9bQ6Mb
LVWWRsoM4Rjadmzo+dKtGldDZ+TlqTar+TPAgemxKDJb3ZWxVv1Meku+9l3lhFNuwYMzlBgRyaqo
IcC7Y75VAN3aWtp2q5zb2l2yL+JqjAdaliZRQW9TfGqS0jkmVqKH+IQnn/7+jQPAW32d1jzwsuNi
NLPeD3ZSnvCSK44SWtnrrEyD76EV+alF5nTv4Fu0MXS+0flAWgCVnnUQsOrnXuxzJxt6t2VcnipZ
i/1sx0pYa9b0MtJpDgdH/wWx0zvkbT8ERdFVKOw6Wwqntw40O81Jo2+y1i3n+50qY5QWi5OfWhrk
h6FxjQDlK28j3N98UlAJmD+h3XA9cVZMN9bUyMpPk9cWrwZIc0CW+uRBqNLEym6ex/mhhqWyc+20
rKEU2uPnRY9AqL+/0ddZI0kb+mG8cajiV9Ei0sfeHLS8OEGWBm0uDGf8IXK42H4zTjG6tvn/8zEz
PSMoA95ax1jnb7gdQIoP5AUnTL9NBG+4XO/HjqF/kI9IxfhDvrISW1221saz3trbP1de//kfCQPt
b62xuqw4ubWyPJljY5/ggrcbne+bq1Dt0qJgTgfx/nwVcM4iLpHsB6ngWdUJZB7EoiiNhy306M2t
A3SCHLKqYgl38bUk6ki14XHFRabe7IEQm1b6Qx88PUARR2xUhTdCMNGAOEgPdi0NL0LP0KtT7OQG
LPIRVP4n5iT5m55KW3/ObSc6WElRH1UV8P9fH89VvgodLaBb4CUvtqw3Z5MptZWeim5AEEIuVAdB
lNECS/W8u9erQb68v+J179cB+ETXl6hP+n+JHMKISeLLQa8ZmgfddX9sRr15cJVe6XalCzB8UXVp
7JsqLRKk0bh99uUY9+an93/Gjc1FrIy+BV3RlWBwsbmyK/WcpaFLYGH2iAl1HQq9lRjb1PFD4gxb
UuI35mY8N/LEGk1SGw7dReCTBERGI5IFVzmTIolEKNPZfGjdpT+0jt2EMOvaoJ31Dpos6uJDld/n
Sqx9I62TG9t+67St9y7oqhW8dXnrpl42mCaNnVOd5HQ0iwHSy97qvPlL07ppKAezA9OuxVu6PetD
XuTGwJ5o/KFxDdDqsvcRj9MY5fAkTnEclaG5VKtFxB4+iGWn8kH23ouROdXGtXcjYJCkorO09gYo
mi7OOEAhEAzSY1SmRs7OFr3z5C31lnvrjdxhVT1C0Q8S26rQeh6WEk8vPQql9JRZShpgp9juF22O
wrlEju39s3trKbCj6yla3cQuW/oVgJbaWars5EFotYOmbxfp570XFfA2zC2m4a0vBc0sWGs0+FcP
uvMHaxR8wbtEyVbRsQHiPuiWHgDBHfY/P6DebFWdN5cDEIFyL4kKt/f5cnGGFEna6tlJ78rmyJgb
SevR6I6UiCjaRVa3kfveepk04dZ2NBX7FSIODjZqCwrrSaQETgma6GjnVl5YIyW2+/t9I7sGDUqc
pztw8SYLbZqVdNKyk1KSlIil0nf51GlvvRE14ftLXZ955LFAOnM6iG9I0J2/xQ4VES8TU36KYO0e
18pzp/cYGL+/yo00i2UQ+1lBETd6Rpjm2Rx8nWVarwig0OeHtZzZCS92D0lhuC+NJ5uDs6SZD2fH
hG3Y/rVvgrH+hlWxjspeu6pEp6yfBnUmo7SsgQNDFL+b0Eh5gJyuB6PAgMYnntd+qsTxbpohAb//
Eq5jGutb5CIMx6lDL9vjah/biJu45CM6Ug2+bbf3udu1u5j5HiBfOEJSLPNr7+Tp/v2Vb24yHyYt
NDiWnMfzTe61bmgzt+Ttl0m/W7K0PnSVafz1qf3dGGdaugJN8Gc8XwUJ6AqKVMfzJUoUrAYcaKhr
Thh37V/zRthKTUU/ilYnyIbLU8sxxpKlFywV9fXd6Dj9vrfwTHLw4MDpdFL3oCjHvdV31par6jV6
fV2bOlunKkNf+LIi6xqz1xTaGKdGVgg91Gb2s5QW6N91EiEPtCZT61AkSvrI5E00d17vpDsugiFE
sSH91C0JWJOu/fuWDj9rZbOvJofXOI/YkLJSDIu8MLabGeRWFn2AHDZ1odK2gIb//kThAwh8HA8F
x748UVMsoM3mBEMsG4B2jHPsfmrcvttSEb/1zTADNgHEYoVzdSWnKHP3C2qLVP0DVIGsFvlnV+qL
PA5Y/91DBqe2x04cNh+WKNFGBfFbUPk8DeGl8qmShHB8GVKcH2kYoIXoEdg5YdLQ5B90dGJ6hnXx
EoeaDjX5rZyEtBI0mNORt5CNOgI0INkMX9dmasjURbImUFBcr9GXABkYTlbndvAol+5rP+kC95tB
yLtuniN7j43HlN7BdzMi1K7MZItdfn2DMbQGcutSDnF2L3ublpNGJWKA2alV9fJU5tMU9q5V3PWL
sXU+bgZ8sON8JvD2aIGtG/tHiadHiJR0UmanBDDVcy1No4ACWRe7WcDQRKRmenRRhMHtMy3/dXuo
oJbW/r0tJg+8Tuy4QrFkuXzgDCOl2LJGAAVx3z9Ni1QCpyydjbh3K7qSoxoYOpP5XDVLsiJJqh4N
Nd5oA2HGaZU76MPuVoPg1u6xBurfbB4yshdvFJq8rDV7ZrraanaYwCoOuh6PZa+InQ213uvUigYE
yDgTOpC1Vj/nm0fQHrGSHMlyFtE/ar2uHQuTluUkNRkuhjv/P+kBWEmmZvS56OJcfGeo2iE2baRU
l4uh/jAVc8bGz6mkeV9AzdTClmZ4g3wn5sK+V+W185IOlfus5j2mo+9HtluvGenTtc1JQnRVedCz
jRUXUu4pwdYzdM02OiXoEO+z8u8VH7lJUEKGcLV+J1eAEhMUCfbNwHprsIIyRLW+0x5HMbtBpEnm
vu8/2K1Npa6kdcqGXoNEkjIh0VFySqreqoIJSNN9nIE98NLI/AkIcwveezMEgA9ZxTrWPullp0IX
NRqmBm/Sjka98EWMI5zRo3B2N3cAEoKxpnsQOSL+NFdJ1uxE1MZ3+SSMrf7MjS0FQLY2/1ENMcm/
zo9zx1sZjcyirhuXKSi1BX9C4FbZnazGZuPKuLkWwZX6gFEsY5bztfRiYKvjKDkBb9bvbC9rd97/
SDuPJTmVrl1fERF4M6Vs00a95aUJIWl/wnuXcPX/g85EBUQRvc9Es1YWkLlymddYOOAmCiSU+x90
I+4w6qXfxCqM0JfvNxhqPcT4m+1TTOgjZU159lGt2Vll6w78QyW16cZwFf75zH9Fcg3pPBQlQLqb
QdPpLhpp4pcSB8p3gE32Cwq+BeJqg6/mj13Rl1yGGhPvHygXxM4pDbXyE1YYcnfSK6m4FigyoSVQ
YvGkuOh0pfZJ0Ye+OcRU3ogdRTaunZCNrZOOvqDz9qMNBIZimNobgd5l5qYXyKnpBTNXydSSg1HZ
iptmQXJNEBDYiWgbh42lCJ1cO2BQl32TrI/QeBqiFEPKkQgqda19qKEjfYswjjxruj8qO8d7a+PB
qYE0REpMWJl3y1+fKWwndRozsm/YuuNz1+j2pZKC9oGRnrNTTmwkZQqjf5qPJJtUU4ubqByLqYfW
xxRoFi6Scid+mOrELC68fP0ZypzlMdeszmUHz3DnG25teoqY2XqBM70qokQQA93IWDtCs+s0AsY8
tUbU7jzh1suEDovHA1+QjtDiZRZar/jtPE1zqqwyUeqyDU8dpPi3iWTkTl9ha6vMkBvgezTZVkgA
RYrjWG3a1IszMz4h/1k+Cil4X0I/PuaWPeywb7eWA0Yxp+6zfPPyqh2iFso9cDoPdTf92HDbfA6Q
iXElvU8umWbsDbC2XiUtY3IwlJMYrC82ixElVo0lV+pNWaug6DH4R7Zkfsw16e0jI5vwzvhzztXX
GBjqFWS1QGl5MubTj0rZV6c4yPYGypsPBDWYoQkgKagEtwcNeHXX6TZtrnYMrIOgN/uCK6HuTpJe
f7of4dfdVx4IKg5McHruq1Zh0hego8o08Wwk6s4ScZEZWGi/AzqbXdBBSh7Sypff3AVlUQQtyJeJ
k3yy2+fLQfBVVZAQSCpSZSNQeu6y8t/7T7a1CyGl0Jck02LsNT/5X9FKZOVYq1BmPQ0UL6bxNeIP
KMAHI2pNEjKF/3+rLfagXuUN10JH666IjKcyzX7EVZK8thy9Q9mMyen+cls7BDAbuTptHlyVFss5
6givAp9jb+zhGXRADg5SCPs0KDgB95fafI+AkoHqIWCySiEdG3BeLNiMuiQ550hT06vaBMgNxZF8
qkOEve+vN2/uRUE873u0CEEZr2l3mjo5Vm7TeHESJT2TypeeLyXR9f4qWy+Q3AnH4VlHf5XZlHqD
UlNXJJ5p987JgIZ7GulUXoNOrf/Dt2LCQIXKuIUkcfGtbFrG6YBXmBfEanRGJTXUjhIm16cBFGS2
s9jW10Ibj5dHK4GAv6irimCyagRVEeQMZUiKSjgcIqvOPXliXjc7PexcllvxYza5RL4CsYXVZQnq
BOZJzjU2Oln+qc7aBn/QIjpHZSN/kjG+PqkRaj73P97GoiSJ3DBUwny9ZZbFPszqZO6T8wIar0jD
MXOR/GwxnmuDgyll5njo6ubrf1iVGOnMU5V1yxwJLzimFuLaTd5bx4gK+pIyIjqndWg9Wp2Sn6ep
UN6+TwH3QJUEUj336hffs+ydqS/jmkUxqXnp8il8j+N7cswQgtoBi20cCep+ulHwi6gtls1j1QoR
4fOD2EOQTbHPvplW74IE5ORDYVLa7HzDjY1KPJmxH7AiuQwWVQzCTlWqhT71ODIk36uw8i99VzUX
IxoklLCrdNi5dLY2DUMISrSZq72CHfMSJzT+BMMcKZYOUeT0B1UPg6sWqv0ZOckavXYk1u7vmfls
L4LZXA7MY90/CdHi86mV3fWmX0RelSvlq6WIF8pYVPAsqzpYYRVdxiAXiOs1/yEnmtekPECTc92X
UvIaeXWbj1lLQYO8iaKjr58NsJh60/T/w7ecQeu0/Ynbq/bUqJIyFKkceZpZoBhZxdAMDqVWhjTD
CihVrwivZHtmFhv3BBcg97rJt4QNuAirfltlc8YLHW6etZjI1z3bwS7CbmsV1CMpsMj4iOGLDxib
qHF32JZ7VWaUx2Sc241lvydrugE947wx8sMlYSZhLR8mDtKhNKwZyKeQRBx66r6vTlVKrzXHMD4k
qFbkbpNX6NUoMIGOQYCa5XGKAJrIyCHtdBi2f84MTp2BvbSmF4eTwQjyhmjVeqMG1iPoi+yQ5332
pEy5+aVUivIr9oCdG+PsekVFOzyi+94+B6IIdsLf9i+hsypTtmxQxkJHpJxchYI6TYz6MKL5/WTE
UsSWNlPHa/ygfamVWj+PhTG+G8pQfg7rMbJdY2rfznMFpCE7bAfmz7OQ221G6YShOeUFvd46CX+l
aM5QtcWNm1eOekHNudqJHVtbj6yLyE/YX+OEg7QBgmKYpJRKPL03rCp5FwJV2Dm7G1EfA2W0ODRU
HNaoTsQ3zDEYtcADfDacGs3+NTbocZIqlzv3y0YshPFPkOAYzbzt+Xn/SshxXrGFhRs2nrxF+QNZ
/1g8ZDbK8Zjs4DnahAjz09kJh1NnC1O6vDkSQ5eg9wsrm1C1HHgHk42kIe0KT6L3ygAYuE1cNcVZ
qUV4TSrdvNRmhpwPgWznO269YdqQzPQJxNyti0DVBYEyjmlGq1tOxlNsSfYxtPzkQqeq2Mn+1oCm
GTwAPAIqPiFxuUNRciEKN0PgJVPTeiixoqw9a4SjCCc+WhZWWHmhjxcrHDQkZk3l7SxBCvD5EuDG
ITAvs0+/iQfRz5947JMTDJXpPLUTPJu2Qfu9Cnde7MaNTsTkZ0I9oM27LCMtayqCUMFdOY8d1Jgk
o3+yLSxUarkejwlz21M4yMHH+/togzE4MyAtCCPkgLTvF1GgIfMugpQbAa+YWJymwGIqbE5mlp2m
qqhytwctNuAUlRQKvOHBfB8bbQgF3zD9HiPgUvmiKEF1gmw5/JaHMK2OapI2cK2Qz8U7xA9SeNZq
FeEmQnvs0k8i+CdSRItxEnKbj36RIESPLEcQn9u6Kb4iHq2MF2opdGkZwrc/GBdV4ZlhV/1ZaFOk
89FtER7H1Insa26YY3TMlKB4zaEHdseuaZ30F+1xiju0HBCiazs9uGK4FShfVLUdP2YMufeQEhvB
AOsuqCmMd3mZy0l+UmQKBMco9IzUry6Z8INz3+FdgvJt/L+4ZCCDJHUIGSeSd66UjV0DHWG2hWO6
r5KW3Yah0FeqOh8YcqllWHi1UsLexGDoH7oe6GP0QX1Im2QPO79xMMnf4dEjQQ3aeZlbV6msTZ0D
OzLrgvLk4Ll0TKI2/1KpWopKT1peRJD3h8YCf9aLYs+ueOMqoVvgwBIAxjSDJ26fubD6OIEWSoKG
Fu5DE1nRWU6nekcJZGsVOi2A+MhjmDotAnyZidF2xmQesfUF1hT22KP0nIud9uL2Mowj5nYEjNNl
StZMXA8h6EVjmPLMzcYg+5GHRbITXTYKFLSNCNgEtD8Z5u07C2adGnZ+5JWhYzzjSeKgqqthTIVg
wrEYpr159uZjkcyiHwNph01yu542DK3v5CTReStho2y36Qdcs/dmLdurOMxBcSdlPy6+kRmhgBVw
1dPvU8zoGIyycQgw5FDfnlYY3PQAv0HpQWddfCQLcUsFJBLiRQO+wm6PZ2B/KKwG2vIgAXLfCcq8
m0WZhZwZ4zcgpKQWyyo5LDBUyyowc2meSW5dgsgO612hwa2YBcsGFjBpGaiUxTOZbdeVFQgkTw80
6YXjZB1jxN2eJjtBgtoS1pGIkh8UReyZZm6kEMytuehAdRkAEhcxa5IcuGIJsFFlYoA5FnJ6iCep
+wfW4Nf7b3J7pRkVDCeDUeZiFw6hrYk6yyIvMMv+W2GgmNnAoP0oAErvfLStAwbrkj4wuYrDzOh2
w8dOj+1hO/FQdsEcona8VsXi1MS2uQ3bL/efa3Mxvhn94HnbL3MFCPe2pCV66A1d0D47RhS6mDzY
53JM1JPgXezMyjbO2fxYOOTOprWwpm4fLpp0NR20AomaLB7PJBLjwwSX9Hj/qTa+FquQz5K7wQRb
7ouoTQcxKiL0OjWa3gm0xY8m08Cnrhn2UJwbm98EY0NmyQlbJ1smTtoo3jCjZdDi6F4sY2R1NKeu
vuLT42D1QovzUrNJPzvVZO6E/K3nBDoKaYOZEnXpYqvkWqGElpKGHia4dXJElV/54MdDXB7lUN1T
U96qOcETgExhyklTc3kGpDTwc7Mycy9Fw/CkjJp/TGSRukjBS+feUv1rpDgfKRR1/AHxAKposx7t
Ltk5ihtbFuImv2JucDAqXBxF5GErv0ZF2kvVInjIUcI5CLDq+EM5JGl9vJejbHzhmUQ4B7gZY7R8
bFUuJL2KrNwbNCHXSItE4VdZSGpztBR/JHOJzHdNEs4eFNCz7m/kjeMCyA/oCFgVxmvL66KyBy5z
X8+8JgPixwf2jdcA7fw9DaWN5A9wGnkfwH9rlj+/PZZqNrWGBEvTS4ceU8ahhxrLfXzKG0B+VYgu
cVM32fU/PBwdRzA/CJ2uCt8gLtFDwxrQ0325ecz0OnuoB3wc76+y9WjUJLBgacOB95k/71/lNThU
vUykMfeYDBm/mn5Sr75iJd+cskDgvw+Qcjp2Q7KHWd/6cvNImcaIAfh4SUEFpgJ80Q9zuuJJd0pq
K0J0Ux124GIbAYBJDzQDJkJIOCz7Yz6Nb6hHKWaxWlnILjAe7VsdN0WPaV5AZ/P+q9w4CTSkOXn0
phVzLRnRkqH1ks9J8E2nu9rW0Dwzbem/No4S5kdLAzp56GKpU8BfjqIwLvfX3wIA8wMgQjG6pGBY
1ii6ryTsGpspziQgp0ydnsguOLH6BxaDMTbglVFO156wEbp4y2T/4mWbfZ7CRvysWgy26C23geJK
cK39nXez8SW4sTlCs//SBuSqAV6OACk/LUBLVQ7s8WxpqX6l8pF3XsNGACQFYQL+JyqtCGESEH6T
Hhiud3VVHg0cMZ/aDleCoJnKE6ngXhDafO1EWoIQ0I+ZtXh7hCQjDWAXg/zoHL99aWLTeCX3r+wz
QumjfY6ELE2HRhKJfGyQfDY9LTXrD6it4tpudRJa+FOWaFcw+MhZ3t8SW6+damduB0JL05a1lVSG
Q6EIdkQRG9kvCcvVQyoh8eEPhr4jr7e11KzorzPamTOLxWUrqXYqyDfQJ9Ci34avO0923fVnjebD
p7c/FLMtaCi0IInIi2gsYAz5kWqkXjIm+MbJ2NA1JgJzmTpaO/XInxJ3USIwKZ/BphTh6xQ6lnpj
DKMqw8DGj78PeT390w5407pD4iQPyuDoF5MOjOnqcYb2jl0Yp6GlffPm4+MQWBix2TMsc4VViRVM
b+JCy7xKUwb9ALOwS45g3WZQ26jWezKh62+JoYlMBjGXezPZ73ZHF0nX23IIutyaw2aRjOnn0TR/
IPSqvfmSm61TZm0YZtyMnBa7pudWz3187TwV8wTXkP3poSrSPfzN+pJjFXSYULV0SFaWgZE2+aD1
dsRgAv3dT+wT+UoSl/zSwNtZrhya3amX0Zjf+WrrSAQcDG82Ah+4vlXPKOHOxpJKIEo4mekHlIBV
GM1F82KOehVcei1S1PP9o7G+VlmRYpaePLyAFVzZKmoKNEOPvAGD4CO9gewolZayE2G3Xie7ApbF
jINYpV2YlfVpw7jea6o0uNb4sp3GrLNfog6fKEqB9sMs5/n2o8jYHqHcP4Uf/ywylTCiUFEmqtko
zlUc2Dl6uBCFBxqF44caZdvfA9PSB6Wr0zMihIFbwhnPdz7p1gsmygFEmqc5JIW3J6O09YF3wjCH
Tnp28XHufSR52WuDrPt+DA3hRdKpwmFlFbbBd4yKEwILKiVp7C5jpDtXicv7Y6Ci5XdW216W4b+H
6XsAuFGHgZRTv759J4EwpNOqspOIO7cPimxf0GZqCHfA74MHXImV44BY7k7vb+uEcDTBbNK/wk9g
cfw7XnKH5wxdVRu3mzET3WtSq+ihB8HPOAXscv+htuLa7GBIDwubjxVCLkfFRYF2AQZaIbhJuGi4
kRFiWYzs2M5G2Toj+AYqM0JuLscWG6XPVI3tZwHtDtPy2DkGEHO0SGGYWGY4qyy3wXXKx+7z/Sfc
IGnTFYG8O3OUufaXNW83SuUgFxTcgVEJzGoB2hyE8OWnAMjrbyNr6vYAZ165GEEyOi61ou6fqmmy
31WI1THeyQP71/3ftHVm5o87M3DJipcVaYYCol2Pfeg1Q6T9TAI7f9X70Np54RvflmuafhcQSyDU
y1pQsiWYGjWjAdvA5NAakGFxMGl6Nmt5TzL/z610mxXwYZHAIwAyrmKWdHs4qIWRnHII7HESpTV+
sVn1VGVDNrqTVjVgNJLACA6BhazXOeYK/Shj/Bf8rHEhhT2iNl96s+zeyW2b1fjgVb12sS22PC26
djLdKSx0xUXCUWMGI0DFnu3WMU55XJXNRerk8lQ2tp7STqiir63mDONBa3rmAIqYQG85SlRYhwm8
ruYKRWr6nei/8TlnyS76pShRqav5GaLT5HoSCApROB8xoTYx4ovrnbJ062syk0S4gs42A+b5R/xV
lgZaqrZJixck5KL2aGgqMwF1qh6NfpDP97fnRgwCnAsmZP6U66pJDZNyrGbMiz7ICpry0/BuaNXw
2Zom9Ucui35no26uN8862acbQl69lSOZb3FHSykiiVFkfkWHM732dC/foeBr79ybW58LXQ7qQmqp
NUtCKh3coqIQnbpa7pjPKeIEQ33PoHXre/E8aBHTaVs3uatgUpoC5qUnxjR+VDqzPBaSqhyghpU7
Rf0cOReHb5YMJwGYpcO5oW63RoEeIy4kABzC2hh/JWhNHjrm91fRYTxdSnb8ZGl++NrG9XC8v1M2
HhLVROqpeSpPO1+9XVlpFYaLGuJkDm0g44yuZ/ISZXH9LY2l9vv9tTZ2CSAl+ggwvnilS5Uhs9ZG
pJVnOoE8RpjRTwU21joz4zxppNqtc13dKeA2NorKPcxrpWPCEGbxdImmTTmW8Jk3hVJxMPtcu8ye
M6f7z7X1DqET0J6YO88rhyJTMuAkTlHm1Y1OhzsIIy9CT+MAKG1PqmNrKXIoYNzkF/TKFxsF3asO
f8w489Dhmn708hjgUoZE8NcIjt6/9x9r47pHEAbQjcG0lAt/sVZPcNZjQ6bQVgcsY8Uw1gc/a9QP
ka9GuStUpUAttUh3YvH2sjTRMOjF4noZJruZnVzidOfVtsg7tyOslG4fpsYpFLpkHGpUy7xRHpzh
ev95t97trKZPb5KG9QoXM3JK/h+NaBCdeYywAv6YaxpWs0JW3799qbnpSl99ZiMuMykpMVSRZBZX
QZsbKM4gMO9apY7d9KABd7i/2FZw4b4BhQv2Zq06MbSKNmYmfhzyYJhfmlQo6NtqjYUdY208xFOp
XRXYQ89xHut7pOCtd0qLGXoWL1W3llafOsjZUW/JKgwb2gtG9tNJrqLqHEV2sHPWt6LL30vNseCv
6zXtBuyEhcLU2M7icx7bzXng9vg9aRGeQ1Xov33UCgJaA0A1N/9mcsXtgprUVJhn40LQKcPvSO/9
p7SJ9sBa3DP8N4u7Yb7o2C60hujFLWIYQigRYwZAU34ZGvpHnGTtqXBhy0vwcjtVPqdT1Fiu76tJ
e0BMx+gOIQr+lMsQS7BeyfPsYCmdNF7MyjbLwxgY8j+43GhfrCYLLBdmTVzjJ5AJ4yjraWO+jlNS
/06gKMWubdfOxyAx8vzqmMhNXDS7UoJTE+ZF40oIdHupokjt0ckSXz6EuRh+m3Ju48BS2PJXxcwd
9RiAkvyn7wf/fdKbU3MaMjUvj6YqEHB34qB/koTTtOfKibWvdi6J/qgnXVDhP6xN2TFlTOMcG6Pq
O7eQK0nyJFzBX4SqleZDOXRg3QcJyP3Bgeb6y2goLN/7dNqIGb6ZKBe1rBvoj+NEn7ZHcu4wRkWS
HrB4t4Q7Gi0j+QnYojAp1fLmBcJRikVLaqcl2UUhfmYIDqJwTW8JZEoeiM8iEMknopQ1vWsci7mU
C9Y/Nf5FbFIgBdEo4bcmrqLhISt155L1cEYeJHVoghPZPHayWiLjK+/LaWKe5CzQcZHQA1UjrkX4
QhdaHL1M4AXSI15Pzf+IHsLEGB674lMgSTW4qCHO+0/xSJFznLClzV+nomo+lHFlPiOvF2TuZA6i
fh3NMizdtDanr7aROL8GcxrPjsDDyu0ihH6ukmLW1iWXqwyFw6HvX7okV5PnoRn6wYV/GthH6sqB
9D4zkuA4ZT3c0cQZ9Okq440XuIHMrXdCpt9Kj8rY6fWhHEycDUt6U801kXslw8C7rPRj3TrRYz4O
TefCBnW+okE22IdW5ManyjHwErcA69jPqjQMnlEqA7biHF3lIHPR4FweFmOF7IOd6RH2Jk2muK0D
cwqiTzm0R2yq8+pBSUJsUUsui8q1+6D9t9KR+XP9FBNn7OqYOB+aaszkx7KdjM+d5IcAwIw4P6Rd
jqiimTCjdkdQbsFrTzHZuJltVtLnXNSqeQigV3tS2UwftBiR+9dcLtPJJWeLezalM/YPAgvyT/3Y
GK2rl632pazUSTkjtGoWvzupV/EtxUxjr4G0cVdSF9L/Y5JH3rGsjMtEBDD+IGIYXaa9AsT1PzqV
Y//KqM0/VI3yby3Kcec6WYX0mYCBBBQXJMnOSim9SezBqmAQYKczRodmxtqVkRSfRsn4ef/iWrWM
6PCj1kxJijYmay0SEEFbXzYGK/PMRk2/2cLJ/gm01gRz5MTt1xJ9zkuXNAUnbxSfwevG5en+D1g9
KiMn6ijaj6SrjBIXEV7EopnSoUI3unKKf0QoRhwa/YGyrU7O/2UptDOAdnOlLFEScZ/ngSNDBPQH
+JpZHkzQE0rjrEr+nk3V/KuXFwrZHKNDFGzWHIUIJ/QGi2nmvdVQ/Tu7df1SOiZlb3+gWRuXG3LW
DFp2FYMIbTfA/FRPWs+xrScROwfbjo0fs3zstLMpty5JCl6MT4HczeDi27tYb0ttdHIKqASm/pMT
acOlZ0AsLqYmSFsrJxIPep8rp0JWxN4p3NomOk1c5mxMg1Ydv7wCfEeLiFPYYB2ZtXotuyrrPuRS
275dDRcQDbgAdHmBrq3gNLkZyW040UdVFTj/iUqIsltxaTAj2Xmnf5CnNxtlhi5yVfJG8a1d1TWq
KZkFkqwMtOM0Ho5zw/RxrJ3m56Tn9v/MUOe+kjM7UV2M6vPnxKxD+3nUS006tqFkp2dfpNE32c9l
RrYDhe39Hbb65vPPw24NJgKz0dUOw7Jz1LErzbzQr/NDrmrcI800aMe0dH70gaWdbFukB9/P9whU
q1STlakUQJfPEFJkOm93W6FE4RBUXUYZ4ouTpOXZKS3L/mIk1vSkRsa4119Z7bB5QSq+mb5L1bCM
hEgPV34VsmAuoS9fjLLgWJXvoaSkO02qP4Fm+dFh0VKYMIikJTi/9b/SaFxvRhC6FpNIdfJ7Vx0C
ENtCHYzgqGttzb3oV3bhkrHMrMoqr5C0HeP6u5rExT8yJk4fVSPSx+M0woi/9h1i2W4eGU141ZzK
+pQ1jTlgBFEm34ELpN9S1Qe7NAoe79SrhTKdhkqbfuVCQuyz7H3ADQiuKinWeXWtfmbPd60bN5Po
/6lDOnUnq4FUypQNhr1L2mPSVAOl960KAkO4lANWdMBhNHZcrsK+dYMC95cXwlbyoUYGyneV0R6+
3N+YqwDL14I3SM8aBTz4kertK8zz0BRhjqx9xLOezMlvPxmRlLwVVzevQheMcSYMnFUgkK0Y9ys5
zTw5bVXiXCQ911m1p2q5hoCxDPMp4hdFyHo6FMVxaqZgSr3J8qNLmvrDiXxHPooo7vj+in8IU1V/
F0ZthMucMX0Pa0t7NzC3Pt5/q6tcZ/4hjAHJ/CARwoK6favm4Mt0spj7R4k+njAjIthLDbNpWRPH
xJbYkwTHneOwFWNYjqOg4z+6otZx0pxpBp7QAwny/wVG1j/EUmBbLvWldfb1Qv8OPyx+9hHl3iMU
bx169HxmZDf4AzLg2wdma5UcsjL3zG4cHms57cGb+Vij9U6/MxnbXAqRY1qqrLbigMdSSbk3Q5cQ
o7ZpcEoBTBXEAkQy2TuJzsZntGUGrKiy0pRbIUuoIgJtRK/HGxunuIx6UnplYpknhVHDoazC4lG2
/Hxn0Y3no6GEOgy4SSZIy2Sk1iqTzHzKPKS22+8ajpSXqO7azo3UydpD1ikb1wP9MqSCaIdvmF7S
OKOC6Nk0NWWjW/eG8mDWdeYWTYo4YTTKLnD9+FQnnf17YFR4LCMwd4kpN9cYEs1FyifjgS5YO6tV
Tq5fyXtqRhuZNeNeukEINclgDRcX2KwcpAjBfRIZFvApBB4zgiUidWesHYqPmAE1Xyfww2eRoBGF
2kY6Xu+f5s13NI9JObLzxGkRIysbuEtNqe1NamI+yp3xikEFypxDBlMKh5OdXGZrOeY6NIMZW66l
DUuzyicmTplX2or0yS4ahAeMDOXRsk9PkzW2YmfBNcqGNiT0FswmwSith5ZNX+ZOmrVgVn2zfAFH
FJyytgzRXTKS+BveRMM5rdrSOmi5M37027h/gOtU7ORIWxufljuSfFRRa39QVUhpnemAbDKziR4z
2E/o9vaV20pZtBOfN18xzlnUaeRigMduw1WWylNlJ0Pm2anZnqwgci7opaRXpwysx3aqrW/3d9DW
o9Hb1wHGgUjhGW/XU0NRDoPZwYcNwuY7KxnTAeVl/ZPR97W+8zm3Ho7tw6Fj4oTe6uLAdJhNB1hY
JWgt4a6dKMl0USq1uhQIkxw6S4T/4eGosnHEpKXJrp0f/q8sLFXyxPInnBJKTspl8vP3vSPEKcIS
9fPbX+PfK81P/tdKoEqUYCId8lqGzEdgYQl9L/pu+MfuNUy3vhj1BNZIMyHSWJ55tcEFxlEoCcem
LNwCHN9z2rS4SsF++/QfnmrGjNINhd+2TBZGeK+Y8YKOiuW89SKLw34sbOLbgA2btFPqzjttkTLP
kG2NqcEfvbPFK0xolcl0iWKvC4PuMNja+BiW9rSTimy9vVlYk9Tc2Cj8hsaM9BY4LDrVk/YpnsLk
JFpjOpdTs9fi2XogChzKDSqreTZ4uyf61KGfVDGoa4IUVSLayR7gnT0E20ZuxUYgeeUaYNq9HIJg
wG3GosJtDMImuqhyE7q6PTYPRm+Gp9CmPRtVfXMhIdwLVVuvkgwdCgc4wDWfPDNTUAVcashyxRF8
DXm80oVKDqlIivP9jbj5KrnhQIkwsF1RFxpTYDIVmqlHeg3beWzR1OytPXDj5m1DNgXji5qY+eDi
OkVfOxSNNZccvtOd4iaeaJTK4YdRm+IzyWUau+gjtSctmejUDV2DYbFV7HBT1qhh7ryZlQJ9gYtv
lbH6HXqeFD8pXuKtGpxi1TcFvfRYP/cxUgSASuwMVrAE0d4tcqfuLkWRoWicJDi2Um1nmQuUoHsg
595rem1tNmIOv4yeyRqsXfdBnPsqQ4AcuPTjYFYMMUxLes2i4ufgC/mHg1jb956Rw87NsbUBCA0U
D9Rpa3qv6tumpDll6gm5N5+tdoi+IFWyJ021lVVzywPega+Gkcfi+2NGoeZJmWWeFVnBr6wTwVdH
akdXEZDcgRAJ1xHJnrv71jHikWZNnhkQugyyrY6Fjt0i52RkhvycKWNWur5jtboLJEv9ef8gbX3A
WQEOZxCbfvcSn2TWjT3JGYvxY6DUatFQXtCL8MmP61C/oAkUvohKHo50p5udUnsO4IsAP2OVqS8h
udPxUW7jYVimAaKcxEMGSvr7SpH+TUTq/MaKK6QG7vp6Z5S5sWdu1lt8zTr01d6ZR+BtqvSpm6vt
+NOZ1Ph4/5VuLgMXGh4JKc0qByf8Q28MtQT+fiE9SxV8ZYa4O5nMVmhCgAGhIcpLRQesfPvy+Joy
c0tszPpQ7fsrQkO0krBrN49mlJrKUTLNSHGNvDNVN6zbOndx2YnSY4bf2JvH0QhWId8KwJfyk4Oy
uKllK6kJfuSMVZF914wEF2G7Mw+gTou339ZYm2CBQEzGFWQ5OpB9vdbiFqHJrsuKz21h07XKC9iB
6Wj+h8xg/ogIWs6DihWAt2e4r3UpjTgbnYkPpZUY78K49I+W6K3r/S2z1Q6am4KEGpoSnPxFaoAN
SC6ZDapqRqN3cE9GtfudJWXxs5ar8knEin9W0qaCxI+H2gkKZf+ganmnuHjZaTv7dyP+sKNw6wV5
hgqF49zurLGpS1tSSJJVMwy+dPWoHIyhqL00DcbT/ee+vxRAqdulCmyO+8kBJhWOfnQouq46IlqV
vUgahfP9pTZCObwBlAzpwzgz/uZ2qUbDDLiZE/IwUcAsWfATRBhHD45ok0uFMvp1DPewE+tIAHIJ
uCD7lQKOG/x2TaFGVRvnNa104ePA5gfGR+pGeU8TeB1HWYbNSANozsuXJZsWBpYxOfQS+94eT1EQ
ac/NIOVHX8rNp6hp9oQEttZTkTaEEsympSN7+1hqUhXapND2icJScZtS8Z/VIUxeVK03wS9hnHP/
0229RhifADUYys494Nv1clM4bVPBU2383vrQSUry0spKtbPKei9iEoXxBCNJjYxmWUZFOrW8iSiC
N5D6/0Iz1z8nXSieNTnZEYpb37msRAE6s7epbpZ1QKIzzxpD4HNQSspfk4Nr0sFqZeNi+4KhALql
D4bB7DWyMYzcOQZb75I1Z+oHFQ/GELfvEhwHbGMNUF2BrdJDI4TyFIlyD0m6tUP+WkVdfDHdD8Ns
VHN2pNHKr4E6JucyHMezqXTfJIDPl/sbZGs5/BVn8wIywhUCMu5IzGHJI3U8lu0hHyQrdjGwCB4j
s2suDX+zo1+29QWZi5LxKsDNVhNss9EUf4CV6NVKJVwztIDYoKGA1J/wP0hgt2lK9vE3jN2dvTj2
x/LvNmui5wQuiv0zF/2r+g48f0dBlXlDPLZgQywyKLfFDVw59MxHPpZVohBFZZAomt95ieikJ1D7
GFlhBvmFfM78gcRqUru2yOIMoSq/39nfa2YBpFyGqZxYUsrZguB2k9lqYgwMGyD4gQV5HyRFch7q
3v+IhlH/hGf0dAXihYl1iqVIldmyi2azdgj6xn5OCyvcOdh/9vTyjQHo4RdRFBONFz/HkEFDRW0P
2xZCf+52ZubXhzjRdG/IBrt2u9DIoyPmh9l4loaiLI62QAHUjRQttQ/AmvTMtf3atA+AeXGeDpQ2
jF7juG6sQ9vH+JFZ2QT2KgptOvyirVV55xHmU7l8Au5kchBCArDR+QD81U0KKzssIsfMPIfa76TT
RDp3KAzBCbXrZ9VH3cdJEYobyyFHg7Xe07LdOF+on8z6/DNAdlWRYMLr4Jeu5p7d19K7Qe7bs2Kk
xqUuRudAT2hP7nEjueUwa6gvUpjQSV9GSA6XlAcBBi9V7MgPIz59h8rQvujCKaqDMU4TNkllAQIB
snb/UlVG9hkelHjrWwehyymbRXpQwFjdq0Vu4hPPNPMBJ9mvVa1nr9DfzXnsalzrss7eaVMNCkye
0hmPZTzcD2qrhIX51EwRhpI7a8Qvhys8mIlViDAfHAkuSAFu7B2zo/6Z0YM4ZyoWpzRP98jXf6LH
zU5DMHsG0HJBWVARjUVNJmxnsmM5dh4cHdnBJ001Iak0Q6Inj7ohnM/ITduIPKVd5Jq1Xb32XSmb
Lq71cXhMkPV6Ry9Plq6+MzI5nPwk+JCzeV9kE13USW+mR7IHda/+WO1PfjSiBIgt09lFdGtRC9Go
FiItJPuhr8Iv8f9xdl5LjiNJun6Vtr7HLLQ4tjMXAMgkU5fsqryBZSloHZBPfz5kz9ktgrTEyZk1
G9u2mq4gQnh4uP8Cg7kr3QrTfQvV3xOtXm9krReGIy82IZwCfj/n9GAK2AaLYeoRtcbxfWC1rUeH
GP/vKZS+2XXz8a0bATIq4ASKaotw53oj2FYo9zr+r8dSKzQaWmnQ3Wq9+kXKAv0xR7TyABJUbFyp
Z9kQjhz4zuL5SuVWp2Z5GnEQN6973kbOEbDRdLT12vb0CXXBYUDc8PXvO0tJGIoyHSw7mokAjVbB
re/KMQzakS1nouPn26jLhQcdDMiP18c5XzaoCtCEFjIIE7pWhOsNThO1KutYD5ntJ3omHa0OeE8w
x/FeVLWysU3Ogjb6VCwbgkr0lCmnrnalUAe7ztXWPhpd2Lxz0lIcagAVh9CoymtldHpXssry3h7R
Op+0fKt8fh4/kOngsYMWHXXtM3BLrWeOPAvFOuaaHDwg7ZB9pW3ZMapRGE8IG3IpO1Yd+q/P8vnG
YVjkuLgsSJDOkvWuEajGw7E4RpY0X6Xgiz3kRZ09WuLJxsa5sKAQNEnCKB7R+lhvnDAPUR3Ueolj
L38CoK0eh1i29thxF35fjdnn17/swnCL+QdyPcDFOfmrNAK1wrxcdNGPidkMuQvdq/062Gl8P5Y5
QvzD9GY8FOgImHMsIm39paN7eganFgIdlQDnaA+F/UGqK9lN0Hz8Auyc7o7S/Hr9+y5smEVwcnn6
E9bYN6fDdfj98VZVnGOwvOgGuLb3U9opD5pk1W7jKN1xlrVu//qgZ5n08o0IFdDpWdja61QRGgrw
lLlxjiLXnfAqxOmscp18gX3MoIzSIyKO0pORFcpzmTdiy6n4PPYwPPCMRdVtCUOrNUWLtRtMk1De
8NH7ydbSQ8BHblStLo3C3448K/c4h3HZWb+lb3aiaV0gbOdYN7X+V42G6HUZh2+uOxpsFho+BqAW
uP3rcmoetmPoSJBnrbigDC+16q6r0q1s+sL5PhllNWN2o+shdX5E1San3dVOBW440GSXqsPWtX5h
2sAJsye5E1iddcAOS7a9HqKoa4m59pVuUo9aZwcbAeviKCwNUG+V+vea+zVGlTNIZPT0Z/P5qIwp
WPlwfrNvIYtDt8qijwOxggvhdAsooaLkdYPYo5YUn2cRZFd5o8RebZnDRtZK8Ze/6zSHI09fMBlo
3xEX15ABNa8HdYyxTG4H23qwyjr80qNf8aDMcpS4nZYiMRQXsT66Q5kjsgYuRM0+F70BpT7oOxMk
ZBSB69WH+ICgB44LOkXJh0jKkl+pGsIB4UgD912YZOldbKIe5kdJJ3+Xy8jsXKga6ntLWIBEC8p6
OEsmvX4X2Xk2ublO/dlNSWkxcZbw97BA3caeI+Je3WeKqNWPJOW57Bpo8PQ75MctEs0slxO/rHEJ
9DB+pdc1WaX5aM5pIfPmkaxsJw06N5vTKfYP3U7lCvZCyH2TNqP+aE8db6M2nJ3ZjYZ6nu5Jco0b
o21QjOxHW34uRyf5FUWa9Q6Kbxj4g4TevGvifPJTb7LifZYhOXdVEP0f0EgKSn8wLfCXcielmtfj
+vJXIhXlU9t3ueMNhpHbftZXwYADphV9TG2YNb6AfrfTAnvoDkE3mnc4whf9O3O2tQ+V4Yw8xNtA
+5IIiBjU67UFuBOl0m7otDF0TcQYpX2qxPVtPg5t7A2plD7FqFbFhwLtr9G1WqVx9phjR4VnO1IN
iDRG8QESzIjmWKca9QMmZ0rtB6NQK0/P8lo/zi3KTog6JX+ViMPX2DBG8FykeO5q12iFbbpmGvWS
D63M6ryk5D+uLRnVA8rFUurXAYxh3yR3k1kpU6IMIbiF76cGIBQNo0m7sXJrbO4kNZ/ad22oyT+L
clY0L62RXnD7up7rRzVI06vELLHYCClcSS6Al+Z7xWL33jCnQeLVbQFxRLfH8t1sjYPlGolTNwdJ
VetfyBFk0bFhSNZDhVHjGrGdOI9mUqnyQ9+b1Gd4nbS3BFx0FIDDVUCyrMx6xiElSmFK9XnyPoBc
Wm4IVpyfwqXVvzARCcvnshiBDTBKR0n5yO1ufO3DQHzmaun91+/Ps1EgH4K8wmCJ/PkcrlNFs0Qn
HMs07IHS+wQVqScrNpyNVPbiKAQw0jn6PCD8T6NX3qdSYElmet0Tf4HLNN01kJ7s8MZvIUZSX6Dh
DhqI1ucq3zHjWpHh5MXXkwiHG0Vrg51hFs3Gu/rSBWZzG/NUJD89I/dMXF4j5i6Iw3RD7EOKmmnf
d4nfBMOW09CloSgbUK9ZlN7okp9OG86GyI/GGZLws4SJEg82sCVxesXjsd2gul8YiswUDjgFrgvt
DVlty8FIaukYJELzkrrJ91Vthrea6J0twNGy2qv7BbISlgFcyRieru8XYZiYyYEExxhD73bmJKc7
ozSyZykPs9sBM8RmI9E/236kTJSsWStGpDG1ykwz+MJq2RfBcbba0c+xqfBrAtNW2fLiMEtraJHx
P1fwEkCsMzxjSdNIQP2s7hzPabBwt1EIcc1B1b8bfZMezCnX/NwMy5u+nr5xODM/nM3iMFRq54mm
7DeOxYW8nOI1MnU8OUAirLNHGkv42MyhfWzNCv+C0ImA99fyTlh2+aRPpnFFGrsFsLmwnxgUYPji
nXtOjw0I4XMGGvvYUWr2AwRE9v0cgg3oJGsjUJ5vJyrZSzeEWvqiYL4sy2/Z8TTbaAsalXpUwjDr
3Cgcg/hzI8OfHoqojZ/LIdgShjj/OrYTrXkaBvRcKfCdDhkWEHLHtleO8TjYfoN45i5QAb0nRb0V
oEG1r48Lg/Ci4v+WjzwDkVRoOk92TWMp0Xu73mEbbe5VOQxMT0QoN7jTWFm/0gJH9n2aicR2ZT23
7L1WBlXiIelvfVLp6YU+FcA48MchhFgKYGjkni2t0k01ta39qMPLHDvaUn2I4diPmCuXpHloBOvp
XmoH49FpcB2+yopJPGXgtn8qSZp/NpwpVK8cSvTOUQ6xFLjVCFm6l9OR5kJ1RvWHKRqj3WOjMXyx
UAicDhXSQNYuoBz4tcABKIa8nLXzXmhZtp+Voacl2JSGdVyo49VecZLJ9s0eRZAbqWtJVUIUd3Tf
0LPY8WRp6FCrwAom2EXlCF5YIUV8ymEOl1hl5HXiqjAIDD+2JaG6je40H9oW1jOphg2mAYU/S/HK
oKPCgDa8ZiEB3jeRK42iDFzJMSfV1bMwVb6OeWmWIOHbDLZKqiXfjLiJA48sIP0e0hLT90XsOF+k
yobI4oRFdtMqTtBcNWQ6pZfpZhvtO0j339JcCbJ9Z4zivZJWXYL5QVyObgEzLXNLrdNuh3ke5hut
cqLwzkklu/cCQF1fjCE2SWYjCw3q3Ennm0iehsy30XQRXi83GJjrXVD+EJjS4ulXohPoK3GQSpC1
terWdrK091CZmXQ3GUPt55zl+VMqhHaDwUo57NQsHFvXspKwPiRpKx9w3pSF2zk5QJChkH6oJvqH
ttIYT9PgSIe0V7NvXdPWX5oCiwYIEO8R0Cm7INYPWaA5H6ZUm5JdG5ZdvFuiIfRlM08KN5qT/ieL
Xt8lWjcrjyj9m+bOVvsue4cFFk6mPRTIxq9VafrYxyOUozzr+yspmWJtpwe5QJyhip0HtJ6kGhL6
ENNIMWexy201iY5FpwWlR8pTPWUZzGhXjxtD7FtnltODZQb6z3KsnNrn6SgBbYvIfPysm6GxjqkR
7Gs5rApPFXoX+0XbhWwBWRqbyR2UsX0fwOVfDMBLrb6VQ14Prihaw/IHOdBSF89BmOfjLImD2Wez
c6A/gXrjiAvsQy1FOqfBHN7PZeDctaUuf5giGpyHKhRZ7Oa9mX2iEZdNrKYeNrta2HZ41Vpa+wS3
BXZXBaexfw7VeVD83KkVnh/pZNRXUQw7II/bJnVnUZeRFyl2Nfh21eeHMVaqxicIq++FEhnzvSON
7demNJ1vFqYE0g2W8LK4iaKQN4YUxuXNEJmRvQtFMoD5GbVMcWFEiIcm1TIIjXDJpatJQlYLknHg
fMJ5bRw+oCnFVKoJO5zzSZB/KEkhxAcUQeP23awWbeh1GQ/ca1ZFBVc/i78C5MqMK72Yq49V2dSz
/3o2eHbtkdkukCL6dWBwzrJBO0euG5oZXf869kY4jyiydvouixsI+nNr7vryzSSaZUiiCXDjRatr
zTCzShqEABnA2ufDsBcxXhlV20Q+RYrmaM1W7Pd6Mm2818+yjmVQIIaLaifdvXWSWFTlizI1zMCx
DT53aqq/43G3JUR2duO9jLJ49ILXoMa3uvF6RYvxNw7hTYx17tERVTx4+PX7Ti+3VL+WrPYkPXwZ
iirrIvyFzNPqPue5QzEcLeVrrpU+doeuwvGkScEvorQQuAJzIABOZbZPtTj88h9smpe+Fc1xSiCr
scuYWl7bgaPCQcvy2kpYFNn1cZdZAmWFMU4lj4tAfnp91AuTC4CRNiU9E4oua/RWnkeIbgyLFEYV
27cZTtlubUnJEyqoW1X9S0PRKGEB8SRiMVflN/i/ohiXyZ1nPfX6CbltRcsLv8OX4q1VS2rBSKEi
gkDOed530uyg1ccMpwu1UB5iMt+bBvWFjaT7LPkjOQLTsxw6B73P8zcfwORiUW9DdA22Vign/c42
aMjEdaG7Dk/5jbfE+QRSZZYX/QPa6ZRkV2+JQY6wmxfQ9MOEHSEkWbtBfXX2QujOGxN44duWtzKT
R2p7Lqls9YEELRaTuzys80OdFumuyYS4qku58lAo2Wzeamcnj28jcPGC5rEJZvk0rQViYZgiHtJr
XcTZ5NcIPErYVWvZu1xK5uanqqTkRpGmDvRm02h6LEasn/poUhR3mhL0bww216GzFqvm14/IeZQj
hMPY4mwu6sjroBDoUd5HOn7CUma3uFkpwbs26Lr3/8kowORZYLpva1EfR2soh6Q2lc9OrXwJse17
Mpb+x+ujnG8hDsYC3lr0wug/rYKMIWC7cXug9NBGAdaJQegi7B19FN3YbGD/Lw2FSSKBlLo+2l2r
oYIU04IU/sR1INTkbhoz412Qz8PoinQc4o2jcb5Gi1cqNR7azKBQ1ygTqLCaEw7InapmKnuDFsV7
TWm2+CkXPon7Z5E+4yZCfHhVFJnMdC4p5SfY6kpPaVvk/ijl6hEh0mFjN5yPhD3pAoukB4vcwrqy
33e10VUFsnG6Uc63QT39yKwJ1/ZYe7Nb9rLjoPku9zc9rHWLXk+GuUWnNEWvHSZxX1ChhdAmuWpU
bWFjzrrKy1B8DMU4YMlnoBQBsEtGE5rbtUSkMewa66sD7XSfIbX5V1ma5ic+uT9WcQgDVwKLtvFa
P2ejLD8A1CK1Orra+PieBpm+t4yyrLiBJmHV41VexKbjarXsVDurCorA1WjWWe8aLBd/2qJSUl84
tBzw9wzQKchSG2EbEZmWGyqS8WZyNz+OBgugHQLAuRMGileO1hoUKvUwUa6r2dSvqMpLVyUunxsR
7VJ+SnlEpTOLEhsb+nQekHeaSOtYCOx3IfjmSnZvFmbqDgM4EDcKaAWU7byFy7i0/KBGgZ8sTdMz
irHAMgDNdbTzMUs3dmgtEMmH2rzSeI9fCVpznxC+nr10iK6UaMu76fxCI6XDZoQSGVjjsyBuaQPG
fxV5Ti0Z5SeM0yQ3RM/SDXItTV0sdOSNqualOQbSDMELDAr1v2U2fisNYV4oB5KA5DAaRvC5j0LJ
wzYncFMx5HddlcxL3aPaSMjPwwZf+T+DktCdDgpDnxCZxKRY6JVfGYiE3wz1QievN+XRL0RccA9g
JJfAC5F4tYcAAtedDb33uh9ViiHUdh/kIN26RJa/ZZ2QL4Yai2LnIqa5LOtvs6hFHWTpgA+iS6a+
x+0237e9UXgIaOmKW465eZVEwxdJabf6Bhd2K2JFgG24JcHJnj2oauCU9TSF13Wq9t9C5K9mxmsU
mvsqoF0X4TCnflcVlvVdmwq5uUHHNNlCB1+YZBV6CrXxxYH2TOFC6bUa/nQRYgRuToA3o3CvS+UW
+fHCKPBRFnQRAUg5yyvFXI5kutT6E2QKbpxhjAzPSip7a3deHIcyIuJBzmIYsNoywDJGYSJwB2U6
VvDUzcKHDFrgxhm4sGVAPeJMRI3fXHoyp1tGsVNTHXJJOqpdXng0ah28vZWZmlGt3ttVonoRwvKP
IfCxt2c8vA7NF9oNeIz1pa0akdzHKBxfx2GAXp0hBTvk2W2/C+doI7pcmEpKshx2FEiwd11jT0Kt
H1SCN765qBc8NoOlPMOQSzZGuRDDqGLwExnqhaF9OpVzXMed1AXhdWljKrlT6lD9aaSmg+TPmDX2
HtZKNR7LkLfOxtvqQiD7m5JFnwuc1BqAlhV9U9oqUA0xUC1zorTx42mu/LGQouObU2LyYJvggrgs
IKJViBmUNs4As6ElX8V4nvJ+KAAqhvEekyP1P/gsLoSlqQb266yenvYpeueBFSJpGHbYq2SReZgg
otJWjothy6rp0iTSdOE5BRAZ5vuyiX4LnkNjOI0Ut/F1WnO5W4g0+UMdGL4dS1uNnkv7cXmUAtiz
yFjXNRpbVYSdqTNv4SII7ygvTleSNvx6faXOsdXYwINmJmMBWUPzaPVBpdMYg0nWds3rqNolWtq8
QzYK//Vm0HZjImqfXi9WpIlk7oJ4MJDnnN6MhuE3LOoIiLqhwUN0Pp3UKLa6RA7IzAc5r4+ZVitX
2oCkeh2208ZuuTSpnO5FkE/hAjjbmVLsyEmBomqaReJgj8l0NaZ2vEEtvTirkJGBkNHLQsJl9UUU
FOmAQiO4litF9aNStfblnM+uBRfe6+Qu8wdUxbwSJRq3mbr8XR3ob2YwLbMKJQTEPdptZ3jIeJr6
LJSrGD5tWe5jCiCgLsvBBfmSbczqpVPBO57YCSke9PXqvEdYYVdd22DqPoZ4hnWT5Tbj2DxN7SbC
4eJQUL3BzfG2OsteakuLdAOi+TXM+2SnIo3ma2MMGTrW3oxdRWIFpCWHg+IBBJVV/WRRGNOcTMkh
2nfNB4Az1mfUSVBMcMzI3HicLjO0SsoWOAXD0UNHTGN1w0qcbksv0HWRMtHvZVnu3HnhYatNIl3J
RWV/e/3cX5hGxmO4FyDa2bGXpS4JVRnhnK6a8wgFYlXcajzHHsFsBW/dHQtlgWIesvQgK2npnh7v
0ilGxUBs4GgEpdgpQ6GCG1cd1ynNN9e1QdZQhqFJzd5g4y8lsd/C89LNj4Os1Y5KYQTcOUOXATru
zGmXdnTmN9Kis2CyjMals8D+l4Ry9WFhwtMzkWwVq1VyWPQyzbsZYNdbMwZGWRITBDcthUrWklH8
9k0JRfU6q0P5GKlyfNcYUYugVm7ewgmcfdIuxKbp6jy/vj8ufRpIWNofZAskK6tBQWwFSMLL8hFc
YX4DaQLordNtWa+cJUN8GgFqUV5zqB6sl8tORKrqs6UcKXbZD2rRaLd5LdpHcgX9Y107cuBOEXmp
+/rHXRoWujhQYnYIp23FahFhLuI57uSjolXyOylO5H2fGfG+N3NZ95SUiomL+m1fb4x7fi3wsQsM
fmGWLsnKcip/W0o2kqr3lMOOZA9W6mJ7quQ0Q+z5L8Q/xeDW5BeB38qgH6t4nA9CEXnupwWWyLvX
p+Ds/C+/BF0n1OKhM2n6an0lIRkzEFT9SAqY7gMkNY+qDORBqdutysiFoQBpwplipEVgeDVUYQkR
oymtH/W6ug9iW9ynipBR35W2TAvPNy1UA5oUNF14ZrK1TqdXaQUmaYDvjgg7mEviYgSzZ5S5snEi
L41DFRadKj6LYLOKMuoYZXE+2/PRGJPydhKi8Kdelf3Xl+js0UXWR9NxUUemdAX35vRrKL0WgCt1
+Yjat0WPesScdz9OSaLubRx9es8QXfKNXn85XfW4oW4dTu0MqcIPQAmfRQNDhvzI6geMaqJ3oTkp
R6ErvXDbAnqMN6ZFU7qmIrIKPdBpQHTWlNT30Pcc01XhPX2XjND54piV9l2mKv0lWF6KbhNI+X2H
WSiM5oh2uItLgvKUaoPaP6tK1753mgz5cbmj3HTUSp6xmlMkz2lkG18rNY5qPwtNqfWs1uqeGiMB
UIGFrkRHexwlv5rM/s10Er4e7hsX1kJ/Y9ecTr+RoF+XUkA4amEXoQk5jr4sUXFqMmPykIHpDq8v
9/qYAKRc6H3sXWxYcb1a/vy32NDmmlrYJsCbro+aT6Q5s6dLWeVJeVRtPc/WY6E6S2in2E7bApVP
ddngv40VgxWxJ60ZiUMJmUYbKO19hlS/ej+niJiAcxvFjV5OYG7BEERfuXLh7xm9oz+Ai7Jvx9nS
cjeRFqiv0HpT9RIkIcoviR5M1n2dybnXAIR8RnDWiX80RubcyoNo5dG168g0UVwZjNrP0WxMfUPF
jPKhjUYsKYem6koP5Ewue2FmBuGhIKf4Ok8O7lZVGWdiP2ayLTy1qpvRl1oomZ40IXEFCiVLW8DC
TR0eulEe/zIk0NuelZt8oMiBXgBKH6ricRiGdg9cp5/uwZ5gCQKpM3IO+oCe9WOt0gd047BPLQ/a
sl4d6UPG4VXZidY8ZBiwYTCAGo/96fXFX47S7+kfC8K9ACyUwIVtqLXKJMgqM4lz0R1ju7KPiiR3
ETXcoMtu+mS0+0OTV+oXp4zGcHrrncTQSBlxF5Je8EpY80TMgJtCksz+qAF1Sj07quIFGF+GTyjx
Wb0XxeokXZtC0fOjIiTlM6cV9EyezdaWqd+FWSBx46hB/wOWYK2eEbwCB5GIoj+2SDv44OsTN1ES
87ujJ71nVjlAdZApG8H8TGyFCUDdEOQOXVkqaWsVQJ7eqQrLuzsObcA0mJnpPCgglGpfRpY+9xJ9
TKjgU1tHfmkMaVLUYS1MX0qqNtrFSphsIWrPjycyGtwvoHdJivjv0+MZFeCOhjSYjjpiNg9hJyWg
xpHcnut2q56xvspQemK2lw2A3t15ST0jUNDZHOZjBy3ioAuwEpWJBMrr2/vSKPBdQLXArEHvbvW6
yVNnDiS1x68463I/wvnkSmkyfSMdP0uvlo8hPDEO4Hee96tTZFhZDAOPkB2j1ODlcFCuwWK2O6vu
FF9N8+jjqJHZxfUNlAjzXimKLXej8x28gKAp+C41SwcP9tOVK3FpBX82yUfAjsEhbtv4UFsC+IIV
WMdUayavNEFmvT67Zz245bsXb1FeGLz2eUWejqr1LZBfnEeOgACUyFUDC9AYFi81GMVilI99ldb6
LSI+JLcqgj5ur8v1DcIAkXDBCMXXkRVKFqpwg7RVB38pDZ9GNn4bnQb61dw1Z9daFjoJXl1iPmZK
pt6UCcUml81ff7NoTE1un/b5eBVVGBeA/NMn260NZy6Oct/okSePAXawkgbj60XNAL9m7HTUQyPI
NjwgoBFIbKkyYf4L3ileEA3mX5rWIojXIOus+J1at49ma3ajJ6dR+TXOm7byRtjMOE7pef48cPof
xjzCnCdY0hm3ETWMIjmUh199EMfwX4SFfKEhQpSas16LHvU8zL/KnaiS3evruE74lmVciKSwAjFv
QyL6dBl1swpipG3mY2Mowb1sFNZtnoRj4ulz6vwotLz7VXdB1+zRdDA/vj72hSgIQIrOGvUqVLvO
cmdQTGrL+ZmPcCTicmdNqvELM8pec3U8tEbXgLf0UCcdbvAIU/VQxkgi/soEqiEA4kRjbNxLy1ld
7RtEy0BJO0tCxFvtdDIMI5TSphbykYA9SLs6nHCBqdFg2GG0ZYEbi9I28JRJt3J/0oGOuYMsac+v
z8qFQIyeIAk4wQvu7fpqwAmtCIOpGY4gGpNj0MrTTpbS4AOJYLURIi9EDkQLyMcWjb8Fq3b6vXob
BCT78wirdnIeapHmWCPXlTeElXxdEPn9PE2yvyf5v76P/yf8WT7+PZ/tv/6bf/5eVlMTc9JW//iv
h/5nI7rm5x93z1X7BwHhx7OIy+K/l7/kf/6l07/iX3fx96Zsy19i/b86+ZcY6d+/xH8Wzyf/sCtE
LKZ33c9mev+z7TLxMgC/eflf/v/+4R8/X/6Wj1P1859/fi8Bhi1/G5jW4s9//9Hxxz//XGLwf/3+
1//7z+6fc/4197kIs+cfP9to/e/8fG7FP/901H/An13oJiRIdIUWcZvh5/Intv2PxeeNegy32suZ
/fOPomxExJDmP6hi08NdAE6QfBUWuyVFXP5I/gdFKDA8NBCA/wNJ+n8/7WS1/nf1/ii6/LGMC9H+
88/ToiG1rKUhR7RYumP8kBfhnd/S+DxUJzOSnPgwJ6W+b3kbXoXQFj2EKLKrUEv1/W9T8+/xfx/v
dI/ycscScXn1wmKjpk2J7XSPFpqSYhdbYDcb2KOnK23wEeBwfpzmHjSSTb9fxbpgIxCcnsG/B11s
3mlW07TWXy6/3z4SxYSh60s9PIjakG7bDCysUpgaBMlsyx7oNOa8DEX4BXsIvGDBVKzSFBpk9MPw
8DtQkU9unVmX4E04uhtgGbRvuD7dWFjt1cv/F5GRfXp9elfDA0yinAjpGPF0AGWs6On0Gqk+D5lh
N4dUdB2NrFzbi3KWHtWolSa3LhvkZkWk3ycx12eh2e1GCFppSVGjBc2xpMHMxNJy1Vddi3TojaAz
lRpK6rLI6ah+6lopfgK3S9Y2xTPqGMiA3lRq7YdQAK64Kg3hhSNUAq8XrfIBrPh4ZSvd8GWgKLlV
kF/t95ffBzSCliJNhkUk9HSC4tIgqmRyfUBDBknQvOjJGUbzYGf9uBNhIT2+viCrS/FlQoDxkrtY
HFjIVqsNLzXCFr3o2oM0Myx2aZ0Kd2LSTHsnB6X+Pirr5H3SpH4qR8FCVxCAUTpruh3LNN1Cyr3U
XP/3SqTlSDliEYUEQAG9E/2q08/HDrtsaB2nh15t9dmtmhAuX2+p7XVNRjq6WhMlt/h1lV/irvph
ElOuWrLCXZtNOkTvwI7ea3MgP+ml2sSuNjZh4xVarH8ORVdBmo0wIQgrCx7CKBT4CYPNgSuJL7d5
AZUwj+wh89QwU/dBXwZ3lpJvIadf+mLrT1z8I1jl5RyuT2AlIEzARc8PRjXYijsXNR4CQlTjJyz2
Utg81fgZgnUC0btTnHs5q9J9neXhbdPp7VUaGOJY5kH7rVcM6XEWY/YhMzr5aXSmpSmcZB+SVKm+
2qURHK22S35oSia8chbqc4dgG5DwQgyyV6u99llvW7mh6DW3dwOmfGQgTvbh9f11+iz6e0F58EM7
AzUGJGAVbyTcGrFUibLD3M26a3ZAuNvJ2MKIr08N20aROSz4tlBl59I43TbYElrdSO51QJc1/CJF
7JxAtMe+mY2fvJa2FOlW8XrZpby+IAkSyBazrlUWa41tHQGVyg5aXoZ3aRnjoaWNnqNhOfn69K2u
o79HIkxSWlx61+oqZcpHtQi1ts0O6LCFdxltpk+o2WYfZqlurzstzj7kShS/f33QdZBePo8snTwd
cPWi73I6myjHO1gBFflB6CL8BqvGtndWinOdmxilorkWTcPPkzNWX1ORcYgaQ9pa0EszzPOWvMQA
eclNcfoTJOQGkl5OqwOEP9j4BnUar4X7P3mqkW817y7sHlYSEXeYnyq14NVgvZZEQqRhc1iEFT7o
8UCkjQcLCOVE0Q38+vfX53clOfZyKGCvIwK99NWY4NWhKIHcxDBuy4OMHgA1UACmYhdZaEG5uij7
3JuldH5UrLDwIykJQj8o7fh2UpsC0fMItv+xhFxwVwRx+60zm+4b4mi9TkUr0PZQ7qTbQBfV19d/
9MUVgT4KmJ3NDzDkdEXoxgGQiuzqgJqhgZIFmUlgZcWNE+r1x9eHurTpETdaUkfe/JghnA5V2HHd
oiNVkQ41wZ2itspd147DtaTW9rWupcVNREH28PqgF74P0JeOxwktCXoRy4/6LQebB/p/aiEVh1Er
9L2lFcEdNqMm3p6BtFGOu3C+aDniyMRggJr19fJHU53NU1UeAjFExT43k+Q212Z71+t1+64TyoTU
MX6yntGVxu1g5+GbutV/7z9GXzy/UL6DJHr6rZ08UwaxRHHI9bBzcyxsb5Wpch66uHQ2wNPLt6xu
O1SOFvgNOI3lVj8digQdOb1ozg86d9b1WGjtdWvO3M2ICGqfQx7kiW+Xc3uNgMfWkl6YZ8rNS+2X
wdm5q30EyjSbQf5Uh7iW+ytND+L3UT1ptYcaRnCXzBOxK0Y4BkJyw6PSzUKyrdd31aWtjFa/sfS2
jIWAc/r5c2sHSBQbFWrlsnkI4c4cBxHIuxKOYR5SrnIzNdvK6S5sZSLm3xBbZOasVRJFP1iTKaNW
hzDRnfsA01jFtdQahn9sBsn+9S9cJnG1wIAmaVGQPi7gqlXwrHghYdZjl4eaXO2e4tMnGnVbX3Rh
EABNi0ojRB/6dausOIfmYoDhICJAlUfptpKcxJXCzVLxhZkDz0AzkB3LV61nDlJ3L1XSUB1Gs9Y/
pxQ3W7eq5BHWqobc6eszd+Fo0KIi8wblwzN6/RRpyiHtR7RTD4hiqld55MSq7+AyczWbdn4TSbX0
GHRlj/SNZG4UfS7NJ7UefAX5WLrIqxteSkgBME1uDgCEJb/p9W9Swq33+vdd2PsaYgoL94kW8tkd
7khybY2yBQ9MMtiGM0kD3kftdYh1xb5Na9g8sRNuJS8XLnPOOjgUvoyrav2AmvVojKYsyA+g6PXP
RTpJj/Y81h9trUwOCXK8G6v4Uu9eHQCEn5fCNLfHAh4+PeIhhU4aRWZ5QPMsNw/j1Ae1m8RS9IvD
YH1aBCclKOnO8Gmu7ODRKeBruojv9L0bol/yq9KV7MOQqLwCmmLCtK0Smu1PQ/TNwIM63aeGGDSP
tCByhV072k6L6v5Q1mr7kcSl+uv1RbtwAhbtSzQ3F/oVJdrTr4F/2Qq9kMuDWklS71aZqflWHUh/
iUTp3wR8frmGlsC4APhYK96ep2Nh71TZk5qS3JpS6AtaNPu5kdqrxb54I0pd+CwkN7iBqPoy5Poa
muRaFJM6YSK2VDxa2aJYHtiSj253cnh9BpfK1yoiLoZ4lBkWwBS6dKspzONQGqjqc7jGkBe1MPEQ
Bi1ZLf0g+akQ6mz4egNB60Fk8NvcbrLNH3KUZh9aaSgwD2KfPU52P98Kq8o/UTBV+h1LEnuQ38tv
r/9adbkMTrcvThpLpr1IrQBTWi1CjUO5MSGTdciHIrypBq16zujU3lbtCApriOPwWydHzUdh1CiH
pkqAtXyjzu9CbAseklkPoe7L4l1TitTD4P7/MndmS5Ii19Z+lfMCyJjBb5liznmozBsss7IKcMBx
fALn6c+Kbh37u0tSt+nuN5OVSdbqIoIA9+17r/Wt7gGAQVO0sZLHuDPp/ZKyded2iwZuKB5PS9zp
7K+/wi8zsetzdAW3XlW16B7gcPJLjeHxzbm6FNg+8uceMSoT4ZhoyhoeRRcHeyw/Nw7QYkWv2iV3
G+/TDnQ7/M2HwE37051E0wL1HMJNMQOEchM//S+LasomCw+aN+0TJdIhpxjTt7cLC4WXCySKQ16s
bxOsTiAeLC8J7ZMoi0TnFtHadj/9fnpZxUTnHO049ahXp8PLQFUBUMm6T62geeS28SlUw61honC2
joPwFu2cJfpc2i6rW3NC86YQ0jzMbfPBbPscg0gH+t16aEbImwlAFrMDDU1cM5YH/cllQ75BBeAS
XXSE7zFMK8OW3XJPnJuYgpxgn911zA1591e3cAa5Zz29t4s5LQnZDtM2FFu7vAk+F4ZstxZNDFrA
EnZIaZJkvavRSrEH6BVeUtCgwGHIOZQV0u/yhoiD6tw8oH6p1FyBuXswcvyha6d0R7ELJT2wqC2j
xLwFSuZph2oYzQvkq6B/0+eKOhApuF029M4edrDTGo17d5FNCVxdJgmGN+4VCyXD6F17E/oBG3kK
3RpCs7ugcbIex6UNLlOEx8mbTnlQYWzO2UbtQyhIl7GBvTGMIlZNsf7Wn0Ey31sb5uh3f0NLo+C+
WyXRuVf1VweM7dY3T7M1hzb0b3iyVd58C5b3yaTiDaHhGWZzaE0NGLwtPZAgBFOPLvectKybutSb
PQln7YsNWrxFRSDI8103Pyz8JN3om4m/wi1EfHIS3aasq4T9CidHZgAOSOgF/GPM3R+p/rn5wVEj
vw0LKjKzm92AadWWRoeERmXM5KkjgOrZIH3hwDJmBC3ebQFIHfB5HC6vCe7ew6DVHuOxGZiJ5smf
4wpPcQYCSBa4rM3cGWJTBDrnQBzgvlpzO+j4ucHjPCT0WQuZq5EDjdcfxm2rZOx9V81QRY5JC2+t
bxKga4CweOa9/PJb0KVoMueD04S7BKKYIKblOso3B0E9iCd0IRh336Nxuglgcyjq2tmF/EaKE0hA
OBEDUgWovUOdA9o+eRtE500Gu41hm2XxqVHxJVgJIDXLmscI953F4GcBCl9DnhE6kdc0fExXJ8qc
gV0IZkAFsklVPgY0SxA1EwTiLeyn75hFXAxvT4zLQg1XOqI/noDnuERTKPJmXMrVGzGtXVtk6M2P
7jLee0R+37x5t6HmylX9Q+Dl4sIrPYV3+3vnXYnifcENfaHuN0b6vMdr0tF1ZzvzQiTbO8hEB7Ok
yTpI5ce5/SlTeagnLwuc6as18dmvRTEK3IS1KzA/Lh1jwnxo0xO0DedWm30T14epB8ILswMBZU1b
DYG6wL/yTFhSrBPyWK4DT8MifFmsIGTG3+Hv6DDgGuaBYVfMRg1MAF8Ok5sW8ESBqJgeYNLbQ7Hz
sOEGIm/hNGAd0WlHMuj0lsIYw98C26pxN0xtMOZyRdsRVTPXcwXQ7GVoozefxRny40oAGjPL+EMX
9rMF6DEtZnCExiYoZcyhEJXTkNUpag/MKTJCengf4/hxABgln+10Mwr+adxleEnlXOJED/oN+UiY
OYPR9zBLEBPlJU6Uk4/Aee6pajg+XrIDrSgDcurM7DbmjcIS5OjmlvU492d9+DU63hPZ9E3U4gPz
Zr9Fez2DKalZPxWgRmaol7OOt/du/+XB4ABSzTcJpJDU6z3UkRUfk28Uy2qNZKbaTt+nDQXA1Gx1
4SWbyP2gjV6jqwzY+mHNd+l04kIMt8MasYrMKsn7Uc4QWI9RXbqDlE+NEXOLBafxb2mDA3RuZTJv
udjQvt3Ni5o+o3agDlC0cVeohCx49aE51BtNjjXpk2dMrBHToPH1tnAipTOv+9r3ZLkialvlADUM
jwD1OV8prwNUKXQwPxK5PQAx+tP1Jr+QFumCwHxkne2Jznnc+Oiq6u3DXYVziKgbwpI/JTeD72zl
ZA1/ijbxRWq8IQEn7h69ZTlmV5/rM17RIYZLuo0PPpHmMqfOpneDt6WHGsvsbdPOwx7oJD6A2lQ7
T/Nku2/Wn/0om9wu3rfR6vyMfMnLlCgshm7fWXWOuoE8dXNQ37JBDihdICUq/VTAgMgVjwA4l9FW
OhsNC6o5ZA51YtRlGnDQQiO6Nh9kDnrIok3UQi6xvMtpjT7thotnKhrtm1jD7iDp7OgSDal+p+ug
HbJUxFHJFkkf0EAZFPrz5g1l9PjdA8sLGqY4OA/jwF9IY3RmI63APSXgJfR+z/EbLe3HGNaPMsEL
Pw7jgpcLcVAVNC9TDLWht97KZUyAuxqIAEx1A+M1vFq8i6ED8a51XQntYNcX/gbSfzq5050zM4lE
GyZeu7i3hStqpK+pejo4AXMrNobpxZIRaBE2qfQtDh0BCup17XFi7KeL+ZZw2LziEXxIGkRfVJio
qtUa7Mc4QG8mSh/DdfqAwnmEUpE7j8r04imiSbCXG/qR2p/WIJvEaG5GDUQEgCZBW0ovxnYGeson
ulfyHtlwM3IjAZDAVMc/NHNMnz3Hc8oNTc0zfFEloBVPW21oobtFHTG6EyyPHcDCGPU3aHG3pZxI
GpedREI6EkrWGTcpJl1bCU1tVXszILspTZusaTHZzBpltC6VCx0MdrsBzbTUuqrOUyKHHOeZHXR+
6ec6dz26XrANxQxi1H6tkTHBWg9BEylE6dvQnPU2u0WSgL0IXC7CCEC3NEUDGfhh2zyYgOzspieI
TpwcfGGdeSZK381CUbezVBeMay1zPOPeYUQR6EBgGjgvqW0vaqu3V7FavlsBvPrRzS37ibis5tmB
g+lzm+9rJ/Fx5EMRvfOIbqqah/R23UAGTFjXulgwFCBiaH5NeRTP+N8J4J4RaK+7FJGGN/Cpup8c
oNw9A1/wuKBGfpAAw6EcgijdDAs7WL5ux9AATACHHE5EC/dQOyrj/4g11KmoV69C/VVVEfNfpRtg
YOqwGXNpSGc3gk60a099Ei5tZhuO2wVIgkZNMifPSDPRr8C94LDP4siUkY0Y8JzcNXvAeO33FDBl
mW8rDrb94s5DmXCgxDLI2RooD21wa6EaHLNoDNd7VpPtVXe+tweqxS9WpP/wuy5ggO/qeXU+PTDW
doPrtyXtzPjCW+yGq9uzHPklm1+EZkNUdVCLPneXJZC5Yb3aXfWHZY0iex/iXHuMSC2fnKiNBLRZ
IPfgIfb5XcQC0Ixsazyd9WMdVo2reuzmcktYFi2z6Socjcl5HclYuXpDFd3w4CniBKUSfuf+gB/P
n6tJc7Nr+nH8itG3ejRwjn9K9nNdekybt3D4gTFVUCJw89QvZ4UFsoCgLLqXARZfkI+SHMhbAPkG
N3mcvZGclNJpljQxA/p3MVjM22CuP2IjyS0UWwj9mcx8VDwEegpCQv0tXsb14o0qziPTniLRDPtx
pW7OvKCvAoGN2pJkyT2w2nd4bXWVOL4ugVvCd418XayDcSpvjMPDbNV1B8Fx8h0QeQTdwu4eP3ZS
k/7bgKCUqk98tQcPFRgxrfmYzcr+iByuL846hAc7WP4GmDvm562m9z6PxE6mCX8c/Ggpx8Rpvyzo
ai98oUM5z2ynfH+410n4AiYZqk9nWYptudaHrb9arF4TVN257im+aY1O61s4hOFFp1FzHAPEMW5N
D2j16tv2ENnAXTKOcR7NkcelTjwU3RMbmddnQjr9+Vot3M42FtNRK0ilSvwLUeE3q8GP0A7N/RbS
Lg+EjsvRmbCzQexO8ZGi7slfEreqm2B9Eohk2dVt+hvRaSwSn9+AOwdzT8IbDD1Zp9LHLZlgysd8
q3ayIebpU5us4/2kaj7n3HfabrcoD40KUPR+tK6AdX8IpFswO3f3sQfM9DC2s5fxFuGltSX8EEUo
UXD3h3OIHBqLyfMnwmPIYR0NhN5DGJldXC9EFK0Rw9nYTX619dy2+caBfS8GeFYwDl/QqSuapPPL
FXVQDrAt+wmul3fD4zZ6NoRFfqY805zN0AUDSiF/wGI6GV1IHfO4RHaQvjcN9/dbOk0Hf2y2bJ06
/2QRRJ01UPHccAurJKF6O4kRX9OREzplK4+Bz4w9iBPD4EOiJZSnKMxzCzo4dltk0YE9PuDsMkfj
A6xjfhlGLYc0h8/bCQvWjxYuihLR1clJMnAgJ2rYh1kbPPBJU/DJMQelCMnCdDbnBjUnzpzBAPVZ
0pQYCdockG1a8DD4pGYRr66IcDbZtPetk6mzV3Xy4nFvy9N+9jMMFICXbKEABkYVOWcWMRigvBC6
jzckFjVmUUXNImffLZYUnseCc40SwV9AnceCAD1ng9UvMxH2fQdD/Nxi2X+EomLc0Ua0cNbRvsE/
NqyaExPc9n0bPAQgIt043KJ1sRCFmVBCHgSv5aOANEPlvb9C7zu6UNO4NoU8tple20A4hVpE/bLS
Wd4DSUFF3gGdWgEKMe9l0lv0Sqguki4W+0QsDYDQ37D7YRVnfuM9hcilRwfI4uCKWSCaCF7Duksj
44OHm3x05faRtr7IAqnSype9u/fYBOgnqCEgkQpXPKDA+Rk74/RuNoZzSCtedb2Kt0SQT7QVTG4T
rIEe1t+ljzocabz32o2mO5A7cEBoxu0BbLQXZ6nrivpOd9/qDbxJThu7A1kMgHOfbbmn46XQAoIU
7aPHKogaL24MpEcYq7ms51GcUtJEFZTDpGrqJR8lFYcQh7wL+lFAQiZ+n9WB9apx3ppXgSyzgx3R
AgjGpwFxhYWRih9xrrT5GtbsTCBPvb4DChz48FN3/bW2W+OS+PgDxWbJRt69dQzuD5xww8ITcb2n
6TYV8wY+pUOlU61iQVshBiqHdass/ZFdC01xsVSLjAn1QlyDg0oQ6SNEo9xmrlenued1tM+8GM7u
Kqnrogud+JlaZLBl3JlpmyUeD/G6eSSXfUNKpp34Artdm3sbaIcGXIvd1gUcG8CYXGi6jrcrjfh3
zli8S9j6qKc6qjy6uVWru/FVL43ZLSswgv60PM2A4mLez6OXoev6i2iapZT90l8ah5DC7fZdyOxx
cLl7AH3XvRFaGRCaJ70H+iG9OlO6K5lNHjcc8r4vXeBWKqYyb2bErBCdrs9hiFg13H+eJzxELoUv
dcna4L3DYbUA0HMrYR3EE+4BT0vQnBYj3XIaddgVvQEtCOV07IYsipe9iHTpL3N4m05BcvDa4TtI
DepF1XO4x4pujrVQmCBRry9DHTWfi41oFs+shSQm6F/Qq9EfwomnewJ27TcI+rNwjthOj2lwUkst
C4gGRQYVuDk6xmNk3zG0ladw5aXlgcRvN2x9NraG/UREalcElkssKLtWY+LYuXvXF+0N3NVzHjbY
dF0HHS+n1fNRWFTTralNlXgTvIOOM+QtdwRKcOVlZEl3Ae4pWkReCrUexN2zVOCU9FEZQdlN+9RH
8bnawrGDqMalp3kgCX9Y+6HZc4R5F8vYi5JDKJWTBGtPjDNMQYdxusT9upY9PEdOTrqeVZ6a58qB
1qxyBEDBWYjCHlRL2puLHebuLolNfEK7XlQ2DjY8p/FRJDZlBQmW6dbrIu+WoQLcO6jqDmmvdW5V
UFcSAPWHAWemDBdYCqBiRQYFF/h86ZruBwexaytYAlhUZhfpg9t5mLpP17rxzTCH5n7c6I1hKPCN
s32FiJmF8am/pB0jmb/4/s+pBeBVz8wiMiEaKh/d0m9BZ53TME2bD+a0jrrMjfVzbXx2BnPWFkhB
vFHGvGM8zLNQuq+s782to6eh0C1QTz58Irl0m2U/eBJoFl/199xM2LcxD81c5X2EAw/Q16tDffSM
3+FgPtc7F2Y+vO1rX7ZhTV4Wz6flQLvvPbCn51lidHWlIiR5Ah5zFhpld9HWjl8GtVWlIHA7eD6n
dwvSJwrfx5qbuChWMrQLlMqR0hq+h6Z3s2UcnLL2/PHZgZfolCLKterr2OaNRdJEqGqd+fBS3UI9
+Jk23BYa+Jw2E23y2c98ynFu8vakDcMnHeHIy8aYFx5652i3jDTIungAC4DS7T3R+LU8Dn8Copib
54mQs9drNKWTZdotclU3Q7qx55HBI5p0U10YjijwBbIoNHSAysfdip9iU+8svCNI2Wvj3USM+FC6
UaUr1ptpmNcccSKw32nC7+NmjL67w/zihws7GwbcVWdXkW/p2h3JiCRImsik6OPOX6o1lvos6kmC
3ayWXI84P+bLsKJ1yQE/PQW17fOmaX9uLobtenSa0htiN98s0nXdGiM29ML4Wqmg9St3hN2cjnQ/
ecyUPMVIw3cCkjVaostGdb/3o3D7uaIiPQMZ4pVgFV6cLlCPAWJDKqgNoJAEna+AQ3f6CupmyoPZ
kagO8OYR+DzHLMGs/I5CKQZxJ1bH1wQ89h1MeEfdt/MNUiDQNh7Wd9KLH21HEe0lMFBYImErdyPu
jizgJ6xmisNs4LH5gcGHB/dIM5lnioTd1yGl4iuaf1KR4KwZTe7erzEtQOttzBN/G9+aae4KP4j1
UZglBOJlNXebj6zLbImZKv2ayH1NvRTtTtXEO3f0wny9nuV520xo5cX1Q7Ng8aqbbdh3itFH7K4r
zIqsLmjTN3nN+3XK4A2fqmFSeJN6Z7M92scSBePU83eYZVf01hSSIRBpUCrdtbitnj0GCfkUoEIe
xULqXT/MGBtA9Hlr2Ypo0pa65wi0xvMyDYDEh+5EKtHNvYsTumiXqsUJw8tQRjvYR5E3tyKcUPSm
jOcJegvYbsIh9xrhNvhAM1DT0rfotw1QY8gCJNtM4AjyhJYxq0ByR9+87+9a2EvLqUEJ3iJzJUca
IKY6/TZX7rT1B8hHXWwcKX/ZxsmuGYrZtclxwENCDsDkiP5VooepxNOeRbO69UrddQ/oWWE43KPF
BENvDu5az1FGr3ERgBCaNxjJVLjMclOnst55tNM3az24CJbfAIIek9yDKBcc4/6S6O7DsE1nYdip
PWZPXeURmEi2eM682kV7Yib6tASk3oOIfydgXkWXRqD8bH3+7Jpwymd39ZFYqTunROLA+oo5eZeP
EU7SkxvPPxdoHj4mbI/31DEWPXfa5BNaoDsvboILrAr+NwaLP5YFVNoBMmd8+oM3jbdL6vCdcD6W
C2F+puEhOHhuPxwSxzs1U/TKZMoOySiRHzvr58lDX3wIA7Mno5RFNIdbOZJUvZlYx+nO1osqeRhi
/ZUMxL8lqaNHtE0BQA/0vAv4oC8r9MlHOIts1fph+45efwMqoWjRWZaGY8pRwyBHJKZsadfdOGZO
dzhpIcgHFd9R4yk9oTKY9hNPyF4ifysXKg6P47i5qGFV8IyWAlrM6eSfRBvLS2TW5I6QBrP7heAp
nJB1kGu0tKtY4pXFccqvmmFV91vdxXerBWV9a9HRiRqhr7VYdJKrCVG09YH+6DHNmzJF1jDNVtzD
RxdsYEQC2Sb+6uC/6DLUL+KO+QjKTgSGTEAeosOrG3nBZo3hXVonJ3g1OaZWngOULUyAB+aA2Ql0
E/o7cyTrb1vSTgeawJ2YItTvBebbuOq33hBUEq3G0mo2HJEhenwXNcTmtOPIu0UWQtklapzgQ1jC
bGIJfXXTQDx6IpxvwOFEzT2AA4oAYKxkU0Y2R8QZENiYlTSUdR/NZPF3i9iMTWHTZr3EEEQUiFJd
v6uWOnh5WqBL7HUgVU/bcovEJ3E/1b1/GmrGn6jX9KgmmMVZEJOEErZqc+rjxaV5Q5XuC9jrMD/Z
es/7WrpBnCl4Ap/uCIN53sYrvTO2RUfe3XgXn0fFUASk80TPMlUQfgGZkrZFsnb+a9iZ+afUvUAq
pWfYyacpNuaVJqmTOcyv79jSIbNhxon77IION19EArJD7i1RvJ9nN/myHcwUG9bFn42dmvSEOize
ewHs5dnqeEDmauIZN496wU48ZhE6RdKZn5ymDV/IMKrvwN9wdAvrBmEYk4JcZsFS9a6lCyjCaPBx
NXW6c6Mh/e3DJHgZSD//DMPQfcePnGQYqRJRLr4TZrqlnBcQqzRpTmKFeBEZOFCEQmeeVhJHOvTv
e39fg4n8yAchb2zrwuiux86yrPEn5JbJEbKFxVUS9VKIJjmQk1eHCGnWZ7al0M7P0wjLBrI98LmC
2kS55EjQrVBgzm/SrhHJut7gT66w4i2wZ6LpmJDbAErDS6RbgfYIaeu9XZP1ear9wd0toyVHKrZt
zvxY9/OlYYkbZJB9dvKRYnK8b2q3aXbJCMVMZ5CA8Ggo770K6WphNSKMrC3MFAyPmFU2/WFIgdrK
FQawQeFiGnaF07IgszVB0Efj461HfkYgCikxbcWG0EI/jzjlAPjtejwlixweZ5BbdlyPa1SqROOG
SIs4ktyD8rRB+c+9sMJTSr0K2glUFqOEiqfH6EpnvEF3AwEY2/CIlkbzDW14nKCJw8NKe4v7PsHg
eUT/nFYE+KMXd6UGqVxRuGIeOqldjbyS73LR6sazqz3GEdXdCW5ScoOGLP76XkKzuV3FK4jbwnOK
E319WYHGHXNYtaDJJpq/xQyVCaG0uSSwaVT1bOg+rWMoelhim0/PaSjgOlTKzPgpGrQiRuMppy0O
SGWPpqXJOWQIE2aMdnpMkCBG8072dixUp/GrN8Buf7kyxX8VQd2dNVrjL+gIdF0uOi6wWCBt5mMi
0fyETAb1nZraT9CiC5wPx4dCP5qC+QldTQeHOzvFyDrpgySD2WV5Fm4gXmeChkXvsfQFZ4b4Jgma
dcOon1zgCkV9MA8SodQRczBQlFivoKBBPV77VwHdAEReRVsK4bCMfNhrHdSVCgvpDd4DNeYrmrN9
TvUAOXvg2UYWPq8xPNBwCTc7nSzuNz70XZoPCmJwdLDwZAlDwxdgHXBAq+cAP8RMIwwlgI/Gj9lT
fjIdnBqBFbJ+gNgO+y6aweNtB6NDMZu0vZCBDHdEMcSoeDX6qkhrwUu/4fdGA3S0awkxm22P0ApH
L8E84iHAKBSZRyr+ioOWnlve+GhD2uWalaMggFdOmIzZgJM5xuq2Q0QDo0iRy4bpKlmkfAt1ATob
eWpbB498QvAEOnzGj8A0JkeVDDWEt4ZGwZYxQDteGkO8cY8e1fLspB3dg9qCFxYDg8emg45jWPDg
YluoL20SD48W2XlPPUlbeewimXzhsLOMxWQU3o1OwY2CgmBz4FdwJlRmCspqcP1IQ6sprP0p39BH
/DbYzUedNXFfHnywQB6wFc1xkQoE4B3iq1VfIAgaShS8H2O+YMTx3g54tHtMr26gQ1E7CzBwNfEB
q25vm2+YTuF2AoVg2e0iU4uiAxEhpYuJEa1+0zBpaJF/creZ/HKqDZZ7EFzwCMPyi/dbcRx0btKr
4wfhe3111TVGOGQzsLy8fsF6j4vgLyV2eQU2HG3hhfjiUQUW+XwUIWQVva7MDBtARbZ1PbtR3eSE
TfyBdWzF5MhTa4miHjtQH+Mfo+Ps7nzK7CV2U4F7AAvInUzqKXrvBzF0OEK2MZqo6KtfO1T4kdZx
ULuJtTgMiXGM0xxQ8Xi4bdVqdjNiVA6uw6cDmRz3qLYWvwU2OR7n+IHR5E6EDAAFwZ9XOgHW9sXt
6tshirFGdluAdQ7sMiwi7uwELzhSuruBQtgDk3L7IPB8385rj5BcOBVL1UZm7zQehmUraup8nDbc
JOt3ozolZpK2SBhDp5U5ae0cgbxFDuY04YHzDWBcyHCgZuf7mLkWrJ9RbLvoku5ajGugwNFbmgHR
iJUEYT5Q+cKQBaeL0vPTyj28i0zE5NZwYwrch3gP+oqT98Eo5mIRE+JkIhmBs+5HmNinUJj6Ho+e
Qjzdu14irQ112RR9DNhQUCV724wgm+VC4Zg3Z4xCsWWpGH4TFkIIjuKB7slKg72mawSFUoRHxWBC
m/MUkw8Iu7BfuK1dnkNXxagbBTapKA0gdQ/s8IhCywHuN23w8CqKSKiq5anf5ksyYMNEdeifcIzX
t3YGd2jhLUQRrZRwdNHVu0OP6lYjgyVLmetlMRQTueOscMPw1TlqvcgjWhP4NlEb1DJHa9zZr8OM
EnBMDNZ4g+X/XuNwZNCiXqV7ogS/3c1WezDQOAt6bOW6ep1zgfIAiEaHcEza6bxFv4v//yvv9X/0
Uf/Je737MV3NyvI3N/V/smQ/TSP+8+v/5f9HP/bVRfmfDdnPj//z0ommY/9zkMMH+5J/8mVf/93f
jdlOHP4jiq+AS7AtgcYDyuz/nNlOHP0DIl0ox+HcDoDfvDrD/mnN9tJ/4NEjsJCCDhjBRgohovzd
mu0lsHpDnQr20pWKBg/If+PN/rOKPIJyN0W2DpABgKMDePKrZQZUQH9pUB8XpDeV39mdRVTmH27M
3e861D/asf+s2/3XS/yipQVtA0DoBZdY2/Di83XXcaeMDXn868v8WTT+f5eB19zFPcHR6BdDn8L5
olEu5IFQ6WGPGs8AjhV9RF4cMHP++lK/6cH/n+D292tBHIo8G/ghrzyEP6ueSYTkKHezdZEac2o9
dZpSUBw9F0MFu5tRm3SBOYFLtQvb/tiN9kbZcG+bYH+9u2SxO9eJ/+brX+/iv3ykJIYVCOpVfLZf
BbQUEvRpW+tiap0HHgz7FhOh3tMnaP0qX6TPOM3+V76gf96FP1zy+mz9wW4VQhgKxt1SF6PbvDKL
y0KStTKdM40BLWBE0Ur+xnb17x5X7w+X/EXprED4jsSMb8nRQKIuINhh/3fa7z9rgH//WgiR9PFi
AKbwL85QmlhkdDUKP2493W0ue0ee997BtWDIx/E3vKCpcZLoXaO4voMe+++u/2c19+/XR8gxcDTg
/rowl/35tooQacR9j7yw2LyjaXy7KaBDYB/tGTmnEAbZpjvSiDwsZNjPY/rcSvU3ov5f/BD//Ajh
lSmLUutf3Uekxp4XmLEuLDaoeKNvvhjPPGkwSUyfGd8K5BJnrl7KoAmOGFZDy+pDsdSi5+7VJZt1
DlsEopc1UvHoeUAx3RPIKRCEZyCggiXubxzw1/ft14cf72HqR+BD4bX85d2fBWdxCCVBkdr4oiS9
qlLLEMGmwUIeUQedQHm7MFd+/vU68O9WttSFXxkOR9CE418tTTgfrjXUbgVnyycR4x2frsew9uGv
L/MbrfvXr3c1TV0pyR62hV+eiKBJMTRTFMpn9wnt1zuIOcFh34KSq6lyaXREVPkRp6zK7SGAxhJD
Mckm1jn7lpwXNtxztu22DWrZboP4prmPe0g1VISZm4Zw12I9stBz0KaConBP+HzLISqIN1ssePbc
NTi6sC/g4hBX7/76u+EU8G9+Oxzt3BQ0B/gXfl23MVVNe8CLSME8HHWS8Q7D8FMTkUss6wIREEXi
QtvmB6ZCLvFhjTmErf2HhkwcR2/I3cL/pe48e9xG0nb9i7hgLvKrREpqdbc7OYz9hbA9NnPO/PXv
Ve05Zy22VoIXeIFzFpj1jI12MRSfesIdGMPHn6dpBCYR+BVCD+P0ULP9JqomxtQ7E0DYoMzRJkhG
XzRA4MSwyxqDCGkfliV5psd8QHSeLpQCR7rfttq810V2mPTBn4zFC9twX+Qg/cGEyCepxsk20Ims
QEq1dvwmWnDEtYXcE6Ajfj9yx3dWXT8E+RfYU+8io71Jphzur7Lrp+h5Hs0W5MkCaJtZdDokWxzu
7lwx+EFrbVEN+Dw5IXNoi6Fd+chXftfPIYqS5rtwyrzOzj4D4bnFbPXv0VBoB037OraBOCXHZdKP
SNdvpHM7zgGHYu53ltp81c34GCfF4xCH+VaJmgcLXLTDHH6woz1ws9uyzfYiDF4Wt/6qVIYB4nkC
8sBnazofcy2Wk/yHuM4sr1rS9wO8101TZMxAzINrIjUYRj6DoAfHUXDejf92iowqdtmXIRac1UAH
Uv8UJ7xR2/lIP4OhBiZps0tTZmuDFbD2lnGfNs5mIHjIQFLaPyOerYy78llXc7UzCt+sv6AeziCp
4LdAOU6heSjqIN9w7B2EXT1rSc4YKfPyRbwAM7rNYmXXFMqd/LvKYdmHS/vgpoymEcFou+xuQp47
B4W7Eda87xXzPbpE/hBGx7aGJRPQR1eWD4Fh3dvoNUzKcmPEw30X9lvFzO4qd9oXunuXFPQPFfdJ
Rh0cJ/ahZtxj7r7X7dCnxXBgnrIxAV2PxUCzonKLbTNO3+Zc2SXOIP9h+l9wbLb9TZK5L5Zlf2iz
yIdTOBEw2SCjlt8ltUofiw6V4LvV2pu2tuE+yXlWdFS6cUcpTZMp9Ecx3BqAODTKN9QTbihTICws
XsukxhH2TRz2z4EJ8rluHhxeXGnODLdxgq4BjYz8TMgmFGO3BXn4HZMruBUgrmJ8JJmeHeWrjqBA
xGCfEIT4qAzdzWiOiPGCK0eDE/XnfVsqOzOcdvhKOSDT2cdDf9ON4TPJ8TGdFw+Jvdc9ACjyCNj5
55wu+1oP/CxawFqFL3YEgQWskDxYbf09Ii3bEgKApY1+yGNt5KtB/1Fr4s8tED4TGE7OPhlyxDi0
4EOuT1ci1Lkgj6YAmnTgfmEhr4IvzBc7cxByAzTQPAhEPUPIUL2lXzn2X/mv6yDvIq0qNSUxr16T
uJKAOXRN48kb3fRnxFfcUPxT6j4i5Mow0jzGc36AHBFTD/Z+rRSPaRH+Jc9UmhSfooGd1E75s+10
n6AM3QHF2SZACS6H61eS3durhNePDAiJtrFKMzvoikUeOK6naLO1qTQV4rW7fB8t85BAX5n4VXG1
o2b33xZDvzetaS8SQI4hePsrl3IuT5L83tdEScNr7jRP0q1szAxUMCXP8hlU3ntgh9/6dN5LMWrY
Az4E/NtirL8yANnWgmBhKv7lazi7N367hNXTmBgE4SrNJVjG9E7UIVITZfU1acX7y+uc2xwCJidq
uDbye5yUp/c6ANlQ9M5wgU5mnyvVhB2h+JR1B0C8r99IMQS+EAAECEO1Ef01Nw+mq+wMohB+0DeK
Ouwahv6IKR7zns826q95SZxJmzm/JVPflqqoa3qmHc5NxqTb9XpAjco8+FFD4FEUP0mxYM6GndbA
lFLcD0poREwarynxnan/GCdImr4F+xXm5ukjUujGR/Wkul6ufZlQPHUC/XtMHpQV18q/M6UWbpWG
9irFyr+sV6pMGvL0bT09ucl7w7cT3UsCB0bZzCzTJCJfcWqFUv42SWJJ9Njg6HOHr0nUb6VWZjc0
m9EbAeRIIsbB0VvWFiFcDPRCv9EAmYtaYcQ6wOII9/ES7uiFV5tgTA9yR8wUZUCgjrMx+rM57PJF
P1hAnmw7u1tcC1em5qbtwr+WeNpVpQpSCiGhcfATG59DfiafBl+QBQEbu3fs/C6PlY9VrrxMDP9B
Jz5oc7IdHPcuTjn8IuvYNcMWiZEjLcpjmysQ+pKnPBk3YrAO8Aa+zFRVTI4+ghC5a7ho+fM0QHdg
GPyuMg4dp41TWrT/en8ETIbo8F8yGwNg4WOOfWvBcqyy7mYoQgbHCSjC7sGcA38gC5wX86ipy96h
zJZfSe/y523zoBIx3cw8yGSJDiiQ4/CvECKxUlKxdMkxjNKfg5MeDGpls5+ea3d5lLKkmxQ9c7si
RYzbG408WGZagsMW1BGnW8YYTvEjVXl20nBvaeGe0+5oztN3oEa3kOXfyfg9N+Yx0L/EdfC8VJlP
xnsLf4Mzupo2MhUJBufOSMKbjAFrVHzR+nAfKDFDuuAjDByPA+OONsR2pu0os9FgAdNUsQvc+Ckk
+6zJekUZktW4d7MAV9JEx9HoIJdYm6GrH3DeenbnaavpLozQYRcvJIacqOpkHYbJuFdc/hmVl7GO
f048vzLpb3PnfTPMVHrWFmORXafG25gDX4efgrvnUwosxLXd50W4fgP8qc8wi8H7RyYyZuJ+BPuv
w1I17ltl8twQPgH1SOB2D6KY3w0xRNeUAx/fXLnXQlcSgvI7y57eWfnDIqRcGUl3+8WmQV2P+aPs
GTEQ3IPw2GuVcRxz3CIZtxicQp2Jo16cPjFE2WIpf1tQnJZW+lRQsCZu43hKw2Pjh6MhIUmuohfZ
C5F7xJ7AohKmhpHwxB6UR2zutjezSO/mdtmbKsoH9ui7ZndjE107WC6dY270Ztk3WKXJd4PWmW/n
9lZEygvyPze6QtkZZwdrSg9aQyY3vueT/nD5QHjVTDw5hyEp2/QTpS8E8jpiVXpCDEl67t3l0Sov
sh7Qzf52IauU26BIzEOchi9CLPvYnPdtQBpouFfK0jcBl0ugaclgA5U7E92504BbqrXKoG9yvTYL
/aHotpnOhNnKDnPeXTnrqXTXAVA2Y2yBtiUSJQ5h8HQxQJpKUSih45lWclQWFwjM3DWbuI2ehboA
SCCNb830CQKIXxOHk1r7WEfTl7qOnqu57jd0YI9BpdwN4IwoZJjejd9sMwY6Htpbs6TkJDZoCUfT
PJCpKygwJWl8HJCCRrNBpjny4VKkVRUjxtg6aDNFQVzS+Rj3o91vZbNrscnCpmXa29W8H0czANWd
HhBIv0XY4FgK475MjaNl0D8S8TP1x3PLp5M3I2hSdtQ8BpsI9uTi1CT/swnRDfmoOLI3bS6WbR+F
n4AiA+uyl3eFNr9Dq54KNCNGGTrURlThHswlh0Rp349d9BeieU9KWj52DVLBzhT4jUVRUREv+1wQ
Y9mrBYWjHjw3GmKxKfNYJGyJw69336EynBXKi8Jhu9WBVPc67MFZzQ6m2X1TmujHPMEjSh3jYBfV
o2P3NwOfr0Irog2V5zRJbU8ZgpcSqKRm8AbCWrnL0/ATSvx+TOVYANoD4T34RIJjGOf7MU6OgVM8
dhZFncVxFVGs6QU1cDnswnqYti3o07pTd0RkA1wYZLg7RXdfYIIfaZk9QYoEYpfd1apxRCHq3qGe
zhTXl98Fk2MfVajDpDHZYi/MFPsg/iC6mIfeGmAaRscqGXeIzz3LMCsq6JdjsRFdvx2aptmYleK9
/uVQBeIpkyIF8VZ0VLMQHzudQ3FBBga1TxAPkGqc7gVujDyCYf0b7t8CLJ4HrQU4c6sgC1wbB+Qj
HRh9YBudn32G8W1b8XKRszhmSnpI2+md4cye1YHNUIuvaeq8xE3/zsiyJ5vYIrryThbeCUEZCQdm
ot23qMmcjZIDn5OIvWM1Z09dJz4CB3tudee5Jjj7LvhKH3Wax7ANPsgSO0qyFDmleKs0/U4jogE5
3WJI7WMR7dsZJ2Vpbftx9J2K2rpU/KISCF+HEbjvL8DZfZlvZ5pkZBIz8TYIbkvNONLyP2bCft+2
ZCf1Mr1LxQQXVIhim9SwTwwn+ewWQ7QzktzrGZHcypO+KcIrufOZyOHA5mDMQk6IDOqqV89sd85n
1EI8x4V/OPMwOXht+QmaxV1Kd+JyZH67HCJ/tKj5oGl8ooB2GqigukaT0RUUSFl/K/MT/MN9pyi+
yp1eTeOV5c4cBOh9otukwZykA2qvWp+zw+/Z5ii8kqDPPN5rYjFs0kXd07PZwlf/os7RC3rzd3GU
H+K2Bz2RPL3e8//CjPD8+O9kjPgfh43/Dw4JZZHxn2eEm69R8zU+UXmWP/BrMGip/2K2pmFaxR6h
vSDdncYfUrGZPzFsJG6QMkRkW6r8/t+xIIrNCOCgNsSUR0rrqRSc/4wFdQvFZgepGil8xU+yEf5A
slk7rWwF8mImA0j0x6iwNY2tdbqNLcUyEoHVjWdHDlicJP9Z5kn8NcFi7C5XaEJkSSb2xjAsO6jR
+d9mlC+7NJlMqHPu8gV5CLrRczBsDGM0b357imcGiuZp5vHr4vi05PfFL+Qeq4uj3c4oPcY6qVpg
JsRJ7x5dGCuTn5WQrcMpDr4qZo3aUtsxuifjrjdM1qst0gjJfQJ87QtcQvPRqatvBLDZC8zReAnm
BdJcCgf9o5bPKohsU/lsNLhogtu3NLFtUjNTN5NbiY96aNInZlC/n/FNUCGBKQ2gYNvGn6ALAxd2
jyFe5sUq/Za287a1U8z/GnJ4kwO4vLcUFJK3DfnEj8ypOpPBCjUSuLlx/qkZAnXGIs3hZA8own6Z
mw4jW0VFTvbyg3wVqfx3FvnrQRo6TGzTYgEGXqcP0ukW5AeiqvFq0ftarsO60bfz5MLh7wqmA8H9
kP8Nd24/ZINvtF+K3NmL6LkG7Fao4a4ULwEy/2IXQ3Jyk+mmJlnq6VNW/DbCa9sgjT0Hz7nadA5I
nlyRQJR78M3Vy5acDkoSE4vVNljqtCvxweHqUX72QopGTNHiYn/5IZ1W+7+eEaMd4rmLGBQSQafP
COkHAmeTNZ6YC9NXAOT7RfDU53eZyL8gwgiorYbEdHnR16nHyb2xFWAZqEg6I/BGpn+6amg0bVKB
PveMooaIa+bqHfjKLtoMsTp9hfhn/OATTpKNq4Xlk5kTSDYNA9HvVZlTR8VzeZfBaH/sKWFUqEyR
cqcmevKJvDj9gLia4dVSyWayZ4vmhROa17bWaceCx8YNENtcA09GkA3O6gYIK4s1hymMVVSvvcag
qWylsHuWpas2QJ4gIvQG9N4hEDsbp9FdDFl3q6iVoN/rTDdWi9CTheqwP9klyC69ag8LfGwvHy0Q
5VlztGz0F7GhRGQF9meOSea9VirjA7pGBgm4+twtoMjShBS6t7AQufyGTs957k8KoBO5cacitSBM
nr4ga1DQWevH2mP21hz0prmpY2fYhrr5k5rJc8SyXFnxTdRjReZ/OJ1x3ksRxdMVUUkC8JazIqoj
7+c6yRGXHnWQr8cyb41recVpO+/X/aGkaqC2Jq3e3xjupqnagIcCPKba4Cgt5FFUtAoKM1ag1xjO
rp5BlTMAP9hOanrx9PPy830N4idfgKVykNGRkCWfS5l5eruoSDVzb4ZIuNsuWkhlbh5x5QluMrEE
WyZlAVLveu33RYOKDSaMW/CoRBoLqlHb039Kp0GmqTTUS9HtXKN7vwzp7JtJ5G6VFGc/PTILz8ZF
cWPkOYQTJxr529DKc1FxwddLtd7n05PpYOjRjZrymAN020S2Zfnj4FK5Yan5foj6Yp/Bl/FF0uSb
xSWGogU255sOgPoHLYb3MRE7otEat42S2DdTl5UfMYqDbFZWwyYWvLopXaZf7dj/hZTsofpRvHTN
jx8dzhr/PwCzZKz8z0nXy/jj7x8nOdcrFOhX0qWb/9KQMSfZonGig3PgG/uVdGnqv4APMFu3HCHN
FSRM6x8slu3+S6Zi9FhMBMrBW5Er/ZN0WRb5GNagLjAqie3iCPqDpOv0pAG5xAXQPKelRU+Z6LL6
wPvMiAp3pM2nVNNMH7QXT0g0tWjrtsUtUi/J30ndRbtWtZI/c6/4tTQfGcEF0THyARkNfusvw/Sv
XdRmKXsbR4OZbVb38dByeIPXPP72Os5kb6eZ5f9ZCkVNahZmaq+Z529LEeIiTV8K2tfINuEWMy3b
uAakqgzKeCViniYIv5bClwcMDzksao6rGK2FWdoYLXelxZF5HHsasWZtzn8Eg/pnFVntUYhRaa7R
GX0ehklQUSNXi+0eqDeD3TCrsAH7or4JdIdu0tQ2BoRuYKFX7vD0FPpnbRxWTGBKptRhOn1vfa3b
WZLU9EiVrkXIB8mdG6C65W7IDUQeRyJ2MDr9lezk3CuUorcYgLAuurenq7rZWI2NzarYXMBVBTyy
rfu4OFRN2l7J9U/TiNcbRM0XN00DrTYNV7bTpZwOuKuULYHZPUc5EkcgFpIlrZ9siHmeqcfoVDoZ
oDqnme6D6uo5eGYLsXFkPACmCBJTvoDfdisqPRApwRtvB3xNb/XSRYGFl9lZV87b08P9131iJcGx
jkePgXfN6TqD2k9g6xNrC7VquUE+Vt0ojt3eoWTUeE0ZOYc//grx0aN36wBiJHytnytqhdBnhLlN
wTcd7HAEZjzb8werW645lJ7ZLTofBh6+lLpgylaZYAaW1aic3EKfpP6eNZXYh07WPUVWql/5Gs5t
FoOFSC4xqOGFnT5EpKfctrEYWBizU/mwc7R4C8Rau8cMoeUwVydnO1pV9FFNA+2uBl7hXX6qZz5H
NGMp0Bjfqzaj0NMLEEqhJfh5WpD+deW9Cy1zK0Q03zRLrTC3d43M00WhXvkcz5wbbFHkX5kjYD/k
roIAFgfVFOo84DLWbLSXcNVD6cDahdOoHNNK6fd941q7qo+bK0nauVdLq4AYoDGHIFc7vV/8Wupe
ZyACjCf9lGm9tcfeFJBQ6tj/zT26Ki5n1KmUq6v9qiHs1tKlNred7ZYe4gbDDaT7+WfVDvZ93s/x
40CnN0XTxjSvHSNn7pLoQzrP3BUP9VcD4t9iQBybSahWuBIWtEoP8PTwANTcFE/NMrryWa6sfF7j
AGBwYcsxturY63jXUoSCI2atsIHa6MqCWoEhvOMopbU6Z3dZEOsw9mv7BeMS1dcSmDsqzNDLG1mT
z/Pf2fc/18FzlgYDzHfWVS+zaFo7EdcRwSrZRkH0YRCF68dRGG6WCjm1JLJyBoPJl2TMUZro1R+X
r+BMQCRF40J0hj3EfvlSfnvoXV8soRqZ5rYtutpD6hMdgLSPdrYJvRuLyujKBjv3kgXmtqBaSE3Q
8TldD1yfO5jWyAYrJ9jhcQXr0AK/FqqKcyVKnAlTiDTzuQrqKhK+1a2hT98A2cmBbwUZdGwxIPth
avP4Yo99cxPkkpEqhuqHqMbsoRmuIiXO3CplpDRyMGgZq2IVJpl6IY+X4WtqhxVKD+TJG2uxKajd
KPnzW8W8nrzYBcnMvl0FiKrqhkJFf3aLArT6IA0QPREg1JGMUbvLQlPHC0YFp252zqZCPcG/vIlk
5Fvt4t+XX9eQVbMgqzAraN2C10fbQMWGqZ3LKzd5ulVfM3XatAimMbbkv6zV1lHtGe7PbFR+kWkY
Vum5/UlAnvNKVw38ILXTK1Cb0/f3z3rIf3HCCI4bdbWeoWhaOGqccE6PQy1yPeEhjVBWRcT32tFy
ulVfl4IWwuSVfjRklLW5u6pD2U1Ej8ZH1aqbRE/D3bLoX9PKRAtmULVb061KD70dbKvJsa9Ew9Pj
9J/VOdhomOCbRHly+k2iXKa2cWZ2fmBpUiFvZtyo21DJVKvx42zUmGi2xuPlPXNuUVkgsmt1GiBr
HBHQC2XWtQQqNnjSm6wYM+iHZuK76pL+FE6SPomlH6+80tMj/PVOXVU6UXGI4q1prnKkIMkSJ00r
xIBrWKkpFnIHeqqAPOtFxJtOIIXhAi3ehQvomMv3e2b3ghaQzRYJv6YAPH3IfYADJvieBkB4GG07
RQnvusp1t+qAOIpeL+qVo+XcrWqMFMgFueE3kwURdUkC6ajxNbXH4zZGCUEgxAgN0baRC8pqoECG
0jxXaadfifFnb5WWFrUauShTjdNbzSIlF5gFNP4sxuRWFLXFuL2bPvZchJ/M6KVefrSr4dyv16oh
YAApQSL31k1CddBtfChNJJsqw0XHFdlZpPgWDdeIpfpQCrt20AsUKDMtphv9iArHfUwCTnMDSTNf
GyAaXrsk+c38OyT+uiQ6InQYwG4weF4dPikSK/GytI0v8vED35ezA5zTemEChKhzEVObGt1GhsEw
fEeVGt/jaOwcM+qvBM0zQQzOBDQ2rNRtmbievgvdUNBUzq3WLywxP8YFMqLTkHwNAE9eYbOcHgK/
7thS2dycdir5xOqtK26hwgtNOj8PhXtvjnq5H4Kq++vyuz63txgC4QlGh0hWIKf3o3HIRbNddr7b
aIzQYzfbZeqsfVB7G/VNtQD9dnnBcw9QMnUArpiwCKEBniZIQVSLWK07f2qyYtcv6nQEXjzejEB0
95eXOndvoJ/5H818ZNFWp3hthAXadmbrZwj6+JUqigMS1vPGDHvXC2e0/y+vd+7WYNZJVzU6RAy3
T2+tbeZ8LA279WsEjna9sLpDZWMIEehBeiUkyL9q/TmQ8IEehu7E/68CrzmpNE6iqPO70kYv21qK
92XrpA+ZCdglJVXfJloG1KGbgmue9msLOdnhY+tDkZM2klTIq08RKxlhz3bc+g488JsWWxMfKROU
1tC43umK0r+P5zb4PsdRe4gypKOwTorTndKVItpEQRY8dBFa0vkUCufWznT68aYSBTem1jVbpL9m
58opdSYboP7CIIF5GHisNeIr0Nug1t2+9bE40e5dZ7qbDFV7dIsiepjCqX9QY7yt43Yu4GtM7rXQ
JXf06btyVZVeF5x9g9R1vS0yKwHtgHq+L6IU2ZqoD2x/gGMRerFS2hoSu60O9Dho3a9Vo9he2/ed
dFlInL2bFc0HBB+Mj5d36qpOksGFw5OSW2bzpAuv9dxvZYpZVfXQIQDlo13b7USEqm+UiA5ZsiCG
T9so2K+MebhN9cx5gqM+P2EwYn++fBVvN7E8wYF5CLq3pBCr4ngwEbDDBIGWB5oOW6tOXfSodGOv
t71yrMvSOSyZRIrNTXHlSz17/xRLwBFot9C6kqHjt/tf6KQIs1dYGv+oQ2UBmuTYUo19XYXVT6Es
9k1rj+Etkh1V5BuDrSMHpF6zJH4bMFyNLWmqjDktxqar4BuJAI1MVBt8Q6mEZ2YIbXSTljyIuZyv
pC/nlyKSAtqQM+dVbOJjLhEoY6l0AQbXAC2FttW0EcgmrF3+/L2C9yf5ZiQAVESebL893DFNQWEY
Q+Vbqg6yagbZhd6Foo90BF3juxM3xZdAtEAc9NpFN+Hy6mffLccmkRg6NfDz1QkzJXmLbUBU+U0a
6bcBSJBtrIbqto06JDnUsLp1mwohp7kttsXSWEez0K7wfeX2WX3yNJnJh3m18mRdZQlJYNWi07PK
T3qneBdWA3IQqGLotwt2ogctS/88RWTeyLid9FCw3LpgHeahY+Cr5EDfmxDTQQVaUztZWIGIabnF
Gmgqrzzmt/UGKwLmETKs6m/stAOjQvQ9cHOYZ2rl9ZzeCMnmgnYdipBJRSN4cK96aZ17tzobilYz
61Lfrc6eoawSRx/S0scUINgbmZXeT0Yb7hB+agDR9uJYu0OmeYjItl6CMdQ7G+elvy/vsDPfEsce
tAZatowT1j2e1tELtw270m/MAUcnbcj3BkLaO91qmg+XlzqzkTismQQxY6OFuB5noxxJ00VpMMZJ
+/BHq7vFsQh0zKg7tfGsNkF35/KC556wTDipcWSvx1gDAdtML0MEVWufXvBgeQpqiTmU8vR9YCkB
msCZiWgpERVXKXpB+9ayg84zQgxZ/ctXcuYp46aHNbjsD2MYuPqG+JNBySw8gYjgLgJVLlwEdIE1
zwhqeoyXFzv7nBG64qSRkHCxCo+LYww1GKzaT+fOuu/z3Hhc7NE6cA3fkLl2r5x8b3N7Brm4IALp
4IPFu/I0Qk5gAeKh5N5K8NAH1F+gDIPXeLp8U2fOVzo7rCGrc7rcq5tKykGJrdmq4JI0hhTCTY8g
mzA/EKRlW2Pkz3D76LNqvzhR8l/sXNJgggMDKMN5M4EybJgGkyDvRifmDnXqYTsgMTwBxZi0vR2V
i31l6555h6/YP0e229m869vtBhzcjYD+koB/Gs1J1iCbvjSbIbPF01AO1yBWZ3YoXySkMZN2s4Us
1elbzAZ1UfOZ7l+FlOpNjijVu25ciufKtJy/Lr/Kc/cmK19OFLYnz/V0KaNqMR5NBTmkgUwHLkja
pghy5VaLnXwT2mVxJV1w3x5gwIM0JDlMUkVnPZLiPYnEcTJUwvF5xNGO74GCdBYohEQ2ZO5yvGu0
puR86YLJX+ZZXGlnnb8A7AaZUMs9tLphaxAR5xcX0C9BgTRk1t/pNbWMUwBhq1y0cy3o5ngkifKv
pNE//fnjRiGB/gczVLKU1epItCXq2LetT3axbLoAATZQ7kylh0GfjsT5fH95wbctFznWxGpd4hj4
l7UtqshpsllW5noOtniwYGSCglCSpyrT+yIpjBsgO9N2RrcOVa48+Tj38KwSQJ3ImzvX3DHfhCcu
hpGuoEmLV/QbfKWajjWyix1wUNye7hv02hHRxITk8j2fW4VSkRAoEe7Uzad7GqeoYk5H2/EMkS27
pEuWTT0010ZT8lWdpGJggTk+GZUyN8CjcbVKyT3qS6jrXtmN08ZRp+9NHoi91lgjDnxGeLh8U29i
go4cEZ0UzhBgN8isn95UFQpCm63qXuOGxWckfqcPztyKLRS1a7PFM0uR6JmMa0m1VZAip0u5UCvp
vGG6V6OIPMPHRyl0AxsPStMEQz7xL9/Z2wfJawLWTSKCMBSj6tPlrMZB1Gw0sYqd7W9KHmCtM6Jw
0Aww5qsczfXLy70JAKzEAE1W7bRSiEKny2ko3hmLwHWH1ifu0YVdv0sSmELqaA33KlqDR7A/+EoH
bbQcYLoo5rVPUq5wunO4V16jhYE4Ai0SWvV7GSOqsrLwVdK9gSALsk6TCucimEzJWkcqKDcb45P5
6kNa5mCLwQPhiwCZU8vB5qVYK1w54OQB9uaCqKkQbwIFRhfy9IJGbEdSLcsNz2kV84tTYQLTdGH9
qIfZM54lywtAku5HNME9vPwuzrx6slB0UrH25pc1IClv7VZhdq16yOLPR+jrtlerYXeb2Ch5JHgr
Xml9nnn39CZoUDA9cZlsyj//rYB0+8Xop95Gr8ew6ZvURkemMrbQYD0T2wicEzEpvBNhpWV7Nw6Y
rwyqTmPv8l2f+b64CvAfQM11k9zw9CpmrdfzgsDs6fOc3JQ1CM1KRf6DD/saKvdt1i1BNJzuvFka
7xx7p2vpeqE1oQptymAm5ydONPhjmQ63GJcVu9ylk4e4Hl4zyzh70FkRcpnBqV++3zNvmYTUpa6R
mKw3T31QVBRmCgMyvtDqG/yNQH0EZuxXNbX02MOWvLzembdME5FBvWGBjSDzPr3nqhJdu5QWfhMU
HIiZRPW9hvP4EYlu5ceUFthcprlbvIAOmcZtEISOuPKGz9wxUAWZ5dCMpjO36qImQUwjVZqs0Q1L
j7ra6ZspaJcPmH0tP8aSbXblEZ+7ZQoM2hL0YKRD8+kth4De3ISox4w+d5LnFEmBo5ErqQVxzaqb
LSMgp4Zbl6e4ey6a9hjTWL3Cyj9zDVQcHBwQYJH1XNMPogRjx9iJMNV1ECdVswV3BTQQ7H1l9xUO
kpZoXrJKD5A3GZYtZjT/xRFJbgFGmqoAQMH6IZhZ0oBJhL4MnV3fJD02WKUWTr5jRKN3eYudSatM
lY6vRIuRSRrrNHIKB6R7K8f0JgDX6O9XqE+N7P87J8KsN8QJ+XNboMbsRIpzSJHKxcpG0ax3M5ql
3mh10RXux9sQzklm0G9E/oMk4TUO/BbZZtp7yHzXlmeZYXUfxvZ0IJltNj2E3WNRtBVs2WbY05q+
9ijeZlv0omj2cqYxQzPXvcbUIJ2e3MnyptaMMdvFjkbhs7yCkn37RZH5SMCx3F0wQFZxDNnh1qhi
0/L4tPQXJ6zxd60jXDCN2sTrliBy5RN+G6RZjmxVk4gbS18TvpQIEzfdCG1vWFLEgIJp8Q0D6hNv
utpd3kxnl6KbB4tN2DoJ3unHO2a9ozhZYXucwdrW6R2+mzYSULHx87q81NnHSNJBUHIN8BKr1GMJ
m1hqt1sevOu7qUfhDOMzwx8wmttWcRJfWe7criSlAwTMrEw2C07vTNWVcbE1CjuMKar3QIGzHZ9u
te10vEaxOEf3RDOCfWkjYfVf3Kigu8WnqVO0r57pYg5ZYQwjzzTWmu2Aewtwy0i9LzqUAxmXXBvG
nH2wjGNUwzTo0K5H6RhnBHNI58tzmWweBPaE77HpoqRDUP3GRj/878v39zbY0kqTHzt4Hp0pkHzy
v33vSR7GmZay3mjzAPXQiGlMWM3duOR4Orpw15UemWSncdObTrOulVjnbpe5J40t4r2kRZ4u301V
bmDpwYutZhdCv2XsATOFW6NzTWTXwmvTcfm6TjNUkwmb7aDvKqFa684/TnEpgseN7SGk3aDBXajI
GNrIXmToUuLYJnahHV5Li88uShVn0whkIL9ucxkL+FQEkm0PrCVqX6FRbqOEBKpyZoT+sdzYj1Wn
XwkG514skkYSkkHBhwru6ZPVEGd267GwvBa5zWbba3Gza0GkQImMBvtnqob5sFW1OAUaExc4eTUi
en95b517uUD/aI5yinKWr5KJDv3npYt0y1MDvNuxwh38RVNQdVSWzuv77lpBdG49WlAUYxwjtL9X
UcKdnCzL6Sh6im7M39UcaXBwnuVnDUy9sWnTMv12+QbPBFw6XsAEZHsA7S55Qb99PDgewgrsDcMb
W83gYMRnxiLt9UPRf7+80plbo0sAC5nvxOAgWcXbpEvzTCsXgbKNdpe0eM8sVuzHcZJD+revDe/P
rAbaGqw1WQmQrbXkFCJMyoQfm/DU3qCFZdCJEL2hwQed8IXo8Pv907sjAknaMXdIu2CtsdvUQZTb
Shz606xlO8EBvR0TBZfyBIrvFAzDlSTgFQl6GgZssDpMdsnvKWck3fv3F1dlg7MYKgVDU8z6d7ys
ne/O0uZP+Tio79TFML9gUz08RhHSQXHV1+k+EG60U/N4vKMWUBkt4NGLk4bziQSWMvfy85Bvc315
VDhYlOgk47yJ08tzDYWJeBGhVKtn9oEvs9rqczbeXF7l7VuWgBq6QBLsInP+01XacphgYSC2HCeY
lVVtGWM8JN5jiNDedEp3ZQe/DYIM4ThgoN2ifcvg5HQ1g2kfmSPSo+nUDphAKe7WDUpU4pH92+Em
lfuwtK4hSN9+oHSCyBt4yxxwfD2ni5pG0kqfADRrVQiD2pJHmFSF5o4049qA5sz9oVSrk6KAg5P9
tdOlysFdgI6ij5Zk0XTsQiE2Jv5a/pJV6SYd1fp2KTFHvPwKz9yfRX1I+IEWIaHAp4smUzQxZ7Nj
QHYQSXU1RyB4FP1L3nXdlYnx2/MECACjIKpQGq5A10+Xcp0htPoQ/6vBRo06G3prh8Fx/lnLMb/Z
MMA1dsjs4C0qlq69byy1unKv5z5aJOg4SdArkv+y+iqoBu1xHIvYF8VU/qjsoXkYx6XPtoNlKXsu
xtqpvQkIcHL05rva43iPIWtZeGM5g1voOH7c0ew/zJi03ddAbq4kqSsxQTArZBU0SYDV8uWqdD1P
H1GZZdjaTQrSVMOcoeSqGcjD6pXykMQWxkztmFWbeMr1x2XE/BjexXyPS07kVbDaPtVGOT+4Ccqe
xv9wdl67kttat34iAcrhVqWqWqHbnd22bwSHvZWzKFF6+vOxD7D/LpVQwjJgGwYa9iyK5OQMY46h
gVKVaNUjVlL34gO6x/XvpqNZCJIB/bsOnSaPvq3avY3HUX0wRiOorNML29zO1gboU8UjdLN6/aVp
9fIZ8tFUDU2laE2ACkqrYbwWojXDGf6Tq8ZDy6iC8H8pEcU9gx9pD77mnXfC/zFZSFuQfjr/3ASm
CjZWzyi7nfLZS5+TuhimcGZs+WMRDNZnR4+ry+O7tGeQK8SjQB9LFXxudy8e60YTituYirz9ZKaD
9dIKU0ZeWTfP7ZQW18f27u4uk2+YAbFLUc3FB9/a87pV2E6sWOCyGeoshlcAKYBKWGdfRo9N7SyN
6BorDCdYgOI235JAWMsnp0ZdZO6cPhyoHv03WJvyS1Bp6Iw0wXBgcGdtSkQBv0vnkQd94ww10rKh
ajvkETXhw58JgblFz/pk20J8fry2O7+EBW4dRUFP9ca3bVxrzHsKUwxd6AglR/NKVm0sdXluYfYK
Z38e0ARfms9Ilk6Rn1RHAPPNYBGXHvvQH3FxmBqgWbQ5NqmG6hGKvQx9MNYTOaZIXoN17C+WMw6f
W02z0LWphni4ZMZsfA2GeXlfeG0HfzGiy48/hTJ1c4nVTwHOw1AlBQ662rcnqgX/YHgJ8y+JGVSn
rjW8qB7q4e0Xk6CBowSzMJXn7dSW3qWTGXsNnCAiUUyJdRtqYBdDv52CqGisoxRxd1XkbKaaF1V5
8e2qFkZEPCmFfYJ403ye66R+J7qpPPh2d8+3+nYkDwrkhhfchqDGTM+tnGE6wc/G//gVACjEuWrq
NDRNUNEZTfvjAtjoYMZ572aqOR6DEgNj6lsSrZwo0LAXz4JQanR/G8wa/W7HbfXLandGfh6t/qhI
tG+Ru0KRj8r2FmfXm90EzRajO9200mAsGIZY0pnJRqj+TnDhH1EM3m+fxVtIUqbIPCiCbR7FykQF
06yxZwpTuzq5Pz7TbnQuj4/+/fZhhR4jSBXInWByuj0kdhAnKbVq5qFWhBGR5cjPVh/A5NeKEuTm
gvQolNuDcwAkvP+YRF8WaRJXAf+zhdGRDnGpBXcBKcDyScR9/mTrs3/O/Fh/dfxSHixT3eDbG449
lGsoGcKZ4zibN4POexW0QwB4erQhbvdk/SwC0zsHhiQsiimeNg4SBnB6HLEA7/g5TDNbAk2Kr7hZ
Ns5lgbRpBk9tnRyziCEFmr2THB3z3A8eMhpgk8PEmBDXFnKOHNjCLzA9Wp91Bwjv462+f1ssWJAp
a9CK4rJuHe44gXh1c7ycZkwFPIddetKN0YOnfTkKr/e2l3NFfZ6QDg6HjesZsmTWUP3FoYrRibzW
kqfeWLQnKHGm0BjG+SAk2LXn8G3VzLHKUG9P8VBaxgxmlOPEwTonWsUHFFAJQxToMyQ7LAd58N6n
BDzCzUQTBS6AzZ4Kd4amaITHofB1AVVWXqLshRiDUKrcj3dtzw2o0W1q4AyDgne4XRqSnoVr1Zjq
vQSuRKI5GJj8NyOsiHLALlBJJI6lTKwW/FNBJpmXJI07WGmRCEUJPi3dMIW/+NTH+V/e5BlvfjQI
qpQsCk0q4pxt8wYBGaRaZ/ZrkLlxLYtag2ipHyAkrWFuNZLgjO7y0ejgnqvjodK5BYyM0J66XaPR
LnSCvdE+wUCLZmMHQe17kzm3v3AaznsNfTMnlIUuf3u8gWqDtq6HiWEiC55JxrY3HrZNVwc5c+aG
+6wpz5XosquhBcFXMt2WlEURM7rt/KmFDeAgOdm7FZRqiWt4JD0WfbtgSw51485obfsQ+aPOOHZh
ljXZNUjGEU5Qa4oer/THdP12qXR94W+ADpBi8SZ6rUsHzlY94RoOwZyGZlK7jEomwv8H7ZcA5ucM
uBWwphgWb9dKHB0O26z+RUd7/DeDjA557apt7dCStYEWhGzRG0+zcZhDKZppCgPEHuaTDybv+5C5
xn9Las7jqe7MangC6F8MjCfW7YTgbreOoQdl6Gc/M+wkpAcAcsPJV1GH7Tq1b0U1EIcwGgScDXdA
uKU24qfbMzbpipwHW4zwOdKUheuGVlCOZ+Q7mBLtRH1aArc7mVTrwnKE4vbguyv3tvnuoPmo2ChR
N/5ts9GBNQStgxAqhC969jtEgtCyVW6v/z2XxpCcRN6LL6MBFjW0naLuwyqzzK+dsbhDuI6Z/VuD
9Aat8rTvnGsxivijk4kuDk3K2wCS+7JbYSH02uekcjrYDOm/MH+Uwnt2ebwQ9Tvv1oEqKY1M8kmy
gtvvmC9r5aQ9QZ2n2TJCFLP8MkstCcnAl/PbTTG0w5vB/QDovXEGFqKfrVHYFqcH2CX7R7/GGFZe
jHI8KNLu+B01H/Q/U5vHsLZbz7AzVuU4wnidzLb8bVVZUUgCmJbhWHfySTrNevAxd806qu5Esowc
1OZj2nYCm0rGCku6cGXYt06/MDwpGgSYW9H+FgRItMd27x/Y3dlEWqgmwltKr4xg43YTU3+oZcrv
Oek9spUFWOiwHf3uXWzqfz/eQ3WtNseFl4oCADGdQjVu3E3bNbX06gKGhHku/1O20rsEdtebYZ2V
3Svi1dqBQ915i28MbsIMWYM0TgTBcjqU+pcJPpw/WtWhfrys3Q8IRxSVFKJGZzt6besN8qRmC7uH
kXTAuLvgs2jM+iVr4qNpqT1TBjuFGC8wMBBxt3uVS5lxpalvCAO1pATe77OdDYxNlfU/jxe1cxqJ
K+iI0MsjT9wSH0yVJ2czjclmFpS6UYltL5o/U+Btp+RaQAL5eZGV8/tjo3v7BbZNHQ66WyTBt8vL
fBF4zcR+lUvFecwmP2IE+V/E1ZSGSKHUrBd7tnEl1EyFu3Qsbeh78/ekr//T1qb32e2Kg/O+t1ss
hSAF/inKWpvdsrwJgCrqCKcmnbL3DZoTFW9s0kbrGmsHPY5dWww6qSQNAO+2qNcq0ogyYAY6EAGU
i763hBQ2ymdZxlb09l0imFaSdYx/07i53aV0QfK+m/GPxpDLy9ok6dUb4zcjHSngqdldJq75Spz5
WyuWOTd+ni8sKB9/W6TozpQq1ovtEXv2ld+f/8WiVEGUuF2lnZtFuVqw2K0vqE9QH31Xi4FsKy69
WD/4eHv3ikH+/9lR+/hT6KFeHSbXsWPNjGihEAOXqd0JYEAB9Mft4r8MfSV+fby4PcfL/B8wFmDD
EDVsjDLVkrhlvWJ0YN40jOMh+z5ly3jpUs97X0I0edTDUJ9r6+rJT6j2OLDrknLdLjM3igE9bY5+
mldOVDp1f6oT3TxI6/atcErUeAuT0Juna/FhMzXdgRJPNY0vCN+B1zcLeXr89fa2TA2X6RTOKFzd
NbyMvK6y0bROQJqyd7DPlKexzPqoXtKMYWH/dQ7i/z42eb8wSi0m1R3QkHArb2cQcmM0W2Pm8Jek
ClHgtO5nY7L8r4+t3Gc6qqBjAMVXPWLmXm83aagmM00ZtWWUxCuvaeuigpYN/Sc08Vp0UBCOpo+J
pgNiLge37f6TYhknREEZb8XU2K1lW/T01nvWV6NV/d7SrOw7qGbx2owd/EVJOVy01fEPGnvqlN+e
SSpJqvSoELVMYqmP/tPVo7yJLh63j/mruYbvEO0EGOSMp6rMxNPjL7tvClAnI0I/ima3ppylMWhz
AZVIEzFHpdd1pzyYzPMqUZt7bOr+biPWCysF43nIZnELbk2NTk5fdOVuF5PoTgqYB+N6kYYGk/7f
ClFpB4XcvaOp3IiahSQA2eKjMwOOoDkhdyG7QlTSceYnPfXtg73aOyAgMqhI/ajYbGtfeQ8RHmOH
YE2CIfuF3He+ajO6I/o6o0mQdX7EzFwdPf6UO0tTgYGiZFZTFXdwWKrlI6PYHBAtQfzRREUxmPAu
j63snA1STp92PV1I+n6bIMfuPLcaUQ9FQ2UBautBH5zZLsKSHiO0j03tfEUOPLUT/lvKqNvO20wF
anIrLriZI2tNhyYP/dRXEoptczJsNL2kkxyNI++sz6VRr7pUHJG7dp9pdcChGII+rWY5/Uojq/4O
BqKKsnIoDzbsviWm5mPBWdCXopu5xfB6TkV7dl3gAPOX+aOdz/LMkLF3Km2y6LJr5xMD79WLTNLq
s5+aR2SN9ytlJIKAARlDWn/EkrdXr0ynUg8WD3B+lcxIi8Z6F9VMxZ1XNNTEwT3fNaZKFmymy7j1
Jpep5lXqYq2ZAO7g7OqyxX7Xr4t7JT01ro+Pzf0MBPQziM2rkXlqppAz3C6s1jwTHYSlgnW6nJj4
meRZ5zqcg1wsr8koi3eOhP9Ipg6DwJp8Z09+//Hxb7i/i9ilR6VeJohjthADMDSaa60Q4cDBK5/1
zGjPSbaml39hRb2vRJnEfLb66D89CaThBVSifhXNphifMkJbMBSWfXDj7120Ck4YoFG1PVZl3lqx
xl5qRU0NzRqocVvZOj2bI9KxmTvD820043CwgXsfD/9l0eN3GJrcYr8Te4AgGeBAtHZW/3k0Cvf9
1PrDwSO3tywP9AdIFWje76pYVU5+0axpDVquQARIMvJfro2E50zCXm4kR/buvRlf8Cd7m5duaegk
M5tSR96ivS9BQ32nBLs8ZQ7k/f7q/zEGaXBw6e6WyCwxDS8Fn6NYB2jvduf0uBZtlcDyKs3eDqdc
BKfZ9vonW+HOjaw5Au3fXXLsMRBA+QndeJXm39rz0nodxnzipGhpdkn7lm6PBZCBXzke+M4fPZ2b
cEjZslTvgEPC0PQm+pO4xwYC3yoa+mkJTvYsk984S/KDt4oJ2rqsqum0LeVpqURw7trA+hMtZbMK
+0LP341ran5bTQs+0SWHCrcoKwpIcgJcbNfVn1B98PurqvlOJj88GW6/fKKAPUHXZiFNpjX9QYNy
98vhs+i68LrSIr39cnULvbPkOkVZJd13s44ciTOR4fgDYlmPncbdOVQfDjOAMBS76BZ9IKRnyZl8
Oyrd5Q9n9us/57harnU+pmDmuyGfTnaZHbHe7VlVWDDmH/n7bvKvDtKlcS1ZRQ3CuedglS3TD44W
xvDkXKpR0wHpm8b58VL3vioVEiaPYW4E6rfxXGuRi7hztZIMDhKyPjcREoZ4kwJhfQTj3jVFlwdU
GTyC5HS3Gzivw+IlwAIiBGmt0Emd7lRkMxoN1L3f6o/ZQNj0IHYHGKCqTbemUj+Z7dm3kUKflRwN
rbRocsbprBUpYmJBFf/6+Cvev6fKIKBFmwEEeCC2mAtNql4egJXIkEneh4bdBBdgzuWL6LXm3Zys
w6sm8wEu3qL5hzqoefb0vDl4UXcOEFYAfDC5RtthS9gSVOAEm9ovomHKPES+rCZapd2GzpwtvwRx
0MGNbtcHRnd2FddJPEg9nYdvi2kZqpFxRd9GqLS1snOcx/PX1fAGGi/AIx5/5V1TSskMoCjUDNsh
7K5mUHmZMZX0OjLiaEpeJt8UvwxOX77d2YDTUYyiatjprjOfVdZkWzVSMsnUBWETr/5F6zp5aur+
qMRxF+IS/SgiO0C9kDqTvt2e1aTKFTgpLiB+qYJITwrn2sJRfnKmIPjbdTpJ+xXa1F7BFKCSOkqJ
9j4qsGxF0EUaQTHi1jyhPMknCXnUQ/gbTkKDtbXVzZPRxuKgmLPz1gIoBe2gWgM4gY0HR7I17SpH
lNFqTTrzY337pYxXj8/b109GZZXXx+dl7z5QLSX6U4LTlFtul2YJCiNuIcuoSMz2pfIcOGBas77A
80P7zKiqME/z7sD1qEVsHl2IwP/P6ObRRR52nXoYNCMZW7BuiapcvjDJ7V6buvCeC8tKL0HhGQg+
2Gbx++MF79qmhAXgAhQ1AMnbBfuGXMbJXElX5Gi9rrU+hkSGSoPWSk99Lf4sgtp4EdI9guvtHSLK
xYoKF7ZWQCa3hoOlrn0ty8pIH9fkaSHv/cbobXLCXR0BQHdNEa39eCYVTdOtKapZZd3qdclAgfFp
rXTvSzN582kVenxQodizhHougyMMH8H7sFkUH03azOoVEYi67LQOq3aeJXDMXHr95e0bRy7G4DvB
HjjEzc2oqQXmro67gR+0fl6qvO/CoKw+d12voRfOzDKPpHZKzV5+e2x57+Wi/kiTBfMec3ObANjN
yOS92cHTrZoRmUFuXbpeH579xU1PopcLuuGZ/33q0qYPTdVIn6irHYSqezeVVjnzVbgFXu3N+pc4
K1TNpIhGOw+ehZnC0GfX6akr6z8NH55s+jdHNG53KRR+V8FLaBER97Py24PUZmY1Je2CzYzhT2kP
4hOEP/5BMW3vSjKSAmeRqmMw8XlrZWTeXqZKTrSHU+ZDbbOf/iLjC6/lH17stOupG732l8WFw+Lg
o+49LMzoMdFFF4c3bLPAuZ7gL+qrMrIns29P9pjNZzkUyZPjFP33fGz9P/0gkWnY+9VyGlZf1w5+
wZ7DJ3uEwlRxehCVbBYvCvSVEw8tVR65E+kz0JBU5IiAU73J0Qk78L17N1a9oETvgKip5t/ay0qX
pqmGPSd3ypO/BGtkoCV/SYO+PLixe0tj+Iekn+oQ13ZjKu+lN2SNRdgTZGYYNL7LIH88PJVuvZzn
YbUPztH90vCvirqTVhmVxW0P37V7Y42TpIjQr/+c9IN4GXUCzTJ2u4+PPcKeJQAYalFwJFEHvv2I
pWL2CuwBFb28FdcZge8IePx0qfrJPjgf95QBCufBX7Sg1Yu59XvBUNsUgisiVi2Tv5tDMXWhLTIY
p/phXr8sdPL+mWWJqnMgskvmOgJusdoNTVoXl2qemwNveO+H+DGKHRWXyOzlFkVY6ppnj2uBH9ay
8mtTO3NxKp3BfnJnylVhXLXDt0S0dXJwcHftUmGBZhgpvbuBDWSzq36c8iKC/fRvqWnZGbiB9044
lMHJtpeoEo715e37zNzG/9ePVLXj230O6HfZyCIWkT0bJZOCc3Hx8ll/v1joaPwLU7xqEOThBciT
bk2ts0j4n7LNPZDGi+NnKzemcxEw6Y90p+7vpQk+A+YcXmwF6d+saoB41BE2pmbbbMKpYNJ9JMaN
uiTRn0Cbmc9vX5p6tYDWgAUFr3m7tD5zhVmXHbeldj6kft+ceMvriz+m64GlvZWRKHA6FELz7r1a
6szymVIrKEpkipCIYYW1q5JQZtnwZSzn+gBCp375bSCrcCFEzYxhkFVuN802l0TzGi+PXKPrLpOn
DR86vzc/vf37AXVRVP9qkn3blTfMhhp/1eYRVKZTSOXDPTsFbS6Bzzk/NrW3oJ9NKcf3Uym4zuyx
TkdM+U1hfCjGOL/C3j39i6tMHkXzERA/8+rWrRXJU2gkiN7AFFbI16Ae/fdxD5WoM8n4L69mwLkd
D5vxO2dDyYso7hX8Fhyet0aToa50nvssooP2TxxTuqlWy0P/gkmzJdaPmrs7X/IHwTaIUpJ+yGVu
zcVQUSE4aGewAHTDZUhd+ZG5qLfpnTGOBIrsRyGMaJ9mxfYA9oFZ2WmHFVG1Ux9qedycOtiE/5Cp
Jn8BXXrUkdh5+RhGoK5AJMpN29bCoN7zsWipsyj7E2NfzslNUy9c8kPSkT1TPHgUFqhn8vpt3FQr
+yIpRjasjKs+QvBhuCw1jw2YkaMe1t4jq+qYzFERqxDtbjImKy2Y9cbpRuUc6yGyJcbfRqzZdRhn
ilsFcemzjzJBlMpAvyZzZZ7gPymvtajr01y54s/H13Bv6QqKoHNMSa22rSebSfPZ0foMRnYt+2Cs
ZfwepwdDkZ4cAR93nlWP9iidStqUDINursWA6JVbrW3GWCp4S8vregA4Aqh1mvUTBEVGfG6KYH16
6wJ5fQAFgDGCdwBOs9vbkZq08Xy9YNKqz4KzKUUfFhKH4ORZfpCi3t97iyFiMGFMvtMF3go8gOP3
Wr3IsqiScxlmQzedQamh09Iw0x8Y7RFXzv3FB7KnKqsU+1jkNk9jJhho2Aib/rr26XdqvdWZWUHt
+uYPqESvlMYN5xWfdvsBRSHdkqn2NJLjbEVVl3cwZQ3I6yD8Ej42tbcgplZJzGCsuqdqn2vo5mpD
SyIidg2kGzPJM2X+6LEVdZtvn1IsUBVm6JxTyGm+XRBko7QFp1RGNYRUn/Q+yC+uA+tUT254LfjP
Qi/R6k9DtxwhYnYOiAJ3wmIInyQtp02awoy5JwMUYyNeYGRcxkBcBmtY/lOvOVIRdbEcnP1de5RN
f4xXcAU2kR6CS8guj9iL+2oBNtWUp0oXyXNgdsvVLZnePdjA+ytO8kCkR//VUBwx22ylHWEXqoiQ
h7yLry2DurCbruYpziCbp1llv1iZyA+Clj2jTKbiw8jsoRjbRBJTYRGZSykjZuTrs1kI7+wN6FsZ
rtDeuSZq6xmaZgeBxb3fVIDg/zOqPv1P4Ytu9mAkAEDQCXXjU9Ot/itNKCSjxzL5/Pi87q6PMB1m
f27G3SDyWJT9PLWcV0Rxl78MY0Yzw8+0+pKZixYNFUepbrw3j4yRBzJ9yJWnFg2v62YrbSiFGpmW
MiochlToui2RhIOcEaQ8oL6HpPvjVe59UHq/zAL+YGrZ7mIr1gDBrFpGubd0J0Kd8WzDQXmavdy7
PDa14wBI7X7QANL34i263bs41oapEa2MBno3ryvMCuc+thg0yvPcMJ5gwtGusaHX7xtrjg9s77g4
2nuqG0YZhqLI5tzAqJ6LLlhn3rv5yzAGywfZ2fnXxwvc+ZboJzNvDDsTsca2HELUZNRot86RSC1F
sCiyK897GxXZ0h3kJTuHkwk/epbKsUE4sAlngqwolibAe/o13fm+mFYqknr9Ujn0+8o2H37Vqqk8
MLqzPugNKOEpP2rw4N5u4KJrK6WZbI7cQAZhWpd6BMH68JR78xA+/pRqP24fC+a3GQ5nLJ3yC5wK
t6ZcZ4iNYGbEnxOZ/aEBgjvZDEh9popXRTmF/4PK0q49kJogcQAfUf24tbeAuGjnnnjIXhz/pSpl
9j4tk5YhY5lUf3WBqA4M3h9IFkhvVrG0kTRvO06Dn3azNNYpMnqUUZJuGl8z5vEOXqIdK/DOKYCR
IgRieOl2WWm6FpbZaSLiwDLPDAziBXGi+sAp73w8ijbMLwLF4VRuC0brZA3C4FWNptSaLSLqebrG
c1J813qRva5GHx9UAXaWpeajFDsE9Sne2dtlNc7cZDR1RRQ0tn5tvUk7p8eT9fd3jLCVRgT0OMrO
Fp28+mbRBe4qotEZso9JP8YvWr9keObZoJwsvI+QmPQHO7b3LWGdIEyBykmllrdLyzJNEK84AkxT
5f8F8295SpiHeUoXuLbzSR6R3NzfaTIw6o6KopOZgC1Mcwg6hr3aakIEqpJnM826l97mwFC9PSJ9
3Nk1+isgm6i3MYm5Rf0sIg/WYaw58vXUvXS5ZVyLlJTksefYWRC3GDgYl5ga4vZBW51c632DBcm4
LD+aeT+ec7tBWTA9ola9twReBIw1U/TAZOytz6BZlXpj3hCL+Hr/wR5052tQVasZZnMXpAfL+jEr
fusRsfZjl6BKxgVvXk/ItqYMxTwZiSxtplNT1QqWv2a+F0JmQXq10mV5Ekm1TFeHmAaenyVz4I+q
c50UttWdMoxRJP57XDVnOBXB2Hyb52X5W/OH7OuS2tPfxK0BQL0OHrSnhRKzFZazaa3R4w26v1YM
/1FggB9DEWVsUSITwwyFlWRjlCXUa8JUVs23grZRElZQlIQwqzN5FcwH9+qe74ACJdUhBgmgZ+XI
bx6vAI87VGk7RhNTXd9lvGrwHk/OapxbIZbxmonZvdhKW/fSz0ycu0ts/Vfz+tYN1yK1gwMXdn/P
Id4md1QQDojVtzrdMgX9P9NhgHF8yF4HMuXzkpTlyZqK8bXIvOTgvdmzR08a1Aitcc6supw/Bc42
Eu+FkY8EX5VjniqYcc9Bx+RtCnYyFKhmHbwJ95edMjc65GQlOJi7B3WYaKuUDEJGmZd1YB16bmBd
HEXLe1aUq6RjS88dV327KsQ/gWgDxoymOg+uDfK3F1pS/cGJvb/oiopIURryYBOPbIKDae2NJkFa
NkpMPztTd+s/2XFXhDp38M3oEGWKGBXGZhrBWwxBvgBkL4OO8B9NMdSmq/mPykOIlZBcPrlxk/z6
+DLuLQ1uCiiXYLtU3Oi3H7DVK4vxJeLi1pb+qYeWPA/NuoGpzHLLv99uSwUiHD+K95Rsbm0NWis4
MBBULYOdvvL6xWeKT8X7SVvqI1WpHSfDgSBWVVpNBAqbdfVS1niChORNF/qTJgMvjM20CVtASM/d
4siTSZp+frzAHRgBFCYEx7BR8zCALL9dYWx0Mhh15aNlJ0ArZumXqpjFKa25X/7iiKcFhrBnE3W4
09Dp62VYJuO3xz9C2bh9JxTyjvotmC0oWrdQBhkkwbqW7KjoBJx9s6Ie4SmY/b8e29k7OQTKUHWp
iTQY8m7X6peeJ7IZOzBv5lFFSzEsW79FN7aVB991z3dBNIQdnlnS1I0pegnLrC0xzGbcwzCHSu7S
5vAY5H7/6hbz9PvjlalzuPmCRJXwxKjAzwJKeLuyVRYZmrEqT60dA71QwJoiC9ounNbVeFpGGAnT
VAThZK1HPGs7x1bFYGQgeABWvIn+AGoYZtUXhBTJWqAgbpXwRWTABixz1H6jW1iH0mvl9fGCd7by
xurm+1plsqzrTM3BgvznqfDL5dVIEnlqA3FE6LK/QFWJVtyhHJvbb8uitU5f8G9ST7KLtN0FVEtD
eUPwHCOdPr/6hXEkdqH+p9sNVZBUYMV0150tZNKLGwklhwH1X6HDFJ30yS/xvL4dms3rSlNSBVck
C1tu0lLOOkyyGS9ekPw2lrn3uVy9+NJbwjwaO/2R/m5XRKmPujexFFqI6jP/9JpDXhCvYwNYxh38
6oOTluJ5SmIbFHHW/GJIqf0zLv0YmYM3vEAM3Xy25mJcTziH4nM2reknM3b/SVI7PhFuDP+l4UoJ
tnSWKPATcdRy3NtzRunI0+h+I/G1KYfGyQw1YcvzaaaropaCHbzsQVjmZhY/icoOzrScrK+Pz/S9
UUrM+EEdb0znY3vQZnd0xsLz4K7S22wJO79oP+m13s0hBfvso7EuvvEsGPdJDl7w+8tEOUYne6Mk
ig7EdkJ9miwgIwvF33Fx3cs6dsEr2X0ZrlMcv9kvYkrN8EHpTBdpS1ftjnrsSomjyhetZm7Xm9pI
62f3g6M13RAWg+VeH3/V3cWpPBFwCOCYLQm5rnU9hC2CZ3V05ijLAvdSIaIRZmZvHATs916YxdFX
hbgHSDnnZnPEY2Hmds2pqUbPvozmWvyn0Gr/AzK9w7mdGPRzRoZAdb04gujfPzdYxj3RnKN4Qu3k
1rKVWF3nBlzkpV3lKShk/K6peN7SeIbZoC7a/svjr7prEIUlWtdUvICs3hokdO2WIFOxsu91rx4j
fGHZ5M2p6qV5STPAwY/tqQfs1nv4sIbSwUKWRWWwm0+b2Iaw4xYnXKGB/pL11vwSGPDvLMg9RdAz
lV8awBzXZmrX0F77P99s3fZUPd3iBwCD3iSyiVl2gp4g+Z9r01dOMoq2oVX5OK6gH08F8x0XRszq
93kmxrNhdkeotZ1DfPMDto/s3GlGNXtjNHY08WiPgCEZq+nd4MijQaf7l4dIgtYVvxdAK93n252V
RuEFKAqJCK3rIYIDElpTfzxCIuwtCG/HhaSSCCvs9sDOs+O2UyeizqVlHy84miUWyMCj/XN6vHk7
R1V1PmlNEKMoqvXbBWX8YWvYQkR6gURqbNhFWM+QE7ZLpZ9S7ZBDam9pjBISLbAyAr1NLDbVvWyd
VheRUyT1k6/hSNOxWd+3IDUPlnbPR02BhawDQg76gMhSbc+FpbqgvSnA/DGufEql2xSn2O7WOqSn
Fawh4r/OBZnlpb4upo6MeArhzgdfpE5Fq03ALQRcwhBnSszNl2KJ3XemXXTFgWPc/SRKtRHSPYvy
uPrzn95+Wm4UgspRRGY29k9igpJK9unXLCmDL483e6dmQlyIThh8AsABqVLfmpKTnwSdwRfRm3a4
9EODKJ1GNbft8/bc9emXnFGpK3o5kmur+ycfptwXprX6g63ZOXX8DkIHSm0kANtnp1uYwBUlp6AR
ZZDgMlYnLE0OG1mtxahi4r05ueGJc/nARP+EqtuGampmU1vlyRzJNBPPnj9Rqpwm6m1OrB2sbccZ
MzMA9BxPQca47XToVQMeb5mnqHYtJAgYD3te8yqP0BgZI6YKM8YJ9OmpW9M1sqrsCHS5c5oocVOI
w7bK4jaHXrhM0WaNT6MlS/QXv7T+qlDd+XXqD+/Xji8kfQP/yAWjCLxFYndQstR6FsPaXLfWWYxF
+3WNu+yAC2B3PWDMqS8jnEQz+PbIOl1pp+SiU9TLan3J13k+p2VmUC/V2oOd24lQKNPAfsGoC/ju
bfjVeUFd0XyZIsdNq29iHeqXMg6sz4ZZmOHUoklVZ4YMq9F+e0EKfDdVFEpSBii7YOMCPI0TBdh8
iqqyMyKmbQhzuyY/L+loHcQKuz6A8Q/FCgOSB6d/+0EhMxbD6ND068egu+hGlVyrOm/Oski/jI1T
fJwcc3yHL6qiyV2LUAR+cxXkQgdfe88HEFEzW86YMjDJjS8yhO93flPOUbPAiBeW60CrSTdK+T2t
bbDS6QJf2GP/t5NDAIRmdJgBStq61uZu2IvplmtOPzfoxoxm/2ShSOV6r/6Cvo5EeuykxfBDPTa6
d03UxtIDh16VRPn2ey9MEQrTgU6lJ2sKS1dqn62lyT8+trJ3TQiq1QEiCmOI/NaKl1uZY/fI31lj
4pzjeGrCdSm6X6TZHA2X735Fzg3PCIUiMA23poJkyQWSXlOEqjGkiUbMdG0mpuYMCeR/RllN30rd
Pkr599bHewWIghPj83bdGrUrwxFu08yRps2SQymGJtKFa/4iSudIbGFvgdS4dU6najBsW3Zlv8bm
nC64HGNK/WfXGbPscwdjtPPNkuqVShrYcR1zLo+aQnt3AuApZQBcGq/HJryc18W2RzgWolaHkD4h
fo/aaRAXkRnzGTjhETnHkb1N6B4bsbTaHHtZO+aR3k3puez65qIvgX9JJuuIRWxvFxlkAUTIP9R2
3u7ioiFaL5ZmijTga9/R2kMVW8S2OKMEnh00SI5sbY6pJZn8L0wQAKBPzPO8OMFLvVD/apb0CJ6/
a4oyMV1lOKnoHt4uKxmtDlZIev9WWznfRoH+SjpV+llq7tvH92juAtag46bS6W01opgCbW5Mzmaj
9cEVNjv/avYAAAKux+WxS9lzXNDgoIxIDE3WszkcPEB+7ZjTFDFDZRvnmu85qQGEI6+8dwhJBDjt
sDKBu964rrTIKLLbPkGp7WafbK10aSg4+Uvr2ckAf/B6dL/3tkuptjIGSdrKrNPtdvkIw8NVk4CV
JUK76K6wL12NEFsshfn22J4cTtGngKW4nxGhqZvU5hoT6OpLfS5QC/3KwRCUA5z8wNTedgHMpTtC
UZSkcfMZ+9g3EQDOpiiIp+G5Jq37ommH6gS73w4YucszSsN3i1NSlO4ElikeKpmXp9ytUL5yJ8Fr
I82jfvyeHwZg9j9bm30arcbycw/sAkQD5ZUpJv/V06T/51gy06npqRflTJX9i1NPqw6CBZDlVDlV
kPhTNlbm7diJHBdFVaP5T2X0DG8lox8fRAW7h/7HBK6aaQZpc2tmshNud8rBQCQc4KFRJvaLn9hc
4gEF+IhX6YgdaXfnmMNSWA2FQd68LT0QryZZWhKDabDj0Gqd9GUZe418z8DVh4+dx641AAGQUsJR
hBD37frsKREOYp+gNprJfe8GybPopBLsEf+83RDfz1RZJLxu22MfG7lnaIzYRW6iUwHyF+8JGZBv
6dRoB7D0vfSA/IM0kkwdHvtNCOKuXe/WGR+wRdPquyYhFvAas1C019l5Gkc9rKVWnlZZfn+8RGPv
sKgwGalGKG+4ebcfM3EDrahmMi1ItNdXd0blu3GW5pr/P87Oq8dtJF3Dv4gAc7glKamz3XbbbvuG
8KQii6mYw68/D32xZ8QWWvAAu4sBPOtSsdIX3jCMiLwPmnMqSnv+2Kgxe0U+KblvTZmtEVLd+aFO
6+7kSmH90JOhdB8KN63+Hqxx+ef9H3lpwTdX6C1qoV+539CIjytpBLyBgT45n2U6Aa4tNPFXMMpr
jiWXPgd9GUAW4CW3LsT553AqeKmNx8NUJQGitNwRR7dbkPY3gT5g33WNU31pahuyhWgXYAKI0/Px
+srIeE5mnvd8QUyscuU3exNAr3v/vySCEAppm235JyqX50NxclPak0zNbSQ2DDg/td+Q0h7dKFNY
iES/v2bbc+GjBgS7a5+CiRqmR7sYY9wo27xDg6C/6Rzn+xbLXBnp0pKBgdtSLzAroE3P5+VquuYW
edIDQxMdsAv8q8EdKhARATp0rRDGb9s6E7pQ2KRyAFqLpGF33Y120/tWJgfEy2ztVhQmItDVmK4c
0j65knxdenpRnkPkgOLBlp6cz46E3qsXm7Hq0R4/5bnbazEp4ehd+YoXxtm6rDDHYDDSktq9TZ7Z
LVWJQG3sTFZ665RLcyiSpvz+/q64OAo4AFA45FpvuqsQesoR1+Eh1gaRrIdS+MmLC9Ra/X7AQiPo
/8fZ7XWqOAATC2YDMmsOF39WILfS7Er77q1ZBF1/VNB+7XGauPucw7GDbDRwgY2VaaXLnVvUsxHW
quBaGpsif9X7rP45LXU73Fh1YZCQDClkextQyU/MrEzroC9Od2voQkvR6PHMPGxNf+xDKFr9D78M
xEchhuapz6rCjIcKkS3upKIST2ObV9stuFhjOCaVtUYDLNqcSoO0b/2ObOLQ1vn60i5Fm1z5uBcO
3Eb2QyOGnITC2a7KM7kTwDEbG1/h+4gGlNny2XLr8cauZYU6/3KN3XRp0xARspy/wOT7PkKeVHag
UIOIOycJnhertW/BXVjXQveL04JMAWeEuJ2VPT9p8I+zKS146BNl+0duNPlCvKbHmu+P9yLL0vj9
s3Dh6oe94dF4pvpIcre7+lc6iqvV8xlLDc2yVlbNjdWMOJVWs31lxS59wU2/koYPSgiEoOdTGwpK
Knhf9+zT3KH6VebfLPrBV4KYS6Ns9f9Nj3Nj8e0+oNLM0dRERbOu0bVXEKWTDCdK41e+2wXkFIvk
0OLhDiaI3j9kTtDndmf6PWrT2aDHrj+Lj/hSWYjGDjjVPDVtJ6bHqa36z7i1L39I19WMg23kGJu8
v4SXZkzIRjkHVyOoB7uTYMxtvSYpLbvElku4CsO86QZTv1JtuLQxkX8DoLVRKaDEna9eM+mznqzY
oftUwb4Lp6xv5rmpuNf6Yg79fLhySW9X/a7li4AP55qIdPuH3Trms8iLztK6GCg7VbFmtJb01JOI
AsDNrGqOaHNl+adAan4Rovo3//H+V710MCigcsHQT+GZ2IWkS1e0nYG5bexlk5bjp6N5d5aXO0+w
0ZcrK3hxLN48D/Q+yfRe0yZ1NN/WtBGkb8Hlq3mah5QyEv7KNdWVfXtxGYkqN9I+Zbi90EKBy7Wd
T04f173d3+Z23kK8c1c8ddVw62yax//hMwLeRf0NtAA9jvNt01IOJpzlfrG7MblPa83CNCcw7qzU
uNbduDQ1msqbHTrVIyA050ON6BP1I2oB0IY75zSMi4xS5WVHr0v6rxrjXwlWLjUaYPFSJNhqBXB5
d1t0HL0JZVOYDyXdnagcBz8I+3m+V3O1inAqu/lLtdrLn6q0B4Vku3BPoBzEs2vlVfUfvvO/f8vu
eBLRdragCh+PfBtk8GFsIhTsIIOSitPvLyn3HRCXX3oJe/BHmlpj446QZ1BqG/AAqwwwm7I7Nu1s
H94f6tLVhgbwdv42w6/9I2/ok0Qcjdw3XbQ8yk1zeqDwqr++P8qlPjo46U2EgXLKBoXa7RzfbrtZ
m7lB29pzsUwr0uNc6HUM3B+OsetPD44l64e0Ao3XNc7CNZsMc39s88GDwkCh5QTUu36pEse57cmX
r8Tfv6QZ9rch4FgAwoh9ssd3z7SJaGKFutgAk6zt/65X6T3a+rLMp4pzfFKqwwy5zL1uPJlm3r4A
xw9eU9vKj5juyp+ZsowSWdzZt64s0KWbi54lmaPB+pA/nn+5SqEQZFDyBnnaelnUTIl/AyTT+dFB
rP0PW3yTBCA34KUDFnk+VisHlB7mheRAyOGz8Ja/sbQKbpsss5/f3xAXZgWTCZgw2gNw3vYHu061
tKN5grAqN5pNsDtZHaZnhGyQA9C/vzKxC08dotAwublIaMvuaaY2Uq7T6EMzkolvh+6AbnplT144
Nap6BMZrHrNc/27OU3cldbg4z029jTo7L/sehuN1NdTQAuYRZcgJEIlTHhpUK0/66F9TV7gUL1Fl
3zDRJERol+9Wr4KUtFhGw1GurOymWQbcpTw1hIHEuVjrfS8ykm56FhqXiDZlOApYy2+7NDEyLUoI
vei6kR3sL+wEcFPa09oahsBAXsz9SZutOnSIW/yXJSUZA4+x+UzsXXXrZKDWPlNKq/DhG0OIXf5d
MGGDoqdtHqIwa94G2EMf+1ovrzxL25HbXRWETP8beg9e9SFk0P5HHl6ZXfs663SaXXxDPqNfUN1N
cxY8d7K8BvG5cFETeNJx5rCQuuzPZpcEqVaWYELGbpxCFDTM+wT20pUM4sILvzEV6ENRHdh8WM5v
AKse6qbZkCfDJLVvIpW1jBq7957WaaEZNcAUvbKOF+fF+m0ujMxsH77oetYNSafzMe10WcMyaPU6
NNPA/vv3bxyIyv8bZxe7QAFMcUWmuEhbQx2nuUwOc236kaX87Iqq18UpmUB3MCYh6dsHm4UhVqE7
A10vVA5jiSVCBIf6Wknx0i5ETxW1GLYihiG7ipFroUap5LZUNjG8MJMtrrXnw7C0TZySsdyUi3uN
XHXpPiOkpQwHLxqZh92gvlujvjn8KtHW1Z2+IFDdO/iJYYqQXjllF7fiVgoAx4wY5T5vNlawEH1P
M8qt0TavsEQ2wtXnUoNAV8Si6rrP/2GHbJJDFqQSUPvm+d6ffHShxUwoZDVWiVLsaEeynPtPFmaY
t/9lKMIukhEgxXuKlbGsvrZsjTajy3N4vEsdN770D15tXSNiX1oxXKhQTue/1J63p/FfzSi7RRne
0LbLqqmbr0Ozih9YdDgPU2UkL+/P6tK+36L0jfON4Mj+lSU/771h2tpDuvRfoEQXXzW0CK7si4sT
orBFyorYG0n5+YR6XYMv0vPMUZbTjrh1NOGUt+pmqvRrb8ylLQhFBFQy2g3oMe52hMB1ZDZ8Xm9V
DOKIdrp2U7Qyf1mtoT0iu5VcuTguHWl6/0xq06ThM55PrYVaLnAfIAaVizoEXp49pWKew4GeVYi5
7BBq7pr88f6qXfqerBflTaBFhCm7wNeVmlIzniexKHP/Bdr+hMv3oO6TCYX094e6FIb9a6h9skFe
DPRVUUfV/bScj1maaU9F7WkqdKc0iLzeKR+xyQTzyHUXxO8PfmkxeTeRJiVkoAa+2zerkpmtNIo4
mw/QI5nkh8Jp9Vg3l/UxM9NrZuqXDgNILVgDWykHvPr5WppYHqLyOgHztnUYP7aDW3qnX5Npurh4
ZG0bQYybch/zNdg1NWVOzcjJVnHA1qw6TKlqKD0n3ZVzd2lzsik3vTnqDIDEzieUJggzYYNJUroO
C+ibZTngSF2FfeuYRyu3sOpI0Zt+f9EufkUgafQ/ADQBhz0fNDdLU4qOGiCgvPykerwl4Hlca5ld
GoV7mL1PvRE8x25rJKh6WG5WAJ+eSwVAANOYpU/Kw/tzubRWhKoIkQApJw3eNui/buJ5hVjrjOx+
ifDmt0xS2YOps4jQy91rqKyLM9pMxLZ2Gb3z3e6jGO0Vg0uxwlO+c5ROXUKX8a+xuC4dKQJSrkcL
bjJRyPmMNn92mQ46rB+t75FPt7dowClPqszLW8+rRfz+F7xUDyIUoAS5IRAYc/eY0aTTgVTAhcQE
GfRltganQsvcB1tb08OUYEturco5NqvUwj53q4h0Lzmt5vLbrvCbLgxsTKp86L7RGDqf+aIHwvXK
hTYNfmYPll3IqATEgp0Z3hIiq7TXIhfOleD80gZCqWzzCMG0GLj/+aD6opKkdMcptotaexz1ASpC
42effAny//0vfWn/0PTcUBFoI7y1R8+SxQ8mGGvp3AZHEXT5lwlP1NP7o1yaEFJ8xFtIAhJS7iZk
UAWyjBmSk0pMLawMKeJF84ljteA/sNQg3cBSY/tssia7i6RuuRZx7IYX5/ZJKJ2kDhsjGV+KZVqu
9EcuXJR0CmiJg8pBoHNfV+/yjvpXsImEpY57tGRXhUuhpiP6Zy1sBc+P6LheEyC88LRuRp0kOOjx
b4YD53tjTIas8I2eDWlp8ocpfeumbschsro2/4de2grxM3sOksH6fXA9LTuAhDSuyfz3TXIFsmFC
C3uKRy2DpIWEVlRLpSKSup/v75Y3e5Ji0cZr3Ig4qCXvoyN3xAid9pxCLLnooqWDxF/TUP30/ihv
7rRtFN44Vg7UEU2f8w+Z5k1Fkb5glHGY7lxQM08VLiBH4sRP6aj9tnz5NhxaC3DK2TBkcufDicKa
2lFlKq5T3z9p+tDG2mhLvFYN63dPGzwZogT0pbhBeBl2b4K50KRM6l7FTTAPd3ZQrnG3yPIeIa1r
Mfr2V51VSDb5P74IjCnSU3RGz2el96L0SkEcYrnTZhOhnNBr3RwpVy24SUDwhgizNLeK8nY4BfNv
y/Rtw5Meom8KT4wC4/nwJcpdddYB7CnRMjpQKWs+qXKjjRKVxW3V1JHdLtdClTeX2TYo/dANn8+D
sJ+z0lscw0rRxJuVUdTBMD/WGpadVpaI4/t79OJQpN+A1Sh6s33O5+euPLydY6nYW7311EmTy8Ul
blett1x5CN5cZsyKEAIZScrim9/O+VCbNZWbmZOKefH0NsSPp/tu0gqdQ6Fs7bm2eucZ2kX65f0Z
XjjrAIo2MMCWUIJ8PR+24ae0kzBUPBs18gMLj14m6v4/fMdtWuQ9POLAoc9HmZxZkAWzT6qxr06W
o5mxn/lG2E8iOPyHCW0wAK4wSqR7r1qxeFpgJ0zI1D31ySo5pBTWXJSE3h/n0tag9AQ8k9cOSfT9
lHpK3WlhK7S7svLgN/KfeQjSuByDa52jSyNt5Dv0+JgQtfzzj4eEcKBRMalj11j9Gx9EStjIQH8Y
paN+941hE9KhYo2ANmx40POhBJtEmzyKJI7KprAeJ/3krzOPaWcXt+9/vwvXPx0QuOxsCjgweyYl
WyAb0SevYlG7QxN2S6HLR9ObplvABv646VHk5ZU1uzQm3QHgXFQL3zbiMX+zMmaIv2k3ZYcMD6VQ
dvMaGnhhnyrfv9YMv3Sm/z3eLlaYi4TVHLH+dAaD11r1WiRnc7n1h8RChiFNT6rJr6kYbdth/yRQ
1mD3Gzx5byxIKt5rp9ObKja1qjpQH9ejgurK/Tz77qawXYZToXuEmr6IrNk1r5y/t3OGLbr5g5BK
QnP3dnP2Mqd1Vcs9VqEldluI1YqnHmbHKIr+s55Pza1ncmDe30xvj8hGUaXmQLoMW26vbheYk00/
BgUG/tcK17XS7mZyitBEAuK3rzL2LP+hvoGKEsOdH5GhJkBjRzfQ/2bnazfOSzg7Sfm5bD115Yi8
bZXCsDBgkNC9A1EB4fh8LOm4hbYysxiJ8D7DS6LzZVhpdf69mKsa3h9OwFHTlaKPhtnoHsGT8+Tm
EMxMXiyRfXeTHNUE3wb8euUovX03SLA3K41fBBd/f3ybsaYcYrt8Bs2SnyXVukjHS+XL++v69sDS
cQIIgaoS5QJEo84/AIaQfZH6hDdSN/UwzzQnFN4YvAy5ejWn3r/SRLw0KQYkZ6dqADB622b/Khys
i9vaDSXP2Hd7+9hC9G4+YDzuXiNLXJrWRpOF0YlKyZtyJwXvamXjNFCMG5TF+rQAleO6IqyCTjx1
g3atxP8r5Dy/FKiNkSRtNECAHnv0MGJNOjU4dq0vU3E7i7l+CkgKX3oNeg2mjMp+8ZYEhmAyet1j
MgTD99wNujjJg/qbrHz3vuuFf6+PFfmcFTTTrWpSG5dcKT4Vyshio2yuAm627f3mR2OMuxVpkW/Y
0zu8hITZsrMWkm1feaEW5Ppzg+P3nYWp5lPg9fpD5SzW62JowZXU8tIKgVDYIGhEfsi3nu+EBTGt
2R8t4ure/meYRfAUrE11yHz7awuw91p18dJwwIrg1tJ53JDJ58NZVRYkept18YID0V+V5sw3A+4W
aDxYfohKz7X6zoX78pdCmcdlSQSzL+1nlWtX/ai1CHCY41Pat0ZIFdW+Vf50re144T1gqC3FI/zf
YN7nU9PttNdzTHAAm7bjevSbQR0qnQThTjQc4MLq/LgDDXqlwv+2goWIFwYavERIl1E72t2dbY2l
bJsD+l9xTEXoSnZYrBnJ1IayEMmXVFPLp1of6lhOSdLgaxl0871jLb4KW1sU17TT377K/Bzkorde
7/ZA7CqfVZcUflebbaxPw/AqBxvZdL+cH1pjSo+Sptv31Jvr4libU/ZpqfLh+P5NeuEs8VZxg+rU
Xum6bTvwX1db0K0JPOuuA7+/5K8KZ43QS7P0tvE0EfmZXF8WNUw3qvau9SIu7LXNX53slLXgid5l
GPAFHaOfhy5WvubFjTuJj6Yu0nsQDMXz+5O8OBTVGdrbW9lyD+HpIULTUakRe6nwKi5XYYcDoL2o
zMBzvz/UhRNL7WdTlvG3Oum+aVoPBpR8xDbiQcd45rRq7dTzNDteHhr9Uh46M72W974/JNip8yX0
pYXvEmKeeCR79E1dP8lIDh1Xi7JVWx7GzpmvAGUvfc//nyQ4hfMRG89dpKYlLcD0dY2F29Iv6pf1
wckBEf2H77kdVvrBvzSuzoeatM7IEjvv4oCU8LGqzexpHZWGCfWSwRYqAvfj+wNeOhBYiFDhJifl
btrNTaWu0tcMudLUHLIwqav6NhizvzMzaz/CeF7uvM4JnhA9uEbkuRBkULkAbYXiB/RjaxcgI2nQ
dVbWtnEy5O6JJKeNkNH6/aQRAhoFmQ0ctDXZd9fu0pSD5ZJ1x0JXP+uqWB8tw0hgZy794f0PeWGT
4NNHE5WCF2oc+4Jo16l6FSNJlZvgJYn0XhNPE64QCNxeQ4ZeuEQJg5gWXT4YyPtuvr0YZgeMsoxb
yxq6aDZkc98OMP1QANK6Ox/NrK/pOFV3lV3lD3IAYPf+XN9Cv7a+FeNT7yJB5vCfb9PV90av2lAL
/OUz5r3TX+NIUa/RavvUWtRtjNT1D4KIKKx6NzgRtttXfsOFa4AuNAksYQm/4Y2AmNSXuc8wabfL
qTi60p4+TE0AKHk+ZGVQ3Lw/4wu79VcRE245RwVs5PmEET7v5iRnwmhVpPdF7aZfxqHLroxy4TAy
yq8alO6Qdu/eiGIwUo8ghDlhFvx91HM3DKyyeQw8pe5zLA4+EcUo4sD12r1zaUsR5EEv5zJA5Gof
6M3+kk6tTklAGM5N2io/riT9JZHJ6abLOo1Gm2HG82rVR8+fi6/vf95LiwmzmA7X1mSjnnn+eU2Z
Fxs7hv1kWCtXjvfaECIfi8H/R9dS88ole+mo0v7hvgO7SGC7W0wwPnZaZVwKK9tmDuuu6u7MCvDD
ShPgyjZ9u6T04xmFDoxJILbnwdZ+0MqxQXgtmJLlOXWdJCoxzQjB8zknRNoV3bsEtlPCD3n/m77F
QBNGA2Oi/IE2EDDU3Zo2ieiGVKgu9hyBpV+eOtnBHLSWixbH7yLUF9O+8dbJORR+6/uHxeuKY0dq
kx/zOrVDvW9aGcoh98xwttIuHu2p/3nlR27f+jy5AfdLpQLLcwqIhEfnK++7QtbZhE5oO4vl3ly3
l2jI63Do5wq9K79/WN1P9PnjQNhTGuqz69xkVvvb4Da+FQgfFI02tjmdkfOfgZKEq6DEoXZVW+5t
r43fBaT2wzLaxdFA5fQgk/Va6fTtpoeVvXFENjkqODjbn/8rFhWrWWci6eA14T0jD9o6j0ZYoJip
nyZjQfsx6NtFnt7/4G/3PrGvTdsOwA9dtH1GB9zMs4qBnHvAaySiGSmieXSTD50snCtlhF8whvO1
9UhXySs2bW8aI7u1HRaORFCiPJVovV0dE8sagzCn18X2V+l012foj59wgmxIpidQMtFYufMfa6uN
1iGwJFou+ur4j/7QtmWkecP4fTJbPCg0f/G/InarliM2w6IPu0rvPtRj4V/LEN+uEWvj8MHQjdg6
nbsoZTW0Oikkm3KQ5EL25HoReCntH1GnBdTIsXz57eUhOyGEoNpFAWafruGRzF/v5W3sSVu4KF+q
4HlF3PCldabg6j349nICzkZySEuHi5d/ON+BKpfSWVoPP3OoEc1jblqJ833KJ5zq/bQo/SegMM4U
ajjv9rFWaHhMOuUgk6NHH10ei2nToV7aQn0zaSd2YV27Zhr6ep0+ijKjYD6MaUIFRVufrAGsUJgG
KvjSKDOzQgpq2C0kk+99lGuVvqzDqsxQ95CaPybSST94iT88TL6mi7iuiYfCpkhpK+eFhTAi2MKu
Phi+cvApTkD9RZM2OA4+5Rj83YxQvZZoVtOSHde0kioUcGXFXZkXgxXmNdrkUVDMehEuyL8F9zi5
CIktdibHY681/nA/EuGlry1IUDwKzF6YSA0GqNxaQk8+WnNuqBtEyXC/qIyi9aiOuf6PVaF59Nv5
FaAIii/gsClb0Y44XyGgp2ZqulSxhZcFocCBPXJGUaKRHASHYkm9w+/uPyhHaAb/AkhsDIbz8bBG
cY0O4PeGM0lfO7tRhx6dpY/VhIT8+0O9PVrkpuSoyCaRAJARnw+F4r9ooHU2sTk15SnxjfTeWwyQ
V16+3EM7uZaA/2p5nV9H9PXYVVx820uzr/ZY/WIBiALbuyQOvqWL2a7fTDlkwynn//BQWVbyR4fm
roiJYBPxsVhqu4xqSjVr5LlJkHyp/Xn6wlOd1WFOMzi5t9vW+KtWTduEPC7Nt6G35cdsrqmepJlY
/SfEnUn0m1FMt6UmUYsj2zLnqM3dRg97MwtSROwC56vXWeLVwVH7pTHaKgkdt3QUPPZiFuEKS+Zr
m5ZDHQGSUX9WeJN+1mWlfe9HYHPIR0z+17RD2CZsM9Hd0sgt1jirhvZZSE3/GxQ6Kt0qSOQaektF
wL6txjdzsIev6Ly5d0WXm38vI+YksWuv2R/Ed606GDNuLqEqMOn9sKZ+SZtENt5zOhbdVxicKwV1
LenKSHXQyO/L3PC/rNDqxFPVpboTluxT9Xkd0in96CWW3aNl0Mm1iE2hV87HpEQmPAoIuzh4SAPc
FX4wf7X61OkjDb7yq9aWWQcpq80WqkFug+QmakEUrzClzOMBhFlJVSPJn4t8M5i2jWR4mpBl0kP4
7EsdGiNV02NNbeJl0CTpa4VDSB+5ib3IcBhbcb8OQT19HOZVOwhBT+zK/t6/tJsuOpEsTXPOLvSN
3f6eOGbghEGCzW6r7ow+KB6gi0gvahf+4Mpg+/xkG8zjqSV4gQkDXvL8MPW9wHRncAysTvUimovB
O/rJcA3086aauLV6EH0kTP9VwHOs82HoxtsN9D3I5LJKtUPli/meSlNycAT3btiawfw5Ec5w745N
h0xu4dtTWPi6JqGfG801zCvaHtvE/n2o+UXbd96Q2Zsa+B6wiWCgmc2Lh71ERVj34g2FNtLUc4IW
RXI3c75NAjdbu7N9ejRGg2KCmJxqvUE0RaJoWjVzD7LA1HB2V32rvs6YvFvgp6YUTIWopjQ2gzb3
wk4NrbxJcGWgsqV63YzAl/TJs3Jkbh3qzizTMJmzxDjkpesduw4qxsFALeljO3aCf7tItysnKLrQ
n/xaHEEvrmOEceRShYMzev9MetZUp8Aas+IgtcB45qbwqkPRz8EH0SfTj1YZ9ho2WeJkp6YW/Wuh
w0WNRlvjeKdJxwefhNvNUerW9s9GjaA8s6YbnpIC/nwohmpyb2Uls+SQmEr7ntfCffIQEMOLGN5r
EAOR4ZhJwlDOoKAQfrAbs76XaTqPD7Y++K9129gLnjNtedulayeifE0b/ai3/vydzl9/u7SzBBeS
J8bLYPu9E2oQfJ7mXNQf6CLVMp7FigFc4/t5Eg6DX1uRMD35COebXUU3bXnJlfTu8AUgrENBmm5K
CffKD7FFon7dQ3EZTqRUCG3mxbLei6KsAJHjeBJ5yOr84BzwC00wAXeDPjgC4myJ8YkqtHo6NsJe
4Kf5s/yM9JJjxGPuNASjKcaMYeu1uYqTsUw/iopo5dPgN+2PVOroPQs8B7/Q4qv8cE7M6XuFoqQW
V+Zc/aXr3ere1CgUr1Gulf7rnIlWI9LpRB6BgnBeKdIun8ei959SH6fXaNH64M+VH/95bhW+DOhs
uN/72pBlpGt28EWfIf8fOjdNVLxUq+GBHkpM1HgzS1UxMJWkjxYvER8Go0rNaO4bkjm8iYUEmmPN
WVi6S9B9rUu/+2vUCn05gJFXT8DMaD9YmeE8lGtj5nEwNKUVtg0sXwCKyN3EQVfLY1tqSEK1qD5Y
R5qL3l9VXyx/k7x7/NWNOVj9beE7ULHXwhj+IZmo2kPqz+sXBx7L8sWzBCal2K1rXZRV7aQ9TEvr
NJGX+lLGY+a5z11XZ58HSJHOvZPz9ULyZjh0a9tlqI1WblaeOD/iU2uNPo5hVbv2krewHx+QYC6D
O0fY9RSN2ezOh3VdvDScellUh6qh2YHRzTJat1U3V68Y3nZz2Hiedkplj0cAUjTpH9lcJU/15DcF
5kZKf3Uqs/fC0rLE8zCta4v0gWlDSdVIB7XJ6T7amlOYkZsu1t9jW3h9aA9wd8IZQZYnM/Vbtmg+
Fp8FnGPzhJZUcZ+Pie88eEYCQFIsttJvMcCwnUjKPHNkKCqvMiMHE9mHrYn4o9Rmk7M65/JTlWxl
tTlf55cEj7QEhK9wVVgm+TRGwQz8arZM1RB/GDa+NzUssyeXREjcJGOmPsDBd3+qavLasF9xaYk2
P6r2iFzNMIZWy6a6s6WVfxSaLQjHrUF534Jc+sdR32zk825xIzvJ9fED1Lsiezax8G2iTrZ1gQIt
PdyQlMjwY60f50+eZbZ+jMiM36PcqubPHg2HKuqtNAGbI/yipqXqMrAxy6w4am2VQnHyk3S97+yp
Le7K1ZZ/agnp6m0hRb0c8PFJ9WPjI1MaGUJ6QZzwydbQn2eBH9SiTZ9wOBX1obez/AkJcvAkZopf
2h3MU1dlJ5moOg1rsQbl4yhc8Q8dCs87gOpfrKNmD8gIeMWi/5wnGrwh2iWTE7dGbv1Fpk0MVC/S
Oq0D5cZo0yv8iPZImUSNSnqgOd7kgfc2ZUGF0XZ6/U7T6kBwFFdriuQKcefRZNsp/tQPPqnU9D6M
nmH/EFkwZTerUpP7EVbwUBybOkjLY1U0+vOSO+uySVRWH7wpZU0w/UnxQMmKlW1tFupWmk75Uy/l
qCI8SIdneyz99IRfbTXfLeNcQdKpS+PrWrY9V7M5p3cjSp4OfQqzfqVWZ4/oR1XT13xBwzycVq/v
sXnDCnpqLY5LDSulOZZ27j+PrYH11mz0nhMDKF79g9YlaRta1ZTRGuwq/592HpwW8EFTfeVY6mOI
nYtW3E5mov8p7bVRd+tQGs/4ZljDQXa1e5ejoadOqig6n49Ut58S1yVq1FvTXZ+nVop7jdCUiCJh
WUSHZPatJ1TxomWa3vEQduXPbB5rM1SN0v+AbJuZYZIs/WObsM3jaUbD6w7dqq6GBmA72dFJg+DG
ncd1OmT40bZhB84nOaZTPwaRagmNhwoySQw8rrXvg7TtUY6Xam4AejX5VhYLlh/NuOHCA6Pvv9n1
0n8oUmPRQ7dtkXHMh0RXd7WhUPPGSyz7TnRpYy1vBHUdeSOg5bspG9MssnH8VkQFhnZHeOpArGLX
r8UJk706h8KbDTbuoUuNkLwjlY3Jc299bduGuzBbh+wv4LvCDLXGLsRtM2SLGdbWWFQfk4Zlua3X
0WwepY9ay5eVkDt7qOmkpCFdlTXA2rKSG/olNT7kq1EGoWuVyXBYONZjJEajsMgIeh9mb7EubeiO
C02fYTLrA4i0taPK0XXLzaY/k8aFV5df9ULKJMybWn3otNz7Odgl/5p0hYPyz9wuH5SEKhEJwU11
VFkggxBEgfyWaVI9K3qQ/WHMDW8+Ips6mZjS5L2MeJwStO09BXOkdidTRqTg7bFQYqH4IMxUD0d/
Zne0nTM9KqNZR2A8szE9GMZMhrhxUezIUU3yCVtuyuWGUMknTTOGKhJAan7OQgZWPDZ6gty70lmm
RW/bJ6Opde80ZW3W3ikHJsW3LMuI4Dw5ON86qWt9hHul9+qvVD1i0ylkGXrmkCDFlhXiEUn3xA8p
Hg/To5Pagxeu/K0gBWvqFkFvakUI19ei4CEyzV7iofZpuPtKlyTt+HPyjrbMPBKlOX/whkXi5pXo
7kcSKv+2M4dJiypG+wt/UoG6sUCKo7MKqzja0pwVUKekX05qDTwcl6Xj/NQpmwdhotrkTxAFcIBL
levpZy9XnXVQrqW+ScMrylDao/EQuOPK2pSG9TWluoDcj5ZrN8gQaX48mKNtnbjQmwdvXe0gbBZD
/5tqgYMN5TwQD0x+EjdzQeykW0ma3Mz+lOmRbJy0jZQzOTJGs8L4C7qCti2JMNi/hpXH6Cj5wxEZ
l+qTVTv/R9p5NcetpGn6r0yce/TAm4npvgAKVUUrURSPzA1ChoK3mQn36/eBurfnsFTBWs1eKigp
CSAzP/eaFKvQxVw6MDR5v4YmRPbPEGUJHqWwQUobFU4HhIqmzaI2LfzpxuKWKm78sZhbDrQAeoJU
nne91qCyw2Xqh2TPuRz6qHblemc3wkx2vkqrJcyByhFcPXugqwHMbIqqUXXZQcFeVpAyegbloCKw
C06VPx5zUzO8vdE25genoQd8QOOHk9DPuv5AbZSXsWc0fnCblVgvhnpSTXeV5ZTlVWUQscLOylGa
TRiZPOpiMGScqVX/gp/aoO+T1ByGQ1FN/QdPn5kjUUCkb52JKirqMwTfQidAso6kZWFeIHX8lFK3
8a9Jry046vRJ6wNdK83d9YxLdYTZLQ5wg7PfvGdYo2Whu6my4eODNTaVXOtiodjDoLcpOGhV4X0A
7MOBkRJhoyHeJ4HD+xGoCn0UKaI+7NBs8SNdZT5ZZeN8LoUp+6jCDIgbib1NPKd3cjvMfcc9owug
WiaTKo0WhdcvYWlKcdfMVTmGPVIIIPVcUXWRP7B5I3etHGtvp7QPwsQJQI/z7aFysXIKzHXq1FdR
5G7D/VMHfxau8tFXDAY7yUPscdzikLgTsD/GOp1PLobtZlgCcX4ie7bJ1mx39MN+Sq1vXYNcWGhi
EyX2vtZ3xXu/mQPGGQigeaHjjPMIp6+jr18j5BgrzypF3IIwdEJA6TBJajg93GlBgNXIsGq1OFQI
klyv1lzwGKhLGYfaKWs7siCerOFqNeUawVWcjchq1PjWWbMJdClgi+c+Td2KsiD3boe2xyXFbPzG
Iw7qWfU24S7/pBxJGCnYl2tYru56y/VAbm21A/kJRr7mc1NmycNQN/1HsdZafWuV46LFKM3NUC8t
JGs29koSFdB3n/RxWfpoTCbTZaTkBzdFujgPfBHDigZqgT38C9OL82ac/0yLBZBLCYDNiOwxsYpo
dlLvxpxzQOLwb7o7Z1qI8EPuNznsNsaiu2Ry7YqMq9N2xaCpJQrE4P5wndUJbpxOZn9mmIzw9dU4
f1QocuB0J7Xhe2sH9LSM0faujNYezcgXlvV2toylod3XV7dzqQsgnWXWvbfblFxzTAs+8yTxSIrc
Hqv5cLDMWkbN3CU3Zo/uXDSVhbR2+ZzVVTSmffY4Ihfcg3odwLvkAZptN12mpgSPGndqQ5qa8nFo
ZwdlLJHZ7TU68s5z5uV2uctlRy3uGlOKEi+ssHYncldO4VAG2tPamEMbOXQL24NZdwpelar90Glc
2LX8DVpitU45IMa6VeHqjTNDMyvo8h3b0/5K/Eu+ZFrhpeEwdwqXcC71Gk/3RH53eqnMO69eKxFb
gXSf5z6pMQhdu4pymuw0FGWRF7spKGi3lfj/dMTumr+yWriPfTe01fym+pRtrBfFplcAH0AwHsmX
5yXJs+sUJbDujdMgCRONNMQ+DJoNyBLT95qDpjcaF6NQ9pNuZf4Pz1gcPCwM6We7YpyFdzvVtnxo
lJt9QprNrXY5VUIZ0rUV6/WKm94zuv/yyiftCqKq0qtvhl7qE0E4p6egBl89mt2Up0epA7I8+ok1
cQD1uflRT+ZUxCXZWUkXtLE+zk01flFe0WoRdiZ6RwemDujAVNMwHzfiWxc63Wr3oTPaYx8pX3kP
2uAwIkEY2gYOmyBiB2pTeIqbzzfuILOA6Gz61PJCtIfyHxXOAdkWLpHfbsCgf5f4F31VhchKyiim
UjvAUqrcLYYFLZCpT/tVJtj27RKjKg7ZnI39jsysKugpIp05eYnNx8Dujn6QN5qMEnjj017vR+ej
3o0MCNygQHLTyluvZYrqWU08zLrzo3ddaoox38adKDFQexc52Ga2VzmFdSOmP+GgpHmUkkQ9anOn
SZKDWTv2DGf8EP7bQGweVRFqJVIWoZVMONcK0vw/+7q3MGifR/Vda9L+vurz9FtdtsmHecnzz4qM
mT41Ys9PvYEqc5Q06fq04FRuhpmtQW2tbH8JLdRE0sis8PD2qM/y0MhT825YqHN20CU8PV5mIz2M
OCu/G5ZWvlv8nJaL6ERRUlD3RMWB5jNarBkBIkK/u3vve8ukhXbazg9c1/QRilmbvnSa3f7ou6nt
YC7l3hCNq1024YpO3wPqXdYjmjvlFRWB+uGs0nqXcYCe564FtFfRPmkp+3XatkFmuTCFet2dwgSp
XD/UqUNxr7cX/6mnOhzDjJbDF8MQbbYD0eIVcd9hrBUiayyYqjjr8JZezlKRX8tijBjINMODQxma
X1vBCkGgMGvr05C5zVtlmuOXoOzK8bZfKn9iLDl5Tqj3btrd5kPmNzElOLLXczC1u1z0QXtVMjb4
ntPmvwlwfGyu0ZH0HhAm2yTlGDl2kb2shh5DBOxufanJ9+Wkrd/QlWzew8D1yn3TNHSMFbPbO0+s
bYo7k4ssMIitUoRCNc6HukYrZ7f2ftdt/S3xDiewxAwNW2uGI9dvt5d2nWmhayZc4DMxjJmY3mp6
VHNPP6wGoRp+s6QZCd7PQdNJN1o6o0XavDPcQS3XtDXsx5U0mTHfSMUcgyLt8zCl577SZqzmq7Gm
SRpVuS7YM4NG376ucbcLi2FpjCjztaCKF2nNdTSoCo0zE1Tdm2qw+uWYBkHp39vMDH9UONw+tSiy
qWhathQ6W0r/Kk3qqSBN0/vpgSNAVwg7HHUv0qIZ0Jl2pzqqAjRwo7IcrCfHbhlXSLwgtoGL1hi3
fWbJ64wORhJOA3zdwzKkax8neeNV1NLGzJRzWrtv0zLnT+By236H4l5a7JLMwSlADMomGWBw/iOZ
pvl26cf1e1Vyj97prTFxLGGAywPp73jtrK0pjktfaUd30VPFJMhVyb6mw9ocBDnLl2CeKWKtbjX3
XWL19a62++IBX1jtje119qNgeJqHqne9ByjL9acevco8bkrP6UKhmfyX84LleOQ6Y0NNONkJPYB5
IVwMFIxOZHF5l7tMJhvcWMjNMLJZ5GcS2eJDpnyCoZdoXcqh9xlc5UOhjjRFVgXH1eJUlGVBmeUt
eofaot6glVH2JAeBk39LrNERoRxBZKErNqcVIxhT1CHM9XYO4WiYT6Qk7ju7mj0Rqcqfr9O2M4Kw
8xztqhoXad9MLrD5UdUqP1aLmT3VKx2k2ww5x36ferLLye9HyhLb6pxPK8VKFuM6IAgJhSiJJZ6f
BNHCrP8JZSCn2MM+a52dqpY+2zO1TR+ASFX4phh0pbrWCA7A59Unp5+9u2HWSqZqpalfAfAvWkZK
AwehrIPy1mCAJUNzLPO3mmkQzwc1iiJuZJN8SQH8dWE/DtyGODPDCfOr1a5DnRTqMcE/m9SxakoZ
u2MiPqxVA+h16LgqQkQVhyeIi9q3gg3wTQJlyCKGFMlHuzSLN0KSNUTr1FsMxNF3Oah1oLmX5V2j
4tFNBYaGY11dV43S0r2hC+3a57ZzY8RS7GYnRi9pjqWo1jpy8UWowy53iTZCOMatbUvlxWgUkG9R
/kJhNr082weDmbZRNvTG1UqHnoFC26tDwSjMCRV+g6S49Tj5dNd72dA4c22CM1csGUYKnC/g+lmY
DgfFnTe0ASmRs5rfa0AYX1sbgdeoNCqDPECiaxEgTBBWClX4iHmb8MKgTYY3U73mxo6TUXtoeSxY
+dmBWuyDa1R6SuGQrR+k5Ux6VC5ua+2kRrOHDMJQReS1s/2hrQBx32TYK5nhALLkbtGWwIj6oDbe
jOtWWnL5ONkN4NL2fbL62YYiMY13Dskzmn+2wxy3rsprphx+FtWF1B69HjkRNLMK801FhdM8JGa9
fq9BOfhXrd2oJz/P07du7+/ztNPFcdYM2mK1O5g0BOyltMEXBMGdDJbpI7MKvzvCjqpvKIL671qV
cjPgosq/KGvNfLtOqwjIJ0cJOJQS4E1H/MGJyl9p2iZkDnRzPLuizCytLN6K7HGXdqW/42JNA7o2
k+qPLegu2kZdxQBowe29uh0qK+OytKfifrGT+VNPrH5n8XHysNKk+aP1MzLdTS3vVlpBOx94xvaN
XRQdqWsxJ7TILX6m55hjbZLDqDqvVVBRgnps8xAbCxtebD0CAuTDPlhTQlOfnr7z2Z090gZzSPJv
gCFQfpJoexahh1BHcMdEl26f39h0pvCvcfTdwg51uL4rDSoTwJLhTdaktR62LvJhOLm7Mo3bppfv
7QBPsBvFREPESwVxjhLYhZ3buWuHGQhO11+Aj5TdftGoq2OURQk25pCl6yGg2/4EPdra+sUO1coy
Mms6LrSrVChFCYssG4wUUFHq1XZIA9yn+aMROwgPbtrE9togKkimZ1T7fC3BPsa6rwK9D61+Wpz9
aMlau69pOuNZ25WV7J67bBiy+zn1p+Q4ibwky8Gn0lq4RXOzNOOqmjUQJ2MKhnO4Vznz6CVyhdWr
p171/Xoga+lSLSwSCzBTMIPWRKPOzLRHU862j9K8WYKJCtPa5R6Mvd5oindW6vZjEupIiVbIhS69
9d7GV7e57xtt1mm+EHTso9BdCFXYZppk1o2uaR/0rJ7qq2KeerwMUE/J25sMwQr16BrjSn6l+avf
PnttbpLPMO9jDdkFUBdC1WrORGm/TrpxdObSnO56m+45o4JubH5Y2jiubcT8mOJrP3RumvxIgtXD
GhpF2epGNDjffijTKpXffYPYea/7beJGM6ry85/MWQb9fT265VhESeDWxqdW6xzd3VcVw8FjYowj
U2Rhrf76XZvbDcFDDpd9acDKlgeWGRgjppvT9kJIxHjgo2VrOofb8JDFB31G68zQQn+wBapPLYgE
ui6MUlB5KHk7sCWE8pzj6KxKe6wdsyXTUFPneB9EMg4LmGap9xwpB6CF/9XtLdf7qly/9OQhZ0Ca
ZqE9u0Un6Drldv2x84ky3wPKVdT//NnKb+Y8r+QbZ+mNDVObVUh7w3hJvJt5gKNxyK1xrG91qnL7
4OOeMcUVPfP1we34/dtQ95kRoM+PQ9/3NE/n6r2b6dr8OVlmwgZDkiU4DuxvHs01yuBAP1yNV4Yc
CZmZbjJDoaU2DdeLptBudoVXjkdRT/iEyKbKJ0KlEsU9CKis37eTp9rrYdXXIh6d2io/I+2R9NS2
wh9i2p22fhzAlqxh0ZC/7ixtqT2GGDRYosWxG/9jyYl5hzxgMd+KxaGEWXXiayxniSwCss7LJ5XO
2fMwr8Zw5XIJlLvZLpNPWjq0ephq4/TkNHSB97Me4Bnf1pYKYc9XmCgR/uwYQbOy/ZyKMvEosKxg
PqYdfykibizJVcpx+a6cvsC3A3DzcgCJaTzBOKKv5NCsD0IV0HsLYdFobxmhptWu9Iv189J77Tvo
0Mb7xU91jypJ5LHos7xhekCOGGY9RNuQ2Ul211Bvv/VBNIJctkXthImbZJ8lhiFGNDqDHEPEQpeP
tbkuE4nsqOs7Q5n9t6Vy9I+TKudrDT3rChxM614pgaY9lZkbaxbnAhPL8soqih6QgFxvmf+MVdym
o33TcnqmcDUVc5tuSTDgtfOpvK08TDAnWzJ5SK2uq8MxMzvJfK4GhNHR+Plar8b8vms7j5apV43N
rq/As+/WjJHvu4Ib8b2uDYJmdN2BkFOOly0MNCxQB5XhgvLIeLvv8x46ya5sx+EjQCP/XVLWRrlP
m8Tz3rWYen/oMawEoWPPzvegHcuFBowjqKMXp24iZ5rLeEiDedN2KD20mNOStto043J7K6QxIddR
9fXVqE/ZcQK93N45cJdy6miH8B0MDf0LlOUY1KA7Sb9nMvXsFs66U0WdSoqUfrPAn5fA3zDx7BPP
DnvHGz73KbEpnpcaAEdBvU40LgOcbdWaLEdaWam9E76osxvgU1qNc2FeV3GerOppBR8gYmrH5Wvt
Gtm3QsP+KiTBFNdW2tnGfun7/PMgJ/DJfpYVb2Vn58wsTb8FqLiskvGKNIcb6iVqViT3g7uNz5BG
Ru1mMgLawwCGqSpjXjk2mBt0Nb6qIYaigmA1VrYW9skqH7OMcjjUyxZ5fI9MZ9jZ8zK/lYU1dryS
2dHDjBtoDdPBq7jxjACEVToKrvMgQEH9YNDG/MBEH8jDWCJAHbEtaVYXa97dpDMpVjzC1Rm53DbT
QWfN+09lb9nv9WBOqpBrn31jikWat1o3DHmoMwL6mKbCrajxBBjuVgyMkrmM/GyPWWq2V3qnqchj
amXsKyMQD45I1w3s55h3bTq4b5HWQfG1brnEQ20t/SXO8mV5m4PFfbTyvq9vhsBtszixxyKNetAG
Mk6cJPUZ8pBk7P2BcfjWN6CVPzoq7ehfGk6/N8y6qPeqswMaPxSANF7lPEZqMdTnhthrR5WBDs4H
OBXNuut1wG702jIvjfUsyNFB9yxxw/RkaT8axern8Wpr/hevFb4V9XgkjDGHG/GEokYOGCM5EdhX
vd7Ku3HGwSpCConOul/XzbXZarStM4NKbk+CYP7ZO+PwzB3KVKvM9a1DRDdbp/ycDT8aCsyen4pi
WI8FGIqKvqvGTBY8UPk0ZIPz3piRJr4xiHcPa2245AOvozJ/AZIBD0dXyUf1SCenOxU9aiq5KJIq
eq9dMezrOXOuxuLiKqdsWPR+kTtC8ht9ugDNoxPoO0VK79Zr40ddR9/Zq/j6TmsAdioBc8yLlUY5
8uMXHu0XQN626E/8JxRMuojbz/+Ct1epQSRKkKW2cRG+QTK5fWxxEjjUzO5/fylckUHnoh5FVDll
aKHAY1RL2XlRZwAosPxcHlK3VIfM6JsLWiWnMNpNOnlzYf/p/YAe3QkkL5u6hmM3+lFSgKsvE0wR
Sq/OD5yFEsRm8/W398cGEMZyGnkzkIAnX65cujUBOhKAG1jMq2od5yufe/TC+zv3UCCY4bCaCKH+
sj+gs9deORdBBGQPP9kJxLeVGOWuGh3GvcXgXIBPntkaBjbtJnk87Agm9C+3hgkiXAhI/lHg9l9z
Wy936QSmPFftJV2QM+cL3zIdsSrudTbjCSoUSlzf9VoeRDRAhkeAAN5dRdZ74f39lN94AYtkVwTw
8tgQLsIKp7zczhkcikM+kybp2yeNcu7MKaEDbeI8h6kAd2bvj5ExOF7UJzqVXA/mpS4z6wCext4G
jCo2wcs8/v72CRxw3zZhFFbNCZ6das+DqsGLFgPw+SgPgK2A2LIw2Xl9oV+hqjC8tn2KbqKN47N1
spJZZNC5MTmNQOToO2nkdAi1DGIDIWePdK/J1zWdLLQAEkeO1hq7AfRTuE7dJbXPXzeXhXYkgy/A
uVyswckJ1TJDMF+h5teycv7KkIUJ6IKOwkeoePkl0+lfb1YW2yiK1qZUz+O/3MlFIYyEWQgdMs/w
7zqv+dJ1rsbgijsV9oW9K9NxukD0ObvmJuTBad0AzydrurM/aGT/nB5ndPYdxl1Rr2xvXwddt9NS
d4l0ozb2r3/g7T99ucN5UOyL2U1oCUDPefmgQE5muy8ZPEk6HzDdAcKDBFz2m3lnKO2yj02jB2/a
qEvmv2e/5+YrsrFvPfhBL1du7B4xznoO2L1CPc1inv9crIq+6zRP9ZvXn/LX6wKCL0rJW7AkeJ3q
y+SWKLqxD4JtVuMf9GnpD8bKpOH1Vc49kUP5C/GI28I41Saghk/ouXpct7MzwCdumWyppr5ZQM9f
CFfn9opjwguDaupt06KXL28tA9F7qDVFAZiu+1kuyb0NQuiTgVqDHq+NnUwhGUPhxK8/4rkXiVge
QrRYK0Ky3V7BX4K/Vug0SxVl8DqZ9efKxO5qVwXSmnavr3NKpDW4dqBdetA9HQaN1kkkEZqBZ8Li
BhANIBKiGsuJK6SxY3xRgmotSBkn5XwfgEreT5afXXjMXwMnyBqYAEjF2KionvrAq9Fkfsv0OUoQ
145sRN7DAs+/nZwKhBB1eUmu79zOQeBxU261aPKfqnFmSHQUCyTXyFf6uMch5iHBQ2jX5K5/4UK/
tNLJi0VvdM2Xnhebui2M1drAKKIok12NEejV69/w7FKbWauJqAXSZCcHnN5Xkg6JHUS2lttfkbHA
icLKuz+7PLtkWH7ue0Gn+PdSJ1GKdMRVTKWCaMwC9K3NMsWvkWYRht8OsE1MJl9/tNNb0wQzuFG8
4XhvotDOyXpUQgi/qVLFkzYZB7hJM9itJdiXm+eAZc3j3kvp91hLJS7cZKcv9efKCAnBONzC8Smz
sTAVjEfTVLEvSv9H3bbBVcl8GEF9o71wBs8thbyizt2MNKFjn9wxLoL91SJ1BaV29H8AvLcjSBPv
5Thol2qK0++3PRVksk1NGFVhou7La6Wq1GDmKVhXzZrvGM8Yfw71NIRMMtx3lV9d4syd3p4st1F3
0ZEB2Yg65smTGVKldeEHYzxrOUhK1z84P6kVMC2YsLYtvwejvgtf7vRK2xblOiFjs7eqMDhJWXNn
7KXXgt/0mYjemppTHkeESp4GmMR7sg0npiPUXmeq979kyzw9/vaWJZ3hK1JLWTzzycEfUyZuw1LL
uF4GeZDlvm3fWXWq3taZ78TMZVswJe2lhz6zh+Dtc0Q2E1YPTtXLDzsqUn8WkXE5FAx1XFNbI3JX
90c65KANXn/Ec5914+rb/qaWy2Z6uVivgI6Qm8nYQZkxCmp3um+HTLxNjCXbyx40mta1+oXPapzZ
uwbv1WND6ZiCnIqbV7mX6mnZSfDqg3lv0uNlROO78msl2+DYj9P03svW8rqQwnygHqw+0EG24h4+
b49vDnO1JKhz2liQOuKkTazQwGX8UvZ89rcEwrbpDAJCPd3yMxU99tIF0GUd+l4v/TVklzjHodLE
cXCd6tvr3+JnsvPXxHLb7h6MGPjqIB30X9I7AaRxWGYVZ5DIoC7O3pMM1Pg4tcq6z03axGaa5O8D
Qf+36ufmBrvVfAftKbkp80ocR6+dgv2FX2rb5L/8UhSmNpqS6MucqssMNEnNDAX2uOzc+oa2Xb33
8EY/emle7jqxrFErpHMn9LWLnaoF/81Hj3uFZDuOrO2FfPHcfsW1xif1Rl3CPtXuAfmfJq3JiHqd
svoGwLncd9If31BffS271GNGNfcXtuu5NdGIIB1GZJYAdhK5EOvUV21KZQylqAAxY47bKEt6D8Xi
j2XI8I92RJ3Y3oVgcnZdLAc2jUtgDaeOagZT9DWjTYexueUyf5DNJjyrcCplGpPBs9V0lMvK3r7w
yc+uiyzidvHB/D794q3M5lw5jYx1s7KOXlG6LlBkWdwk0MR3Y7sYDFVgoV24irbXeLrROG1ENQS1
kX480WyYgAQr04IigtTm+JTns9iZynWeXt/PZ0IKHkHwzDnTKE2eCg+AP60cGawidoe2iANkiq7g
EwDCEOkPeM5jJMzZjMgWLKRalXUhvzvzak0+JD6ftgHc7zQVIXVYhtLI2EpV4d4ULnB7H3unA0mr
iGVjAv/rxSWFnTP3GIvSjiFR2GjvJ/uX4IZQbUAYU4oZtLeUBOyFpnzpJXnkOdP4+2cUbSRzi9sY
M+unYdMXm2Cz68vYrhbtRrhieMhAA7d7HVJlHumVTPdL4C1vX/+y594t7R2yPF6siVvzy1AmoVo4
IPBlrKlVHpbWqI/S6fQYWq7/1gTjDrNwWB7+F4vadDs2J6MtnX65aFeLXK8cgrVbZu3NbNM3H3xH
+5Z23XzQG/Me/92lvHBSzmQIZAZsYZP3aKLg/3LRJSk8t7ITGbdJLWiSW+pRLj4kXCsY4K6+/oRn
8nacMSA7s2s3P6HTdESa5qjGiRxsgYxswTu7dqbVetSYg4YSundkofG9l+U6fHx95V9aicRDBql4
zG5KW5sz7svn1JuVqL8E4JFoHjDfWPr7niHmD0gbyz7rLAxUrW5wvvld0kF2B9cMGEQz9esKb/An
pjnTTWdOTbYDFQXH4PXf7typIlJzsOhyUlecfARnnHSNm5u46AN282UL8h9MxB2TdT1M0vF3pQB/
vgya37RwSdMw23j5MpbMN7y+p4rJAFiGjkTuwKSTechNaf5+ANiUhQGbYtqmY0DzcilmTZbIIJLF
Cbj0A1nwnw2n/MAFQzkTDM6bwKzL+PdfJ5a5COUhwY+Lz8lBggvXugC/VYwZOO0Do1FvprxZ4iAB
mGJjG/fu9fXO3RaI8vmBRX7nYyj18hn9Rl/bcWnGeLQT/ThnyoB0L+QTtEkDWr6R8A2N6UKGd27P
oISKDwwSmZvK4stFxzxDXBEaQkxX3IrcoAeYVuXaDlyhtkkYWBc+5JmLwgJVbFt8TrxETtfrfC5g
ptZT7Cxpedc5+fBhMO3lQIet/PT6+zzzaHTVkY7j+WgAu9vP/9Llcla6n+taTEwxQW96fu9BP3Yh
LmoKwDhK8+uFrOzMgjbsbGI4o8JNC/Dlgk1rQ1qBXxGXfZrsG3d6ru3cPGK6BqoZYPeF/XnmVSK/
iTIwA2I0KE4LJebwirGxPsWCOysGGFgegEXYINLdS6rjP1XgTjKhLQ3CSw1ZMPrLJ/eem4E8c/N5
jmWRLUfHQu2gzzX1gGmxsXMnKShI9eZtroR+LTooOY4I1jf6pNLPORLaX2GD2ygjWMNx3PxcPMtJ
HtNkUPc+ZeA1+6E4NvBejmlayktyZj9l5X755beylTak86tT1mpYmHECn4udQbQgjBK4W445OzeY
3TUfWoAgJLHLnH4MCMdXbZ+jUwLSSHuWVpvDI0FIQOxe35tnQhjzAcZsBqmOxwDs5VbRtRYh1YGt
YrhSA6tU+5ta04iKC4AwpC3K46oFAlJma1048OdWpltPa5vpBMpGp7eMo3CNz9I5LnTvO34VNvn6
Ku9hojuxIc3qgyvGPJxEoC4kmme2K0MRRlBUbGxX03z5yCmEsUZ2xhyjpp6BTnPLELdBK3Z6fPNe
f7tnblJ0urd16I6jh3LyjJasUotoOKP1kGzYfnuqDwB95rBTM9jIZR2OXm+OFx7wzPHfbhocLMgL
dPO0q74YjhrKFkJ8t6CIogOoBeqNzMdxneaGGwBJkC56/UF/eafsZvJLZ5tW0OA7LVBADrTG7KuF
05eLe2FkzcFs7ekAEvPSDPHcUmxYlC1IYvxfTO26ohrdwkM/Y8NsXkPXy8Ny9IEp0eO+kMecWwpl
Kosv6LsOicXLndIY3VL4rrbEUIjp2deDrSIHzEsGymmqLuyVLYq/uBwQHaRVic46LVdwuycn0Yda
A5AWuYUctPU9AO7ChTbXItzy+qf65dyxDmXW5jOio+l+akkJoWGC9GIi67Dg4ItQc3qdOx1mSBDG
YM/gHZwp5V4HMzjn11f+5TRssoouiTIXOIXIT2nMv8RBtwxQMtg66hBf+6NUoosF/MydVNqypze+
fNCNatq/vuiZb+jQv7M2NVrqglNrrQyJPeiuBhAmwHDIb5j5u2ahqedJoLb/m6UsrAy2hyNzerld
XJhzBhjIDS0lsb91BPN85OsA2AfePwd2//lt/q/0uX37z30h/vHf/Plb2y0ohGXy5I//eNM9N49y
eH6Wd1+6/97+6b//6st/+I+7/NvQivaHPP1bL/4R//+/1t99kV9e/AFCBSyjB/U8LO+eBTygnwvw
m25/8//1h//x/PN/Qav9+e9/fGtVI7f/Lc3b5o9//ejq+9//cLjN/vOv//2/fnb/peafRerrl9O/
/fxFyL//AS/8bwYFEcUY3Vquvy36Ts8/f+Tbf2MgDfkWc0vPZR7GQW7aQWZ//8O0/gYewdwUWXGt
Y5bLRxOt2n5kBH9jVs8UG7iwTkvW+uP//lovvs//fK//QIDobZs3Uvz9j5enG4wB/xMNMhv8ERgQ
speXe6PtpSyFlCPTRpx8BhTZdnlmrhei+cvN/s9V2NAIlyIcCcjpJN50Ggr5k1uNB63Dambu2zIy
wUnSDrMuWVldWuokikJsndBIrMcDrk3fKLkQhUGDL0qHUr8AZNhu2f+5GH8+FLkzdFJ909/8ZXjr
oztjV3SdDm2rpTsD8bhbuDACtR2ZdYcRFOWhhva+p3YSn6ZgsNhB/95h//qUFz4dqBhze6seKI7T
T2fAoQgqbVIHV5moImlIqiGd93vjsX8+JSZkG/6Ih2WQ9HKDiC4DI1JC+kHBRLtZiz6/RoiC0kci
/vP7D4T3JfsQBUWG7ifluTHVvrbqjTqIefQPyMcxKOCevBBnzux4kjs2I95gxJNTn9IGFaPU9xJ5
MPUEl2Vbeo9mgBr6bz/LJrKHmRPUYRAKJ9tQeRPQfYY0h86HxbZA4H5AZmu+sMrLmPnz4/BdAIZx
PzCjPRUibqUJP28ywQuazXDV034modL9qwo64jVmVV6kvCzY1bmeXlj53FuksbR5RuiUjqcxUy80
r5aNlAeUuVSktXYXT7m7XIjMvx5mQiR9R5JGflnztGvmrXpL1mF2hyYx2qide+0WmgNyS/06XKhN
zy2F+zY9SJMalez05T5H3WLRRTd3h96oUQoxlXdVt+5w33tO81vxePtqWD/q7D6SDVJSZ/tV/pJv
yGbM7LXOO7a47u0agVxxq5nFHn6+9tuf6eVSW0r+l6WsHqKnrCuWkgLPVbt0bua0vvRAv26Gl6uc
BJFx1FTXDVp7qAlX6CDZxl3epuXx9SN17gv97G/x+mjf2Sc3UV4XOD+lKc+yppTYGbSKQHNybK7q
/EK8OvtAWyvtn0ud3kRjAh1WpDxQsng+ClPOesBn8vn/63lOg6KrLGTrV0iRsC38A+KPXphNKEYJ
Acz79aVeVl7/2nGb2alO1YcFxHaP/GUb0JNJFiZB7QHpmuGQyhpZdF3W+9yvv3Eb/h/SzmxXbhtr
21ckQPNwqqqS9mBv20nsdHIieIg1D9QsXf3/cP+NDy6VUMJOHwRwtwGzSJGLi2u9w9v8D/47nHzC
0qamKLkV/kxiZc1616nDwkmVQOkTlHoUJ3/zR3JJm9HnJYHC2HTr6YDollOVpYPwe9J/GWa4Qo1n
vi1NZyqy7Md9Qe7MtuWqvl65us/0NEKRIqRjKUU/kv4HxEcRIJ+Egu79r3Sz617HAsf8Wps2t/Uq
biv6pC5jIcY5f42kDL8Bj7o+GEaTx/EqcWEcgMtgwelFYBK2Oa61hfhcAl0gVN08eVFsL32HAeJ0
mXKrfLe2lHE1O5nfK8Yk3oki1z/kSDr9OQzVijCr4sIYNpL1vYPjGgnHnD1zA3S/I6PbHNhR3exa
+TtZdMSHqBjAYLxe+wjFAivt0wJ0+uBBmYmsF4hFIlRi+rZqNr45/wDgizYsW4lHHVL0mwBj6ulY
IbZQhKCevizqhN2k6sxv3bUMglIEbVpe0yaF7OtJ5WsVWbkqijCPijZwSkHJ3hqHg6XbqOm/7lt5
ZWJKivQgdZ5N4C/EYKjKoIAi5DN9bbAyX842kqQ6FGT0ppHfaMZTM7XqqVrL+T9Aqr1Q8D7/g0iO
wIfeNb8jqaQjxymcd6XBQqDkMk65X47dSlFOr4MJvjwMpXlsPr31HNC9kkwIUKykntusRjdQ6+AS
yUM0W12/HPr6oVUWN7g/yk3uRA8I/xA8EnVPlS+z6w+hxB4UTDHkIfYW0V9Lk2mnGoODYBnt9Lkd
2/ZdNC3/oInX/35/4I3Vhvw2jEyLhpOuggre5oYGOGsF5EwWOvC/ZoqbmfE7uo7W17ppl/Q0DY6D
cJ1tzJ+WDALXWTSLyE8NPN71XeN6HLuo77y/89kVf8eJvaBIaHW4gx3Eidvjx9uC/A5wqs0DdKvu
PlilNs0gRkLEfPAjLbK/LbD3WPSUsMjXw6LW3vfAPFcl2aPRD87o+nsUHqz4FvpoiDKbcSorC4CT
fHqgVZBGoZ035t9DjvlTs9jV5/tf5DbwgpxEXBfjJ9hMN5j7RG+zpUuGLJwjG7XQpLdPNKvz8P4o
mzL763fn2eHQdSbA8+TexN0qrW1EBNEHElnbonWgagtSiuX8W4cgz5OTtsbTsmjJ5zVJohN6L+bj
BF0b+AZstEcAJ95BQrUzbVnkpi8Jf5UiwOZuS+tVA7xtp2FXqrDQAHmeWoSwDrbR3iggSHXarhIf
tS1rt+syA/RChXpIlPkSI4p10eiK/I+jbO4KfNCWoeG6CKfFKS8597mPWrxyEDP2ji4nV6L8qBYS
wDepe1QDkkZ+IgmXsfxAQ9L4HeX+Fim+xEIgOHHE0J0aipW23yh2+keBWeLJrPG7CNzMVh9T6IkV
f/T0HzqH6mczO6l7vr/N9tYbnAp1JQIoTfjNBdPXqaIhcIXo6zAt+Pm560ezMLLL/VHkRK9zCN3A
jIGtjIA8T/bNKLlY0S8EZB2meTk9WZ4QqAcMCfYX+njwaW/TFcgGuqtJCyYZHDZDJVMByM6lJUJ1
5eecOR+61Mz8onc+N00UZK7+7f7UNmQgeU5BpzsAOgHEUB1z5Ar/ki3TtR/xQKiSUOlFHiI9s8Q+
JL3+DPa5+6Bp6xQqrd0/z5mKtpoVV0FTG/gWpGRJ93/K7SpL7DUMM7D5Jino5hbX9FpdvDzF8nos
1j9sl14i4tlSJswuD4LBbbS/HmoTnOoV7Y2Mbneok1YHjlfmD5Y2LOGcevE7zMbN/3E8eR38ssia
2Y2qQHUuVGEFBHbdGIhe5fMJUN3sQyU86qvL5O16w/JVZW4HEJF2xraNkZHr9B5eMyF609qDyFWz
QOaT+vZJSvK8R/kqP00OkulR1Lt/FVmk/bz/Lfe2FUsMHpG7BpSVtd3HRg7ZXGMfx0IXn9ppqL84
VKZPQxQZzxNf+SKcsgiLxcyfvFhEFzjRXu43R224vU0Fov6V+kF9attoSeYaSRaM1MN5Qtyi5did
hnFAp9ku1INYtDsU0DGOFIVSCm7XHzmaEYmO6zgJ29bKT7hSohe1IBpa6Chu3F/evf1LkwpSAO0j
2tib1e3rjD4fkPNQqEnyZCTzdClbK7pkWGH6S4IS3/3xbsOsRBLBLAeLR496m8Tl0AM8kRpxiKlB
/Vy1o/ZTdarqoCp1G/sYhZyBKjPYE13bnBIxZ03fCTUO1Toa/8SXQPeH2NAC3RmTE14w7rlps6OS
7+7U2KEkBxawS3sTCmJqjaSaVRwW6Hr+vtbD9CnRjOkgAOykQ4BAVPUV7UI2u4XzKAo67YWSxeFa
mOWnfM2X7zFh4QlV9egFmx/nqYOjdzErvaE+llX4fTnzR5rLqCvX1XqwfzZI7teoT++RQgLnk1Lq
Nv9MxEoAyUqWGsGjDzkZ3JcqWRVu0E6cPHw7flORiGt9zLPFP3WmoXFVLqgcoTn/vtHj+BFlV8QD
377L0OV9pW3zRpFNqF+jZKlqiLkpIg7bxjP+UdVqRLJ4nIqDYTYWnf+dvA1xAt9TWRzYjLNMxtJh
qR6HA/vhW603SE+3bfPslav13Ax2/bh4bfLoxZ1yAa3TfFoRkzjKFPd/BUoXEj9Nk2ZbmmcveEPk
KEpgLNn6n2pqMQCoqwGJKPTIxNC7lIC9HFuPLHtZU6fyy9Sr//PmFafkIGG3lMl4D2xWYnQIWZhL
KkGpOvknxVWti+vl7cHml//K5jaigUdohVcr3Wg251oeO/QhJyWI1/6L0s/d+1Rq/AtrJn55Bw/O
vcE4XrKxLq/ArcMzZDRjzcdeCeYMi2yepM6FfML6CFXCfSbq57+9fQnpesD/ceANIDVwvWkTL3Ot
oRiYHHqY50nL0b1MnfyAG7oTpYB2UCcA9Ejnfusqiz8NidPQKgHCQ4Xf2BjNZdF8VK7ZCcCMwvNX
QhIsGq7Xc6HJkaytYJSxtbKPCM2XF6+TZ1+NkSysxfRMhzs9mJr8+tvd8eugm4cZOuT4Fq68XrJ+
Nd/3zdQ/i37xwrGrzW8OYmoPnesiQd5ETvDmTwfxHOkqLKUlNnpTAstRtZ0Rm1UCD0+dUB2J+isG
weH9UXbSAjajRw3SYDDXkH//S+6XYkcyWe3sIaqNguAMQeRk1R7ilCk8zftD7ewSSVK2aZPRMiC2
Xw81Ri3QjaT1giQZ3c/uJNbntumnx/ujyEb99ouRVlrk6vItxB+vh9H7Wm3XtvACuzXmYEaEprxo
EZqRVTqr3xFoqoI1U9MfdoYWJNLZY/y9NgftRV/VPATpNSJxmMcfu8HAe0lD20/zGwLhqRvX5n1S
We55GYbpAPS/4XS9Rn3wQ0DSHXBuvOQ2i6PyqIkgFHiBlRfNi1lM6JsABmzdFDWaoSwfMmVIUPMD
1fQbFiPm6Htqkn7PlTr/Tc+t6GOyOMib9ZqKD07BJ29826yNCqfQeIg/3l/jnU0jU2dZjaLcTy/j
eolF7g02Vg1uoIyVdsEaMkXJX0H5sEUW+n8aatt2VCco+20/u4HbpfMHronuUddnpOvwWjr4Bgez
2jYxlnFCs7fu3SDJ3e6PCuF/2Du9iwTtcASw2h0KHpYK2kl2gjZheajzOPPoDgeD2rYDMPwsGU5I
WXq/RW5pX+4v4c65g3hFT5qGqsR0bbaWQsUH8H/rBr3Vr2hZuOvFm1Ct/zejOGTh8s6msH69JwqG
X7KWPUHlHquuqlP8JqnKgxiyd7gpR//fKJudl7vWqs4Fep7GKMQXMQu63pFivrMpvvpZqUhB3Ta1
TupglwiKI7j49qjsQhmh00XQxH1VXvC/xMvJKbTIVDu2PnZbPmbgix8t05Gsze4nA1Vv0/My2SKb
xVxXL9fSvGHXa6kW8r8SVrSMH/7FJyMv8MDbAbN9BVL/Mhd3yRZc0yo3oED+M5kFQrWVGA/aH7tb
nUe27H7wSNtyugcKOLw12eop0iIvSaIUXybFtcKuiY7KbUdDbe7qui3dNrY5wCLvy2cotF7Ym9N6
ymZk/u4v3d5QwMHkxcmziXN1vQ10G9o/gB9pvxUjT9pn3dO8VClm4f2Rs+veXqAzQQ7gkKXeUMc7
Gm7UNTm+taraZG94WpNxHAkP7SRXsOoQoIBCS69qSxZCK7HPqxERuHQarSeB7PxTAVLtASkww091
t30eq6T58/4q7g5Kdg+kCW0BQDrXqzgOmlKNGLIG2Tg1F9n9grBiTs91368fKBn3tBmM9CDMy390
k9G5QK1B7Fk85hj3etCm9ZzRXdj1DdTMl3KacMtzFcm+HVBpT6DG35/kzvfDx0OW9qnsI/Es//6X
U4ZT4dqgqkz4rdvqPKR9fbbqSRyE352lpAYO3R/koISTbzakCSloUUdGwclhvEyx6p4r3hMIRY7a
MwaVui+84ehy3quj0auh6ozSDdWXbUpeN+gLDqPjUHWlYHkSit590hGPrgN7qNy/hoIYaTZG9THu
GhtzKdlNm+BBPSOdrL/cX+edIwmGDIA0YExS5m3MNNQBnhM+wgFi1ekZU9X2pKqRCEzP+zefFAUw
+KaA/TwKXdef1ASb2eaAe4Mmb9NP44QaFf447uP9Ce1tHDgI5OUqDFOeodej2Bhfqh2xJ+gdtueg
ZuUZzkpycKPujiLF9cjjqERue6/xAGUkyhilcSj0Zs7wdW3HKnz7VGxI8LxkaObT6LqeSu6MaoPy
ixOkXbZKkRLXby3zzQgr+THgh0mwi3w6bxbM9UBuF8XkBBA52xPSrK4/ucnbuCGvmTp8SaIktUBP
tquv52JoStHaSSetYhf3YVJi7SlSkvITFIEjCYW9Lc3TD0yQbNrdoOHXuEIIG6/wQApYnO3YTi8K
j4+gSlTz4AvtDeWqlCXoCplwJDcZaZ5oo7POsRMAVGgQEO/Lh0ZzynOs4NBwfzPsRg2KNWQeBCtS
083x0TT8BQfQHYHWWo9pruQ+Wpso5Cb/cZQeHdjY+Vx57nASFS5GU6f/PfXi2/3fsDtdwCVsFGj6
NJqvP2I0pVGe0wIMkPGpMIZBUq/MTWT2hPc2Yan/v19If5BCgfuiIc15PZQ1u31eqosddLgVP8e1
pZ8bDPIw+NRwu0Gn258xgrkARR8/uaKL/8X1w9UqNTEkev210PfL9RN7CJFy9BDidgvTd8yqP43E
yoPr5/aberDGib3yRoX0qm8S81rxqiUdhR1grWn6U5VGlQ9LwPmhaEJ/tlbNPDddZF+QDag/D5M5
BljNdB/NbNXng99yE9H4KQRNEDKAlqRe0vWCr0LT8Rof7KB31fIZC6HiyR7VP+9voFfi9lUaIZVN
4FXDmZdVhm0/cGog44zA2RHzqSE1rWLQ0DRuS1CX6jjMgYtX5Y/IwHTiSaiKBp8Lm9AX5AMbBwHl
BBnjyUy1GYGvupzDsVe9MRytrvqJfHeOLcXsYF3YYivwrA6FQCdjwVcG42Fd/ex0dOsuozbVpl9Z
GlYrqKTlB7ePDJa/zk8qoMrCK+voAVfcZrjxgqOdK0a8hFxRv0dEvcSpG8MgduuqPjRjLz6rma78
c39Zt+fydVRqQx6wE/B1W3RkY8V5qSN7HtqtwEQ0L+Kz3Y8qVsJdd7k/lIzTmwnSw+Yyopj/em1c
bxOIFpHlctcBASm9YESw/yPOic5pjnXlY9KYapDHGFH2q5sfsBW2S0sxlHTJIfsk3HIryr//5Uh6
CXIrerWOwALM5Sfl2B+riuBi2UJ5ym03fpjXbv56f7bbhX0dk4Lzq5AX6geb85k4S9XqI5/TLFr9
vMJw9NUEqjiouuUgvm8TbApvyFaAZSS4EuCNzVDQ4JTYqGyB8R/ZWKExtaFWOf8AHX3FrryD5ZT/
3q8fUo5HBZ+taiIgRB3/ejn1tMbdYhxEOMORDetZXx9xoROzj8vSjJU7wtx0zu3HmXv7mc46Xsb3
13YbcF5/AG9AiOm0BqmMXf8A4WWFG9mFCJceYX7f4oLzS3XGLfT+OLf7htuDfoTUDJaN603m4Q4w
HYm8Tei5aYyofaWP32d7lEyDukofXQ3VlRL4aHh/2Nutw7CU2yUJimt7q4xoRuh22HRiQryy/y5c
N8MiR/yBvfkRNWlnHakSwbOiMkZRbPshjcad8Bxd6nAmpX4shV37S6wsD2+eDl4xoFhlE5xXy6aN
sMaTajdjW4eUeaY/JyNSHsm9qzOmeih03B/rdkawydB7Yz6wJwC1Xe+MVctbL1qyKsTEEDdPp9N8
6jDF+f4otwcOqJ5OVZ3smsL6tleHhpqaUj8oQxEPuM1rPQ6XthFOJlL1nRK1b97uDCebWHwq9vx2
u89Z2+QVj7xQqTFmBisUBzhqHSGAdybFm9UiUhmcLKL0zdJhnZhYdTjY+Z9ojhunLMcQpS8zf1L0
8WAJdz4UHxm/ciQBZQZsXI8GtdGxyMzqEKe/9ZPR10sweepb0bTygYW8J4gmyYIG3nw9iokx/KgJ
rQ5xrTDfTYU2fzFqVRx8n9vzyigUA+DrwxMjBl+PUizV0mLTBsNgVaMA4hPVeW00w7k0jrSR9paN
3iK4M15CBoqN10NlqiVyKK01Yg7t4KvA/mjPD+sbU1i5bOxucCs6+BV7m4oo1K+tYi5gZ0yTdtIb
9InyRDnqt+1tOBSnwdiSJntgk67n4mH87FQNVm+4prn/SZZOuwyLZ19yb8xPrSOigwRrb+1e6Wjc
GpTltxDUYtDKXOhrFQ4ZzSrXUfC0SpR/cVjZCEA62NNUELf6Q/PQTHo1FVVYAym6VB0eLCpeTG/f
cvSBVImL4xSRxF2vHczquMV6rQ6TaUTbzqzKy8qygTPtvYOhbpAJ7AYejggeU3pEZ36L+2yKPi0V
tGtDirO972Yu2GTjT1q03xAI/1kW43MyVL/Xi/fcpEciyDvfTF4dAHUZXPIwr+c5tbhGU1yoQ2+I
F8x/R0xlHMTa78fznQPMPw8oGVAnfMIbUXvCYheZNaPUHThgvDIDHJg+pW57FPZuUyfq/hZKdVBW
UT/eIqfQMrcVOBCYwWHzFURisHwcfocwKnATMtZYP9XAOh5Ae8a/icLsDq7iveWklU+jA24mzOxN
+IDJ6zRiSOvQqb3l1Cq6hThi2h8s587BpvnAFQwEF0eH7X1FolGq1gg5Kemt7mO2KmC7U2lJO0+5
gcViro4HI94makjBUF2GJQlrjWfU9TbJtbJS8BGpwqJbxDPvQ15/CBe9b7EkSfwVkrAPrkAcqZHu
Hg2kFsm52TY8njbb05rjrlIihDWmeaUvNaTK57it8ie31c3vc23iTTkkxsc+rdonnUzxCw72R33A
nblbgOO4DkgWaTvKr/HL4wbzrEkbVK8Mtd5TnjKUVN6bKuXuzuqhjWb6+B4gwFuhBcQEoHnydkBr
nfC9ybPgufft1JABtQDGHpYcNRMHZ8O3b1cUjEi9CdgkCTdYCaK1a5V6GapiiT+tCR5NCpWFy/3T
L++Z6+eMSxmF5IC9Kr/j5vmUOE41VAUqMBFOqR/qtdE/QFOtznPXJ+eogWqZCQxhMX+Mz/dH3ok7
6IrwtmAD8S7eQkT7ctAzo8Wrvmx0gUdmgsEeRjrBqqtHzgM3ED/5xSg4o2SNVCYfbTNL/l8wQ1NT
hoptf9ea6p2FIWSfeuesaD/q/fiAM6xHRuE+ikWccwXnXyN+aJv6z/tz3glBlKXJmSlEAmnYlr91
jKarnksL8nRLBMQVCOeefH37zoFlzGtfvqRAPW9eiAbGcpQy1iIUppaSLRtWENvdEcR3J9CxmLw4
JLSZAvhmTdUZb9CuBLdsDjX+llWhPCpAzZKoiH3HVd7aCucTSvIcO5XsgiRmk6Eb0awNfePkYdpi
1FGIqv3LHKf1oK2zE0/kCwqyCjcuolibO6J0MCo2tDwPLS+f/05mHU/JdWzxYc+8p0KM2lOGys8R
/3MjnijxQzRcieLAJTiHZBvXYSxZvaxK4GqEwFBrPIaHvAhLWDoY7to9xsPxdInKRceAudTO8BBo
NSttEUydSY/WcotT3KxGaEXiv7IuV6ouv0pN3GB1+WVcZfR65bNb9jmuf9miFNzYCclVbdQjBlN4
6OUYcQL38d65ZvYSRWka6Gr8wUnKd1k1vZTC1f3Mmn+8+eSA86BISHZJ1rzFWWVtZY6WgJOm2L32
NHSeCJZlGA+i4c75lI9MKXzEHuAuvZ4tdcYZMV0lC00xdaCg7fYp6q3v96eyE/ggMcpPDQJaCsRc
D9JVhduYi52FEQi785wk6wmHkAyfweFgpJ0jSj+HjUyLksPzWkb/5XY0ZiC3a7ZkoT2v+SlOiW+d
E/P1yPzXP9c4P3oM3hTm2S5QpBCeJx3gD9v2Q4cBeTGmMN3cNUV71Jir2i9jJf196mMrbLy5OCtz
it904Xo4eC3JM97w2QlxwPIASrn3KVHKkRxijISolF2vssyUsB4vs1BTx/ay1qWCyVEzHcD0976l
lDsF8UrDHYzO9Sj4L8RFUqsZbNs6DoZyFGdc3wHtmZV6EJpuJ/RavaVsgAEC9cdNAMSc0pycqCxD
eFfKI96937rJVB8P9qZ8O13nA4yCkqG8lelsbydUicjwhiopwwZzjuU0LU0qPpkkcssFblnUnaqp
7qNLnswutvRj0wmf+1T/IFH04GKjaf1G7bdAmhm0uE5BiG7YOTHn9hN+Tt1M8Kibb1btxD/yBBox
+P4y6p9XuxuWs0euirsUEPsfc2+kf0xlOz8udYmymqq3H/Jsag1f0QwEE+loVGU4Ocsaw4nC9PVB
IQJ+UftuqsPOWtoTA3vnJdKMv4UB0AQVAqO8NLZQv6bRVPyjLKa6nNHcmg28njz1WyKURbugkRs9
mIqF6buOSeiKA6IDYlM349o3q9ZJDwLOThLNevPuIhRI+O22yrqoIst63YAVnjXrn2Pr2X9hRYrS
tKa0n5oy0d5rpelyf7f6E55Y0Vlz87d2Y0lj+Q0UDYHrkUlvHxC8Pwt9ySyuHHuNg1kfV39uLAzc
TeforbK3ieXGkjquRIqt0sEw5YPaeSgd6MJOLviv5mce4G9/6XlU6WmaI2gA8WurIek1hlUJry3C
JI+MBwurnZcCOt3B2d+bC8kkXHKpwkSH/vrsY2POkq4TxK2m/kMd4VBEUakctBtuAwxiMb8Msnnc
JfqSJvnCIHma0ePM3DzEvD050Tg/IjbtDsUrknYRpd0bzmEVr0Pt4EgZjrHaQQoTURABUvWHeekP
ZnV7MTErIL2vBV06FJuwuYLSWVS74AO1TfXUNahr+rjGqieMUprEL6r5iOhym9gxInc61Rz5ntqm
j1nUIoacMaIlOuO9Q8n/ZC2Tc27dWj9JQZYAae63F6oYlOKr5DqBddmmdXmeUcj0kiK0x3R6Gmsj
pRmbNlzCy1G3ZmczQiphw/OYoz28rcq78yQNub08XNJyel+Uuv01F47y9hIsLWjZAaNnStXS2FxC
TleCC2wNhrH06UXv6u6vHkfmg1to52NxoqR9DSGJu0j+/S95C68K8n/oI2FWF/jRNUJ7FCnmqyeo
1Nr7aUzt89g67gFUb3dURKYlRgQw/zb3hwk52ItY8jCGkRYI0xAnrZ+zFzvK1aCOzeyLvXpWeP/C
3ftuzJHuDw4r1DQ3tUzbhs1NVSoPEYAdH1Kvj3zh4CH9L0ZhV8h8U7I7NlGEpTS1rkYGeVpF/G5u
oqL0a2usDyKiPLab5EGj1fV/w8jJ/vLdlj6xzRnBvdDq3ezRJs91/Lkvv6Mlkwde2tlhkXmQG3BX
dp+MPjIPGmA7XxDTKnrAoPJ4/G6BX12lL1EioizEIK5/GRH2Os1mLE7zOOjnsTPbR6Us4y/313bn
iUQLkcIprzgUxEjor2eddkuZNUKgX2GNqbhw0XgvadM6PIU74+fkuu33sVWdZ9Kq0dfVbH5IFEUP
bZiN79Uyjw521E4YpwMIMgbRT7LxLdq/JHbqs9JkIXT2CTPLrLhgQq2eRWIkB+d0Z/OiQyjVTNi8
QHM30aB0o0UvZh5lZBW9nyUiv1TZcJQj7U0I+0QKxySkPGTk3/+yq8xUbdUItmUY5Qks7nVtMObM
3PeGNR21AXcnJLu15L88XrZPM6dGFVlYDIV5+9+x7VZPapockbz2dilwDEjE3IHSgvN6PsOcQHRx
9Sw0XDw9slmgi1wt8TszWZRTEtv2I3jPo5fZ3swoEZNxUYOnDb1JVrKorAePZUNQAOtEvHun3+ax
Fp/vn4Wde51eIJfsa4X0xrcVObPI1EsenI6VTh/yOG4/VlmEpslQef2pjwzrIOLsTQs/NWQvyPco
Ym52YLaIph/jlsKJVuNypphdoCxIMd+f1l6WzksSQTOWDijutvpQKGo5mvmYhV6BLaqaTPPjVGrp
O6MZ8o8x/lgykSkeQZKnX7tupd6WlGt9EMR3zgFLi64aqliUQbbiah2q9pW7xsQZdzW/eEqW+kJF
rKKNxiMaxc6ySudrujVMGhPOzZEbpmGaXZSzw6pWq69earI7O68631/WvVHIxuicGfDcbwTXM30C
u73kCMQo2t+iBJVpCNQJ7g+yt2rgPCQViYuBWuX1aaOsTJ2jStJwzmPlRFlvPFWavfgl9kUH89kd
inzPxluBtsj2+inXqbJbJORDLVH+EvEcndNJ/6goWfQvdgL1bN7pLJqstFzPiduvGRcHMZraseNT
vXTqxZjTxNeiN/NBeBtC2XktvdEMv9FgMVFZQUxBR/fGFNT/WvCrphK7l/sfaSdxQHCKcqtD011i
V68nlLXWWOrg/UKagEhFwJqI0sBpcru78E3ny7TYznKKQL+s/lRA7uAxrlgH3KGb4MXbR3o4yHsc
Huz2bSrxo33ccb4Qzqw/pGPWnUaQuz6ZonMuyyp6a5lejgfSXpZWJfdqE5K9XmuRuaqyEEpDGXjq
NPiu2ccH+//mkJFAkpSgpSrR45ROr5fWtFHS5cGdhpo3fRfKgA641kYHidcrq+8q85OjSO0EWaQH
eiTbTL/c0TQDKCGnIg0VagmNj+Y+gBAFibsi6Yzf3NTLX+wpi8662Sqhk2lDini9Xr53dKQF467L
y5OnjUOw4uviFwKl19bApWAGSRgUlqKc2xRT7gRDNeXkGGL5qCypfZDI3RxfOQfpaiOzOESPNyuF
q3nf6j0rZSJ93p2FqEyyZNdGz38moT0IFq9+LtdLBj2ZA0U/3KFjvGWzmKmZZ+DdUWPRdXQd4kVk
FzeiRPqE+L8bPXWORNwW7QyvIJrFj3Zd4hevnmrUahYMjNxIc58galc/EttQwnrR59LvYqt+n1bO
+II9e4yJWJS+r9fJAdI6VP6IYOCpMlbzse8zN6xGtX0oJ9N4FJHyFUj1EYf+du8xReQc4FBCuSLK
X++KVFNxLEgJ6WVdWC9L3mV+bjbpwTnaWLDQPcHADC1sgCAObAy4ktfD2JkRa0U2JGGkp54/rHqg
NvpviehBvXtfukF/Np3oI+p7hY+nQMCr+NEzi9GPKmkqv3ycq/GPaKSzMamT6rdTG4hiMPwFiZ7a
mA9KH7drIitSkphCggnqcHNSYHx7ikmnMTCrcRl9rHFK4UOzUA721200Yxz5AAA9Aqtzm7LEOTIZ
iBa4QRlhAJY6WfWtpuxf0qgvyt9WqrgHA+5NTHI66GwCBeO/66+Qd87cDlwNQeSNyqOX8e4y5qR4
a8InbQCJZpJTJ1vHmy1leSlsRJod8Bva6dEc+vQs1fX+zVwAipCgy2rAlgduG3W/NiVzyfoleR+r
YvKbMk8Pnk+3AYckCzCxfDaScW8JiYmr12M+QQvpRSPOtkj80a3/qUCnHExnZy/IbA50HsJmlCs3
B6Q34r5OOtcOqjhenidR8AQ3HN4eozV9Fot9dO73x+OukeBD4N+bmy01rb4UZFlBCbXn72lAXNMu
EX7qEdu8TLVmHUTuna0nWXigUbm34Z1vztSaV72GlpcduHqvP0eJlV2oGc3B/SRl93ORCgEShbmG
XPj1Boew7yFZJmdlAB1KAKQ8dMYyowtkH5Ho9xaQu4jAKWFuYJWuhzIWF7lBY4XfQvX3aV2F8WGc
6Xes76w2O7Kwul09KRmI9A+ddYLoFpbVp1ZdG1FqBK2+2H7StnyoSTEOUrzb1ZNtOFqqFEO57Lb2
ZnVm4TpmRHrgCu/bauNraVGnDVr4Jgd1vL35SL01smMehUDkrxevF2NBRND1oMXgG5S8NZzLuIje
HIiYD8hXetJ8Jq6361EWI1anODZ02tAZnmn5oH1WOm344617DgwQ7RkgaxRDIYFej+IhO5nU0aQH
zYLkIfozaZA1lvp7p1vRwVA7y8bdKcm14A80fJSvh1pNBJBrd9bJu8VjN5rW81A6R+J/u4PwcUD4
a+QE2702i0hFlphB7KJaqPY77lM6KUddptuSnMw62NGkHhJWsa2q4huLrmtZasHqVu0fbYLtlU+w
75NPikli/1GLpq7zc7XJIalFVaP6DZzq+LFeuxVxqVUaR622NR4FxtvpkwW9YgNBc0rywfUaq3HZ
TynEisCM7fyfAsQl/X9VHHSKb6MHZXOVSrbkvtL23xRFvHIpu8KqVBaZ/prrLkjLx8W7MRHNySqL
9uBk7w4Hl5PONHpWsH42k8p0aC5lrAYcmPWxakw9SG30mOIRp/BZLY+0WG8WURJwSADIbbg/Aetf
jzdGGJGblWkF5mh7Pnj+6qKu5pvhTYwCRpRbmacZVMNNFGnUFdG5wbWCbkl/mGPvnNpuMZEN6L8r
ilUevD335kSRgqcAhluUXTaHb27SrBOtagVzYxYnlOebS+wZxUHCcfOl5J7jjuSVTbPhBkAvoCmm
DV6wgZfYcTh7dAHMcZ0eu0Y6wJnJkfTmjeD8K+sWM1rO4quYxGYnpgNtmwGN1CATEZ3EZh37CM+Q
rmhPqzCBA5hm0ySUpnU03bu10C1ftPH0BQMOKzsjN1c3J2PU9eHkJlOvXYpaUwwuDlH3/jD1ILKL
qVmOmlwydF+9zGgd8HAByA4bhOb8ZkMPGZlUpuH/18bF/GcF6OKyVIr0r4XHhlaS+24GNnDwhL6N
Wa+joixMBUQySTcXyjC7q+rEvE/iNSle6mX0nj1EPp7dwh0fEoFlhJ/b9XS24kapWAPbDSgE1i9m
nUXfRkzHH+5fPTtbksIGeDRY01LAeXPMYvQdRjODpe9VifmyoBzkq8XSvfUaZdbSawF8q0xPtxGR
clmPpUyPKkZvLu/MqbGpYjn6248XEAvuA8yJcerc1vVbQ08R/cjNYMF442SNqF4PJjvs/ort7ZtX
T1yaLuCDtyumV2qORptrBJg51NGpdIv5rHmwpPzWXtoHnkTmIxW9N7d+ZekbdhmMGAeO1JZdPufO
ohUG+ZtCI9EHjABbt/fagyXcmZyr08MmwhMNCbzXUXeqzEEVg6oHplTz9jTGuSCwpp2jifvcTwmK
PsiE/sv9NZVhdnMWkT5gh4BKIqPeiv3ZS2GisbmQMGhz7A/LXPyRTbNz0ZrFpaQVDZfajdRPkbv8
vD/wTb5KUYbcUTaB+A8lzuv5Cs1Bq5zYQ1Y8YPc+lsNLjh794zLY2sFJu62eMRbCAPIFQ8xBuuJ6
rLwd0mYYFi2oUhWSdZs0BTarZses50bJzxElt++JmVln4NruhSb1cMFyMjNP5lrjHGjn7RPYjfWc
LU0bLITcpyJOsHpxetR9FRpm3lCnz4ID4ieLXp6GVGu6g6L0Tryg5wpAl5hB835LN/MQ5FL5NFrg
Wa39oMx5doromRycsd1RkA/RGUGSSDZL1ZWmSgGl1wLFbj+0XeR87KNMO9h08h/ZbDpuRxn5GYFr
YHP31x21zFkdtCBVVgJuOn7zmlJHYWx8XDqe6fd32u6USAcdGoIUArag8Co1kiHqGi3o8T3x1d5w
HvMVP6r7o7y6wm0nRXWdy5gwSCl/M6kKK6C2mBs1UCursk4wo9u/8BGjIkghxP2m5GXypU70LD3N
BtJtlBLnqQuKkRqlH2eDCiXS1bqfwpijxm9R+fzHcLr16xS1Y+7Pbp7ir5wnbXpSWtMq/h9139Vc
N46m/VdcfT30MoGhameqPoaTFI+Srb5hyZJMgAEgQYAg+ev3odqetuTe1vju2ypbpXjIQxIv3vCE
VAJizbbQ7sO+1fh66aCvHQcPpO3iOPO9GVJm+ADSrfAc2Op2XuHxhFU+/701RfQUY6j37KD8vRn9
yNxOymI+EDuefw+nhnpKwO4mn/xyAHUA9BflJDbYegC2uhHQa41f2lPaQtn2KqpHGw7CFhK4HLxO
cd0wU9+Xsp/K1PNbd0xHWywydbpo4itZplEJTnwm+T8iEYY0GrizGYsG3qdBCXxwYouIf3nn1vz0
uAE2i9iKfhP2WbCqXy//OGq6Bbgne4OqLMzdqemSyWId/KCm94SbfmZCoIhEmxSI/VVcGG4br49l
EzjxDku/bCjqoD5FybfsUbFzbLtty+R+ktVoQRyQVjprdBncwWuk++IK055oxgudzo1Bg9SvuXj8
5auw6jph9gKJIzyob57Paeq7SoCyBKhm76YxyJAZZodO4nb9e733n2M7tunV9wPwGsT3tyJZiH1l
LAldNrJwTA5xXH9j2ZEBXHB874L/vG3iUGvtjk1sxSK/yYC1rSwVCTJDabNAyen0RXd0Fn8GnNQv
rUvodcF1p5w9SFf9/eX8OaqgKQGxOMwJoTcBrNbrG00UaWjhT/NmNvFyqEXxNSbGficp+PlCAk+A
UcnqnwLE/NuypWxDEzqKz7h8U5AQx6IbpiDjvAzWezoPf3EoaL6ssBZM4jEvedPDDOA+NEZug/eD
dixSYaWhOSqiAe1F8h4l8udrt+biK1/fB7jlp3RRo0dhnKqbN0yMMi21H19QQ5unv79DWHI/L3xs
9muuv1JaQNN+fY+6BY60kxMPm0LAAnnXxwr+8K3vLHXuFfP0u0964K5tUXoiCVQc3I0sqmw8RCYA
arkfiiKjYmqcbCRt5SYQCbb8hCmvZ4njGIfmU9wRF7b3zeTnlEz9zRQvgqamYFMFbDfELHawWUSv
r2/jqd+UzQASP4Fmc86bYvbgz027Op0GtKkT7JaQkYG/QlWmrEDD8LxrW5jGzEsTVmlL3PJzP4+R
lXbRSKMs5l10Cvhe6e+CsgcKN5QCrt+1cW9srfsyGU1rIXsrqnLMx0C2dV6ULTsGQF+3mFSVkUpf
RPCzQtulnXjuFHkJ9Frkcyedosk8Zw66pC7c9nMfyOYGFIfmOEZl8NQX2roGmM+uYV3VOddh7zif
tKcj+MnLqNFwvhJoTfSDIAHw1K458xvHBdCaTPEF11IUSVyHFUnnWYTTZqB9A93n0FrEaQt1JYyj
FwEO0MgsXWJYGaGO7bsoZucoW1t7s4yOukTLfwBVZqH2bT9GDUvrzhtrSIUsbZssjLRFwjzIk2z7
oKMtmG9uUWUYozpXvpHMy03jDt2upVLfeYR6D5ghK4iarGB5JoPxPLAs2iRRiYhzW7BuOGF0cZe8
92NDVzKd8LZKdJynkV0HWRVNbZT4pPS/xrIICESDyAxInk9LD4Zqs3MxGmxPSc2MfQfbGl9ukL+V
cY4nRR4bYY0C9gMOnKacxVVoJwU0Vkk4V9Zu6DG4TaCBaRXYIZf5vh7qHhctshDjqLZmGI91A8rY
Me4Q/xjDFC6GM/pjVBD/i6UDBUGRNmSHBX/9ZSz7GXdGRsh1zVIPp2gsLd6mG0bvZhzjRiN/talC
xCxNnAbu5AbwJNP0K/eEf+oSwy4xcoX6hdVE7LJBFn8VlX2DdDoO+ZipPsKww66c7lEuBpZPOmwM
3po1FCJFODBQYdfeeBC0Jl9qoCkwE0TPFO+sjRc/L6ty/trJmly7ZgxCqNC7DoZ3KphNZkIUSCn8
ZdGshVsQRYAXkV52gCcNbVqo0r4cAwvc/gBIh9RtKfo8k6HFlLRRNAExVLHuqytI8Tskkvp7HoGW
mQyoJo8DBgVe6sYowUGEcOTZEFyEY3nas664MV1vfUWhOdRpP+qBp1CpDZ8NCBf3VaVdZyvjxp83
7ui17UkT+LjahlXyEawuwmHqRyO6cTWtWSKjsTrnQCZXaejP0UPX9+MzQ2fqiKtTgGaBh2hKbWjF
PouY6jAFM9/iiYHT6AN0+vXNPBu72wqIS+O7YTyqzGsdT6QaqtdFsnR1dYO2K2tSG3NBJ+FQI/gy
xOgR5TM8PUmm5wJPSN2Q4jP+jAEPp02Q1KWpaMpIH+YATAaoZ4gVXilrhtQeqeoo8ZxBXTZeB1Uz
uJCGeCwHugrdsxj3YOAh7RIPMN6T2LhFvy8g3T5usKTii6D0IziqTTMwBb4jZJkMgYthLINiYJig
pWhukEdC4Bq30FRIPh3vJBLBfOW1lZ2aygOb2dizf+iX2MFD69DIHAbXdKADo3RUKYRoyzbBGzQw
1guD4cQiATsWgZp4VvOGwHxmtP3rghbtMaD9EOAWCge+Z4FydgTDkksRB2BMhRgwITeF3k+fDz58
GaxYcQAHNTtdIBp70/uus2yCsCP9gcOar08HNkKWeB7iJU7ZWNPT1eoGz4ZvgmkjsNzGzTIpwbej
rjqOJiCP+K7u5Ai4DWuBlZ3E8LnB9GNIKaax26gofUTcjkP7vh0MOY20BI+9cXvn3AY6LEhNW+kz
px8ghNbCJHIL20+EUQ73QXaAf3SpYMpCjbMlwYig2YNhcyPrqnmkrmXKLWHRVG7UWHG2baD4hSIS
RYG3ZcTESPA7ithUlaz7HQeY0O6lyO3A2Y2da7iF1JjkSwtplEQay4H4teY6hXa9+2lp4a26ldAM
tXcww3VpQnAXa9wYBm7SFLcTSTxdRCIBJ1R9biNmQ9+hskEq4qG/fIadNxzhlla5x8itm72nAZRI
mOnFlHgeZAvyKizZsCsQje3MLXVoQYZOhNcl1NKDJHZ6eSax6MJDGHaWDT11v2kSt+LNc8O0hLoZ
pJXugRSQJwJ6twUwao5E+7cLUcTMSzdfFvFijbDO4S2CuCzIlIRVBb55Zfkctxn63ftmKkgiUEpt
dR/a6VKqU9C1hsvRWASbERLhKnFhjjZsSNeNuASQyYBHWrn6eWKYri99NpVVApRceT8Qq9UpkSOI
AxjlVQdbk+5JoDWJ6pdoUiWVb6M8QRFhdVlTcZQQxTz3TlJ2gWDZPIfWqW6hiYpmFKH3nq+Cs2Xu
DdsiUnpT1lkuNjTqVFYSxhUMJXXr9wiYfTVdEl0N960oGpF6ImQzgimpQTIzTldkC/AtdSKMIWOG
BdPEedmO6mHB2GYLCe45OhjK6l0vsXdkVYgM/6EmdbDkrDals6fcor+H9uh3mUeJW2XKKWHVNrXO
Vk1MbAbWgbPme3XvpHzu2lNcywpFLBODSNlilV3qQuDvfGlA0/3izxMa07pWwU0nifdM4wDM4GBo
jJ03KoJ+Pseb1UnlYL9O7EgiPCgRDBe1lP2z6rHTbaHACKSbNxQzKmOE3eG5NDrCtmSjn80Le/7k
eFP7PC6Oi/Sgl7N/U4+WeVTyiTYbp2qXJ5hWR/dTs3BkdB265lOhgGpxAb+IEmsMgz7DfSMYG8NE
89jrSD0q3YyfBDTAm6QH1/mOTeH4hOIO6V0XOJ1JZndAeudDWrG5XvOTI9WzRbdjQ6GbGcMpbEzA
hACPRRKlTQrlkImmy7SAm2THbLyR0g0/dRFRn+uIDfocugj8EYzpOkijwQll0haWPA+ngX0liruf
Xc/vkGH7RfEVgQ178+D66FnBcbYtE7wOv9I+d25ruw2vx362ASBqLajXAzHR9NmEMGdlWI1NvEca
FUx5LZxpHyx4nIA+Xp+eGvQKSLRQMG2jUoVHOI3VTTLRjoJ1CmWxoy0ar8yMpfh9V9TkuQaPEUl0
Nca3FnGpB+kD0j4PRWxdcDnzs8o4U85Gp55z7sh2NXpg+qFtRf849wpUtrYouuXGgMmHR4JN9FqY
GEl7WNZOCHNHECyTsYAKI95DPYNIzUV9iwtWj4cRcjJ3VFisARFEWN350kvHykYbjd0sRLzvEvT7
sCFVNSPhtnMc9HshRlGSrCmVy1DlDW11YZtgFrcDQ9BIB+n5S1ZPNiCiiATqCOF12aU8DmeVtHhU
z7mU9nFurAAuHLZBeEPqxeekQwe5TRwKP9kk0lU8J3UMtcQEw0tS7twYFniwxpskSzAI73Req6i8
g7lu/CQwmwPaMJzokihgBq/rPoBjkAps6/cWbi0LUumGXhkXu2jCGNp4k/SLJXEp0EXJJEohEqvA
7cRy5CU/EOVMFJ4ao3feogp1t0Og2ddJcY22hFsXWVxNbQhq3LTWHpXnqBSOGp1OJYRIrYOBVxeD
kkVEb6qwGX3Ev9ma7uB2PI+7OFrUnLcooWEdaQc9BvnwY8U2E7sWQec30N0mKBbGdz14EKeuVGrO
aq9Cm31p4npTMFcMUN/zyNfVkRq5qOER2QstpicAVMPu0PpeKZPBCgv0tdyyTWvQMz57nsBKqlWI
jURIPQ0XLvyN210pdROn0hBWZ860THfcU/qhAHSzTGs90iF1jeoeWMxkmQLZGT7yaoFFrOZ8CZKo
wf1LGSy/SeJbSn5SNoaKgJi10UMjNDQKwcFFs65tSXkKmfreym0VOFXuDR2FCR52Zi+ZAKcvsyao
7DKzlnLE5VnYKmpY1ku7Hd0WTA83HCsGDxfon2yDsIGGhwk0utVlJTxzDrENbi7HIQxurRB6O6lj
FKK2bbNwNypPD4ldRGj5QXAXKn/g1czA2aKJmJJy7O1dPzSee9/AWEWfW8PQRSm0nfgZncte7ON6
puct8oQg0TX3eYI6VN1Dq0hdSgd27cm0CFKlsYVkNMXKBs1vIa4uUo46QyBhwQA+ifq5QtpeNfU1
ZKoaL9Ejj2EgOujBJAHUqTlmN/Fgtgq3O9qyGK4gaVTSkZ643IvnE2RGcJ0IOyfaN31nA8XHIUSb
NlUorxun1l95jYiYmXrurwwma8dW10j6qxL14UlVDA1iB9gYsDPrhKKnVmfJKYlm2Y3w0mxrSImz
CStuokbIBJJF/gMo9APN6oB0l9MEP5adhTRgW9eYvOZitIvf5xpXOpNI7eo0Ur197HSPpNEztqjy
UY+WXC9NqI9o3os4U7VWQxItce8lFfdw4ZTnlh3ySVto5DATHiQ0yAAfAGiQOCc1Q+A50FEqgQyk
7D6Flq3Yvgbh6T6yoc6QLUspl6yNOczLGzNDHBIZlNoqjdYx1JYLGJGqOZyeW2g8HIaRoHodF/iL
JeDUQbHI7vq2QLiK2jGBJEB5NoDrehnRLji6VoSQ7fRla+dz1BduMgbIntGDruoQjRJGYxxL110a
0yjuEncx9mM0SmjSud2knvoK87odmHXFRkxLXGQBH/ijHjxpZ//w6Cg6WK2ZTb1WxKJ2kTz21mST
9B9dgJq9bwFgwGwjRMqujHcTdmjblQRKdCnkd2FFBhmKmCbo4Jc+7pvXXOOc418W/QzRHcLAPgKG
e1VyfdPNc9g4C2/m00aO/hkkOwPsxgOa07/cNAxDwPYgqRyA+49u7OuGVDVra+wc22xsMFeBMwbB
itvze0L+P49XYIUMy0Yw9TCVxQP3+iiIuQMtoTcPryldnbUVbS9lGzcHpyDepheR944UxF+M1lde
AWC3q0wDdNzeNGEX1nsLIaXZGB8eggTruJUjdjdvurMgs5JEvPfTHlrRCVmQvLfVsQqQRctf9Vck
oCh5K0vQWwdlABK+fuNSjdjRS1dB46gyO9PBEYpDT+GXbyKOAmEeIKLxjp23Eg61C/pO6Rm1AU8T
7G0ZDkgP4E/z993Ln/qxEOXEfAyIf3vFSryFyKIx1jBRjpAzL8x4VjUwqUErm6zpdJP+/aF+asfC
Mxu4VYyhXsRZ3h5KTaorl7FpN70Kh1RSzi6HiZn32rG4+K/nY+DtAJIFsT10ZCHF8Prm4OT9dsB9
wc1pMEIakeoF1eNUjGi4WffgtQFF/h50/aeLGIaAna2cPPTQ0UB9s94aDSdJZRPcKl7VqdNWVhYC
dZfCCuCXCYBo0+O5QCqCJYCE5s0acJeBLAVR88aHF07CUKpsF6iAv/NU/HSrXo4CQgloIBibv3V/
aqqWG+33GHd01pIjf16SxRHfpMP+65Us0fCv/8bXj6KbJcx41Zsv/3UxPkul5fOHs4du+LDR/OlB
McH/e32Rf//R65f41xl7hCmf+Kre/tarP8KRvp1J9qAeXn2Rw5ZXzUf9LOerZxCC1MsBymex/uZ/
+sMPzy+vcjN3z//87RHUR7W+WomT/+3bj/ZP//wNefQPq2R9/W8/PH9o8Xe75wf59GE/NA/86cP6
/+wxE/yh+f694afXen4Y1D9/C72PgHdCIhPgQBAJ0bz57YN5fvmJ+xE0ypXmCMEM3LxVioQLlKH/
/A2FzkcAuaGegIiNKQ9ZRSIHof/4mfdxhQ3DNQQorxVu6f/2/apc/rG+/rh1uErfvv5RcGpdZX+u
Qng6vmD71okSRjBAL75ZEYFfGoi/t9ASI7rdFKqDiH84/m7VXKIZDVVWTeZbI/TtDxfvLw77ggh9
dVwsPoCDEJoxggfSZF2pPxCYYgivdyIuqsNYD/Kyg0gJKjtTiE9YTO1Dw6l1JRxAXsawUGqvMFgb
Uwzd0EwagzqnXIwi9zvnpNIBKVNQMhx05HnjbGRji89ARJc0wwLtnj2tffQOACU7mzUbv9LA2Dfz
QvuvVqW3frNMOi0c4E8rJJJnQeeUj1y2t9J3UNIAmYrafmGu9Xm2EAYbpK0cAn7w4PMQ4UdUByoB
PK7CgNwq7IuwYdUfV+qX1t7/uo5erb2L7plfK/n8rLBE/w+sOLBGIM4HDAYwWPAgAMQJwL//+v4s
/7QCbzlTz08frtWDeh4+gFQl5IcLrZqZ8fLbwny1CP/y5f9YlFZIPtoYbmI/RfYLAtPqQfzHqsR8
+iNELTyo0qGnuUrf/XtVutFHJDRQgAdM0UUutQaM74vS/ojGF9AEmACvTqlYn+GvrMo3AnVgVmF1
rDRCgG5R6IJo8Xp5AALVlpDdKO/7Ef3iUVJy5UC0tRuWE6vvnyGtmItlucbQcgY9Ge69fpurCMUn
qzBhl9x7Z7N+PVb/dj5gz0NFEbNT5MSvz8dIhS7vPJb3bd31GwveUzBywYfaoSyDsnqUtPo9E44X
3PSfMQKXEJkxuLBIm4ArX+fCrw86eC63Zot5N3NgnRBH5m1r5F050z5RUAPOASrxU46CAV4y9C4Y
nHfyoBV3+uPxMfdGWARoHoR3uEG9VeptKde4pFN0tZA5Qbctob2H/Ryzm8DaA1hC0IvyzmfXXt7B
Df984JUHjodsZZACWv82bx1KijTT865cGHFm3tpxN9jOUHyP16iTN5AhvCZOt+uFf//DkvqLuAwH
h1dvGk8wbrAHVZGVvQ1wdPDm2BWICByjA/iEJ2iX4v/Z2e/7fZuGablF4/+UnMc5OVe7KAv2wZ5t
g708CfbhuZXTDFPoNM6tdP3++nvdTu74TiWXcqfwaZy7e/dSJSoJ8IuPY/p4GWR8Z9/Lkzj3M0Bx
9tUXcz9fNifLdjpOV+Ss3He5c76cl6fx7XQ0l6JK5kt3j7o9xeApHZMwl/njJV708VHh0ynVGa5T
yrIjBlxplFubIi1Sg88gZbbD5pbZW3srcns7buSm/Vrt+1xlJo138Y5k1VbsBshpYvrzZJ87+/lq
upgurJP2JMjDU/fM2tnb+WDSPtepwKs5e/ny+phi7GGmncS75dI/9/brK+mkSL/uTjDtTKI0zNbT
iLN+158Muya9bpMqjVJvDxJlSvbBOd3GN8POJO8p0byodfz5EH+7n8D4wHcB8QzP0+tFxGKtip5Y
zXGTXdwAp3DSp2JbHscvbErRWqJREnfAQCTTybIr8yVhuZM4SbNZdiwXW/xq3qfV5nl7fpgTmsj0
ek7MrsxgPZvgG3mV19mMs25wyfn6/2x2UpMcKVxrEqMSfhtfcvR38XVmdlZWbni6/u1u9/cP7puE
4uV9osQFXAVVC2LwWzZxB2VihZ5le0RzGlAzYqLDNPbVPsbUzTA6ZAKGmElZRl+UrfrTPz609EB1
S/cvXw2zueflOGz7lmFGHgqdMzQtUwccgTQaBVodgdPbe2CYgLabxOHlg1MpDNW6MoU7NpryaCUk
MkRowDLyT5RjLsA4tw8F3sABpu7fPnABKMVSlGH25/defg+UgeidKPYCn3/zBICOCp4Z9jVsXm8h
aMXCp2pmsjqCEHGwfOvU5/SqQh8sap8tpa7RBshCVp97lnPmkuV6YNFm6QGdiPNl6FN3OVT2U0m9
U44JLXitD0LER4gmHZw6BmdJfUL3NS0GcKr5F+abe7g47MREM6gCbpjU4FAHW+bcRc4S5Y4XXwJs
tO27aUmKhW6DtVmsp9NJ1ZvKZ7nxi1zQC1LrXKkOEBU/h+hCqoJx1xRxDuRX5vvqpCLswmsAj+ib
K4/za6PEwXjviZi92YFeHqoIsrSYGOLSIeC+ASW3VaQhFd3So11jq1FViHGPCwMs+6uN0viEqa1D
LoFH2Ezlu6Xd68x8vWO4YSu7EjkyAAdvS7uoMGSelFPkhPAphXMZ+KOLwUhCeqj0BqWuwCBBK7l6
T0Xt9e7zkjat3RIgcde0GQn664hBjATCxpDlohrc57qNZULRldtAKuKiKAeSVMoj6CJ2LMFE0dn+
/Tp+Y/C9wiTB8UNBgGWMVgfyw9dH73xdlFwT+6Z3anc3++UVVG7qE0cPNvrYVrPBlHxMFGj3ohN7
tjB9VhOxGZ32BGNB7yzw+YPvLzwr1QKW/9Q9dtBnvmlDWb3DLH99nb6faQBmKpRXY9R2r8+URzYD
zT60b7TD7iOki2lr28DUeuEJH9i9hs+XYD3PMLog75X9a3n055qGqB7KfQgZQAIV/GJY3a4//6F8
ciDVCe6tFseGAzdqTJF347LfZCyE6DaVBLuOC/ZDWy/DecsAyWhDfjvzRp+UHGg10+v4NBSI+ODq
nYy+8xmeqeaojCu3cPke0pcvYa7e58Q3M0a0Idsqe77VZduco+V2EfV+dQxVV9xC+WtpzXxalYc4
pOO1cCho/l05YXY92xmdMB8YDB8P0MuzswVWtFdhWZzbwUgyADFvX56fXyqXbkSLf28roP/TtRL6
ij+so59qo+sHxtWH3XPzzB/+8eH/DY/PeMIEf2lU3Eg2qAf+4enhA+ZS9OHHRsXLy36rifyPSLGB
K4Wqvw+0Ougf32siy/E/khDMPAQFMEMgXooffW9VhB+heoBEGRo86C277trD/l4V+TZaHMidoTa0
9jDIL5VE68L/85FHlQZhAH9lykbgPEAZZ12OPzzyy9ROrBX0YEMeu9kM0A6D1RJfip7vJHfG9hb9
jU58KWsfensoxz05fvEc7Yq8ckOKwfIPF/ivMmW85x/PJ3AI2r0I0yv1iLi4Mq/PB93vGYKkMD1r
KNh8POq1LNKx6jClSwMI67NHaxxAgYX/ZDtC3gIyVfGwm4bFsxqsU1FwK5+CxQ2AponDdzjZb4Sh
0Qn0ITsIDRjosYLWjYDx+uzKuAUCb/R0IlTlTkvatbp3D5iAQh1zVvNoaYCFpI+pfLGaTi0p8MtR
fwmozBRvSOhZ4dFBsmS/d16vd7VVs89fqyqoZICmCNW39ar+cBddr/dA7WMHyUkjQPq1tT+dWqAt
QHqoN40VhSBvuQtoOdqueX83Gc8f97UTszBKnbEqAmTNxpqXMKEx753MD+ahummdJvzkjHUzjVkt
KwYXODkSjD67wpntbw3yXwoy/1lP5j8IRf/rC62n8+/O6v8fTVLUhj+skp/D0LP8wl4HmPUP/ggw
roeeC5RYsHxBulq3zO/xxYkQehB40NOENdOL5di36OIH6HWiIkURDpoW2KF4jL8FF9/96HoYh2BE
AUuQcI0731tH31bv37VBwTF63UoHiQoRDqrCyPXWuh/o29dPJmMDi0MQVdIAlIwDdCCsHMIG5GCF
pXjwhKM/uRI57lwFAFcALA4vEsgHukpeRMBrnjLD/C9F30FcvmKYU9OZfqLVsmyIXvxTVVWsTagf
hp+dSgzbrik4PSFhzC9jaCCdGgGEjil9+2g1jOzjRVnnpKjllTWY/typKrNihfUl2EbqbAJM4m4A
SAri4BQCHwCKZe4UWgCFsCGXwFLcVqoHehneQnsodbQd2gdySBZ76o8Rmf1rX3bL1oOk8RcRRpis
U2b2nrfw3dS16mhms5xMKiC7SVH3dKHOkothaTckoPUpXItQJtiXpevk5RReNQ5UFRfXuS6Q26Uw
Z1+VfNBUjSuveIgjCoqVcPKp0EXisxnopc59KmA7zE3JcgZ0eNeEB9mG/ZbUalM5yNq8gB6g0Q3E
6K2ZxZVFGrmjJTGXgKy2mxboDJiHlMZ84nKcT2FcWuLstXqOTOdvYRLd7gCb9pIGiuiJPZv5i1NR
+9rXbb+HDvmNWLi5r4vYS9vSt7bGAR6JeucVKCXbxZH8CPFG92wRUXdrMI4F308HuxCg7BuAD2Hb
GnSlTly7MQcKZkCq6kHfKW8iLAVpYcpLv48vYk0fdd/mAI5BkR8j5qQpWi+1Iq8C1lEVj4BIQaep
99TR84Bg5U1pbbsCcmFd518Qq/AzV6jLcFCfLcDQ1tbTSiAgqT35e96W2eT3mSFUn/d6ugMaME7m
yU7LWn+B5PEVqT2WT3V9Zhdud4hAFUxVu9CN51ciF2Q5UeN00ls0tVqSNp38Ql3Jk1KXUBRtx9vR
jShQNKUGWKIfrC4B/gsnMThSZy4PRBbW0T7qQ32nwwrJOZC4J0WEq5OUBky2oO1TNrfeBpxmmExX
MqsYz03/5PaYB+t4MaAXlNM+7A8FhuMQJPMQ/SdhbSWkhSK14PLSojgIDUoFH+szGRudwgWxyoIh
2kaV58NyyYoeHWP5G9HDxDIZaBhlo+Poy9n4iQ++PeRE43QO5y2zZwuqMQAcVsRLHAkYDhyKG8zK
POUmDl+w2QDUtutd1h/cMX6W0tlbU6TTsFInDkF3f/JmYC5VOJ3RcepyScrN6AZlPprqZHR1nS2a
YMEB3YAKtj7xOuYcxqaHHoMFnQbpDKnyuLdnneedD6I7H8bIP04WyG912D8OlrwNRyMunIgcuWuz
tFFdncxjS3DN/SUPQ+thAhD+dAhYdSVtAKKq2bMBwxCp60+gEDZBEyRhMMPz1QeIBQtBPizKD04k
jfxtPdthMkLmvlZFeQExMsgPVPTebVr0wRrH3Gn0IzeAautr7ZIzFUEipKJWxqEWHsKlrOHe16pl
eyQM7CwoJ/+u5gucrpsLBWeQLAKIHXh2n2aeMY98LlhS9rZ3R6a2z7SM2Encoz3GIN6DPvLnGCoF
Gy7rJbMlvSkWCRdg2ITxGeZyDlZTFgkWnjLGujt/9oDjEfKxodURNEp9yYAWBBz5zPKcPZvVnQiB
12RAQsFcoAO2mz2hWHkIdX9OxqY7DxmlCZTPmwRI1x3FfOZAOuXjUQ+gTtzU410PjeIV4mEBMw58
vbv04aaYmvrRG2N5yoCCSQxAn19lJeqMe43JRROUQOiEw1bXoDIng23PQPVAdrJzfOugOgf5aTWh
AKIN1lPfmdSHI/BWzpGdwLAWqhM0RjSMC5rNAQ237YqeqpcyyO3W+7IYPwCkp3DTzufTtgR772T2
5HICoCm9miH/9DsDprTOQqqc8zFo5cVQsAP08Y+F23c8bzCm2pT+ctbUEHGMI+4lkFGiT6BDBDtn
jKvPJWHzeSgH+RzXLXmecNsO9RIfkWCh1RWZ6QuprOhh7uoeyNPiBG9kCYFqcLOyL/fgnpp87Am6
n1HZXINM8qSUE2a+6L0M3FB+Bzmv8apz2+buf6g7rx65tTNr/6GhwRxuGSp0VefcN0QrMYe9mfev
n6dk45sj2Z8FX8zF4ADGgayjUrNI7jes9SxgzUgNXXXMJfagLDPbe4JFjSLaysAcwlK5bxp+hbBF
ETj268dGn5o2dhcvlyi3iNfAzSyqr0uOFHUoRkb9mlfHeo7fmmdbmJ99Xgzs9zRzeCl8MBv8qGmO
0NHKLDw1tVeEpECJB/R6rkYfSoW5HzbNPvraqr1bbFfOlB+VH1d96z3ZuuY7YdH207sHM/oQKKe9
G4E4HoOg6s5m12nxYJdaFprI9hk0Z7M8W+WQLRFuX/O5bzmk5sLkNVA00/xlwuXow72b04NRif6F
zYrzhPdh7PEn5cjeh7p1g8PYwQNEdzY9wN6Qj5rltw9mnw+PlCI+YvLWjWoEfyFLoTQkYkOEaObt
sAuc9RYLhrqe0elf5VXdk0mkqufONl46AUqTI687Bf1qXRVKrp9cj5wD2BXdd9TuXYj3Z/qR8Zu2
uC4G69nb1gzoKBHZiU7IMtNiad1VpEvSYeBKa+cHc3IS4Tsyokss4iwNHstyRguq3wiZPrAI4iQG
xTCNS7mbgvoZnkD6o5CLu9ssvEvDtq+db77fxpru7UebYr1QX4AcQAOs4jwvbATHZOreFnWXnn1E
c3RUYOeM+dOftbVBQou+0Sy0/sulXDxZQJbvmmwYiftTKWOL3GPsPnWfYk61eMtQ8HL7Xjti2gce
zygwoNgMCCBHaek828a0xJQR1rVe8zpmxsd02stDeMAqASU43M+l4T5LHqeGl/8qHktiBxK/tIO7
PGuHT6abTlTAWo5SrBnJpCo3bMrSP+YOQrvCovrLRggBY7C4311v+ILRRT0j8V24OI3c93Q/3xzc
OAm118AJKkEFSIq0QRgnp1P1o1NV3q5IhYzl6u6XTk17Lze+eKX+gjp8iuXgtDddIO1DVl620F26
vtdpcdA3sTd5Lh2tPWc+wrzU4y0ZtGuocMq9FHzHCFU3MztxCLXfZxI3wTAtkv+7z/Z6WizoFOsy
+yaG6tPTfHlrNkZS9qtztqyqfXBIBsNRS6r6Bbn5LiRIZFIRu2eWgtbtgtjx4BKRiHFtNaJ+We29
qMfyK7rPNJkHcwxVZVnPS1aTvmW1wv9hNSA1QtMRLiJCytkOEYtjN1FusGR059sto/GfupgUGged
HKeei/LbLZISX95d1sn8SnWmpL8e2Wggqr/V8Vo0SaGaPvFMcI9GBryCABPn2JrF/aQ279Wx8uAG
RL8KhdPhg0Nm3j3D/sCD0DXDpIdOvjH1L3Ok+QncFx67jF8zY638WLbqYGnAIIz0MajPhQ80jnGj
y1MxKrGfSuxdIXOW9FjWs/GjsofhQL7MySus8UpmhXWq+0xgvSu2Q5VvzVHKfjqqyTNfhW800Uwh
XISa2QV15BRupYeNGHwkpEWBi07W28UPNoQz9q1zNg0VjhL94iCEZWRcSXsdh8RWtpWG3uxVPKU2
FpPM3DLUwJf7nFj1/kOuhZb0zrgn77l7W8ba5v7YiqWJufEzFMSEC1NFGXnEVTZic2jTU8OD1iIG
lrZO55FbiVzbYUnMZQkaohQC7SnA/qCOmudlNdV364clXuZDPwikwPWwMsHu1fS6SIFByreKJrJd
iYLaKyb9qc0q0+SDinkJVVlbBsNNPeXC6f6LMQ4oP/JOJGlveSyFM6ADIyr5h7W0iBr0U2+XYTWN
8YgJ9MYuPluKAxNvkm9F/VaIHstutT3VC7I21yqbW97/pK9mFHLDKPVE1U1xm2qi2KHQlZ9mufJA
a2XV/TA10AtV52ThmLnLbu3E0zxcLGxLIJdItRQa9nhBGZSGGeF7s260/IC03T03DmeSVcnmxpaT
vCrbvn5CYWvxYqKp4wCxo8biL7DUmf3B1ZmOIsdByozLjbpBW3Z97znndJjee0bMce2PmBqDqXAO
jsHId2pSXnmt7ra3yFvMw5pPY2j1WRCNsqRUsbT5yuBwvhKjq/a11uixLzvttGh+FmmLq3bT4Oun
lJMvaVJpHVtiBQ6lY7PPLUWLwh+B3Nuw9c6x7H0VT/4QcIIYW0wg53bglzhQdUnTsh+Wynh1yUVB
S1+WDzrcwYb7NzS3NgzmBcrh2GSJNoo6col5pvnCLhrmq86rBxjRbe5nVpR3ixa6laadZjfuh0eV
Ww+LtK/8oXQSxPN3NAwfU/DNWrOjWQ4Y6pbgWDQFNa5RhIW+PHR0fOFsLcFVkFvkYaR2ceT+qKJx
XMY3/qLv6QyPoxy7V22BX1uJcvx0K/s7vsfTTApXpGqI/Y3agaW8Ji1AC8u0B/Xr5T8AdfBM6r0b
2ZNJwxDMTuKVzetK8sZ5taeXYNDMpJr6LAya9FoBOIiqZWpusIW0vIFq/6C21cdD4efOtTfyrtrY
vpWou597s6DloqkI4TUQWL96KdUhBoG27UONqndQpXW2p3ZftEZ7EmYdWbLarap1HqVCNK2lndoL
w3mf09x/40VYHZai+mj1lvyiwIHMHpWFob3o7aaSHuvrnq++i1NzcA5jWj0tMx0ir7aC8iIY6RVo
6EOTCumhS1NtxYqcLlVIlku9zwK9JLNTn1EF6B0hWSnxevyHgmDo9bEo1dcN90+ca6Odh0RUxOXc
p3fCc+h3hPdiFS1yL4/gh6NNoviXcjb0yDEYQYY8Ogncr10WlH04E6xx43lz8IDJiq5Ipv61oDHy
p/G6qJr61mFqc8J+7+5A9Lg7d7TZlkkAzp4g6c+iO7KG7Trd8F8FDgWmGG8CEXwtJ4jmYmvnsMFT
uGrmySqEidxfEGHmi+fJwc+udTIyhSM4ggjdGd3lQFPJ/erwdYggwNE1s5QUdubzE3IgLdlNyjrt
Cqe3ujXW+gNG3hx51uzhSaYBpXnRo6kZqJyLG1OT2XGlX/Z6/gwTErtDhR4aeBIihitmUmbNviDK
rXc2Ch62kxQgfPo8GJ/FKEGDbeZH6Qg/aX/uBS0Z9zO2i4C5UsK3Z1ER13boz82Y+L7AyVere4Pk
bGGIo+i5yTRnC2IL7xEuVaPfGZl95rwNUy19rMwvGobrPQqXbTfgOfqyZkyJGHNd1bP34Q3zaaRc
x+Vf43XjMO4q45GzYridalBIjdcxpmjBbEyLfUpTUx1hPh5MN4V1YKc7TA13og2SDeNZswTbYYIZ
E6YLi3PD4IWTte2RyA7cudhY9oZeO/fSxeJUp+m2C+DPxW45vC7YGG6HqtUR4fhvgc1bpe3Iakgn
FZVVel1Rjx8I3pERmXVmaDXDM57ZnSXLc9fIb73ve5AeHDpVfq79thbqqh0EysFW3jeD9zSmYBGY
UVPHLsG4b22fUDPmBfhbtAOS2+FIiy6r0Ou2OLWxBwHBcXcdQnZwAJicpsa8DyQWHNLljC+0b19c
z68o5hvz2NfWEJoDRjEwfWHGCMamjE7QVvE8ZXkLg09fw0I4INhXlMkax3NIStjRwL0WdrlenMwm
u616I7QCrPmhbBj+FUUWl7arX/d1k8aOVT6vqXWjD5l+8OVE2q9gxBPMkpbeBT2uwEV+LRiyT6Es
R+czs4ogImv0sTfXz9Fy8QFfdr9V23CNiGgKix48jlEyxZCjPGIyk2HfpgETCg2hkrjKBDHfqWtX
UUeYb1Yz0dMrs4jLnup1W8XB7ToUGI7+bnDw3NqNf61TWAfzFpejIaJKr05L275O0igPmqsXO9eR
xdnwG26bKVl4o9yYwBRAhhtGe7BW7vK8SQP2Gf49hYeeuBMuHpYeUYMdLuZJv1o3i9dIR4M58YCG
lIAIQC3/u7/lXy1A1uQNbk24ZD4mPyzMWPL87VaAzxDYKemE0HuKqdVi8AsPDmwSV01DxCt7fGjG
FU1Y/WaZpTgqExEaIUsIZIwz9sF7t3X3Ej/nDz+lTi7SfdWrd7lQThRYgn2FTS1SDCxCeh5Jxqr9
NgL0+AiCGSGJSiPLrM+Yh78CRILCZnHdsIAZb1jAjmIe8KLVGK2Meb4nKPdkjsPO7oGFQErAqrla
zAyKqM+xsmde2z7ZoKb2q72egP37HBwbmvvN+hSVe4Vf9mykH97MfUWkxfe66QBKXe5Ae2ZYiQLD
IJV5wcfdjidnci8BblZ1Url7v858XcEik3TIKZ0IykxHpZKcGAlGomyDC9UmZgqbtHkq3OBoVDWW
x5q+r67LHuTSeLGXglmwnt3c+oGPxDjnm2GHIseWouWuxFfdaWeQM7qY3zR7RCxTWrEjxTdPtDOQ
irGGrKb1CaEGTZwDAshDe2m/cM6WVPQ47CxLHqp2fV+V18f5hQOAH1ji4TLc9YYhdOhVNc6k9c0s
HTcc3YDDt8mtQymz8rpYcnU2hOk8qYyXOxxP7hb7VZvKzw6+wyGYr6dGTQfRZ18rsivhxOnredmG
NZ7Ktd4x/6ZswdjtzWej0E/LxGGyDlu0VVLAZ3Bvmsa9xvCbBHmluHpYMIEmqB16RP29YNcAHdhJ
pj4dDtbWRKv2feiSgftfrHeAVJPFkHuz+rGpl0l/nzszLjgbobK0cWNV3zen3fl9TQE5tuWdq4Y6
nip9AGzTzIyw8tehJEI601z8OOp8YbY86ZpNsjT7yW/5ZLpx01r6lWdKdc8404rBRkIY0THMK4iY
V5Sj6Rl7OCjC9tEr05tRcxcMi6K4rj382/2wPhOkwGIxP+VZxrt/IlfCX3HGsTJ4M+3mMKlyQMeq
5SeyGeprLv+60ybnkE42f9Eub59kANiWSzW9TdqbE8w7c1sTWXtuqFvNHLkNFJfNNuSj3TBMW3zz
KjPUseJJ3FOSfHW1Ikmr7KRLQgen+Vubwu80uClpj75BA96b0CnCutZPWpftEY5xxVSZNCYY1MBN
tBoPPElHsa3n6srF2x+lRW3tlKfvsewZJ8QNIHWM3n7dKJRC4S8zd2CzREM+EGKtdHWdpZ1/WOHN
7Winagrtfrg351I7FmwMRGjXLdNbF0wrS9zvAyC3jemKsa5fkShnO6+313cQHRENCAbq5XHLADEU
3IRdONb7qaiORlkkIyeuAy2m8N77akQixH85udNVtuTbtWJTtOtnI5mbKhwLL9I3JiqMxUFB0N81
093kWbstKGH4lCqW5At+DGOBcVJj9rU8TKMjYitdOJXl8NxSNRUbdTPW+jnCkeehs2Nt0fqScX/h
fV1rQrJdSolNH7R96QnnJJHVhwzB5Mne2iRbpg2UFAME4fEgBMI+CQazFqdegRdZ95SrczKS1BBJ
p12ckCX5NmEa9civZfzXX69KylOlz4q5CayPbmY6F6JNumZA+gMKD2m0qeDFizPXQ8NmDLfjrLtk
o2hauNkckxYd12HzR4lITT15k2YdRq0RB00zCnzwBnWPbfgLsGgkjC4gpetBzLCXMGbzXLeYKdlq
pHUkjNJ79lbO6WXCwAd0vT3OXuk24HbdPI8bb2qvUwN+yyX+L0t0Mfr7kijcxMCMHvNxwR0OBuuL
BmOL6s4ftEjvmn7niYUZv+r0T7ubzho0itRvi2MwWPmr6YwQQwJe8/Mqpt1so3I01wCBKV7iZDPm
x5Fz+TtfrkgAjeAl9vw5C5uq1F+1etC/5dQ2fZimdf69E3lBN8lEzJ+mPlJcyK/OYOvnvPb0T1ko
d+9iw3zDfra+VMyeo5pg8t1Y9fVVDvAA4DD8qoxZ17uJvPCakZCzv6QWPU68CG/ToHhu1Jie1ypo
73O6my+zfvFIA0pZYycAaoFzNX8Zy85Bb1zO6gY9d3Vdj8gBjRX1YWk4xfW2TP3b5KngaiG+GBf4
MlDV1gBvhtS8blcp40a1n5mQwDXYH+Q6s6TBEdoxRx53ww0x7VAQFD1fmN49Uvb10PUa593sNvyv
OVbFlzUoyyvoGAZzptS+3XoCpplFLig2O2WfnMpQj2tJPeLWBGPmTTtuHLUmQew19XDdZe5+rH1A
EJ70Xy88oG+zM0DCh3aCZc/dkkXqajer0sYHOXEsLrh3swb+VOV3R9Psh7fWdLZz4OjdqStU+k2a
jE6YAbUZGQjZKG3u6qb9tngMsu3Cs+JeDc+jhn2U2OdMfcOQ3IQadvQ9o1Lr1K0v5VBpn946pnRG
7ngwG326xzabwalY2cm1RQ0BpSwjdwBfO6TDyhFGcVENy+XhIZozquEmDMBR4EA/CDO9K9J5Oeim
YZ8M6CvRtjotFYJXf+25ACi8WL0yYhjXyJsJPFkYXz5IOvzkv2weZAnwpYtUOUNymoP2lOKRY66p
ssRCahLXWpbzirHl3X8uCfu/5o0hVPbfCS3uPuvP6a9Crp+//+86C1xVf/NYJNgXhSA0VQdB1j+8
LZbxN8wbsNwv7uZfZFz+35CaXoRCGMrwmdrW/9NZ4ERDe8EvG+iAfKw6wX+is/hV/vMzoh7/CIwB
+Gkktxm/aSapDtitdx63edGMjIm8AVGEj/XeKOhweiAZvbUldkF2+F+uz7+Qa3H5/qLWunwwYQ6e
jeUHLdolP/5XdYfeZxskrUWe/ZxWZnZLN7I0sz0YKzKKf/9RvwlJ/v5RuFYuvk+kTlywXyROl7Xv
Ni2tPJOGVLNxnZEHA6L6ww/0M3/+f/RwP38iDCIYxx1yzNmS/ybTLYhOm3R2CWffZbSrS8Big+7U
LHHc+WpkEgYCE8xeMuJgSUa6lCpskRXMoX5Z4ISETKNV7Y3WipUp6EGUmY6Ra6CqZQfqmbfCmnSg
hbYu3rsCIYFvTwwax217NuZteK1msXybC5L3PA3hNQnuAZuztZxvZkYnzL/WfEO6a5rP9rSI9zEz
vFOWs1hkWXQvsWHH5ryCptpSXbRhajXrR6AM7T8zZ/+8ShzmHvBV23Jhkf9mfzCNoTGNRR/P1eJN
TA+65iI3b/7wlV+cSL99Fz99jOilQf5jOP/1KwfeARp38Yezo/KXmWppukEa0u8tNx3if393/ZTr
/9NnIfpFpGQR6f67c3KYsrVw6AlgjBWMvfQIykkM5WZXXgI+vmblrgfrHyDi7SvWrI7cTfPIzlMP
fRZGvrwzp89KL48FW8BMg1O5+PsmuLWgKi7mjcN4t2K5kC90Ws2L7zSc8XTIaqabOhuS7eaVPlLc
P6R0b7n+YRevyKXYmNRtxFYtyj09YYiflJaM/HLaaaxBSrU30CCv7uuQ3pbdBhVojIL0jDwqXMv7
zf2eji+bKk9L8YALdlcbV5hS2abfNMQQsjy0/Cwx54V//fTQBfm9eWinB4mw5N9f3H/1UF1sMpDP
SdTCAPibCAzkbjt3FIznLi8Myut2x/5D35VV+72oukvrRgopOKnPRqBWoSKRtJVz/mRU1Q1rY7Qe
KbKJJk/dUyebBfwS+NBxekMKSaH2HX2KBFsCIqiZmTOVg17cVUXHQF+zH0fPUPGYW1ZkYLeP/MX4
VrOcOVaeM5+CbvbQtg+ChxjVoxR1+2hVbn+scObzTbXb3mz7PwUO/0ZK//vj89OIh83Y5JpwLvxV
rlmVpt5ToI5nZ/AhjKQFQxkAMleqVwytWmv+ESwr73BIPwxQGustIxT62FqrjhIocKM5ZY5UkO5A
2854UsMQHRoQxaPWKfHd8rK59Eb8yVPVJLZd/ekLNX5VDf/9B4AYiTGTbBaOsd88hNqUOzkXdjw3
yIIY+pOSBoyYWq0nXGTwl3Zf+xuDDFiL1P3Tq1ea2x8sDf/i6MHFzbuaU4dB7UUR+ddrCMmf/AOz
ooy/IK8BW5UnrVLO3nfSP+Up/8uP4mxlh2ta/NC/vYdaOxdiUNN0DoSE7WRvBr1spb/nsIz+8KgY
/+qz8KZ4RBiRHO/9fE/9RcmrG6M/OFM/nOteH28av/EZJzfW/TKPy4mLgXcwVzjfFmRLuaH3iTAl
TDyt2w5eLhzWVZ1LCkU53Mi6Mf+kM/7nN7JHoYPcWKfYQHv+m40kw9xAcIghzplMzWTA9R0yVQGC
U14IR9piTbGX+bCORustBVmFcqlMD7Sby641Ll0PWETaQTZBtZr1m8zZzD+cGf9cCmHw5eTGZIn5
HzDXr7eFnWa5azKePHeQIR+aVnZJDqyKMYNs996WV0d4fe7ZsGBP/uEtx5/8ywli/9RfI56lbsB5
/ZsGW2S6MXl52562avATb6v6OJv8P2WUXu61Xz+FKo+qkn8M5Pq/p7r08GdnsZb2qdHlutObgmvv
tX8KJ/qn7/lC8uBdraN8vbyyf3u42AG7qt5mdWo2Y2/1UjJU0o2QalbE2uLsfl65/wXh9/+5huOS
T/D/N9+fP7vhl37j8tv/0W/oWEAsbEgWDCPbsi5f9D/6DV3/G2XhJaLWuCTuXsIj/iHsNoFf4JVH
8o0aHJzNJSb3H8Juw/obtny8TYRUA7C7xDr/R8Lun8XX/9yIGs2oxwPGnf7rA1Yh0Vkka7CjwHnE
vj/POpSFhvjgNan2hbLVyqp1ZRK3aNO1ZWogV8tWifmoRswmkQPgLmU3sJU/GIkUJvsQKa7nLWgl
YzvV5FGTNs79qpTD1jS3jzS6dsGeRrJm3mrj2S1QWbBAsboZBQBzd1Y9K2WSzLr6ZjWl96r3knjz
qgS9T9L5jSiFe+hSZUxh40wNS8s+mGSYdq4vIoPy+KXvNDIiHNW0vN3X8ivul2ynT1tfHzJjMX/o
RtVXcSOW9rAoNnN5F4zXbP3xsNODBJEIStTbukeiS94uaPHY0A8g+nr7MahY9ZwaBCUsvE3sjQhF
2uGMdFoeJ5F5ewsdEh5viKQHt1mDs26t/uuGWDDARexqbsgbVLtzS2N6ZL9VvIg1FR82rMtTHYjh
NG/CO1H6TGzLhUG3ZzV5B1V9ognQ3GxE99DNfTRrnZtwMUwkXeyjrwvgfl+odMw0WVw57u1Fp6sq
m8HdOYIzvKvm7XZGMfPgpSrYMz7pd7UaYM8Sj+KKQzWgkS5WaT6gPWL3wmgaIU/RlMTbwC20Hqre
HGPYf/z9veLUE9NAFwTytbUEY+FWm+Runuf+0a/IUAiNyqo+iEVurqes1vZ5WrgfbdeXRHyN5dMw
MqXNS2QTgGc/6lYskZ4GPdLXrD2jCDRwAwYSEZ9bgFBkZmdG+gWV6cxV8TChDrvA5AxgY06+Mogc
cUnuJn1e0VZMfrub7CfCBK9NiEzx1o8VCu8N/VuhtjgLcux0rTuFLn0IkmpXjE9Wp6C61ktwdrXU
P7gpwt1CbNkdEqf1s1TWcB1gbLgzFwC2Yca0f0QNwcZFstz0/ZMLV+9aVE32Msiy/ErQI5rHrjdS
Bm+igTafat88tYqE3Qj6Drcjd3hnWat7l+lacEWHmcelKPwvqHfhNk6yLW6hrxf7i5I6JkCHrqIs
+5R5N/vJhTSua3cS/g48S88VbPi6zEALSrKrmZgp4eDULlbtRxm4wTdnWLvj5NmWQtk8VB0q3Wl8
HUk0C17z4cypYbRhz0T7vgxmg7uZcXe9J6myi6rAWUKeL3YHsBY/tkJlb4T4pOdcr3SEY4H2GEDp
Z3VhFXdZ7YjEmvrq9aK8fFKVh3ooLybiSNvMtOK1C1qGXPZ4rwgLetS2Xv/0uZNHpBE6KDApql3d
18FV6rvi3DRNtl8aBF5Np7u3vP6cCQ3eNB5IBFiAsi9tpAY/f+6W3o2rjS0Rm0HYtrOzMA7l/ZFv
oRFsuc9Mjia6GBfv2tzwZGyUhFE7WuJ2Bs16v/mkS8JODvpPo0EGFfmd3d0ugxlwiw3VkGTD2hz5
dPsG3Zf5acyd+zKVW7oPYF4/pJWhJY4IsphRE6xLQlvaxA/yDAFxpUFnpBUUqTcnQd+vr9JjmArd
auH6+pKD3lDNVVAVMwS4OYtnr8Esnen+I0AisVuaMUhIL/dfhn6wE/S/jMILyvdQG1kqXmBt37e1
TJvHtDW9o9VY6smfGv9Z97Nn4XlJgCxfNWcxq+xa6fKy21tWDRnWxZK9jnE3pTQg+PL8IKTTW+9G
xhY3hCVkJM5o33JvvEubLX8UpYOiZTC7/Psy5LmKRW0yu09NoKmVtxgP3jjU380Wv7OLlKGfM/PG
nMgF8NBX7lDIDreloQ1I9gda4N7z9t1cFN/zRcx3Tu321w2C58NqmNtbOSKKL9zZ7J8kFstQ2U2O
eBEtpdITsUpjt5lw+iLfymm+N2Ijwn4RxgdjlIt0CcDJsS5ky+6d85a9u+i/G0q9q9XznqYWRfve
19v5WBp+ioyN3jxqNKE/MWaXbCSMcTdAAEzyVC8OU11pZ0m23J2tKcV+Q6HRRE03nKd2WZ909KOn
tsymz6Hu+13LiXVTZQUNuBh4yJc5U+fWMPQHS5Deom8rohDbism2uIHGWDz2XsuypyzlrWVOAdJC
b4So0S3qR9ub87n0ERmHY2pdGgLoSaatiWtkNqwQzF5jF+G0B5SMxmeNH4t0S3WhSs72e77VwbO5
uMNVVnOjJRdKzVNeVctdLvLhOKAOOBEjroF0qvWdHCv9pnerbG9000JeBENppFRAI09sY5w9TsHx
MCGuOdgiQ/6ZrXIXYFR4BboVoNCR4rHeCAGzp5y0BXYH5lNjV2ZsCE2hy6PLPVtqtq910ajvsz14
Abu3oLthLDDGrMm1GLbv/N6tJMVPi2l+ePWoIgmY2w5Hs7Hf+C0Yg4K2pCzGKb7ddhh7DlWFZSzU
uno4bB25kSmBzlej7cAxNnrcEvWUlIDDD8vao7wdtfr72AWewEGKPCDs8RKEIy8pwdjO5bAqgZs+
6H4XnBYW+AjVJ3VcNiXvjNzQr/xFmkdLk/XjgkKc4UJnXzFH88gs3ZBKEjzSkSc1YnwZIYgjVs5V
Ebm0bg8wS/0vwwxmzVo87tStnC7g1Fkz7jM7dy7BdH7+UrY4TqGfyk99TtXeQ7SpoMWDHTUKdE6x
15pZF5VSWmVcgxm90nJN3JSoxE6oZ8kzbVJgJGttcV0GV9555cay1nO69BY1Qn5VDnL80lmFOtYT
RczmNtijbb2J9bHUXpnH2dE62ykGKcYKmG+Lh7xgXe4GIFJDuaaYI0ypTVeTeazgKtfqW72WcXYC
o0yJEInNswFPwy8dFI26kdvaC6hK72sOmaALpQ6nTA68AT2NNptACyS87WTcbp6OB2SsUEgUmo2v
o6naIyqx/oxPycWCokmA7puyDKL0XB2ygQiONdXbjoexv9HcfN7TmlrJXFn+UZNm/mXowSAxN2mw
xviNfuqbrXzPOd8ucoXGesnzIduXdY21CzXQdV176cEjhiLW1gEJI4k3R0jiQx3aGdExgb0sVWS6
dceN4/Y8v46jobntWuZVebk9TWkrrjZc2GdLGutDX1Np9BzGccpXfnJkbjIt3NZ7jrb2uHHi3DPD
592aQp/Z4rxRKGfIZ76CgFhtKKfksu+l7z0azlK+AB6tdtWIgSVaem24WkyfJT2JOZzcDIVq0NH2
KGJj8xkvSs4Sqxo+8jolTERV2dUKd9bE0jFzjAydf7RRNEL+m7yPnOnvE/F84+MgrPpgsbf8ijWK
MtGu12NPdgqPeG19KkfUO9/xlsu6PlF9moeMI+1YE5Dqo3KVzaM9Dmy5UmO9yr0MrcHoWSsifm2J
Lq7zI+Efy/Xqb8g5TGXNB4Prz85irZKqsUcnImK4/FaziL2vtDR939BRxWS8IHcaGoEOS1XpueM0
vNUwy8Q268Y7sNyMU4uyIPgl72hjQ8/0L0o8xOYG8mJgzdwO+2yzc1TWynOAgmkFQdimIHHB9qqh
Z8Eui12RGXpSIB3qODSm9JiX+XKTz1N3188zlC5EiPHqCuMaLY2HZtxe15n/TTf6B9e8IQfI3CFj
mS42IAv5J1C8NO6Widum1dpD1iJGphnH8tmCZkasV6Gd3oriTasW7IXT5t7huE7j1axntK4Q9yJ3
7aqEnVRroHS2tpfZqTwiNXhFhE6HibKdUCK6ZZ0lLR6rk1VmoL1qk7d9PW8bwu2melG9KXaExHTJ
BSx9qYwHbHz/zd6Z7ciNZFv2X/qdCY5G40sD7XN4zJMrpBcipMjgPBknI7++F6XKuqGQSmr1022g
gUJVIVMQnZPx2Dl7rx1nlnWLHdS7Jh8DFFhV2Ie0y/xbU7kRCijCd+8sCdM8dGDQ5rn0PnXIjdfu
nKRbpl7pZc692WGxSxBS2+kuZVp7nfCInlWlyd8AXqQ6DL7Hm45pYwuEi1l3Zxn6xctEuOUpb8cV
4RHp1u4hakim63tpdNFRqBkmceWKy4LWE41xj8mHInGCjUz3UIfmoYrH4WboPMhZs1UmKxni84sy
T+xUn7HYJ0aRHc2xFZ+dgp0zz0NlHDxergfse+MLSRYky4Sef+uEGXE7eFL+Bv7d7ru+FyddOVTA
ma43nVTlF2nq7C50i/naZHrABMjNLwTSmq3w5rxc+Xzyd0VoRY+MYLu/h6iKbvkOBHtnnNtLPZTt
Z9cz3CNvhfeaa5uMa2r328aSzZdcm/5p9FLsX3Tiwnwl6HgtMmhk8dGIfYxcp3mNxblpSbThEucj
jpVhDh3UeAaDdaNty2uZAbbtCdDAaFBFJdHEaF96qjPUU6Mik44Mpi+Dl5QfPfDuWy6+t9hIxHoq
pAFxqhuuUpDdJ7/NmxUBJzYMKxd1X09jkC0YCRkbgmW89WAupQJ71ZtGVvzlpdL2OSpuf9Ph94JK
5OFPJRZvfjT4gGbbpMyQ/VZ1/CI9HnAkSShmnDINPvg8kUjmjIppRdUVjwYApLM+CIPHsLL9TWuh
AV1bVTqSwSUnwpbNIWbb13n9K9tW3a3IuOqvYcmVL/xZBUu+xviM5yg8D30Lo6QVVeaFjf+MHaN3
k06GoHtutTgDk4QKkICp7uQU7K2i3kjVudZxi1Fk0udxNWcsMpD5V7Vy2nJlNNF4lxc9QbgKbeI2
KH1aC5HGwEXAhH0FMRfwU8beujIN/3Vye3EZoZo7+n4gz7vGyI541YoNu6HxJs9d/7mJJDMuN9tF
tVTnNgh3lC1Tw7opYOmSc83saG6rY1W7w3WXIKxBTtY8217v7woKMg9hBat9hgh4hh//iWNDqogx
bq7LxA4fgypqLsXs+pe9UVHHaQJqWvoZ17YHsGqdqQCBhtNH60kZPlElpvW4BM/vdZGKLb7d9l6k
hnmBv1J/6PDtLApaHVyOeJyPtl8c+FkrO6f0z400Jz0Y3ll65rGxXXlK8x6JNgPw7swkh7VzRC7B
4DyEQduekS+U3cuxcDcN4pWVwoKxm80qOzlGPb/Wgeb9i/z4ahoRwAm/4RVlgvZpdD3GX1DY6HS0
NTA5yMMbSc4BmZl5fpHJMr0uxuXZQhfjnZsI8ddZFPjP2pzlALx0QtdKgkp2bvNT9q42GWUmgXNi
66/I+IqMgzb1wzgZ8/3C1j6EXd/uyqFsLkuiJVfCG/udUilRaMtu6WwI5mkbRSGSRb5f68iykyvo
Jf3Iv56izzJVH32v8cTWJYz3Y2xaYOEaw3yyc1RtBkmg3UpL3W/o6JRPfRveV/1SBzXWdFkklWR3
DNh5Fc8lND1hjMbaKH0Cs0Q3xWSbWsb8GcvlY2tm1dZwtBXvOtEbyNMz47Kq2vrD4Fjt36lRui9x
tvxoJK9o8SszJEt1nLbTEsgNOnFY1fXckTE9zYSSIva12ng/VwV+k/TrebvFUJ8XYoJrwJp+mLAE
XYKQH7H/0gziQ2xX68muxCc1W+G1ztA3j3FLYMOgin1lsCeItFFdESCT70n36i9b2mNXQ4DlnnmB
Sd5VyL6YxgTZ6rSURsdeS7Opb1pXuM2yNrWs2MSSDJ6DsE3kcXHfOcT+xFnVHXXTDRveiPIOUX3w
AgRTpPhd6/hC4B9F042z9TNcNkeDMskJDxIMUFZ+OPjXDnyCfVawweRT2mzN2voQmfjXQrfMP0t7
PNiGhUmLngtOL8i5obVSaKIu6on14GCW1P1pFs0jklKWuR0Vqjzrlmi2ra2d5qWPi87f9DgjC7Zn
aK82NBnSw6xbIiosK0p2lU8A1IrdZHAo2BA+paah7xJGT3TdEodbHRqZieuGThupU9DhSI5UiNyp
Hbd+bxHPQ4eEL62K1JPPdbFoZ/XYesM+dugAOgXhGnXS00wqtSiOM7lBr3WS5R9GMyTUJUWct02i
zOhWKglbrJUYFPDS1s0lVm154/RtYm0yI+kxv2aO/URrcLqJhQx3akrtkbPIiJNDi0LCktIL+8Fq
2mGTYEw/71A/nMHLS4BAsr5SvzThcDO1ggdBDdaDw4Z2hxdWPEZhCtTeN3zgpFlxrCkgd2MUU7jW
fFOu6iYu90HiGuDKSCAcduUskUC7VTV+YHpngB8IrClfVx1wrbIJPT5ao5M+5LoM5w3WXywBYHHK
PRtP+8KOrNzYJDIKt8WcjbfZYAO7FGP7UhZsoKZ0yYxK89p6lZJVcMDx/TCCJV83Ku6vB8IkKRkx
Bh0WxtKFoAMFYKAb+ofRafFcgpi9woyRPw+BSLg0WYAYGe/2LZb24VbHzcCdrrDsSbsvd+nQJv26
GXR320UzHFhrTnDzM0mGgZkovU+J4NlURt/OR0/OIyGZ9C5bw+OBAGyLUtWTfIFRGFfRzsH3yhrk
z/cxku4dpkQs+3lpGK8tystrs+vB7YX8wdw2u5cio/8cOkvm2NTzpvNz6MyYtbwq5945G+Ou2vV+
C/MHqez8Seq4vik6wPx20RsvI/3dbWv2UEk6p9Ys+mN+F+PT+zgnRvM3sa2EaBFWeaicLHlJnTi8
dLhHGFzLhJCeQFvIncMuIGNlkudRXdM9bHLrpnetyOLRLpwjkVX9KfU75JlgqQjPKuo1+SLIMAOH
LWdKF5s6vCtpiHYa32MW1N7BIXiSpm89fWbTRzsmxsNxEwo7+5I7pctiIKb50+z4bG7DMULlPSTu
zu2HdjuNmX4ULg2UKIE2GZE1BYGErgwEkFcCt3az6B4QCRnrnhwSaxJ7Z7COhEwfzCL9ZHdJ8gKG
m/o3wlyV4tGhL2CyF8mQfZDUEvoIBdngrvFzpB/aKSs94p4TvghRP5FUQS6Hd2oUEO4VdobysUXV
cwTW5CGeNQiqKZwC3bz02+aMQBkuhYWR+aMauMaUvLl5zacytdmHusESZBZ/kQnNTHBaiALmCO+3
DhRGAEvGZ+zg7GxPB7NHhxE15XZO+RvWrkBY4PmOCtaGia9iRUc6B2mKK+TciHKqvNCMul3t2vlT
GnvJJ+VH870fldE9OBk6WKG0LqYGpK9Ngudu6k3n2Kc2VmkzIM3Ew8KyproBsNLHmgHyLPz+wSS1
Bn9tXpy3igAWC89Kjplgno62VN1JzVh9Sq/rsKra9KDgF21FXUQ3WVgbN40XlYcgyYKX1AJR4SAF
3VLOVWcAgJxdoSxni86yP9I4qK4qjKAnS2aBBeS5A1LbinpNtmZ+qhO7fIwhi17reuaLWHZ1sBN9
hR6j7w3rWfpMhVwnwHGlS/Np8timoANrt8x1IoJU8fWWJE4J+zoe0nvBV2Hj+W57X6D4uGJLMG7G
qIfYgdX6yhsLj41QigEXMfZlye7kOfdMrMgz7ayVrVJ3x0CnOA7ABQgw7czDGGfRhZAJO1hgbRa4
02a+q80IFkqMvbvAN4ESdfLqnKcI0tpV5HhjvJkNcxg3xAGVz9QLqHO70WDhy61BPuRmOXsHKeDl
zAottwFLyTpEcSVIAs29pFk7XdCekCmPF8wXGVbgm8wZxnjt5D61DPeTjRrdKifJZ87SfUxqr3NW
s75S6dUOHupCM7Mn6akddh0cw3alUgfH3WT0J01rYONo3yHerKy+zEPV7+w8VOmqAyxEdZ40eY1T
aaC8QI8GjXqKU1/ugKkAKqXj1bHLbfEGzLZHGRSHkdFvTK2z+6BTEfGeVgezIK/KiV5ia4TPnv6a
qNuBbdoKoiSDTToJRRWjWHt9I42uKoe94lrSCtXbMnPH7mxQbQVlyKuzh8olbXvtGkHwpSOO0mS1
EVl8rvAte4fMGyZyOksWsLUb2T02rICwJJwIy+SMKGL5YUidet7mbVPqA3PUcF/lRJKdTwOxiE9B
F7Mo17MM7p3U7KYF7ZAkOOUJ7U2QyTdBO7B7zkzsn65SiIR5/IxtmcKczVQcp3fMPKrrThX5+MUl
dBNXgxkBCh7zVP9t6krhVgm6tt7mmQJLAFKrSpjLKn51XFm4DExjLHaxptW+6RJZOOTJ2OM2M6oy
38zx6N8ZRm/uC0lVu0UAVDX72vUJsAJZoqx9xZCByZojvHVdSBcb58jo0mSQVgZtjTUTnH+6a0QP
/qpJ4i9jN7XuphwHxE2iUUfVTMUteyZ66KKgRqBMrz6Uvkznc6Yb9Z2q8/RlVn21z1P6rXIOucTR
fKBGIHpqwnA3rdzQ6c5G0TU7ehJ8ziTTvGRVT7q/cmo3f3LNOe0O6K7w4/edwdwnx+OAD1gWNUZZ
5mhktxfQPVYBAs6VBJNAE91hG8kwk55aS6TTxeiIFmw3bJHzMi7TO/b1Dfp4Jc4A8GCYB53krxzH
dZ5pVDibPtfT1oFCfEUqmXfuQxr6MHeAfJUSNMIxQw9Ht86C17InoalDinjZ1Q0mJwKB0j1QUv9D
RHuCFSGT+WtvFsXHLiaMgdlwzz8FMOBs+yxAxtbZjX1pVpL9MybLnLxGh6g0J8v5UNKqsM/hITl3
jIr9+2X+dTPS7kSym3fGyqom/UHi+b7SQs68eFF5S/stPY5Vbe/D2O6PSR7bB08uoZm0MB8n2rEX
oKDU0c58prY+mj5X0PUgZY2qy5EZ+5rIzq+DqJw2AYxGvaK48eW2wSZ7j6I2Y4bb0JApB4upPNU9
RtKabb6zdv3IuA6MzDkkWTme2O7KDpcfpgzRtfbaaLzuUQos+Ssja7ozekSkrdItIOIsdsxs19gB
8B0C3fmwmnm/Y9I1bvUMaT7DhfkYAp+vNpnZFVf5KMNHLAq0e/hBDBIM5LYXy1cUwLYV2pvOrcMz
OxrdS7smyLAsModHQjLuwvvmTBtf994XKHztdRGOlItW1Mqj1cQRL1jR5yAmCl3W173Urre1rdLC
3hrlg/FNuvxHKpr/AzDi/u9qyV5p34Nc/xtyEVGv/GftzP/Ko7/V91hE/vy/xDMW8nqwgyj2JKQe
20af/E08Y8i/hJA+WEQCCIRnIWL+t3rG8RddzVdpFbJjIseRZf6jnpF/odaHpgjIBLkhKuE/Uc94
8p2KywaGCPYVwLDto6D5ymZ8K14kKSgkKj45gmVooozZZeu6l7iTvYwXQU/2qJONBLJJeKXpMDdI
YQPMmV5Hy+kaNL8Coj6dK2ye5kckmBHQmhUb177d+EPrRMVTBViH+OgANqBJMZbyz9RzGpN7eev7
KNVikiVAktifPJzQQ/kxBscTZytM+5q53hx7sfvoE68EnspKen3PDhfN8lj0RCDqefSGLal7AFpr
GiPntLvCkel0PsS7qTLnexRwGdo/5tpXIuvqZG1hlsVRhmRvXg/VEL9EjsybfZWmZnzm8n2rLyyR
mChbXYoY+kPYuzdERxrJwZdliO80sIbucmL7shQebuk16Ue30zW5rVGsZkCCdi/SJfS9MdstW//R
ujdY9OW+zciuvGx4/R9yhD/tgUzJLLhpmOGb27grwR9x14W5G7telIdC1uaaETtOKYpVfgvbaA9w
HiNTAp+JX+arUTkeLLx4qgE7LvAfmeOTWtWVaqy9NbkyguLhlDj92QNSwWgsnMWOeHTRU/+orKX1
2jZ93vXbAq1fNB8bIxlCiDhd7ZrMjRJ9hvIHbIOyLfWZeMSYbITCb4EDJEXcmwHLfELWzs4BmTbl
m4n2gWKCa7spxnw3ckt9j17Cj24Kxb/bUROBoPGDTIMP8Ja++EbSxSquCLvFUwBLyR53hYFneOX2
WQaVA8KvaUACGvxlAFIMcl3YBkGM8E1kfSgYhhaMukw0GJnQ/rwNqpTky6Rlg76Zp7YZj+xf26vG
w3q3N3vtZmzbhoKSB/6lvLXIoZ8AqlF+bsJoYLIKuQ8K49gUnrUOQJs8CjGJ24idLdbLoKP5JaT9
KCjabDgEfn0zG4B12fVW3YURKnU5xYTJQbsJgZMgtZjSVe9hcMWFwR5oZeVZeerkgJzMBKL96sci
LfcTfna5UtDwzYswtdH2UyZpSDc0fcVByIlrS6p5EGzaShjXwiBEl0/umFhrQ6UBoa51Hj/ptB7x
gyQFqBvfEfANyWxMaHqWY0trrdDtF3TJkbWeEWFlPK6FcWOhQC/XkU1yIDsGM2h3OjVg3HRWLT5Z
QQGVjHhl2gwByhUIkoazVDIyZFLrpR73zI8SQEqS6iKmcRO5/K7YxwM8oxh8bjnm06AL4zWTKSnZ
DtihhEECzdlVXIxjvo6gtmBsbyUe1iaigAmqou83pB1XDspZHX9kCunzTW7mjk6/BoIAP6QPng2U
EQ0ZkrFDXo1ixYSNVam9Z+IB3vpDn5+8KvOtNRo3HLi8rfN5KdrmOZWNDbioRLPII6W4vtFIAPrs
DkdYZY25JQbVAtw0za5odsLWpEjNfaBDtot1J59jmBvBEVwQrUJwApXF/7i8a0yPVN6Kh36oUvM6
rMc2v2WE6HXk0oLHKDZ4/7ui2iqZ9+HzOIyDDtdRCHwO8oITxfGLZm5AQcKPmNdxC2ou2gTCAFF3
DWSVfIINmFTTOQDxtLMPbR4TMR8YNgNHI+tada+NSXkoQAbkHf7cV9knmqvSoauh6665z4Dl5Bs1
pPmy5LoQ/6Mz3k9Wb9YLOU9yqwMb94xuLWiFx4KD5DAXFY2geO23rN/bsHQN/1gHIqxPYToINCls
ooKrxCo7kFJ252UTSSB1NT0Vo+eUt5QusPytLoCRQwaxdOszbVud/8FP7M4+LEtvEW57BsRphL3A
l9FLgV/dhG85T+SLsD1EdmjEdC13sQJWuU2km/nrtE5VRoe2AKRojk1Vn3VAYp+7NLE/DqNtGPfD
4KH+DKzevWUo3483Ey3G53g2IAHOI8aZbT9oLNNOZtkx2AXLbHfTGPb2erRH4gpjgx7SJu69Mb+S
tTGNe1y8tLgCBpESVJgQuGncMboXdm+xb10mOihfWjB6/dJE4AhM4n2J8ofIbCciSqXzw4s81AwB
8tQA8AqVpeBzUtt4ys3SqxteyKo2Nsptstsa9FqxhyoyPkK3iJlsa7chHzbNUS7O4xI/S3ZREjKX
jHW7ce0MCthaKZ8OkuUB2Tkj2y0A+w2WkRTcLqytj6HKS3lIB8Mz9hEyq2adJznOsHaKTCK8u4zp
Xt7Tm0RJ7+LcGesipNcWGoHN7CaXXJW4opsGY9OD3ZbgB3dHjdqNvl1ERJOKokMZu01z5hMb/oBf
z3IXQY0jLq3WRQBoDbV09o4DbLOQfSNWXqisTzzHoDhkm9ikzhRRHF33gwVlNvEx/x+DsakvRyuf
Ho2cOTNU187PFqmX6W1D9F8xOJYktlrAYXhyV4Qio8Sb2ajsoqYhGsZOUjWxAuYoDjUdCOnel5m9
JJmDDFbXTJvh04oC7inV+TDck1HJBGqEmfPayzQHqodHwKH1KdolZLjW7gp4hH+Tp8PSBybqmgof
quLDVLSRs3HLpLwfUiU+oSJRITMhEYNISCedLfMS7pGv0VfSwROOvVQ3It5m1IB3eJgx9pOnDELL
kUp/xq5Xyp1thM4tATU9Pau6lNXWoqqi+2u3xJNQV2l1HdAubtXGngfgRE3Q6OR50ePCUkNeGiL7
T/Grj486HRX4HKsKv8wVjVp6lm300CE1tM4jn0juq26om/5Lpf3x1Q0tbukApYe9CHKyeJP3YoGs
uA1ME5NCJlinTJAOieq8et8WqoPmlTo48+MIVvtt6E6ZQRciSfwdW2cqv7kUAgBuBNZh1+aj9le0
vpud1wEg3oTQNje8wyoD/l6i7etBEOAirhBWrrJi7Ak1kiJC6TiYMAIzhQ8gUpXhn3WBm32s7Xnq
rum1+fWdTWNQ3SM1atV+ESe9Bnk7N1u3tEHxgNiezGM2yiTf1QA+fUZZahRbwiQFTcegzdNjItMp
II9Bw7vrwAJXN3C5MLwlhqG8pxK5Sn6Dvyzt772U6pmuCGEdYGaMrcG+XTbxPpYwVXS/FxWn0fLu
Gk6fsLvuzDhNwJYga2R8H6o4fY0MD7ZslJp+vLcnK4W9MSgbiRg6s6saR7nDIBmKIpQ63w9XltST
WnVBxR8Zcz6Jx9hRaFRljc7soFrhXvKFjec1lU8ertCyxR/mPMtuqa5CArUip7cAKYTSRBgWOkCy
2mlCky1s96PMJH167VV2CKpHgBrRmAyzddvX8hkVjdMx1GHaumZybaQUVwWDDz5w46U/DOq6L1v6
2GEIypOqZdI7uvwLxGZym08+maQPfkO7aB0iNb+lCWCjDxZhOa+Ylc7tBmHI/JEVkYnqEMRmsU19
BQhgMPgS02KumRQlsf8ENMXsF/gxHNGgRU8AO8dMXx3tDvW+Hgro3QyP1ElrBweiTogpWsV5kdk7
ukLJaxxQKez6ZkmYQT8n5cHyyJ/eYIc1P1ueGGvQY+HUoOAvp3vUzhlJkGnvvPg5Y+UVSHKT3qyo
FQBnRthojv2E73uk8gqSZSzIWymwB6wFljB6kCa0Cb4hmXqaKhuLgskosl0ZmGPh2sSNSwCrNv9O
ATUMJMn4vdqC5KRMZaKEFTevxCBQEBpG/C3a4o/25/8xleBtKMH//H/N5WIv5pT/vFO/fy6q57c2
l69//ttO3bB86y8kZLjhbeF7eI2wTf1rq050wF84uDDBWa50v6YU/BOPgpsFmxXuJ0EONoaoJU3p
X1v1JVbFZIuPa4bYFdxn3h8FpCwe/TeGK34RieUOMbbEJkpUqotD5+1WPWp6SNZyth5sZlXZSqGm
ytdMPuuXOgljdpAIM43IijQzqDrHegHQjyg2NJH+WTmYzQgUtMa6UPgB6nCGv5DccyFuEC/MCDPM
Za4bZRPqFjyS1X06G59oJjMqKu2x+mw6iP1WJcKjcRuScXKHa4txcOjGJH8vSq5625te/MLmH8Qy
ewV2jVhLZrkrury+SRx3yZseB7SrjJD6bQ1N0PhoxF5wnehoQcUR73aWsWEWTO8RYFINz99IETyy
Pw/D/b7ZsVxBTK7wD1zuI5/6r2bSN5ZGxZ2lus6Xgi0J1wya1LqgFN68eaZuvjmP3kbufm9Z+3aU
xeBEqAXKGia939+nXLGfbiAqPRSl227LuFI77bQ4pe043joDJMdfH+8nDwanIjgx13FhF/vvDtjb
RTk7ypsehFlPBEBVw0ftSMPZjWFAlVWzAuUo/dJgjzUw5mGwfHq1rUPJOejKZT/V0dhI3dL9UpRm
9zeiBzwZHkRsf935Y0dnG7XyvcuXMV/btUtMlD954Vqj9qsQI5YFqOFRtVsGfKJnGuNl1WaemUUy
ZRznjmmnX4qVW7jpdWstQHnXqSeiG8Lwiv1Nb22EW9fnMIybOxGH+lPMMDJbG23vPIPGVa8ubBtQ
MS5I0pU7LK32X1/BH+6Y8Ci3qP0sG4MbV/H7O4bDGQ+3Fvqhi8rXcK7OI4NrM9vBwcjC5Nvt+v+r
7//wLJ8lEsAIYYQ8kC5sqDf3YfM+cpvtRV0TOk6O1bfc7bcr80//rn9WajMgNgYZg4cl9Gvy1H+t
1Pwr1mAstw7BsryE3Op/LdWW+ZfDIJZtvY/PnZ4qVtJ/mqrmX7bE64yJXKKA5y36k6YqH47vV+r3
l+F9JmcQsWlOejdFdHoeU6r41t8Fq6RbTmxmmclOV5m/QaZCpTHNjw0Ov3ILaQACrozXHhTORSS8
cnn7Fv/bwf8CV9A1zwJx1zQ3IrzCB0cElpsf/PmD7C9S/wVdMSFuiBe6L417a7kXYfQwoA6OIASu
CdW2vOckxuJ2ZfRXfn1s7PNW3FTywk1vhvY847/PjfB8Tq5bvZeSuM/wnE4eJPYrYB8rf5rXcwcC
eR9RjJjZZ788hOHdGJyIaawMJn4Qo90rNU8rSEP06XZ1flmkNyQ7CQv2+zm6XlE+MAHJQP5j3E0P
tjqLx2cbh4mq4KLCdk/7u2K6j52H2Twzsg/W/GnIzvz4MmwPRXcmWNjGPR5q6MyiPqT53sP1ZoWr
OT8F8MTx0EBHz67JSxbJzvWu4+CCpOQ0P29pjsZHBwMVKh9z1YZw6I/z8NGodjnqSXPYOemNb4Ao
OfjDQc1PGy86GPq4/Kfaze6HWN/22UM9mhTh52RJlN6Vcu+b9j7ML9P4sIhaGZsjWCpXZYPobNOl
+0kclXGgwWRnl7W1s+t9E19/fVn+aB35+ZTlv+EAhSinXy0FD1UZfV+YLX/+n9fdd/7yHZYWj009
A4/lnf53YRb85TAnwWe8DFCIP/33625Y3l/LnwahQtg2jIBl9PJPZWa7f+FZh5EkJXlQMFP/CHpk
/VBXYFKnnUGBZtMaMR2O9LYy8zM6InGivUeNF+fC7ar2LEgLBnSpiO48MssOQBrKB7BHhA9XWVAd
2I7qM9Stag1kWTH+na1oFVtq/jaK+48Vz49fNipGG/N2gBMbjMM7VlGhEWREidE9hmasNmE39LRz
G+umWSaeCkf0t4/bfzzeD1dCcDxuh23hGKcUeodliAcXPvgUDY84qPptPtJ7KtLW+s33+h31g7+X
w1jYcV3OSOI6eXfB47DOEEDGwyMxBSSwGEEFbz2WBsPhYLyTPVyKOJVAQWxm3h1AY8a0qv9NNblc
u//ynfMjmKXT66fw8kjp5PH8/q4nWeq2pK9UJxpqCCRs23iaGhr1kDL6D5MyO/w/BebbpgKIhBjg
N2XmjxeBWo/ZIhsMIZkWLnH1b586A9XLbFWWPpXkT8BaAVHb2xp1pElsTOX5w6b3UtDXTauvUu0+
UQamv7kRP9xuZiEkqZFU6vP9NN8XTmWXGXBHIwRRNl2DoLDbTaco4N+sBT8pqJcT+f5CcxTe34VG
whtGzuR3J6ppXTVWrLtTIxx1ZicI9U1as3tFasFvDmX9sMkioo6QYmoBx6V0l8un/c0WYa6H0arc
aTpNFvC6FrfJlVGFzpmZyeA4oOyB9FjHFgIZ40mMSuwRMnYHEKnJB/oq2HDxSIrfBNEuT/P3508t
szjzTOa9lu0tv/nNb3L9omF8r8aTcIxPPaPcrYK3nWrYBDmpRoROrf/0gmP+CqisXEy5Lpvi7w9o
S6Yhos6nE/Thbtvjxt5E9ggbvUj83zzFP9xbQiwti8fXlsv0OViesDfn1qG/AIpaDae8J8YOzQd6
/2AgFsxFW/Hrs1r2x99dRg7loBxm6ZBMM9+jgsq6Ses4HPtTb5TFTkOUPoakRK1D5Xl31SSAdvrK
x51ZONtfH/lnJ0nusSmoMqHj+e927mnXx4jQlD4VwCwO7DUMlGJY6V1vin9zqB8WfE7SM5cGBvmg
7GffXU8NXTwJZlufQje8QJT/ZA1MuzSpJKu4dT7/+rx+eDA5GN9P9k6STy0X9fub59dkBQzsx044
kYJkxX6gXGcw/w54uuoLFLfFeU/T+jePzE+OaqGX4KvP6o2mYrkEbx4ZNdOIIMbHPM1ZEX7OxhLS
t0rAV9jGAUUysKnJcF5/fabLZXv37FgeN5C2ECfruO/eCH6FO+ALME9DFA1QnMNsTcBSfvjjo9g2
ixxKDPCCfvDu61kOI3TDLpxPoo2Dbey1tFwdHf7mG71gWd6fDNfNQ1jiLRvf9xC0cEKKVXuDOJH4
cVkw+K0jc2129U2e9BeDIsT9Y+eDmEsxs560GW1TczqA816JiPJBn3590j95OZZKATUL9RidmXcv
B6L62qB/Kk5SEbWWoH2uNNOM8v/mrCXFAr0zx8e//m5lnzD8zwNZ7rhpMbOfgd92zpNLeT/SALnl
IthnzRc2MNFLsEC8frP2/Owk3x783ZuCojEnEKoVpzK4dPsL37+K4vM/vY62LZCyWWy/PT5e7w4x
OMRv43fqPjjazPf5rEjSzHywbbmX/fFzykPKi09dafnL//v+DUSZ6bpx1gcn4jHRZNrIb5AF17+5
ZkvJ/+45tX0bkdPyZFDBf+17vXnRLR8cr2RDf5KMkJifITv+OxrzEhIy3laSTSobv5Ko5uY4Egq6
r7sufm3K3OwwIekUI0njuh8XdyAGhpBsUxwLbvlSeCXZ9mUHw2JpXzbRWpN41+1jD1/1am6YToBp
6KZzt4bzoNDiTCspug0S3yW3brGsHaKkWTa7bgf/D+9p8Ip8tfjdQvfjosP5OxSZdKWAvX3ddrw5
f0wnsAtw4J/KFus301hnrWrar79+bn4oYwN4rVzhRfBAQR28ey9gwNvKJvXnNC2gviy0AICHHbGL
RzsgNpY5xdRd9KM536RhljVbq82Lq1//hB8XJHfZoTk2tQ2d2fe7lJlUaIiIRnTyRjs40xr1mG1m
2cEYq3KbkXv3m7XgxwsrWFyp3U0+xyY5398/v5U7N4UFQuJkqoiYRYJcGAFn2ebXZ/XjheUo/PWC
/aUPjvfdC2lrK9Sp3WanmC81blin9mB4NuEhGwfvpiRakF5tGZ4hx7VXUxTVv1kQfnr8ZVsqWe/o
lr07SzK3oFj5ZXZiPpFc1R0tj6a0z5OKIkcgstqMWpOG51TGUxNbv6Pkfs1T/v6Tyel70hF02pAs
Lpnybz/TGjWrwUwsPeUxsm/T2PN5VedI/potWtX6IY0j6PRTmF70DnWDaOb80JAP8Ztn6yf3WrID
FhTQfFoD993PsMENeHAIspPFvGKvk45klp5kgF/f658exQFnRo3DehUs9+LNqzrOUdA0Pk9UhTJv
2+ZaH2sz/R318KdHYb1lmOQEfLff1Qf5WPilJ7PsJDrDWo1jXG9S1Hi/WXffAdX4FnO7vP/N3Zk1
V6pjWfgX0YEAAXqFMxnb6SFtpzNfFDmZeRBCIPj1vc6t7ipbNzPdV48dUU9ZcWUdoWFra+31YeMN
kQ89R3jGiaz4jKeY2a2eVshloF/p5bVDz1LBXNIUvuq3sG9avIStAfvUL6JAlT1rHyEycL9DQFam
wEnpvd/xlyjS80vkKgdeX0sE0p6zdesLqR0PNa54T0ooBP/7pqzpFwlDopTPBMYkf/4yv1gF+DHU
Y+dfc76uv/0yns6RsOYKxhR4+TmqCGsdZAeQOSFVhE2Hd3Zd77+1nXc3zKt6Zws4vxkaRxiGEka+
SFTDwjs0r26gDCIJjnv3U9dAnIWxQzWJMwCs6sKyB3wfZApRcnJahHIPgi4U5UB8vdew8TnkNS8s
1gJc4IDoDlFwE5hjESLzw5a2q54YMC0X0i37w1IE3Ttr4TyixsKHvQY0z+e/gxSbESvPZ1XKNG/l
0xbDh4TXujiULG9BcWu3i62n+p2/94tBjs7nBrJNvhtgjRvLIkRtGKbrKJ/YMn8eIgoyR+HhDZKE
68Wm/fCZTPMzTHxgVNUv1QUUpW6iXeS9/RHOFX+ebn/LyiAP4yICQ5gZI2kJTMvb+VbA+K2p1m56
ygOPCLxxTTLDRand5wzVy5j18hMGDr7DedACRVHkT0Up3Hcm/d8ykude4CynSGDgroSl/LYXwsF3
rv1oOqcM4lQ1YvqE8DS/WGDts19cBVVFByB5MLbdYYWP+LdJ+esDd7yfAPXe9ut0D2Np9k7CLPLf
zgycBUiaIV2LOegFiDfO//+rXZL0S9yhYmd+jnDag2o5VM+hlNOScOpTLxmjGPVgcpQwdgPVnV7n
kGY/h2INJnCpoGVJ1sZvPohO8S8FmYCQQTEkvQ6jwgcoc5lRO9OGsOVKthx1vG0AC/TEWQuUIcFD
FK8YDUOJe85Q8wYtafcg4I2HnL5Pm1u5SHKHdFtbIX9TBg+eHFAh4lPhOukIpceXHAUn33ucqA8g
KMF5QWyyqxKNa9qaoEyqgs8VVHf38+J0XzpU+D2tMcNzB1XwmU5A6SyqFOXfxVdUuG4VCkNqBn5D
2F2PYEx+h69yh1OJejBC3Nb+oSeF/wOGFfBnqaBW/+bPcYm3mFAH3wjLxV2wuXgvPwtEXVTIuwhm
4TaWX5Wwcfo+sAgF9d2C4NynakNJD2PjgyNRUoNM7MC2FK/94ML3xVB9druW/+tq8I9eJf6/aksQ
Gf9eW/JU/py6r+3rN0zvfLP+nzoQvEui1B4ZNdx18Th6Dsb+9YaB9Px/kQCGAVgUSNFHDBvG/5qo
+v91dlAl+J8Hq3KoUP79ghFDqoKdDuEM0gQUa8n7Jy+Wb+MKB0knvIGcb3Nv1yNcX1dAiHud8S7c
garurP4/uin+p2XjUgFbJjJCu7dkxbR89+v6O6pLvrwa3tt/HSivZRa/67Sx2w+VxoHtwL5kqqKz
bwW5r8+oKKvGPSOOw87MGt1USxbBigfWj+1NU8N6365xI65iA8KpxSuWjEbqiqESACRSKNHsGjfO
nTjEHRF8pyWLoas7+LXT7XvGuncCmt8Muhk5aPhOusKDC2IPE1MonXGjBqEysuz7OXvy6lzIy6Ka
YnzETORiRiH1yC9ZvS6WfT//pletr+AohHwDLauOhwxYoX3Bone+6PnL/Sfk+fc094wDbUF5ztln
bs4auJd4J9BlpTyi9LQWXxEBbTBwWGE2Cen77FxCXuNZfuy/XjFe/SQPEldvGjlMRkacm7OHMsBG
rXbj9Ve49apxlE1Cbs2DKQthdnkLQ1NxPdLgncvpbybSX7fGV40PtYop6tpR/B6xaz66fVbXuf5H
ce6/P4d5P4op1KGhcqfMgX/xPbTy6sFxWrstzcyv6XirdIfi3awrl5+gxO5IL3/YrV1jt/Q8CFxl
6ys43AyM31Fwli5KD1TCf0kG/o+vs/8ZF2MFxGqGNxArVAbL4+nIJhRLEwWFiV3vjQ0Z1e08qqYB
AzM515KEe6nnB6umibEdEwWkbUQilaFcAWoy+PZ0t8E2zZbjYmzI8CtxIyUELCLzAUDrBoXiqMSi
duNivqLlTYAieqdH58XIEtmF+a7h253dyBgB/oAiwHDL0fWR+RDUrZwM35hP6q9/bv7czC82NmLs
yEUEuMeAu0vm5Y7jJ6iB4JmC/8O92NgKvT4t3Ys//6XfbAhm7g8OWH4k8dKRITyuLsmZxgL3y9ru
G7jGFy7jaUN9lz9l3QCl/lFUZXmjy2izPBdd49SFSQxfJMCPYAuP3h4181D5o4jCbmiMb9w4LKpR
Yj9lgx+yz4AJrs/DRrx3zq7fDbzxiSc2V5AR4xMPhVLpX5z7shPvXfl+PX9MUInXiHVY8khm1UiX
F9FQ7xJ1q9GtswoP1sUQ2dcHBt9lq5H62yuyW3jjihqUEfWr7Npv8G6mxubR5isgVfs2fAiANoU+
GtYCTYV6QK6h2tM7u6a9t02DjeIFNWzIANaTn8AD3TtIFtg1bRwp/QCqr48Xiwz2DNdQYAPaGFgd
hMgQvu01XIxqEJLJlPmD92Op1ysYr1v12j/Xvb8O1ZYQXhNxgKPEnXPgFooXvVXMciswBntEfRlI
lwhrmhj8GhY/BN7w0WawffNpcVFLNQ5DPGVQLlxV7nyxwgTermljsKFi6NB2juAV71wolXc+03Fd
rIYEGrG3w13A0XoeXOyOsOCqrzdS62O/eMMnm65DrfW2dUU4TH+rXGZsPK48TzzUHNu1bOy61Ks0
DDO8MXNA2wTNEvVj7+lSfr0rImv8ttOQxvte0Tlj1jXRjdLlYx8Tq0/pnQmQrye3RnLAqYYNvZ6g
qW3d8KHQKKO2GhITSrjh7cFRcJDPSE1TuDokeW85JGeN5et+l8wFsQT2URmgS18Zme5FU9rFSJDH
vG17GFcYMObDmOkChltLX4ujQsXU3m5QjI854MG8QD3kmCGTB/8lGCZUnt0maFL65hg+YC0KEVF5
30W7MHJ+sGh7sev2eW6+uiPREGbyfojpDZHll2Lt7yqUkNg1bWyw/QLWTI1auAxjg0LAn9DLW05A
Y3sd/JjK+DzWsIiCv8Z3JAssv6JxlMXy7OU24HCPuvxHAeBb4i/ym914GNvruuixUqgSzTyt4VHU
qp+cBHa7VGTsrjHM2GEZViH9v3rHKSJ7FDfZbSWmoCyUcG0Mg2aEbYt7O4/hM2/hGfbnITkvjr+H
/sgvvp19Q+yg3hhECVix93iYUKKp85Q1rfjZth6sV4IqHq3u6wBIv/1Tcd2qqMrpmLEon+qd2zB2
mFAA9B427zebeWSs/7UL4PdG0P686msqQWnw6P2fR+l3TRubOUOh3KAlPq4cwhWOUXDCcJzgPaHz
71o3BiaXPRjLE8FRwbqLEH5O6yyt0qfeX280rzaXBb7lwEbggIPlAywa2zMgpQUa3G5YjF2gr/TW
au4AL0DgQFyoxOeN3TbwV9HNq46j0p7kKFPH1gU/c9QmB7D06r0nu34b+wACISVDhX0RRcGp1B8R
ZO2sWg6NXUAyeE4ACQVLOch0xUCTPrq2a9k4l3N3BnCScIx1GKoE1twPfQNroD83fp7Hv9gFzuZU
r88gd/bdPNSLzDhI9qgcH3zB7ruwo/0TVzR6/PNf+c08NxVeSz8uXE9SZHG7Mah/sb+Hc/DOT/hN
46Gx+tkopiisMPJAgZ3qcEpFzC0/qrH6vaJBhB8xkVWAAcN98zQjCLUaElNbV0tsupMXi8yVPySc
UKrKboqHxtHvwgYJZtbocyCBVgrqE6rzSsuhNpZ9oKqZdjCNzqquiJJlhioOOmDLETHO/y5Yll6W
iBHPIAZIhCK5W/vKsztKQ2PlK/isc0iNMQXhBtEoUE2394Rgv5mA59r012vIQZ3zUvQYcR3DjFLA
3VnzC6tZAobim6YxuBNKMbH2p44epwbkZtyz7Jo2Vn4NfxHgh0IMiA53lfwIIZ3dh6TGgiSwmwUZ
FkMtF283xPGhqxy7cweV9m/GA8dc7qOmW2R+u6a9ZnBmeC8e+t1XPP/7q3PHVdjuBlwgMnC1dto7
u2gQy14bS1LAzr2eVkwQH2eD8pqrdX6P8Py7XhsrskTJDKrPfJE5W+XdB75ak9GvPMvpZyxJgsc5
8GsC7CU+GDVkjB4kTC7/PP/O8+wXJw81FmQEUcWWK2Q9IzgjC5hg46Fo1cQHsQo1Gz9QXrbqFCTO
VtptXoGxTMeNQ8vctVhLIdktgfzGydRYtm2uUw5sRo/a+Kwe4c688fjsbFxZZhTMqgShiBMCagb5
s16zNhYXzWh5eJoS2bUi0LQGaLpX+s7tvI+sDN9hOP9magbGWm3HEr5cNcF4Q7gdwraev2+J8Ou5
Y4o9yzFwqcNqkZGtClJYcMOGsvXp7s8z83cdN2b9SCLB4UUjMrqBUqAjCu1PZZfoQ/3Z220mUNtZ
jYtZ2MOzFQWHQxJqKHmseu4bUxyX/dqbNxyhrFGTt4PDGjySWdP32vIPGPNctRBSgtkqMlxdUuC2
4SnnWzZtnEcA70ThVmEmRmdjx7W+nUDwtRsW40DiEKDlK6sEhkVcVrD/xoPg3q5pY5JLKGsXFA/i
rHNc2Pjlh7xr7+yaPk/PVweSdsjo5W47ZgsFEigfmgEsSZBbv9s1bxxKFcQYlDcrpBJtSe51QfVJ
bjH9ade697bzsccZGHQCMVHl/azG4hk+npY50L/qSV4NzLpNZze+RmS15F9DZ/wAGwbbto3lWQLr
1y9woM+akf1EYUY6eOo9qfJv9hVTdOTOKgRJDB+0d1zA7Jlmw7rTYFXNdjPGM1anmOKl8xg2rrqE
lx+Z2+MsK7vpYupdS8cHCQ8IpiyUy4et5ReBCK20IkjWvp0rvQ/rMxQmIMpwvE8jjTM1vxeanze+
XwQZZklxAeC0w4Hhy8YG9ad3REyiOsS+g/kCivMMfFex0adqnqJqH9MB+EBoTOVs+cOMFQy1gd8A
3yuychEvddRtqR8JOzGVZ2qSHJBZp1meH0cmBoofxObFhqpaq+VrimBiMBKZN04ia8X61PnxE8Kz
Z7umjdO18j0NnBNSR6zf3Je5hOPzBou/9xIav1tkxgKeNwk4klAI42HMOQG1CcMpGNJb9d3UqXA5
cFF3GJZVFrcwUAZTy7c8u836SBcypqIbMFngZXECuvMRRA67DJKpUAkh6xMTnkgy7Xd7XeSXwC7e
242IsXYnZ0PdwwbOqPIruITlcMmdlWWOxFSndHPZgGt7jh7ds9s1lM2oA7Trt7E0wYZo4OqM217p
0mdvjg51o+xWvSnaY6prNocsiNbz4DSDuJKuHexL7frtvd0rG2S6IcKKED56+e3Y8mtZx3ZZelOy
1wRSAnuNlQPLYw7UBCzFSuJ+s+u3sSwRxwTddr4Cg0/yBb6lrUoJRFNratW8qS5CCQCNlg4ph0nz
u5KHCV+IXfD4N2mRgCU6OcelAWrVYSTtAxAEg2+7fhtBb4By1WCGQVsm/YXDj5f+bMPNMqNx9tN5
HUAKQECVP7oCrERgQ319Df6s3VwxPUnUNgFaHKFpPZbZwBGsy/zebkiMldnEI9hDMR8yNvEn2HLf
A5Vo2bQR8jrL6i8Tx6KPVXXFlXzqYpSH23XbezvYWjb17CusejqPP7AHXIm2s4ulTdmJ9GDIz0as
+UmXx9DJL4EMONj12liWfSnjSE9IAoZbvY9Q8KuW/qNN0/BxMwZkk1NVkXrI3Gr6oUdUwqN6xWqw
iSk5mWJN4X6Bbgdszrbc+QBVuWXTxooEl7RAyhIrEvXRd9FQ3DPmnOxGxFiP8bD64Exjg/WV+1gA
AbCFdusRJYhvB7tnM3w753bIIuE+opoJlfEenH3t+m2syEl7S1WfDzRUrxxgZjUl0+LZPSkQU3ZH
aS/aqh5xZ+ljBxgywp6daJFWwSZhxqokHNaCwYhzgQb8qBd2U+BF1G5UjDi29WHLPOdiyLSTf4ZP
+cfOaaz0yqgLevs1Z6pnn204cjwqAePqHJ3k81pYrXkUMb9tPRh0OMHyG/GJw2BQ3CnQXWRoN8dN
ERHiB+LDJW3IQtV9jCf2MBX6s9WAmxqiAlsTgLS49i9zCBvBuNsBo8bt5rhZSBkpr4rzBdNwAJIx
CVitUDs/7e16bqzOyGnmvjvnbx1d7GXt7dqYWH5MY21WqGNanREJOSqXFcC2OU9qFyoou44bB+bC
p2Wq6SoysMlRhalBsQFf1XLIjbXZSUUlz7EdKuWj8gTUvrJ07UQ5xPT3Cktv2FyF76mlPuRB9Tjm
0u5gM73v5rruZlYiiggD0KBhuvGR5LOVagNVgm/XZk48GGgo3HgAHF8SGAFs+8CdhN2Im3KisnGA
DenlkJVYN+Aef6cLsTw3TTkRgL5Vs8FlP8MJR4C/qwEIAFgODn47q7loinyY9gIOe60h41wco3V+
qEhl9VKByo+3o760xRS256y2IwrAAAoFPrIW77mtnZfi33NQMNJ52zrc8aON47jICkGvqOtfwGjL
bn2aIh8oH0DSa1Dupnv/zBgpYBDbvmc19st+h1AIvu23O4QAZ3axOglNwx0bPJZOtXRsPmeIesu3
rRfAHOZKM3WShKidX7if4KWvbcYFjcdvG48CAh7XiK5Lfz0O8IpdeqstEU0b8SGKdz0Np0Z1gnm2
AIVgArMo720OCjRuRIiyjHieM1+dxqBmqYKVxZ1mi7z98woyXAP+pz4MzRvznE1bLMLelScX0HL3
BNT46HwoBnYG74JvxD82WFPxCUYWS3HMw3DEAyxd5vE4Mt1Xx8aFbx/qQZmuPxSbFkDc+EsTWIWZ
8D4xRpY2Uz3PSwNXOQK4W0PIC/Qx3/78038zl01Jwlw7lLdQw522of0c0LxKUPhkN5NNTcIMyFwR
geV1AtvmVDZxmRDBf9r1+/x7Xj11bFsr6jgo5EnPg5cIMQO8VNHYbpn8zbXEzUu9kfI84jUQkRG8
ECjdGsvWjfNdzaKXk8CYK6xFOHXxPp1i+mI3MEb0rSo+I2OCrnNaPLvTcuGPztGuaWPfm8+kuzng
6DdIRfCvObGoubBq2pQgTO3ULqHEVPFgPprikRmMNqjurBo3FWV8puHcdVqeSONf0krvaCcs9yX/
7TSMZzcGfk6iaQZDoIU6F3UXjnbrxzSQKtuczqWzyFPtqj08YL0EmQMraTC2PGOehCDhFC0f5QkW
XO0OtOR2jxI43+aihtaNqcJ5BNpeRebT1kZiSvoWqLBElBO3CUywJRqHZFW1RU3cDr3Hl70oK1Fc
sWkJ/5m977/PA1NdptiSQ/yNRSTmR0cP17WqbHLgAKMYB7ALMAktMUVOcJj73GtwIfn4zlZ+Pqz+
Fk6haeOYmJfQy1Hdr04VC7pL3YsuU8xf3bQjMrIJw/E3jHOYTIK7k0uxpYMFDciJ/M5nEKqs1qmp
i/FLCJCbwcN8p9XRk591F9utJFNnj9Pd6TbYN5xctuZp5cPtE09tdtu5qeHNp4EM3YbGi0hcc9Hs
8lzYvE9huI2TItR131MYBJ/AB3F2bVjfODm30vCicWMHaMPAG93Fl6cmbOZ9GagvbVlbRrGmmmfy
l20sh0Ce1qq8hstSOk6N3RIytTxchOUKThDmYF6WJyB3eDoosKisJqEJGSpGv996glGJhwk0P38H
gJlNCiiEOfHbwyIENax1KnSclc2Rh10at+85ZZ/Dnl+sfd9Yl24Pw5l12iSUKk6igOQqSqt3Y/Ta
iI2ploBUEjTdaALTrKs4/Go30kYI54WjqEfYp59mSBGunRwGyrIKF7tgxTdO5oopuKV5Sp4i3i75
DhD37uw2NqCI1K77xtqE8VgUD3I6f80hHah6BA/g3q5pY2UyOoi1FAhYGg0soFcA1qtYYbdd+cbR
LMZoQC0AQpa2CY7LxJKCuXYT3NTxOKSZoq1B034TZY6jdsVgpZmEe5pxbvKuh5eXP2OCO6y4rnmL
MW/KyLLjxso8+7rGfHW7EwDVBAV8qjgAch/bJMTRd2Nxbm3ARiIEWi+L0k36RoKWp9tcdHZT0RTz
gL7QVbQZwKTp2iYRuE8Ma2534v/llfnqotWiyljwWsiTGkFl3IbLuiweraa5KdQpKsmkIK04QY2p
YMRIt9RxkcG2a91Yn+sMKjBQ6vpUsvkEUvMtwKZ2x7JnrE/A3+hYD5s+zdopdw6Mrfe6dy3Dfs9Y
oGVYySJEXfCpb+Kn3JN90lFtd3b+TadTI8FOPLGeoCyTh66evaNkYBJZDbmp1Bm9YFw7n+tTG62A
pnFX+23KxLr8tGvfWKZF15dIheGTOugyPAf2oXivfuLcxC8OUNMruK+JKvWMT+rSan5h+LzBPu+W
8TsstJtypyHZrJ6cLWrl3u63GMfqpoGqg0ezPoXTvSMdWCLafgXjXN3AEA7gYqBPFG81k0JVL7XK
k8PNzzhUnTVwNxpjlIpF3lQRORK7h1o0bSxXELacdiqJPuGKUYAuujVJOVomRUwFTx7AKR1W6frE
g7J+RO7IUckKbux7GQYCN/3fTCBj1VatGLmu2XDqhikKHqCVL7I5BGv6qpjinNxvviDDg8zrEuLw
FcTi/qsOF38t0pIPDeBoJXVz4LOQSey3DM+nAK3oLS/Gj6QNqbiEnaAqs3EW6/QBwOqS7WuXU34x
uYBM7rrGo+oC5v5LfA22oCD7jvt4Z5hpzngNe1GWPwcO3FLTZsMWAB8m0Y87SUPoPX0Gd6PTVCIZ
dRt4yqGHenKD/BjqkvPbZYiDdKOr1vuRrNncesETgij1LXD76Zo+DXfdvrhHuqmQeXyQvli/K/y1
NaV4vQpPkBt17MIHluDFGZVokxlWkHkKTHSUH+C+GPQfSeXNL5tmfZcUYStQgObiPeOi1z5tf5Bu
6+YTdeA6eipger+B2VA0+jDFobMeQFXQAOJ0SPVfOpLN4prC3N7/Au7Sqk4+cv9lCuf66lHmK81T
ThcXD7ukH5qLNl/y8UNbBD2wkZDAlru6d4lK65x1YRrNE+UHOORzmZ3LY4qd29VrcAOserkkjHsO
+7Zi0McL6kkFjWbD/OpTWcG4+MJZaBztdFhM7SEOWw/F4z7eB/ZhpJ2bhW4FmHa5WOM0CBQPb9ay
7O4Xr6r6c71wF9z1fjmhN6BBg26q+thNRS6bGIDyqqsPbj1y/6aG4U+TinYF37fb5m4AoLyV4SGq
FzIBzK5yJ2Vd1E+7TTsyT91lIiTJBQ+jC1AD+/4Ys611EhGw7WmRAhDnygfnPV3cOg+SbVVRfYBX
tcv2rVQ5HFv1qD6ppoFxtFO4izr6NHSinxvdRv/kg66eH32CWpxEwQih2zkOG1XKBYxxIpdHC/AI
q5Onmxi8r/gzAK2WIKdkuOgPYUKoGOSzqmJZJ0jrRuxUUukCCcw9ZNJ1gFWUTJ0fqlvFgpUXifTy
eUuqtvfXHUW1dXdQdbyWqcwhf8Fr7LbxtEc5JuJbP4rlfhw8Z0qDxuVl6sF7Nj80XAZ6R6qh/rpU
uZ4Tx+17PBR1leK72K3Z/CBUEH1C4oAXu2GhoPq1fOHLUeKfm5MCHwHem40I4hs8HYBq3DVi6Y+8
hQ8ltNOojSkSJxQNCqnqdULOcVSqWJ/Jygq9JlPUV/3PqGQj27llq/wrWPM2P70NPOSjEzv6O3hZ
xZc1r70HOILVIXIWpTPe87ze3LQMwmW7pMUyA3IL2vNA9hP3wuB2aVfqHlTeNt3FqrjXH4slqkUi
qZpvxKya7oC15au0p+PwYykDZP54CV+8Ex60nerorHP+CY8vej8oNxCXszO20eNCeyerZ/xLUs6V
jD5NQ9w2w76adAP76EXOQXMHh8mmeyEFjFL2vFZerJJ4AGA705Ofw/2tm3NanOE4Exn8BJb55Zri
x67jhyF0g/konMCLr4ZlOM8BJ8qxLeVDjs+FeyH/GBVzST7WygFicFYSJdnJIHJk0cKqHR47Aur9
j1j4bf5DMiR6du4IGlhalk3YXpZjEeiLLiRbc4PSs/Cp0bXjg/A9L/QA9qKSH7CbOjoNStWHh2YD
6yYZZ1a3j8u6+uwx7wnP4qEq5gvRcplnQ6jDlwbUWXVqgqhbrruuQ7jgtbP8FFKmIAMqVPUyNfN0
2xeag+M+YEU5qdy8uv1Yqc3hO7IhxkhmCZeqHSyzV3F0B8wJ1wmL+INmPHePMLQRYM8gVHNQuh3l
/j7SFct3Mi7hn1PANc7ZV46zfA27uBMXPciL/oa9I1lITs/De+/BXXXdYgSQBQ+Sgq8JOLk3Wy5B
H5Z3tTOybY8tIUIP4baO3bmLeeAepoa75MKBwXdPdvD4lk9ipciXkVCyryPxo8vY75frcHSqHtYV
ZesfaYMKqEOARTBd4wDMWlDVxcIu4CB0zZawlBdFFWzXcdiJK6S1cLr7XeV66Rp1vDr0YNPA3DpA
xjjBAmVfmpmtH1gRNBFYQ8tnrxLsB2Ui/+bB7rm7G6Jyw0woSUHS0C3jnRakxoEItqgO6cqTGPm4
BLbe5bdgjg9zUMOcsQN4AQn0YqdnAm/YiR9LrU+BC5AKLfB0JCP/OIISkjCy3vBWj/BuACEFXAOd
FD7tMC+rO4QRIJOHTKVKO0uyLct9DeObHY9gQcD7qL+qPO9ak3pHo/GZL8588Nyq3J0BWDuUzVxt
0bgilVfHzm6CzGjH25mlRe/MDHB7BYP0PGoL7M5NdM3i5kGtI3jvgf4WcT4dGlEHO5ALl4dozvud
qLhUu5aOImUQoylM2zjH9kNBXxAa7wVQBTzUAW4QDnZ4HG3d4xo72A9zwZIAHzd16pYkAVmvycqP
pNLXbB7dfZRLDUFvW4B+XJfpKt0PTag+YxjDPYgs5IRE1rci4Nve95edN3d8B8vCF7a45d6BaUoa
Q3mDAEA3B3iYHdeWizRn7pS6QDEfNkVu3Ta+UWuEul9wHEpaqRRUhg6VxerYBoJdDUFznRd62YXh
etd041AfSu18DjQOhDqvL2Eue01y3iecyMd+qeNMhvEIqHf4AkvaD7zGc3EKB6troNUmrIRegzMZ
X+HKuZ1PgBj377nHFgR2HTQZHh8RbQGXKQ+FH9ZJrIs59ZrCSUHAuc8jHp28iY87FyBDYDb8/VA3
qV94A/DOMCgYXPw3UdfwZIZN/76hQX2BZEWYJ2QBUKdG0hmw8obeooAKeDU33+EH8W63QWRaJEO0
yVuPk/BlCfMp37G59B7KHgXLOzE3eHQksNOtruByT5E7mBXguRtl0W5xO14cedwUdYrfR7yUOm1O
DqhLJjpze59ch65zxuhyrXiixz4+G7h3u6GCJf5F3OThp6FtKWze10k/Q7gYugd4RuSfwBJaJGK+
poChmxfEGjNznMeED+X2CJYK3fZx7pVpu3beJ9mBp5KMVTl+igbBX0aOlx9QYhVGR9VYU1hOIkIF
RFltOECQKPsQOrpZ78eO8S6LOChdh9HjLpiGrQPe70DGNtjFoBzNJ79b8g+S5lIdGz+ov7TbVIen
QILZsIu9AtPKGyTc4Pp2ZQp0zwZ9DWK8Itz5rCTfZQS102PRu41KvAHJVuRIF/HswstHIaiKy+ZU
5kP31E9rMHzugfp+mVCJViZj6K8AaiIixtvV0pFgt1Kcabdz0fb93lMNo3joWxugiVvRf3RJkNf7
oS8wIYWKdY5fO0HTW6hovJmWhW8ITYDbSWA1rrrbQQz87AHZ+QQbSwVaEzKsVB6Y7DaSjDUHFjka
ObkRk7fVH2HpyOTNCJdNcRhcJYtDRXLEhkgwhzpdtOfB7GzouukwD361C3rXPSFo9ti6w1XwymFg
C5OKkCygQkaX8P/3EI/RbRv3DfaZT4DHbPoHXXPXwfwSznQcB7epdkVTVPyuhlzWvxA+3JwwFKio
T+aZFEXqRl6LfQV+kMmC79mcKLh7XTLpOhqAcK6q4Q4e5V11Q2CdVu4oQl6STP0Wr7e4t6BsJZBb
EO8RW9/6qG6dUlwRcJSCULZuO9gkhKhHDWiRxYRP0NeEkSrSAuaIeTJXm/ioVTx+DURcYWY4DAdk
WKGOJw3qYnnpnbjwEliUTI/dClYXqMTwdD6R9hyVhJo1/m6eELvDPiceL6eqd+BMFURfA+XTBymc
OgPYBxeKCh7r2ApJ8YH6UzAndT3rIGMFh+ke4/PlGATb9lLPVD7hVhdHSTOMORBVnnvycl7snXpp
px1MakRw9ANH67SfA6LvJlJNa+r3zbzDXhc/b6rOnWSGTB6l4MPQPTugjep92yAWuBLYebebGuFq
oqACPORh17vf3En6IBm0tOqOk7PW/X5jhN8Dq8fK/eY4M8kiHQTskg9qfYAUsniBzmPmqRR9BxtY
hFsV3pMWQXZb0FxNc7t4cHo/B0YdqvOWUzvT/gfzqiC8jXiw7Ye1k1GK17+T5srViYQItE9yJ7im
IxyV0i2qkH8kbr5KJNpAmN+pMOBuWpRAZu1QSk/vRDk49/U4FziJpjq6i5eoUDcblcN4u5C1/dYt
nfZ2oAMXTrIWHo4nKf3R39Fh8z5Q0G5vS1kPKEhayueiWrV4zknYz6mfb+IChpaOs8MCqKOUN/K8
w6+wHcZuH0//zdmVLddta9lfuZV33gZAggC6OveBZ6QmS5bnF5YHheA8g8PX9zrJ7e4IdqI2qlKV
OLJweEBgY2PvNfS7ZZvhkDgXG7sycszyKOi2YNkNEDdEVJ+88gOSujKMIFGeg92DB3nclMqfYHc6
P6Bc7r/NBJ+bg95GHQ9AZCNJGsO1xIYMPXKVAfmzzxdqDqkY9VmjUxfpBTroMDaflvS6MMOS3GU9
Sd52hr8CeSOIGkb2IdOjPgiQovzdDI8YVLT8JStg2e3PBs7e/qgRvletD0mr9GFcgiS/m3J/807E
FOQGGnzze8j7ere1J4Jx74cgVUaV9FEZh//d5B9o5/v9bTow/WWBNk0REWSy86HndJLXIa3EeVVF
CTQVnMiBuaChbg8t77x3a0GDCEUEsashK36C9nF3gdl8bQ25C6a2vRo9GW7IKUoBn2dB/eSUpN2Q
RybZ1IOay+1zw5vkis6JuSs0boKRWiqa30qc4esXwKFXc9hWnIGnsTbteaFb+qmtp7U5dLOocdro
pTXHOqWkfYWaHC7lhiE9BBw2+YY7dPlYDKM5V9kWnjtpzGOPYBmz1U/Da7KMWXGPMn71lMhKgaus
13HPuqWCEGKK/Kbo+7tRJWUFJwIPYayF/eyHDritIGLAZW+Hbtmau7HNx+SQ8lm8ooD5juc0GXEt
rVbCv2JnX4o1BFabr/tuKSdcaFV7U5dLe+ZsCj4MaR5WyK+UmQ8VbXqsKhyKOdQ6MxWHTc2DaM1F
4+0W1Rl2nRQ8UftO1JcjocweadbcFSaAH12xXeXb2kXAjpPXQd5tNy1ZzHTLfLm82XBWdIcymWsw
sFIPc0cbEcbttCzsqk4m8UYPq9dg0nVV7FQY0E+YtcC/yvyi3sjB4x2D9UqCU3TZpzPs/uB6iDia
UW940FqmgMDrCl4t5fxEti3cPg8VT59qZlS7DwJSRIVe193ilbo8zcm6kmglbMSCGK/JthzgwEaz
Q1Xp5TZl+XlJq/u1GoIZxQkmYhz+gJxFW0ZqvvNaT31bE0nPZt2Gx4yyqdilS9/Du7CkQxcHEPjI
93IIttew0ZpgXlUG7HMHA+yPhk1+cCYVzqSd8fnSwWcuRS2npKh9rWy+HaAAj/SraLzTxFHv2M39
vOkrIjifrtcBTdldAAvn9sYriMTkz5q8KSAwNtzBfARuCbAikd1jPqfNsKvmtZrejFmT/YYmwwhH
RGwelGEg44lRtnA1O83gPH3jLZh/5i/hPW8quN023XaR4ZxgTHfmQJBCgFLlCdL7jAavcskavjMI
7LekSebPOisrcRJFCwAaolA+7GUB3+V9nmZNe6wF8BGBXtDlJU2BaDPClqLYNQHFydej4EvRE9cs
PLeiNkUM1Yiyiydj2kdRwKTluu2zEos6aLK9qQM4+VQ40HSEVL5VV6s/sSZCnwcE/4JUk34vL/Do
Pc6MNo04BCOaY1BUwbDve1hLHgXce7K7Jm0S3HoYjJMP06jNlzHJcABQw9BnNFpOcke7TD6WM8+T
XeeFPLshPioab3AJUGvsw4CJvmEpgPTfhM63+m6WxThBCmRO2amDi29/L6uq9Z+2tC70KYQJ7W9m
BKb6muK2vmHnFj1/RTMUCPa6zzLvPmUb4Vg+Go0I7PRB9jhEqa6n/bRWuE4vWur6HfSBhDn4I+N3
PqqbrIo8RJ3gnvGaXJE6h4/4LLrKj2CbVU3XeVZ0/ilnqiuOQYUZfAenqYEdlnRZg70ReY3zbR6r
+sM0rohuaHF1yyuKeuBndEK6NUpkQdJdBQWrZJ/Bmeux8jPO9g08aIDYmXGdjnCI6PfhlA/9cUo8
VA6mcWqR7IYDbe+KWqVsn8xCZI9LTbx2N66SzLu235bxXkx5d6jqCddGXEGq4pjIjKrfUEXi86GG
XVSHrhUS7WhAPap9DXSraSMp8AtxKWHgXEA4d9LmmAjUMT90NNUBjVC+CBVsA33fe9U1HgJtNWg5
xqFXq2wF7bMazE2BJEvDCNUwlnxO4Y6mI0Xg+hyNiWo/6wL/jQwp53MEHzR8j1SX/WcUvUNwp9AL
HXdp3uMFVbXY+vOMDyj3DVzKBApNQRV+Jo0Z6nPZ8oG/hrnXnBzCFGs8Yqto7gk8T4uvsvd6XHrL
PM33+Uq0AKKAZYEa9iDZLsGngW+e+uqbpkXhwXRTfgDy18P1qSrGYCeagahoQSq+uqHgbPIt7KiK
PEua9jyETXWuVS9foVYWOHZjbAJuT1vaQAalPcuRLPuyLppoq6EO69CggseE1ZBJYEAejmIBc64v
D4Nn7tdUHd2GtvqnNU6xYAygZGl6Bv92Uo47b+UuzVk8t9WI2VC692QD6D/uMDdy6+9wjXFBqQr6
HTQ/7zxAR9VFiSBfcZkbrtFWcpOtoDY0Pw3XCRrqoBRhr+d7UXb3uOY7oT3x5FbntEfbrlxJDg1/
4V/hyvqaEc8FxoOhLXSDj8Km34VgKwUBhAiElyFthziaS0sZo1tt0hLlXFPoC0PMD459Mb41gr91
WoU2LBjEchiChV571WXq0bQi7ubundvQVp8UmQSrIdbcXyW40tW02RVGuvSNMSHWtswBO8LVBbpK
KLgut3Im9FjP2k39gdqoYOW1KOKhe3Y1Me8Eifmn0RPv3ebE2pdLXyEIAkx7dWGGoGq08/LFbU5s
NHA5djAMGlOoj6Cxslt0hlbX2LktExsLTJFfLSPD+jak/OhX002QBi7YGgHrXPSS/4St6VcC1JEH
ZRPlV+ARVa/NlrhgjjC0tStZl3cMmqyg+QldfvF1xQ+syQrH0fnzB6fJMCuYWIGwLTd6BMT7bkXS
6XY6cAu/AKM1FlQGdNaUPSimT8Hwc/bX/2MDRW1ahwgmRXOD+F10KHEAvIc6WIPUy2mBc2tnqpSu
RQ8k6pUKp1NttuuFdie3oa0DMynnLu8FFsrG8yNn5EEV6oPb0Na2RI83hJA3xAiR1f+2LMUR2eVr
p6FtUkfVcMl9gwCL2lB7BDp1OxV9ZVwwewIu38/XYMpZ26had1f9wm9o6121ZfrG7cGtfYmOKHRw
O0gR8pBFYZCd1tDNOwYi9c+fOiEmR0kROwddSYAGoC2hnWhFmBBrU+IMrtkG2P8VCGqoxHnXCXEL
gTZ8Hqr3ad16eJFrNn6sFG33ZRa85Jd+2dbfIa/w2NZZqahsxhbd86tNk13jlzcBeUkk+PK+fjS0
tSMBBijhZNKDetuh9PGpgn7yJ1y1cKtC9YxvZyUHcr+SwO9fyFZ+CAIS1EY0DvNWCxDxi6sGXwLI
nixNbxa0v6+3mXXAPKBh/xpOAkkGpEtTugVjW5KMdRWja9Yjj2nG/EMQbmsdbUWXO+4zO/b4SyKT
DC8fxsb3XcpuG9q4PblNEtAqhIYuLodXdYN6Le7hn0reDm7h+DuaQFCiIEghlyPC5FDW5Z0vVieR
H2pzBHD8TUkz4LmHAU3BQXSR8gHBcQo+NktAjNlU8h7zPU7Zb7Xx345dpl8Y+xIKfrAhbJpAqjW6
6YA8XbUEGDvQkF4bPw/fJ6sT6h5FXysGwbKhYmoRLdL12o+Csfmcm/wlXYS/2M7+JYL8KV2CAkC2
rhTiNqjzYYn75fjUZg2rd2kiR71Li867T5rGMerZDIIs6fu8MdAB9fPhPV3ZrZhGl8IApskKTONU
t2jDQQxkU6ioeRVqnHVm6Atv+S8iqi0D2mR9lgxYlVf1HPq/aUImiHbOk6MwjU0goH4P0SIo01yh
J7q+JcmSf/T7SrttW5tD4Jdd2AtaY2rmsIkZ9XJ0d/P53mlz2TSCxWuXcjOQ5+IoJkEySqFezIbZ
rT5gS4FuBfxWxgC3J22WK0/xe883biHH5hAAHZbPIYByVwBU5mizBh0a8qHeXjjh2V9Eht///5/2
Vs39FIVL1VzN04iieaiL9W6EqiCgz4sxAyqEU/MGKird615T8rYG+MtDalSJbzKoims9+iIHnnxU
6Iqm3lvp+0DNcOQND9lYNB8LWfY9CKBk+TZ63GuPOOiH5IYiHQfKrMNYpjXJRUR9cRPwpjZxoe6G
NgBvqYbuRnfdd+1t3ii3EpON/8+W2QQzIEox8sInrdpd03hf3RaolY6XQMH2qsDQAbuFGnu/uR21
NvAfxsyjyYBqi9OlBNYcK6jMXkh6/iLc2Kh/k9AsHHAhjIFElg+X0+oR16vqk9OE2BKd4P2sKg0x
eo/mz7Km+zb75jaylYrTtOhLk7aYalJFS3ItK8fSqS3PmeRzq8KkUXE9HDwgjsXkZjJGfxew+NM2
ZTokbBkwMvfbwzrImxmaq27TYeXhs1/zbmowNFX50R+2PeRT3I47G9uvW5BLJ47FV/Mp3aXADgGg
V80Htwe3ElTQY7OUsU7FBaBpe2Lqe1NLJzKFoLajNtpzWx0KDB54fST4MQTGxemx7eYAuh/+sMAd
JRY1IA6yi+b8jdvI1s0YkGzGywvsnhY5yN8iUvNHt5Gti3GeL7MEZDWMRcDL3TYO+Y7W4Be4jW5t
yGBMvFKgLwYFbYJ25wRM3qYXJ4kJQW1lTiihJylQ6WGcc55do/GrD4AKZy8coH8RBG2/3wU4grAU
bRir0S9uWVMmb4AbdVziti2s6jwWDEC2xhJoJsPpscuZ2+4hViqa9+W8bKA1xJSYPWs+Zf3mdnG0
1TkzJeU80DGMx74Flv9btzlmoMQ6JAMgkHyYq2LkETCENKCvc9pKp/IjseU54WVdgmIR8Difzatk
W26HeXh0WeDEVudcAXRDQ5XzmHQ6hU92UkVzE7ql/URZmzOtwyzg28zjivuP4Bzc9+iUuj24tTOp
hP8BKTA0cpO4p+lVHzjltcTW55xN3kpoAAJOma7ZmQ7TdE6AJXGKKERdduufjsueiZxCxpHHiCv6
KDwy7sem0i5kSkFshc5hzf3BACgXGwUPIMGv+Fg4Tou1K+cZiry8nnjczmqfeAqcD6dARZR1WqZB
l9MtW3m8UlkdgJ8kB0WDl4hwPw6DxBbobAXQpsWE0eXM20PZZP6OIMtye522QKeH4unAZixDmHLc
NFP+vtkCp6vbH7S+P62UMdAQk6qw64dJ5p9xvRLzbh5yb3CLKraS3qpbIGOWbYlVQ856YLsR4DOn
zWnL6G2JVwTgHi5x2EHcYF7VGxjnOMVwwDSfb6B66ynIi9MSL7zVgL2n3XFMRHNyenJbuLQAGHsA
GQPvs231CbS34tyP1G2h28Klm5ZhRrTHY2BsXucJ8CVBHToGFtv9WJYGCoMMgwPWHEQUmMHdHJjQ
cZ1bYUtBiw54bcnjOc3BEAi6xIP6YpbmTpoegkjrtcJqSaAv2AdxtbV7s/U7Bg1Dt3dqRa6yobIj
TUniIUl2lCaxPzO3hW5Ll66CdDNcFUicGXgsLTlgdsopCyK2dClk3payHlISd1732LLyTVd5LlJV
gtjKpVWtSwD3DLCpFXsHb0sYqxez20KxdUtD34BrBUh9TFYGvHCm3s9ieXB6kbZuaVH1ZusqvcVg
GZcMBaDMvBmKys1Bj9iqpXWRL8zPBaLWFN6GdXUYFHG6pYCI8DxowexHwYM7X+KJCIjhlIdaJ45h
3Do9gTmkAw7OOa5bFMXQeSyifg0+uM24ldY2IdpFJFNzDD4EUED8FsB0t+e2kUsJa0e9Dd4Uo6i9
F4OOC5BjnZ7axi1NbTkNmQE5MhvWKAhY5HGnYi2xQUsNHNUXQZMpzsFIzWVyNE7qkYLYmKU8WFvd
TMGEFQICX8gFh9yTr9x25XeYpcavFui2TrEB82mvYcV38Gc3mzxio5ZgX+ezLDdTDBwtqH/0Np3d
DD2IbZAL2saSySY1cetPd8PU7IFEcwuCNmrJ+F0K9lFzYdAOoH4WReyV8je3BWjtyW5eunKdwinW
XMRz7+3TPnSLgbaMoVQGJOYMK3AJYOdX1mt91GT03HJOG7bEIZA49oROAJ755gCWF49SNdK907TY
uKWqy2cf9fYpzmrv9ZbPx6wIv7gNbd00BSz9Fk7yKaZeESesfpBb+c5t6PB57F4DmHpkfJxi+Cjf
J0y9Y7Wb2Dyx5Wh5W5sJV4gpBnvzVM7rWTg6ehIbsjTkel1mD09dMpJGAOdfgxbz1W1GrFyNlhd1
KtpOMQs/pGQ+0DpzS3pswFI9liOXoDLHDH5vWzWdOv6Sh+3ldX3faCbc2pNQ5AARYpqnWDTtqg6i
6kV2MEnPPqZoCoeRGILcrc5EbL/cZZwJJKcnBHM/u2ZlfzW2nlsktxFM+RQoDUu/MVZFu0sgmE+A
L3d6rTZ8Kdn8dmVNMMZrPidvB9JmN0kl3OxIia0FGoadwCHkjbFfaRJ5Uymu/aVZ3Y58G8QENYZ8
ynmGiFtf3AHVvkgzt4hrg5h8EsjZnzEt8xiefDXcTFA1cZtx61bVoE/pLb03xNugIvBrIect3C49
NoZpK9AE82cNQsQnCSpJ4zgsex4MQe/NFVTuxpgaDwT5PAaR2+12bIt/KpEj+qG8EU+egBVpfoZ8
w0sok78oAtmwHj9YDAF5eIwzUFyuZ+yiswdRM7dT08b1VEvYziA7DXGf87f+KkHvVdBkcFojNrKn
bMsOjKF1jMGlK6+mPnvb6n50u7/ayB7gDHwFX+khlqo65kKc84W7lSJtYI/WIs9MWo3xRsvHnPV7
XoKF7jYn/Pkq9BY/xY0hH+PKsN9AJP/UTNAYchvb2pPhKHuZl+MQs+aJg0NbqMwt/bHRO7ycOpaM
mOyk2XaAMxxh3Ol2btroHajCsLa/LOi0GuZzOBX9gctxeCG4XpKoHxydNnpHeTWdILky4OjM/asZ
iOXPXQvSJTB9WRccRsg50QgyW2B8Or0DG7Q4D8sMHSTVx5Xn9fu+6cFLhiCw0+A2WIiszQwcegv5
l5RsUSunblcm1AmHAUfp5yuzGrvAk6Yc4hrClMc2zNu9qCFR6/ToNlao8MalCnusTTppclNS6Brg
9ry6rU8bK6RhpaaBRO1jRetwr6vqAx9LN/NtYqOFeM0GubCujxsl7ur8IUvDR7dJsYJBCn+MAGSf
PvYLA6sI/1uhG7fyhw3YGXW29HWOofsG/CdE4iicJzcXHmKDZOeSNtnWBn1MaXqNib4Zh8btQLLR
QNCDkbOZmj6Wq4TSQRLVlVtHnNhSoLMiMAQOqj7OmuS4tU+MJG770sYDkQUqKT2RXQwQ8x62eDs5
Ot6zbDxQuGVMezAajvuijia1QAisdkuIbDDQWjUF6ElQe6iaNP0g5yW730jKvjitbVsDFLoTMlFh
28UpnEY55HyqxTElshFBclzBOi4w9Cz1uC/WKd+Jtl3cVqCNCmqmxpu7GqN3ND8VDWTJeOvWALIV
P/New3cnLSucdaD1p2lan/UEyK3bjLPnAby98M38rU5jCjQQUrkH2To29GzJz2yuOOjnSw6oCgWy
NqnL+V01QPPQ8dGtYi3CSZIMGuObcab7bis+QUXEsYJoY4MCDQWPuvf42QzqaoQUkUjc8B7EJg3r
rNp6E0AfpIE+N1Ri1wh6OI5tMWIVhtbNVJPXBheJJj/agDwKqdvetC17yZgFHTTMzLnLTHCUOt1O
YL0bt8PYxgYBHNmLlKfmXHjhjQe5FWVatyK2DQxq5ED5iCL2OWMbJK56dcuSzLFRaOOCynkeINmA
Wcn69U3flXkEKQXHvN9GBimvQlViuEzKBC2NWci4g9SlW9Jpg4P8vG+D+eJypiDxAS2vOdzh+d2K
CDY+qEq08cpFYPAkeYRB6/tkdskJQ2WDg/qqrQdIXJuzV0IOEVqCAvoEDrEQQ8vnsZBqKKTqmcG+
ZdF7wyTwQZ/dRrZ25dTTygSQJbloW38sveo4F73jfFjlWhySa6+bGQq93XLdmuyoNiePe8yHlWm2
aOMxrTtzNnmVHCHxRaEd3DCXCzNGty6eKoB1OVoc5twvYt+R/G2yORGGMbT//EWaqkBdpZvMeRzp
LUvTcpcy6tRex+DWiYn02JQ1hFzOUO65U0pAHF70LqEKY1tFW1GTrOl0Yc4zVBLxQSdfGMd1Yp2W
Q08KDt2Uix8UVOYEa6A8tDmVUkP1HSzI5EnbkdKcmwFtjrXYwsNC/W9Om8f27fUYsJET+MjnZulO
WxVGmCSXUwfPbe1LIscGdXIMLXixK4ds16aO3j42+CWBVDeEkTD0smxHBf1kTZTbq7ShL/3UkY30
2Dk5akJRU+dvJekdjbektS070KJ4v0DxG+KwO+5Phxq6M24v0tqWOZRmDPTpzPmiG4TmFdQEwye3
oa1NCYUZyBXBpPHsb8GxgVBNJFFtd3xua1fWFQyIcogPn6smf2TFl8YTLrB8rD9rU3Z1o+Augcn2
yYIzgZ/SbnTJjmGRalVmyOTnDdSykJgMsHUt9Qm8HpfLDoa2zknIcw4lRSv5DOe3KGz9XQh9Daf3
aENeeoqdUlS5OafZti9EPLaO/qU22qVkpmEGjjjnRdd71JOiunWCpGA+rHOSdP3akRrRL127ZZ9J
sJ23lDrOiLUfoUgYFjTFcyvVf4E09qMp19xxbP/5OSlK4gEnj7G1fzNRuYO+nOPI1n4sIUMeElwU
zlO7Rmvy1Mr3bgvE2otjqkM+LlggwNPsgeSO5rL74zD4j6/Lf6ZPzf0fFd7hX/+FP39F77PPUj1a
f/zXm6bCP/91+Z3//TvPf+Nfp6fm7nP1NNh/6dnvYNx/f+7+8/j52R8O9ZiN68P01K+vn4apHH8f
H094+Zv/3x/+4+n3Ud6s7dOvv3xtpnq8jAYBuvqXf/8o/vbrL79LGf3Hn8f/9w8vX+DXX26b7XP1
JesmBNs/xvvfX3r6PIy//hKQf0pfMJ+EkvkCHUCck/PT5Sc++SejDDpMECXEv8QF8l43/ah//cWj
5J8BkI3A7/shZz5kmX/5x9BAeA4/Y+E/ZSgpI1T5gaQBuoz/83jPXtD/vbB/1FN132T1OPz6y2WD
/V+hHsP4QgBNIP2QQSYSn/V8HRORcy/lwPQthHqQRG34TQUQ8UMXDpC0/vuF97yf/sdnQYoLKvIB
OqHELoAVRigzlO0cAZqSGNSjJWobKdBGX4cGirS+LNKf46H//pHS55QqGfjQYrZbYryQVZ6zbobW
7ww1W3/1DnWvsxei+Q++GCgEinEfilk+s3lWkKUCypVDylnDf0PHgtMQyu6ST0fNIEAazRwi+y+E
hx+8OKkIOAcBCwKoNVjnny7LVnCIPkcJOIZRGkCnfFfqDXz1UUwv4bV+9AUVdHtZSBUm0e7I5wn8
X1ghZ0j+1+2dXyv+DS493bnzDNSWsl69lOdczsE/L0ufC1g1CKY4lgn2j3UEY0ES0xSQ5DKzvibD
+mXRSXsNHt67IefqpqrDa+gpH/5+fV7OA/tDpSD4xACfye2ChB6TpUHXeomAbVoh6A2B6qFsfo7C
JSErIAkh4JjBohIb3074Dfph3kbKJYKljrnLRJvdQtn6y99/FXt14ENCIcPQZxIQUmYDNJa1llvb
4wBpOe3fqrlY7wsGSvpAp5fQ9T/4KME4NrRign//fYYgRS498zXK04JsO3jdzDzK/HX+AFDBtL3w
ji7XiufvSMoQ8YowLgIEEWthzLjkVQ2kxqOyyIITmt3dR92a6X2A4tcraFHTKgrzhbyw2ez1j+kE
lsjnSjJMamBjRtIx7LpWanwqDceHDMSq61yq+sZv2363rjX5OfLt74tE4n7M8fooQYi3Upcll50k
FRgRWdLJg8r85CzFupz+fpV8v+AlPgVCfNCXhkOJva1L+JAmEGnd0Ojo4FIDZfY9anIvpV8/mDxF
qA9xHCgm4ayzEpqk3ITeyAB2R8+6U1Nw7y7pMnHFMtH9BtOg7oUKwPexQyrKFOLH5YtR+xq29pD3
btpui7i/nfH9caHZVBc14/ShrSi0ansQqXr6Ai7iB9sAdgKwyQxg2IKDwMrsw4Cwqq+XLUK7RBz6
iTdHiBmrc+Jt09uffG2XGMV4CGivlAwyv8/P7C5sgYny1yAS0h9u5y3NT3Xd/dwtFksQcuskxL8E
dCilbxeZNg+FpYBCObZYsxWyspC/27eoCj3+5Je5RCkwHrHKcUJ/VynLOwmu5VjAVixsGzRNlcQJ
Df+Tn/wUhcRDKCRcOKBDgKafTxksOWEGErQMhii5B9MP6Bvh8ij+SH+fZb9/l0z52LEEfuH8Egl9
zN7zT1k5ZUbKCi8mkN5VX2zbvRRQas/DIT/+7Be6fBQsuCUSKsbsDhFZ0myd84twNtf+FkHUmQTx
2mbipVbLJaA+C7iKCyQs/BJrhY9U9Pl3ginL1ECLCFyENkwoYjpkCs8ZNHO9HRPrvO1GthbrDpi9
coy8YIFtn5xzufz09w2RfGDdc0rwCu07KParD/FoeP3ki1nSqxWS8uTE/OrFS+53+xi6TYJeogcS
VXyOtY+9JK/SHhYlUbk0AEyrTkTbtE3n1G/Zm599hyE+IODwqKDIcmwURbhBEqWvFhkNZmtfCS+o
z00hf84qF/sYFwx4nQcCttIUsd6KFmsNAQq/XGWUyzo9NIUPu69p1oe//y7Q2bYWisQdBiRVfCOC
w0TYBCee5flmxAyHclwaF7hzENhNkll334SE/8xHb8hyiCiLDvnpfsxaWDdFsB2EV186FLp+DPtB
VEe2dB3Cp+fBJKpni0f3LKlgFpAV1fZNcOO3dZRDqvApScom3wVJMFQRlKpJ/5iC0CqOCU7j/gCu
8lJXEU0ppH7IkmxwkBq035XZFZz2gOyLVmpWLkBh1kWg7hCk0xU9Ipar7CHXS2COM+w6Qn+P86wz
DzBqW02U48fBYauh3/4AAWt4otA2n0wEU2Kldl3OV3Fa0R3S11C/bt9xmLec/MYU1Q66QEP7KgmU
Jz7qHhDAWzJUYosCHzWRnTEhxMYBNxrVuciAqbnfFG/WeBngtfjgwfexO9IBHhw3yLfXCqBBMS08
qgF9UidTz9UCRxLKEpypBW/EAXZKGX/dwLZBH/UwwgPR37gXPBQVhyZOwZLuATxaChslwEpYBNmy
eYO2P5IruN7Ilh8nPrD6A3xAUnLVjLzw37KQ6C3dtQu01z+XOghBqJS1j0Zp6kPqAIoFU7Ufa9mN
5z4wokJ22zQCXjRz+qnIZ5nusn5hxb5aaPaW6MzbACRsPbYP1jzQsB3pm+xerDp8C/uTcj3Da6Wc
Y9ML/7dtMAvZl367oTtYiqbHWzMrqEBDVul2B0sP/ZBOBcRTK6Erug+boqyRh2L0B+0ZuAN6MAvJ
I7/i5bbTZbhAOXOqyhHODiRUVzUoc/dTB8PHN2sghzUehqDmCYJZNavq0Js0D9L9Ssp0RNN5GbT3
Reb9FPi7DbXH4a7PAXK5njOPw1vJy03/LavWLe4B70x2fluCM1KHKMxFAWI1VK7hVcT84wKP5v6x
Hbsp+7L2vPVhXlIT2asD1FFGWLgXofIY/NKShkAwrK66FELvaVeqWcANAvL+35TfkPEmkF05PE3Q
2ARSRUHEaEuPwerTO9hU1fpqaFO9HEwf0u6Mhxi+wiOg5qcEzmdQpCfdb94AYfZINdnoXaezEssU
IcGumvuOenQMcOXzffN1y5Mcb3XqPeXFatlC84XMFatP6aRK2FNAUB7kqYKjx1A3+TjvVQ6IawTt
5lTu+hquSXFvMjiibdBDTh+W0oe+OR2VUbfLqNvhpNOq+Qae3mhOesQe/loNvg5gxtXV1+OWkvWm
hFlieZxla2QMcXJKDis2z7wvNTd34+yn6fUyybF8LcsmhN5yBTOzA8A8HTtQX6fLftPQRINtQSLX
iCaFaQ9Fjth56Hw4C5/gF1S1O0RSnGDL1GIavFVtSEka+FwusKZ8t5YNMSeBIYNDMKDTHg1C6+Ig
gRluziPL/HQ3+mRqdsEAN6mdzE0KC4dBFE/bCNO3aNYlcMptBaeDM5/mev7Ii6ADvBA3HvhGwrDQ
v24HOODCKxJuYO+bZpqy1zNRdRuHspTbiTXzBDAlS0t+VPWo3nd8zG4JsCjpgZUXCz46Demtbjvg
LjbIlGeHImmb9jCngSwfu16WMMImDb28oGn+HBg1wj+vaPQb+COValf3QuU7WALUd8UCC+EdipsZ
2CYp7Eh3dAgYj/IQF/7zXGjK9/Wg4f6qsBs/NMIDktlby+phmPqa7MBK9e6KtegeEfihqV360oPR
JjOIGnU9jH2kq7Z400LPlu5YCpPOU7oksJLaoFDevloTRjTe3xgOxwFuurBEhPWXPLSw3cx2Y730
8hjQtut3zX+zdyY9khvbkv4rF71+FDg6yS2HiMiMHCuzqrJyQ2TWwHlwOifnr39flG7flqpxn1qL
BvoBDUhaqIaIjKD7OcfMjtlWjdlLTlfD6A4JaN044WSMdxY+v1c994V76i2vqsjrs8vuy5TPRZV2
8x5+EQ2FMyZlh+g1KTXbBiRMd9MZyfC4EL4BpZ3IOWCdVkizhOonrFVg7mYptp1Wcw5jijixISZ5
KnNK/uykcedcrD0psslf4kE5ML9WqHvihoic3a8LTot1IHvQVHEwd9t0TTjESFCoGDwcDbRyqitp
mphr5E1T2R+naRwJ/fPdPCTOAZ/1aFtbxl/ykWiGGqFDeXA6gJuUrCv/nWtNmreiJ592zj2X8BiW
wMzDUGawdIXfu/7rUmH+RehJa9bXes7zghQUqwfvKGZAiUHv/CRrjplSMri6rGJv6clMC3FGe9Fk
V64R20K1GWfWQpzdPvhOExvrSoxavtlCk8Iz0BRiITV+740xG1O31M0a80CRvqVDZz1tixoxgiEk
SRLKVXv5YaIGvJZ6XJ8qq3SnuDUER7FpRuN+MDLfIv+sWtaoafx8SGxMkKvrprbR++rQKDfuLnes
Dix2SDtZ5EbKIFBj9cNu7bGNp5Acu1jNrX4PBqkWMkedNUjrUc7c7SIPjAgbchVgYY2BR2qbjd0Q
xjLM5L0RK3Tsl0F1MaljjR1z6YYZN/IiPgdTV3RXZdsZc6oKqx0hE9eM7F2C+R5B/XQXC0USGU2M
gbtLL6oG5aZnBDF5q+4nn9hbO2qVxWCq8sasEmeZtRm3dbbu6Ef76bHY99rn/RSedckNIhtW+kRi
ROTohjr2iUImIGKtmThNT/QvNqWPI9/tmLYvciQGdPWk863wx44CuDrAWmrpCCgNqAR2BL1K/Pi4
UwwSVOwkspU4AL7p0e3zaHB663kJwpxS0NjY/cKRFjFuhmuTCjJFyFhclH/nKGsPDmALW0CD1MgY
kCTPwmj2bNNOBzjc6mDrIZMPeWbK/F4XzUAaWh60E/l01bKsZzJrdyc1uN/L2De7vrit62azI6I4
q+3J3jEoifvA9ao7lwTO5Vi7xNGedtPl2WkLLaxzNtVhfR7oJabnrgovuW556WbltXDIAiOxsFCu
H0S9l23mfmiNMnCvyLLpp/zGdnTpfR1XWgXqqy39PCH4V5KhtfigQHU84Ns/vNK22D1mdkqRYyTX
LEtcg/TUkoKojovIhUcQn6GRL2GOSxAIwyHpgR2LxdSObiGblUnwRRqE+lyPDRJKXmy0QIV7Xz8G
cynDpMTbu4lCg8Cxw5gJ0hP3AKYiAfgZh4Smy1miAtskPn5CNKeUb8a7npSj1HF2p+bRNHoyhcXo
7Z/7wssJ1s3RsLJLOrofxnZdrj1VO+TRckPd5JnjVnGuRzERPiYMKlSPlDtdSTpZXubcdl4IjjV5
3Oxwtg5mNnWYcJmkjByWUk85cb3hbsc+tissxopvYP1CRP2mZxVr05EPhXvREXu884ELkNLICldn
3Jkje/Q88l3G2+uxQo0XMIU8VVZZvWRmwQ1iGFmrI9K6NpYE2MseIjK35reRor7GMz5SBHTZ7VTH
I6FRn2UVuDvXsL120WAN4llVe8O+vGXhFmo39SRIuWhLYtz2fFxSTd7YctItO4kRKtzu2TNsh6w2
Us6nA22f/yCIczEjp2H7JHbKonqx7XIkPdpbNicKCHU8CZhPzatDzkRy3oIP1loZbeK2FVQaYt62
ii6qn++49xKgmeuBY1jJCqPduZp9/o/jT5/UrIuvPXE/BNoGVmgmzGzrjy7Qw2dRVsgPs4xeyiTC
rCZ+siO0KTdqdaP9kbOKue52qTcTCa9tZVQBkcL+AOjJOPTGFqd/3jt3a1M7rxqUJI1XPGzcdMPH
sBylIF7AVzxKs64RDoUu9veebxqHsRC1IJ17b7vYJ2tnjqq+syfsRSVVr9bV/jh3VT5FIcX0xjeW
PL8uqs74KEXumx+HwM7WaBzr5X6XrvOwKTyuMGp0jQ9lhZ1BKsxFHIhqnm+kubhzNHlaBtxqQ//u
dnn/sMyMjLTYNUnhyhZyJ2jqEvjbWl3jXMpBlh1td8YVoRIMGo9gHut3Yne6H82weKySG4rqWXo1
y0OhtXVvmxsIl5LrjpuKCePUVkbam4fqMvJ1t7OQMowd1zSPT1+ps89tE34x9N6Oj7VpIKEmBRkr
oINfkqf90WEvY2qjwdY56uHQGe3pvuiMhlNpDKaSMqYB4lcuaeGf2nHbP64+xyttms5bDoSKNypZ
J897yVW1PLuMgmMcMIU6BCnjHs2jVOkp7qctCA7asJbzttO0x/6+M4ZwWkseOnMW7OmmtjsV30dp
KDca+mB/26Sav1WSyKoYQ3nMs4PAcOgx0bArJp68VqSX193ZE1lRHFpszaY469qLq/So6ID31nY+
4XRkfloqbm8u28Zsj6HfIOXrOqdOZbOZd53rNC3fwyCKyKdT/5bjIR0efeLIXwavcYpkmrrmUA8u
nknC3sMXb0NL+2DXYs2YvITjDe9zySD33LSQZK98ttpKa5TfOi02Wu+o3mbxsRjw6Er6BRKU1F+f
JPnMaZflkJNV6Z5bf/aeXWHP23GjFewa7mk5hY8GcEZ17nyD5Hrh1wZp1osyjwCy8qulPZe7TVQ0
K/40Zx6Dcr0tKWATDXk/ufmAdnNgUiDlkGSzdSdIUdJvqsiwtv153435NRchkuC+Nq2XQHvittP8
JbEsp59xi2L5tJKOqDgcpvRSnjh6B+BT7DWCeSCMDBnI3EfAw/Ducqzy5oi9q49PbbN0X9sQC5vI
gKUlfcqrViueJ19dO3iHbqkuQhZ3aEBbK1rnfn4zSEspbwg1Z4mt0oE/HqE/syyi1Zg/EHpc9pTp
YLvrLNWGhGYQv0qRl9uHfSqt+kiyKonqK2KO8gjs5/CjzoE/8Biu4uT7q7eARQA8R55hWvKuL0s8
hsugEf7N0lr5SzcGPblfYhgm/CRb+9noRdtxh9LsRnj8XXq3phrPpMJvW+LvRvWJlk/TgBbU0HjM
PA4/CYl1Ho/ktzcR6uLWjOognP14md3xq9/nq4oAtRZwHp/kwiNhhtOQ8FxyHfYbQRWpkbcEiTd5
ZdZxPZfNK9mHVRgp7dJm7+befDRksN9nVb59H1viVWhNSxYh12FZvvFcEp7mCEbNH7uuO6LL6Y2N
a4xgiXaZp72An15GqzkF4zx1x8APqZzSCmbnwNRrmq9t6+511BHWKdPRnPb3TZbcO3NbWA9NVq79
VW3s4xfHFSNNE8a1AWHce62N7NbQbDa1T4XGvuNUyVlXx3WgJZnvzCHQxIfK3baSfmdS/QpwULWv
ZiUWK85HS01HlQ/AVJGsmNWfa9o4SeFbSQF6aVwT41pIRd+tyEPca85p4ZmN+oA83gtjT2wQLrJe
y+E2yMT6YyVGXse622ruaTtjWvZr5pXSF+VNvQfZd08u7Q+a2/nLsISF/Xkhi7X5ge1NtRyETwsd
kV5qW1daEfz+VBT5II92g5P5s5ggq0EBZPV5yqcPXa2DkSFisorI49HAa55mtzI6xiKvSDKsxU58
zq+qtW5kN953vfuDebdOisH/1jX29qUi6SBtSXM8Cn+9VpeW0xisY9BuU4w+2na/5oGri/N/DByl
jIC5LipGw+qSRRGjZ4jOUalnV2xjicEFM0TgOn0BliDLTRM+w/tWq3f/H0G/sSHH+MeA3uUbSXIV
ppLTWM334exYT0xmpG1j7El7qtdAPQxhj98zjVb98b/GUv83JNX3AxgRyzWxbHW8XxcRunDxeDKF
wQBSIZMAooy3gYBNZRrbXxCbvzKADIbwLnBIaAku4tNfNEHe5mzTPqxZZBlljRtLtSXupP/eak9g
8SpQIiaUN7QIippfeBElPHwTisqIZtcfrxmCuhuELc5fqDB+yiz+SFXwMijPgdJhxhzX/nUtTOXT
6NqTMrCMNZqMwC2qTpQtbidTX2EJTqx1cLf6JjMFXnD4fFPwfuAkQ+vz979AC8sfh5QeFzHBLyT1
4mWuZRh8gTTKLB9MfhgbpjI5E4Sc/nypv6W4ui2/jr3qf0y/6qn+JMG6H753T9P4/ft0+zb8+jv/
H1Re8WT+4VO/KLv+pLx6Ldv3t/f1+x91Vz//yO+6K8f5DckVn37oYOQISwpv9bvuyvZ+Q/TkopwJ
YSygtTh+/9Jdeb8JCDyYdze0hQ+/+gfdlf0bUhsL2Q78HtQoUqm/obtCBPYnvsQT0KohhAncKowh
sfa/EE0yoOMPl9WMrJ6e9qT7mUnriSz0RWW3275XxpFaX1m3VYaLhLSc/ixCa3zeUL5GKoPvdXxh
HUrKQUwoC2Un3ExK7zADy03gl3FpWh+0H3z2Qg9Ey96OaijXo0SQFPoZ12EQSJLcjXE/dwVq1xUh
AGiu99Xt3B4MQj37/Roc5nn7ZJpgKCNDmvEYVMTIRrMvtyUCIOq+Ang2V5q77DSKeYjdYu+uKt7+
aeC3PA1ukIMnOX1wtntDHKk1FsnMvR13uQe4iilM1JhWkfTu8OJa0/vsFWeiPx/5Sk1mG2pnE9RZ
1M9DeyJvZTnzog9zZR1C3T0yEt1JB2SPcW0++zqv/ET/LOp7wabSD2czaYnbvACHRWNmHUn5M696
c1cToEYtbkhy9t7kQstRbQHpa6b71IF7X626Xo+Tl4P5rEGY0v83h6IxTyWerKDg3uwfUKl3h3H1
ae2dhUHALssDZsRfwfXXR0aF4V4y8SMjqsI74a6CCNx9TsFbANxU9hE9IqzpMFQDwfIe7W5fXARc
CupnGq4mw9kwNS7UPbGzKtrU0p8NwxPxvNUytpwpv6qw7EkkYa8gNVlHDPTSTYAZ1n5YS2W9AJ24
Zy0K57UZQ+PYVmN7Kvj8roJpbvkCy8lMRWlfZoWpG5LJzQS58K7NErB3M0/rEBVQblu0ZuOhtgDt
I9zG9AnadSiQirCNHNehOcXesOzPa9ky0Uy9uiYW2ntsg8I4+cT0Jpsze+lQDPUZaPMyt3ruMW/m
i0oHK/jYUzgN9cHWvwRV257qQJOkM2z2lbs51XO1+Nuh3QkFr8VSRTkw9XWR2+M5zIRFZjpQj+Sn
vgvKIIjAmPMsWocJymazauMwF5Z7s/ZESYkqtEhRzdUKIgBJf8xGhmW9rstR0+ge5byP9OeXHthB
dkMmewUovgJ5xk2Y5TfOOGGAWMiV5zqoz73SXhgVjA+ZS+ywYyzOV3a23i3NRNRpuvFKrcanEBfz
BEZvO2ZzH771nZIfDZxan3hwdp4Uv06UV2+PrtV7B2zxzajwJ/U1313j2qzy5QOoEcYpY/m5a13/
6GE/H/VmoGITW/Fo3ZfiZpUWErWsdQ6DsVspatLxQES4kW4/BwTTVEUb1U7h/5CrlMcw7NyzX+nH
vM3zyO668rHztuOyGffjXITHse1PyvDau20U18PUjjeha57wOe2e/N0ejjwGd74nnqqwe+ttJqRS
knUrpioZO5C2NVxetR0at3uff3AX950x24vmyh2PrIc1PYNz/WQZl7Ufp7TugtF68TdXfGKXB8/+
zpxP9uie4A7faqD/g9311t3WMP9Xxv7VGY3lfV2a+zoLn/u+Pw7aahOG/CTI8nuw0o9tqI6Zqh/b
Wb+tNmD14n/MWljCjqUx4FovgjpMIbtSeOyjJ8Yf6K7yc296L1azfPXtDPMr4D1Ak/w9s+V9YO4F
iVuAVv3eoAKwt+J7JoYPYeHfqb6V52YzPvelddiV2cddUyRKlOd2K69EYbwYy+o/2K6h07KUnxdY
MByuQVZVEfdD8VCQcOPgOHyA9LsGHxsONDQ3IvCOi8KccXKGg4FnanrhcWrl+/ElEeRJTLY6NqQD
m5GPEfLzJj3vx+DK5mD4+ZPjZn20Cn0OAKgOxZrRynbhXT65wFzdBj6xe0hFGPNSl0hnRphwS/c5
SIP2m+vUw8EB7Ym5M24DzcCKc3Nzrenyr1vXvgvzwgdWCDLCTsL9NDYeOBDg87Q3X6tw+17uxhFE
TUfCLW7DSl6jB+igKYyBSbH4mk8VQWb5c7CAopmjExXulpZBduv0ckyKlZrCGiusvpiwqhOPxbo+
t0143jgZkU8q88t8aennsrpvF1+ximCBQRb242o7qRmuDyjzwh91XlzA8kkciilkXByNu6qkerII
kMc+f8Fhl+0WC6c/+mVoRvk+Wenk7kPkeuUSyaUzE7QuZ0QmSzwSUEMq+wBUPcxUWyDiGI31UyHH
OcYO/XVW1pJmVdB8DyB5P4QGX5oz8mdju++A26tpOloXEAJWd4vgv90ow579G4T2TmK2mI6hbcAw
/AQucpSu1ZmsbgCN2Rc84Ps+gV26U7gekDZld73eWenPltKzYtmszftMKsrTIPlvMrJEMYO4zct6
mnVfHeAKHoHQWFWbw4FA0cKLEfl5EUq87tomviYOlVzSdqlw57brm3Yq/cjFjhkXG7eMhSe7A1+2
d4cS8WgbHDijA5azSII7CD36qTVt25tEJFsmFaRnauIuwh2tJAINQhnt7VpNoW8ky0/Up4UAD6/L
npir1G7FBCgkfiJEW1Xa0VLvaTvIIV5XC3OhjtWpMitP+VJH5dy/eXORyjGHZO4TKgvmA/UXE4wm
KhayyHXtft6qebrig3kwlRf7ck4wqmZHypPpWtZpNud3mVsnIdAE9zYVAB3DYsZuaZ3NRr8Pi75B
tD4lUASPQ6X7uBjEg2WVa9zDSRABnq/xvkh+RlkSBlC3PwJTWxeuBxDH6raEr9CsuZPDjXD2dUtk
07xVAoXenIkgdvsmohlKK8QTEAP28whVxKfkGNwqfXPwVuNdQ2LeC4D4Yxs6L31PnMuswjwmxz2P
DYfkBN2Lj6XUt0WTTadQOn0Ey5fHjTGGUQZhlWYNT6lb52GE3HdPEKQvV3VQOicw8MWPTS/TSe3m
621t5MUZH9j61IRjfVy05ldV98UJwmyP/VUYJpxAWaYDnMBN7wbZnTs2TRJ44DmrbPfzAm38tPje
q19IeZBdYNyAAf2QJLZLyVsxeSQNeIcr2jDxWinLT8PKnVS0j6s69kV4sMb+qPydxyhIXLF9rnUm
D81a5+mYS8IH9XQODfHiITRLzVxXz0Bgdjz2ZsYjAGSKupoi6MnyfZaQPbqVuo6Fr4ZY1uPyhhoi
mXxQxGGa6pTCNnQ6FQC+AMxLaQ9h5Pl8qca0t3wA8OziVOd8H2mF8gj0HHykphzk2pCPlqSbbuEF
WqqN6w77eAaqdUTiaGuDJi41Fp5xPekSzamDaD04rFvR6oOdzy8EA+g5NQrDGZO2CIz2NjA63GcW
AID8yi+1+WhWlgHz5wqiHVtzL5sHI0e/8aocc7uSXuioJhmRYPafikqxWehMbV3cWYNpsoq/udr/
PnT5ulmxUzgkBoaNv05HiZznGySXvxiJQBkQuhEygu2zCeX5Y7NyZ88jQDEDDA5DPBk1uY02ypkz
FSYOn8r0bKCiPHemWch31pnnNdkQuFinvdyLKpa9sWMvRlt7PYh5i2uDmyzaHFmUp4xkgRjBr3tN
tnEVKYYN66zGJfPSTqs1exUqE+fShDZEz7Muy3i3Ym+nzmNdFM+qJETRZXUnVe7azWetl3Jjx6Cx
Ij06wXjCn8XrcfQIW37W2S0p+H1nkLbCS7whkmZRN271LHOAb1GvN9Y+VIruuM3sO49FcmYSqOPl
yoFkfw5rz3sPkfyZ1D0rgGvbRTWnjpZ1AUukVTcDWuwTfxkQtP1AIGBeXC1LxfO1bkNA1So69dpp
Q3hJL4LSiKttsNyTnsvBfllzhUNdNwrBTdTZ5Zw4VuiCya8Kuc4J94DN+FAX477G7SYD9aErhQw/
W77iqibysTQPZhMa05HThYtEdHGlbACe+6mJKoraBCeRl0bSLVACx67vu47iP+Xi1rfa0rneLLto
0hxos0lsowbYhULPx28Ovh/UncJYfUoSEbS1k+1UvCzMP7lTZ71NARcvlHY2fgzKRhPw7JbtesrG
7IM5AX0ku/bL7Xb1dnUqt363vgXOEqijuWlzQQVjWQwrkdSzPu9L1d8ZE+XvyOESK4KyzI/MLTCq
o1uwA/QJPM4cEvJ5tu7BlOtAmW01g7FTlTQD06D82DUUaJ2yvJQknJe+DcSH0qzbq7JpvXi6VJsR
NRhz7FLG44IXGzR1mFaV3k7KuQx2tj1fBei1Hnxp1g+2OS5xs4Z8r+OAc2U0mbb8wm6t9RCirPgC
V/KRiYnn05pNCYfcIRi2OXbIYcL2ZV1EdW+VsFYxhroNzdU4LQkCyWyKIGnMt7ARrk5Y8HJA5n1U
fZIu/DOz3mQko9zA94eGTZSk2PV8RqkootxW8hBmhHUjpbWgSOtsnMLrJYTmSAax1M9iy98mljhu
yz4cDzJjK38O3LvdXua04Qvo8vnWrlgIYh3jUeVuXKCiqYibnAlNw2e5uR/z6oeGjUxQ89ThARvp
PF4dYaVSumzaLDbqKPygYBlcd/4daPz/ONX/sG0ApH+/Ifg8ll357e3bP966b/947t/f8v5PkNXl
T/8OWRmCrb+LWDewMNq3kDqDk/6OWRnC+g0gC0mP5dqOc1nX+BdoZVm/Oa572SO0xAW5usCe/9wV
ZI0Q0NUEe2H/0AJ7df8OZPVnrBgFmg2wyqWPFvyyNPKrGYzp+xio5bAJ9ObzcUEXmK7bNiV/+HQe
fodr/6ihDy6C8v+F4nrCdBwwMSAxz2EvwPzVuWVcS8sQW53FSLGz59IBcE8btXgjuvKx+FLDKjPO
lIYUiamrzUr3paxB0ehH77XXlfqwZ15pAvabC7Pe3qMf0+VcMamLqYxVYdrbzeC4M4MEY2mK2mx7
d1FuXK+GY9Ro0Nrp067cwmcEdUwPSRFgDptglvqye8P4gGc+UkMldq4xmiznsSln5ChzM484kQnE
cJFnGW0bKzOvvKusoXpeVb5cHiiMDYqgZdjuloBU5xTVJNjMJjQqNpm5HYttdMhIfLq5YerMCjAZ
lx8vNtdw/7H6q6QjBIC7r5GKfALfQ8lhKzF/knbjrhdOrRwj1+j0Daa5lQM7Q0yGXdX7tV5L5Mai
tZc9HXYPGVcrG/rrgDqMxKYm9DP26l678cJPEy2W2z23e7AbSe+54q64dAYwd17xOLjGWkf1DsLu
sHaSR9nmZjS5E/pEEAGERdzWtX1nLLX9XueBU8ds0gXf/uvH5JeHUXAWPJs9Sh/M02bfhlP0x3Ck
GvLH9vVooGxW4Ult+HGETjH/BZD/C6XAw3h5GREEwLUBy7q/SvR1lwVTOLPrQCewXtWl/0Etlg2s
46pz4AwqxkgrO1tVP8cc2+pmy6ryL94Dh/7P54G3cFks8SyWcNhl/QUnzqsh2+h1GHu8Qt02aIHw
JWBo2t1iSGe0xH9xAC+f3J/OH6/HJcN/OYpcKr+83uQ6KOjMyoiHdgPO3b0pweO0Rp3sW3+xf/bT
FfGX1wKJ53VYZuEz/nXNUw5FVqqgymI9daVxlHapXgy9EFyvEX4iMCLXcU+MvoJLF5566HPT/L4i
6qkPTlM5N9teF0EMIr7cy4X3fcxAT5G1O7QBE4oLtA5OLstk4PgEdHhVkG7r3p8HG6Co6EL/thL9
+Hvs1f+NUrd8H6d5/P4PGBn1j8PcfXub2D//b0DOWJddwX9f9G7m7Xv73s9j/sda9/MP/V7rxG+s
NrqC2x2OxXd+nt/fS533G9vSlwpDKXOoNn+gZzzzN7b5QjgdqBk7tEPewz8rnRv+xlYmfxduHVA3
Fk43f4OccS6V9g+HwOfi5D146FJs2jDq8S/b1Xrwihz9oBvZ6vIYzptOpzbvkJo241c5IGPchhVA
vWqtRx1mQ+xJw0krs2qJzGirGESDUJiMeR/63z6yVh18Cu3m3VP7dNytdU2cIXeiMJ/eyla8DX72
qR/dL/vW4uzi+IfAg7ywxTP0BcsKRQNbXqC5sEdnQPp8A5wTXkN3fAA6+ua65RwpFwfFbWdbacBP
ORHBJshFaoxzd6lHssje5UaS5mSNOt7Q4D9ta6nx7KlmNjhM/xaXNycSQndJl5Mou7Q29jVTX/Nz
qoEGV+0HsrToWPvWvTczk8VGsW43IfN8nBeqShRaCd/RH4Mue83bZbqubY5Y5jR5ZPIu49BDTMuG
TH09X1zeuEpF3M7WK0t7j3ZRAUN38qsPtH0dTij0WtUD45NrWyB0y3InOHR9++6Vq3MspxBNFzDB
obJDIH8q8cHcnSnmy5EXRoDps8f0DQyFLkAEb+vEhYJaeUoqUUzX29ZSvqfgdVBjHm/+aL/3ZrW1
STYSpeKi0zkX1a6gpXobfZj/scOeKQJF1rfsG3Mv2iYiAseukdqMY6Sb/aoFALmwLodGjvJuRd2Y
TBBlwBgaob3dfQDt9CK1hyoZ2AWJ7NK+bTwCSPd+tKKxpM7LTbWQKeMnR9v0FRKlWianOSpD+dGp
dBO5ub6owLxPYu6fzYWSS8IMQbfF8gk5zgRJo289MivjFe7vDvZLRiN6t5hPeoiaQltRaWhUq0D/
btbmUWEtn6e1B36x5ZOyJCtRarmd3Pnii9T1gF0IjMtBH4bOOXiXdwDS+ZYNGXiYdeNJVkPgwpDG
yOJuX7IGXbT9bupcpEho+fSG/jC45pdZsJ6IWDuy2qJNuAnOzVRDNOYaHWxovbMVAgrQ7fdG3n3c
A3Goe8QrbH5NkfI+N9LICG0T20F7gUynxVbA59vIwlBnp60zj8/rYJ4COI6IXbJv+Uq0K0rsz4is
XWSmpnFVqG2DQ6wUGvb5y+jkz0OxZU+egaEXCDtaoKJARRWKRLv2Nd7DJ3Ziu8jIyEPtpW9vvHNA
fmbuLg0bd2Si29SV2bE+FZTjF+U3brQGwQWe8LNTNWu0TdNybS7zdlomh2DpIDiF2jkOXlcdF56v
z+Y0vk/CrBPUnXPSX76EHEXjQRhSH8oleDXn/GuwyI+L09qsBuQ6QZbXQfUMKGjDPTxacy/Q8/M+
m6W5G8KtiHeXD7pX/rlmRr1a7GG/2ZDlXKvO3pMO0jupPJhjZyuWqLfKV+6EghmR7xVFi5lYov6M
Uqk5lG5tJb5anxwM98pyTRGI7JgcLs4REKtJMtg8+kPdXHE32kdX9X7ce8Eeh60sloQpJTgExnTn
jTuuqLYbT2iZo6AbnBOpC+VBIpOOUI06fGq1C0GtvGe/6wJyGNYmmffGIgyM2z+xLH1unelKYQnP
URNlWmFwEdm16kABykfTds52t3KrGKUVd2/uum8fZN5cZQ4QAmm8Y5K1wFzhbkJO2RMUhn4fs7U+
AvsBy6Kb+1bkpcOVwb+l/zFkJSbO5crjlzPJl/MOS+u/L1l7Q6vMEe1zuKBKOocsk5+BD+qkW4sT
evw8baX5vgPbHRtfSIaFKjtkFadznLYIs1J9rnzDS6AcQ44P74dxJT9lpf+9Hmd40YauHwTldrO3
b702tqgqSRpasXl22HpN/WwNft+I/ltdCj49/PNru/En1cj/mbbkv5Ohj4/G6d93LnflL1Y+l9/+
z/mcGfs3dqEDFxAEe41Lk/E/5/PLL9F40JbgtyEspB3/ms8N6z+5O7PluJXsiv6QcQMJJKbXAmrg
TEqUROkFIYkS5ikx4+u9QHW4ySK7aD3afd0RthW6KKBQmSfP2Xtt9x+PswrmdmPlEXCy/Z+yRRPe
P8Ki3Oagi7caF5TzN3XLE637WT3teDqfjJIFiaaDCO84lGmxaO/RL6w/6VqNVWSIdRVvJ9M8zxfE
TptwcZrrLglX6wmubQDXNLI22O0FaSX2QoctmdLGh7IbXY7Ki4aNMRTjIxMWhqBxWn+Kac+x9rp1
e1W3evxjoX3+B4f/V+/l/+6l+78maBJruM9/fvOuvquOVtExSmr9S//uD62tIf7xDMPFk0/V+u/+
ECmXYGUcAw82gw3+6F+iJiH/cemnMPzXkTTxlv3P28efgHXgj1wdNodhcjz7i6L5CSb57OVDTmXx
5oOkoHg3pH5MP8gR/VdpBSIuLhsGlZ6zbofMnXvmgfNyXwyxPDPx6e6m0cQgF/Xs0vRZfhV2HH6v
NefQy3koA7xeXrGRk9F8ESZNbVXjD8gm7SPzI/dySZV3n6Rmw5wqzff4srxgyuryG3p3HQ8jP++2
tu6iyGnszWyi4ATI2FykgxHftIUVnjM9iH0OfY65MeZWIkOowo1TeB3D6sEVj3bRWw8gJNTtPJgx
E6upRZRlYOKdusJizJCY3Ufkq9QFVp3/nusWC1cziw7oTSn1z0xIzcclLRBEj56V3qmp6PF91HTs
DVrLlW/k+GnxI5H9kncDmBBzaN0zokfnLYfV5cG2w2Sj42G9Im9z+BYW1PSU2dSPOsqDXT870bzJ
OmIQKy8zHvNqiJj2eLu012/rcBSf7LKtH81k6T7nuSH0jdWLeB86U3u+mGGsfMBRWMT4oZ/Zyoae
7Xhz8eAOEKX8eeqBWMVZ8vPZm3z75yV43tQ76tasSjtUeLy1iOtwtB+zRMpsoZ8EGyuwbOZLaCp0
Qj8190/n4q+Wjpv/3ZH6xR73f24hWclp/3khOWvV91/5i4P3+hf+LCImCkfwDJBDbGArUqzZSX/W
EFP+w/pA91kX2DEcuXJ6/rWEIKZkcWGXgmtjoOVdExD/dfA2OHivHDp3RVj8UUz+xRqCxPvlwRsF
L/8/zvf8q/gotKD482dR1jIuWigf3WrqJdgpYEdbHhQynjuE88tDiEjS3Jnh0P6aHbP+XBr4jXer
Bcy5w4qtGt8kkj7ezvQHzQDgLeVmrNG8ssPCusZungR65hX3Q5roqCJaa6mR+6TlZz1TewbfURl0
AzCowJIh3s3B7FpjG1ZaU+EcXPnh0pmZhHYmMsJLzg54NaOmlylLUKJxRsAkdoGeqz2j+2pcLaXq
y4NV0EwLmHBioRzCuQm3SquaXxL3Xrex6LHhb5eSASZ2VelRm3YVpmNRyOqjYYZGdIb+u863c+t1
V/oq6ThjRluKgzBoLe1Ms0dHGCVez5mqFLh7sOtpjCuRgaGaxCXQH0yt6jPitziIBMWYNj8me7X6
JlPJemZVOSKyOnKRvgwW7ma0dl1y5s0tQsNEctTfuHXSVn5YuDhmRQENYgPVYLjjqMsJAmvFuE/t
vMKzWIZe7089zkc/TXXORfpYiqsmbMvPbV06BaItb/6m00nEEGyiUB0S7Bobwy2sS7ObxnLn6UhF
r0Kz/56ihhsPepjG4WaCW+HCY3CdOLDTxKMbr5fY1FNlZulmxIKc3HWlkT+C11g+FGa+pJxc0/AQ
Rc1qWDcT97ISdZ5ucYhAHuwn4Kgbcw7di0F1TN/o7eAtJC3TU0HDlB2PfGLPxqbCNgoNIBuKJTBG
3jvfcBT3JXTFYRwIBCaruiTBwl9U4v1aKreq8YJFxuIXtOkfB7zT7rabM+0bCL8mDcBXzHsHCCQe
RMfNrhB7DLFvlkL76XVxq7Yxu6g6eF4h5b5dLPehHmR9PjJ3xrY3j/SMUofxwC3e1vQaNcDIm4mW
E9CElpbNRg+F9nvGCIOEcxLzXjbMIzdd36lBZzv0BnWQlIjDoSk5gVWbqRTdT7FU3nhRzCzeI9pc
NZcPmY4xKHCJPg3PGy+jG2JbJcSdenFCe19mYz+tzRRktQbz9d4vomU6Hxi7pB9S6MEIUZDnavxo
ung+7xEnxQfDwO/abqJalumB7E14AgouyMRvx/EsH4Oz96FoUFkdmJTPS+X3aA5BrGVu1D626CJQ
NSdYbRuj/G6NnMUCnfaGEdh1IxY/S0VzzxHduC6TKblsAIhigXFGtc/62kP2ZRo+sIniHfrw6+XK
YPyBkBtBOHOI47S4ovJMgf5zwnzXtvSWYzzZ3owlW0Pz8LSI/9Xu9v+0MF5Zxf95P7uu1Ph9frGf
rX/hX/uZ4AClo8o3V00/YwtKjz/7mfzHXqtakH18RQjs16Szf+1nDn+JSpiNjp3God/875rYcv4B
c+VRgVDL/vV+9rKNbHtYBRhPMb15qn6EWP/82W7mSrT6S037RMaiubM1Ud/aleXg9zPqCQluKsYP
zx7Nu5XWekU6muydf+pwhjgvr7ggGtENtdiBzLXyE/RHe4/qqT07fRXn5ZD2z2UYAjsmT5Bi/zhb
1Ct7uCxxZAVzWPRfRCu1j9asqZsqyZlceoll3Jvd6ER+o3fsSXHRyY+rkqOBTdAWlL8kESf7ogFM
G5it7S0bMVZVCzfPiH7qTw/HVnRbg5wJs+Hjx8yzTVEmcDFKvRBXMCUWEn1mVaEcRDs97ZxxiO8z
1SBClDlEGaSKg8DPqmdQFHGjYud3vJyuymBGIryeCFB41JOkSFjYq74NrKQSbDpLeu/1MV0rcPxZ
dDEy9vsYK9ASW6RN+md0MVW36USFLBCRJlmchTni1saWXAznIc7GjwymRpgf4Zim7Cu6B5p3Rju2
RzoeO4dFop7xPfA1KFacTPrNPLU5OszMRF2Z5NHZ3NRJtYWioa5BBsQtXS/2aFbYDk3Hf5U5nBAv
VAy/80belhkDQEa5Y3WRLVMDHaKLeVKsw0ka6GaSTH9q7P+IuHv9RjMNNTj/8GozHjwGiw76XJki
0cwAAaK57UPwJralmqCRZYbhJHHeedOesjz/fap8etM4ObgWAx9eN3QOL1/oGMNp5mS9EeRLXXZB
mVa5c+moaYhXUFJ600YAuuhR4jX3hg4RGqrRJN5j9bVR65gyientTZEMMCKmDxZa0h9o35x0oyOm
Gg/MpsRvLIpdsqP5mkNmcetho9eD8YFjmVq/qsjZlFmLAXiZRnUWDYUK/VGEObrMMCVZu821xqPb
V8eUfdC7Nq6zoNA3vVUKa4pK+4yiu17byJ6HY6Pp1HlGwHXpWxST1Gh5lHzDBo5a+p0fKU/m+Mkx
VxLMcD30FE+/4WeLjzeLisLKEdR8DP3teGl9agv7ELbJvaEX3SGpPfFOmOFRB+rP17WaoxhZ463i
oPHy6xIZHu1cj0QAZsL5UVRaGsQWmbKWFyHYbcc+/YBxF2ZSn0T3lTTBzwx50WyhQNafIzMrAyez
1Cc4WhReEbrJZmPhPiLzWuTNAyo1J6bRXOlwoPhbnrTKd17wo5n0egdM/PB9InOxHAO1zcs7iErH
jcolNIMCaz5zLT73BfYfmtb9NCAqb7s5vM2TYrC31DuYi8NlKd0tgDp+qwU4uiko46lA0BaKzPKb
pYtpAVfrMDGqY8YsJZb9lubB0F/YUJmAKtchQxfMG8ZNkUw69hq37Ut/TjUQDqffiZf1ytPNCdCh
bHqogZxX0dZMRUqBltcK0pyRZj6VD5iNmwtTsaCcvtKRdGK9FGjKVUnAw4RUeSwXyvgUqp8QkBia
TlpXDKkmJAaUYFBsP+2q8WX5vrV6r/zVLElygZdj9HCrlNl7AFqKg6MfAsfTJxcgKo7V6PryG505
I85VHHEsHOERY+P9ssASYdV0DSYRUwoaUHjx7vT9rwPxo6tylF47bxg3aNYdl4bdquQpnC7eSmB1
ud8Vcq52aVfDzw41VW/0dMyywCpc16+cDF/PwNCAKdKgRrlP3XYRmyXOnXmjvAr5dmZE1o3ZlRA/
SqFjouvREYeXDLGZjjRaXEFG6jX3w0BlD4VEN9ILM4lywCXo1blEL4ab3s0GVNb4cYtzVZnJF3h0
zGfrakmXraPPNu4HJ+lZQz0NDfiEv/IzbfCSKcTcMSuN4tCurlK0rQdRhBg4xjyqzyL0pREwkrS4
KWqrs3wW0mXPGRWvv02EotzEdc9B+/TzfbURIZCTlC+YfhHpiGMkcwfUJfQU6lajGLxfRe9053Jk
fjtxYIRkIt8Lv3j7eqDkXVQGGIypJp+XckCrKDTtIt8mEPV2jnKp8tHqav5gdXIbz7nV+Kfv8NVv
VehwZMAxrR19qJpHS+k8GZEtoJptTYAuB5QuYj+38XyhyWy8P32pJ1zsi71ivdaqdoDN76CjWD/L
s70CKE5bZZQfWzFO4+XUJeaetsZcbbK+775grNf7AMDhdJmWYf1xie0n5fMY41EfeuP3O59GHv90
+DSAb9js6RWiClq/i2efpovtsDYUTQ9+oKI7yz1jvh7JEt8oa8gua1IK/ApR2yM5oJ2fWKr9ZFi2
u106zCiI8qPLSiXNvgyb/J2v5En8dPycDMGchQKbTe44eVwTVjg2mZVtzSkJs32bVeLOFTOlHo4F
C/ZCNtcpOjm2BH9sAIX7tciLb4umEoCSGKdsP4SipraGpTnI6IchuYWGWbsHx6oiqJm5lncX+exo
an/6ob7xNvH1oi5lCGWuJ6aXzzScmoV+VULcvTbbh9pJmgt+w/oHnebWXy/9YAvw9NNcZIWgSjy6
ljWyirddhHZwLsWPrpm7A+7M4vscrb4/2UXfYnuxz+qiX3ZDa7g/rLhZ3ikc3/i9ridCXiK+LkrH
o1/PAnd5iOil06aIJM5cXVb3PS6k/SIXRdsLENX0TsG1DvleLvnrwru2SQE3wFJwj9aIVDebjMFb
GORJXFv7rqX1F+S6hNNRuknxqTSL7iYK87wPQMH1WLBq2EG9zbeGaKEALIGH0rGDqG8qMxjzudnN
vQHMtDYZT6dwiDkv1OS9DRB86t3pF+QpDfXo3Sb3gJ3aY3xom8dpqUBF5nXFcQJrzTvzcwRD6GdC
xUgAsh2j8Qz647Qxqe8GKBEJZkNdN4nwKPg0P8kBwGfp0L9Tm9objeGdj7fOXY8fLvUYyxP/UqTQ
q276+aIga6w0qh6coNeyJTwf8ZthVmPicTOGI3pIm7fx1oLcWgeDPmoX0HpE6xtmYms7ePqpsYlH
LUlRFnrtJTE4bbpBkoRB1EKBmAeawA3hk6VZX+dzm7T+mJXqlzYJPAK1RsM3gIINhJJ8B1x/urcq
eVuP5t8nM1LAbvoe8wqQ3Dr2M64wfB2jZIqvksXmbJBYaXYd2vl436OZ+CkLN//t1XqsbxrK9351
MEisYXVhGrtc92B0trWWJbhyLPdmFt7yMTSG6Rckk6S9srCzy2BwtI73ZUh19t4ooTddK7NkvTET
dSuzLvy6pM7woU2b2PYhXg2HNrU5tS5hVHxNas1+zMyp/SWsMsS8h9Pc2ThLn3+PSWipkAKVbG1O
ZGI6CVWR8zJ37mxjdk6ZyfW0ObtgasfonePDGz9amy0PKsLazwEX8vI7tiUhDLVZa+gmpvqqggMf
lACBIFS25Vk0UZ+8886vK9HRO8/G6hAQw/iTRfGo2O/qIUUxXmBTDC31ETCzDHB8hrukz+Nzl84/
ATVMGnYcOtufFuTqHY0c651d5a27Zq2krFgXDQqal3dtZXNpYCzVgiKV82ERxXLGcIRhWdf/mOYk
/nD6pt+63Lqpeta6kZni6CG75VIwOHTDQI3It1LhVkFYiuVn0ZV3eODxNJ6+Hr+AN54ygAumz/yz
4mCObhCcNxGYPGXQXx09dDk4Gf3dsoknuIo5pyFOTb0L/R872EGkuEU3Bew25jQF5hx3Ch17DxOY
H7WbxjnABEqxoEDkKLc0huW9FvdZGnTLpP8A/pxCWtHmtj1YS8jitUjFb92MUx3OdJFhxWXaYh/a
OE4MP7S85EPW4OpCWO+Vmt8ULmw1DwoaZ7QCTmDQGNliIaEU7b2w6Cdtynxyb8ZIaz9VjSt/dVlX
3HW5Sm/bjNTmTeSCoQSRMOViXzNdvmNEW8d7R1uWR4tVMvctdshr2WvxjzXHId1CJIvNoBcpFfPY
AZ73oaYZNRjiJb8So87+5RJA2fvUb3S85aKBQ3C8ZcEgNMbjN3SLeCLMQurfEAqlepAYWUdPhnDT
H3oTgkOcZuV+IKiEYfy0YhI3nV33H5ZWMOSZsGB/qDJklRsDV+232paV4PRZw1XsTTu5cqbRZSdI
M7MBdZ5YN1WLxI+EI31RAdRXgZSLXE96YXM/ORs4HxqywM4WGY7qUGq+3Zv5pVspfNOZ5WgPmHvj
x8ZyCgZzyMOBBJf1gzWMI8NnKLm/9GEiRKG3p/oAdMT6LTI3hrsnZXE7x539qQaocKtkj25Rc8YV
MVbg4O7CFT4fZ6v12huli+ZLGwGc1Fr0ZSa+CKDYoHmZ31odA7KcThbdyKRSX2JN4REB/2XjJfMW
rQUnUrr3aYkNZbOktXYlrb7JN2KhugqSCqp7jZ05O0cvq+uHtCrSm8yxxmoj41KcSRc+AS70tRUZ
jaB0v5/+Pb3+/QpDMqlFTk0FijDn5a/JTWhcCY/winlI4y07IEKHvpqvrVjSufLGcXv6eq9/vcKA
UeMBpLLo+ZlH1yviNbVQK9h4i9rGoj2G9w3G0c+tEOrvV8L1cEUmgkPFRtfv5a0VQ55ZmKpZmjLl
fgY8l127o7byzxAP0357L2bq9a0xOKC76NrrpICC/uX1xGD2TmUhSagAFvsuAS7nJZm3VDQUDaef
4ut+yNOQgtqQETpequMYHANGbFZZqRcQhrAOFXPPuipxQZ6NKShEBzjVp0UShbAvx2S8oHpt78Zs
tbGe/hyrfeNoxwMJyMMlS8PmbHm045mVtBaZDh6KzmnGOaPEuGyBeRe3fbzapoZCw+LPLVRMuwF/
mu9c/1VbhMeA0A3HB2+Syed4+chRmJIp4ykogqhT7rx+oIs8OE5QD+EalKxjcNcwcvz9TUv8l7Cb
VuLT8eFHUxDeqinnvZoMc9zHzAkwiKTk4YFgrXRqMWVjB4PnLbwueSdr9vXvVeed5la5Pp/h2Kpk
oEhQZJlpQYRm7ycgwpFDYQetoUptsLbo67+evts/GWJHX/Jqi6JrYPCCE5j18iEb+oxFZmnCAMVq
luwEnOfvUdbjoe3VoubD4M2TG9hWjuDBm9xQ7AQ0d/tuUGbc4fWtxkeqEoS9swF/gTAKp/VjW9e8
nauvi3ip4b4lGGiJCmy01Nh+FC3xrROq9Mca8IymnQ7oVW6yVZHq2UUPCZV9tR1lpCKg34jud5XX
2A+6Y8AYMhB31JtRT1tgLxTEVwUVOQS+pcq+VF43YptmfTJ9Le7SeTPW0nI3M6bti8Gh+7K1kaeM
DJ2w8InGnKNN20c5q/OY6gdwqqTILcVIIy6htfOTCPQw3cIAGL+Npe0yIsOg54/cfscNxex5qNuq
744zTO0uHCaApgtYMGjgZs8WN0UZNCrCwNoq6E3NvgYFr5ebZVVybT2AJmSSAHtce9eGdp97WY3S
vlxVlUXTYbFo+1j7zjbSAWyK5yKGmsm/fqMIfsbMTXseM3cWd7+qcbA+KFOkvyldyeXA+RdFgPR1
aDsjWXi/3TkJHYKXc2DReWWOHzE3ZpB/pnpufGwAcgVkZ/20Kbo4RjVQF6s3vR1VdFmPun5XhF7d
B1rYtyRmI/nxQ/qCTlBhws/3C4iVX14Ce2qjI3X5UjIWoUEpZ8wwFSXGecg8HS25Ya5a8CUko2XT
mHXzBQr4+JPlh56qk6EI9It4qs/MmsKFU9SsmPNRbiikcJV8ZOnp11NlOY17HeRFfmPOMUxa5oR2
FIRdzb+lSEIlL5nxLOJMRGlr+9A4QmNXGBV6VelVAEX0LqKfyohxdTJiskeZFzXDt7HIixLIRJLB
spp652FKNDvf5ImGYm+IQp4Q22tu+UIv5d1gqmU62KM2/UgiFU6BC//1J6wl62eEQC4BdqZ5v6nQ
LOfczUyAKGA7neSQz7oF7Iaejgbu261+mwuSQboORXppGQZcXkvZCts3FGKCQBY5f8XEQN48r01y
FScmhMAqlsAy3VIixQjxFqUN1BY/sSdGeV5TKchISQOlenZnCR0eOblAgmMt0XYCX71tLDWbgQzB
z24GDmWdz0izIgXdFprlW1E4toHCJ2IFXlaW0EdgRQdGsgr+hLZMJqCxTiYXkGlbA88GQbHvHLNe
r/nksQlGDpzf0Zo+ib6e9fPm1AMf4mp2kKiSXkgxhGvZORJ9sjHx8J61URXvs6p9b899ox+zql5X
STRNO2ke9aGi3LEmd6YPlVNGMZGLHSBQg5z2VVcxvbMEYMjGnu50MPPxRla04k+vxG/UF57JBO6p
n0mZcfQBnE5PO+Rn/KYTqzwnSUFcReHCWuLF305f6Y1HvAInXfZUDpAIUl6u+F3dtRE0LWIMing9
feCm2gKwiR6Jqld7q7bM3TCD4zp91df3RylKDi2cUr5f4Rzd39y6na7P7N5FXpG1hypq31uL+Qkg
48fTV3pdtnAl+j6rKhBtxvFUbp7MXG8GmlPGoldXmY1uyCgR7XWdmd04BQ+U4tvuH9o0f2c3feMe
YSBgVkSWuGr7177Us5c3TVQkUqXzZO2RUJ2KCIUllu7nhef5zu/kjRac4ICMvx9aKvFuxy1/qxwi
vZedF2hdHg1fawAgQT900eznq9GXabNczpPSscnZpO3N5m3rXeyT9akpH0fhUPlzLGV7RqCWeufY
8cZzoLVpWC6jUdwK7tFzcKqKFcR1wmAkz+kKcIq5lbOl9tJr/i7bdm1MCKC0GESRz1ApHr/McWp1
6bDIMHBUQvOnEOiwy84YtvzfREecfrNeLxJcjEYx6i0OHgzKX36/s2nDedEk2BumWdG+cI3ykII8
EZyiybPzSQipSJHpRefng4xvMsPB+H/6M7z1bDn0MEHi+0civf75s3eMUUAhphq2kZ42BZRlLf4G
YohQkYIx4N3pa72xUqzWVsMhzRRpwHEtrGjqkXGE5Syu5qbdxZPXzJuY1TndCTnl3HWsf7a6sHmn
DH7jujSPWZzWLh7/i3x5j3VEHM1ECEOgvJRK0BbA02t0hp8JPALkGAEtSrpk+fsjHhsPFIyneTf2
hKPT62SHmg1aIWGXxFu/d2beVoorDI44T7t3+pdvrFLcIRIsilTsuU+24mffY4nTta35fWxT2uZb
JLUughLiR7ZDNOeP89zhgLBGR25sT2nJ9vQX+8ZLhFByNStz0lj7Ji8fsJMN5PhIM96SZBd9BCPb
n9G716+0vPXeudQb3yWHczY2KVcz1PHwNXNdUBEoV7dimSvilmStgR9zh3Bb0CYut2QLOVuZQpn7
21s0uD3Sf2nZMgZYveHPfyeNBb/LMhnCitZ0fjt6U33RCYs6E+FgHU5fan0dXx6hXl7q6GmaY9Ol
o8FENIk40fs5YRs0dVBUvfOzeH06NBgZYZlBI0Aw9JOg5tkrQ3Oyx088Z9uUQKFL13Xbm5J51qVW
LijWUI7tTt/XKv1/dWNAvzn/k4m+MjRePsOesxWGyizfekMzoExJCy+pSWJMZb11Fllfh4kaPzZe
7E07l0z6O3CK9RdGZ2ofMtaJNpZGEtCupFMUowJLAWsWY0ha1JynZ5YIGc6e/sRP/e/jr8JlR+Ts
bqE2tI5WjiUZ88ZTHvoNY6Y9MEDcQTMa5Z/isY67m4YWG/PXEE8oqVTS64ivquLfvVN0TqCpoiQ1
xstLyC5G7DzoiCzI/63SkY5vUznfVF4z0jBh8n4cCjP+VoC9vE0XYalzRD/DJygokgKnkC6pMpLQ
Aww16Kre2fpf/3hXZ4W9QkaA/yB3e/mtCKeAJmLHUM+m5Gs0ieJ2crPvIUDe+9NPU7zxYtMRYAfA
/oEu9biSwqDsFI4GaM+kPbwbyaDaZebg3mJYN6/pXC+3ld6MH3rORtcS1NSGYWDYcpCrSZ3KRLkl
+AX7OBAv5jSnP9vr5ZPGJupCnVoSvZ88eghLPeRenSSkvglV7pPF/RoD/j1vCjp0EVXATnThcpZY
y3sZqU8qwqNXTOJfY7roUeyhbnz5+N1kACVEil5QFZ1dBC1I6kOiExMUOK3UIQFREZyZOKPNXZ5h
0L+3IlTpht433hVuFAhbyiPPieH+CJcQaZrz4AozKfZFbxNccPoxvaHW4CTFsrG2LXWkKMbRp3VE
REAbHY3WoZcBsB+Kn2rg1gb4BDxtW4ctGWh2XFxYJr4BUfZEIEgcE9ccCb1fpz/NG+8TH4aeIgpr
/ufpfXu2gLHRu5krUFfxtRQ7VWrDL8t0ly+nr/LGMulQdf7x2KLdPlq1Go4asgOItM1iq/vFC9zt
jIX4JsfpO43qgTP+6Qu+/p2syjVX0kYjYxnL5Xrfz+6rgGEKmjaxtjpAVeCjSZ3fWxhor9A+hztw
3eI2RgC0t+ZanXn02QBURWRubNrMUR/HONIvuyXJ9olghHX6s70qWQnqoomJ8JGhJYE35suP1mD1
Gxplg/GdWjdhDkDOFdFvGE+2ems2Yl9NDTnCLcC/+64ciEaCuYpG5fSneLWR8ClQAeN4prgC0nxc
OEcdkKtqcLcVQZHo2xhbopRGkNPhPCoGSB8Rr+P29EXNN+7dZILIbxQKGikRRy9CZ0SjViVpuO1b
2dI+k3Jp4A3YZCIa5pDRhCvt1NxFeWh+MLIw/oWIsv3Jb2H8McJPoMlmus3vGVRKulGmBkAkgYNP
kuGch9+NSq919GuLDcyS0LHfzoj6nWU/J2wySsPhbhykuqOUhUxIL3KMg7JAtEzmEQmiLu5pTJ2T
Of2wbNgTWzQwRMIM+hp7qo/RcjbIlCBMSB7WRmQ4aghgy8P4lnp5sM5zJzTtd6qYN74j3HnofvgV
roXp8XcktQG6AelugOvroJwLddPZJgGxUr/IMefsOEl7770Yr1YEyhl6zsLkv7Ay1hyH57+cmSCl
uanqdttwcCPSutTGTT05oAlPvwuvRypr3YRlkIMi/7CjvbxQP9p1XYuFu8OeeNWzw/raZEV7mSq5
JWChCVKvnQ9erPAKWGBKaeeJz6c/xFtPmDKYvj6/ABbBo5tFBgYz3iFjSgkdi1KSzFsWhNGfiPLc
ZrYkdXfg7Xvn1l/tlPzyMByha+X5mswNXt65QAuEMHPCclS25lm5VEtQ6NpKHg/zbbzio2fVfldl
q5//7e2u2jGUGUwgCUk/3ijRYxtln4l2i6rb+2owSSKCaW7WaM8Uk1zYGti6RKrJd4rAV+s/N7y+
UKzI/Mc7bgmo1VFthQ0Ka6Gy6wl61H4wM/1s6ApxMRZp/+P0fb7eY9cLUo3weG36PscqCSW1sCuW
pN0mXqbPgUop+cIiDZtVLOH+diIMFnaqCsfvhNm0fu5083UzTkzmE0Pp/Ttf+GvHzfp5bDpfuPhR
WNjre/hsO6o02EhsKu1Wm+eqhPgdKkzwSIz7aI1TSsG4LOQsbzoMIt4WlviqsyY5wICD1ITY5WkL
XeiqGvJztzEJdsN+0o4bR6Lt2saDnZNWU9qi3qucNNeNoS3xr4UIKvscEXd6M1I3ftNkq9Ya29C2
np0rfaMiDDFBM+lUxVmVyOWy7Zf0q9ajwthAHBygooZt+ykzxtnZpBJAgJ/DrLshaza857UxH0yw
bfhgxyb+rGvZBKqoXUi8ytZYBH+K9OasJYO03ddgoR8wU1jXy1jMcyAYWx1Au5iQ4Ro0mVvcFmYY
WE1eTY+hojdIj6HI9wYjCRJQm0VM6YbILi+5V16b7J08aaDGJGNcwWEB+HtGrRztRNJOxZnJ+eBT
OQL+Wf09i3nALIAKCD9wY+yzoXcODHN1F/VIMf+ePaWarWwSJHKnX8K16nxRlfKd25wHWMDpCaLV
efmd1xFDJCK7KhzD83BAnQSnW6bLwaJJ/86++qdXe3Qx2nv05zmEMgjTjzbWpq5kSuBJsc04OXYP
gybLr7lLmiYzhVUPp42a84ODasjAdkqmr5RHpvGxbLUcZlGd6z9Ti7BPNI2kZPvVMqjfOJThybu6
tswXfRh1nzIaqc6ZWvWH57mmT8blWJYAfDWV1hUGH2e49zpViUDZM6ztVF90NsouKz+muW7Gft1o
9AOnicNpQGry9MlryZfHZSVn91bVyNpJvrBNSF6IfXDy6iYOHOIxITb3LS7VQcdbBSYszkn3a3OE
T3LsLevSUljHDxx7vZupzJrHPCkXmNZGD1c0R9J4J+ZZd+DHGwDXx04iMbS8XvtYsRLoWyeKq0vm
mxEKvgaq/rnTwM/2TdL9AA/z3ll+ZBXVt0zrBlQtnV1hESri3vat0XYOXtVGwy6bmECz5ljRdlV6
D36JklD6ijnrGMw556bALjgk7gjuYXPDtOHMvleO5QF+HDE1+HnEYwKOvXiQERb2YOp0esK0kfUz
e7B7BD0Twdkb5IgIYcCHao+UM7WxteYouhpglH4ZO/pV/DuJYL6Wkm/XlyhwiPSW1hzezVFTE0LY
ZQ5h3cDyv6KxlwOjGzP51RpZ436E2dpN+3hmSIeMZ4SgBBFVYpti/EV1UwwTYZboib6pGO+2rXmI
t4ZZ2zqic/KDitsw2/RRN+b3vO5tdqOAVN/lkSMwv4fYGoIu9RbmhVMtd22ajAMR5nGa3FZ1P32Y
4CTJfUeQhhXYmj0HzqhK6VMXtqOvE9SifMIobYx5oJmTvQfKnigMfW7TPQEqeLDDeg4pJ/mPtVce
U6m9V2fk/FG+91lQJFL9ZvyYkjnuyTVzPLes70k2edOVQTd744SxuVxHIf7zttH1B4Woo/XlEKUJ
OiQvebCgWEaBNbXtfSYmfEQi6/lQbcjYycfiRjyZS/CIjWsCZFUfFrRm2iF6jByOdEytkGNtKlxT
0C1t0VUQnnOV35m9DfnUSgf3B9LVzMTXM84PfdJb96eXojf239XNgpcFmQx1t/FyKTIbxe5gEJBN
73H8MHphfDaH5aOLv+6OLsN7mqM36pu1ybfOCxn7sAG/vFxE/MScx+RAlKGxgvgdmwPehDKFDkXW
bxHZNDvsnflZiYLtHU/364qOfC8UOmt1Q4vTXD/bs512NrpJ570ptktZxrTA4gVUWN4dysZAidRN
xgPo0eWd/f2N58vZmf40H50Sxzi6qNVwNhmaibwOt0CHV9XWNkNRuXPlZHyO/5uz89pxG+na9RUR
YA6nokSpo9vZnhPC7cAci8V09fthfycWpS3CP3wwA3gwJZJVq1Z4A8K7x9vf88pDsh65ORQLrhhv
9T2lNEdZRlwtZRnNx9o2qINsnAqMVHR3Dg7ntP2wRri96LWkClGqxQKQaR4ooFXCrqCboBodPSSl
UzrnkJexi0NWiM0CraUBK2po/dp9FXWESKDlXf4ZyYeyOQEEs7+JzBza/8Nrp3xAA2kB4FLqn39r
gX9JOdlJe3AUL/7SzAL4RzyB0UrEfGircesYXbnRlw4TlHAmmQzRVvs6w4JdSR1THvS6Sj80DeAI
kDjeI/CbZOtlX/nE7jJyZw5BLg5V+/zZkjp2BkOmw4GaFs3gUMvvav5bjEFM+0BTAH/iJlGCrks1
RhVRvjdyDUSlsAafMhWVj6q0p6CxEb7YNQ7eCPi+FIGqd+ijbOyL5bFXuceCewZipDuMaN6IFX8d
OWmjDmxJs0f+QuRfYM1F7+q8nD6ZdTJj4T5Ew/cGyvgBGw3rI5ix7pThlrf1wi5bCxb6sXwaMNGM
x9abAVMxzy6dpAemlGfZ0ezsqPhUREAUDjmgT7Fvsqn5GGtC2tjapJoKSzsrPktj1r5G3KULKbqo
nwcw2z/TOlHv5xRKGhD/HF1SVB77r0Ckw49mqM0b0fnKpwbATnkAkJ220Lo7ViVRUtpIyx4qb3Qe
JNBWpDKT/kGty/qQAua/n+es2EgZlxpz9dHoHlMiUXxbzJtWZ0eJwEu6HXMux8VTAKOa9kuFqO1m
I+7K5iAI61R+9P8QKVsFDTAUqU3cBOdVSWMKMOorv7dCj55dMZgAb52pPRVN3QV5bDZ1sGTtj6EW
lv+Hd8ygGEwTQdNl0nZ+nLyCutdya3lgFoGwyqBqDy0+vXvalukj+ri/NK7ujQLg8lag4mPgTr+L
lgo9v/M1AWx4XpSzZlKm+V0u4+k1gZqMlHVVxocced3/iYz8f+n9VyI0xS51NhRheosAF89XxDTe
lpjQSFQVNLPY9/moL9CnvA13vNP4RYsXN8Y50wHsVZ2FyOyItsVzQyf6PwXl0d//HBkW5TBa3dwW
jHDXkYHeQoEWbj8c3CiOIZARI4yhK07K4ILWEugCYKDWP6UZaqoII6BYC4j2++0fcUlqh2NKMoLz
IZpZQBJWUdtDNkdMijUcpGYIDf18IP/YgZTew+RhMePPrcIPcWE105A22/Z9M09Tsasm13zvRBam
aHoX9eEOj6z2O2K2TX5ItVpB+oZuxneMoWHBY/HRIjAv8+HUtxmS/5kZ61u6HZdzDoIsIz+PDjyD
A7hU55+3pz2RRH0zHKAaIVVdYd9SIAGLCKRj8O4mbSTGtuniGzUeKnRVDYCMoPN3MKXogKroZ9RI
mN85oi7uk1hdrJ6M+nT7fV/GYRscxDKdXOLKmxDZ3wlY3Y0IeOAgfrDI3o9wfGHElxU4N0C0H+AO
jC99KdW7AjDkQe/TduOgX12ehqGqO3T1NHt16OiepSP4sMUvqke9tU+NdtxNjnTCx8KpkLIWLWNv
EK+5hVwSws5oQKdFqGykoW+D2PP4apOHMgxUyRcMbT3lQfyJKZQO6oVrqHafRDmn8WOiSam9A5sK
CyligvYCvwKgkBLHyrOlD31F6lJ4917ZldkJ908D/YVqkCgGmi4qELk2o7jSTM2Y7HqNWnfnKaXX
+iPjV/3OCAEnwDuMjebOVBLlBybnNLpLtSEnHUuzAHwbVrS7tUFJT7h9uSb6wzFfYZRgfqcW71ZE
fKWFvDf88n0aNdEJPz0RBuWAxgYKLFF61+ZlSss2VkMPgTJkKe77zhY/3G6sv7TYNX+I7DjLPg9Y
tt01FAjNzp5IjF0sLurj5Hrmo9PbpefT7VY3UHSX6RnYGxhKOPNgbUnnb3U8po6+Vm9y0O0peSxN
ire8EmxyvSqD25v8rWJafV5yYcYnC+CHW2W5Xv/KeXAk8NReDQdsO/XGjHeqRjG6r0FxyV2Ymjpa
YPQ8imdNiRrKclxTc+iO+Ib+1ETbqHem1nX6V7VU1M+3f9mVS4eRIkwt0kb62eveMlBF2Qihdwc5
J8p3Kw7LPTSF5nXoxVeEYeb97eUuAQnkqJz2Be9GJxvBlfMX0TehigH80niKDMjIO9BfBRbudqxS
Zkd9LgMHKXbjPuy6GiMqroN23xfI1iEkKvriABStwvKr70HFVgPem7t6NuCOZa3oX/pwDF8Qse3M
jZ99uVUWe2/uSgaENOHNVW/O8ZLBhqiZLSaWDJHSTvaBbIfhoRaoJPz7YixFTNIBbIDxXO0VwdUS
TfqMLJDWOPfZWNl7R2XuFTFr21jqMvpxxZEDL+GPVqC9yurKPMTFcyjnA0aRw0F36+qHQmc6MHM7
wqrYwSN2IMsMuDIjH0kesTXauMxlad4DoVqG8RRJ7vL3f50LJ/R0hubefLBIrH8CLXE+jV6FXkcb
185BAaTbgwG3Kmfj1nk73GcHcjEbAoCziFxy8eiruzFG2KjHVpu6b4Rldi8jVX1uxZxlT6g0qnUQ
t6JOMbBWCfvJQAq0K/sy/WRpGaQdNR/c38x845c6I48LrIxZMfc78MxdKusGCfo2EXLXO1gCIMC/
BHGes6N5PZIfdNnUYbMwo1Dry8oEpm6HEidupXO/VS0+0vsaRB7Yz0IdP7Rjoo6+a8sa3A6/7bdN
L7/fjWEv+x3tyii7E8KJN8LCxXfh9fBmGIjDvkbCdbXhAUTGJmZz82HpxeGtWhX1XdsJrTqgBqhh
oTYoUeD2uFxt7Mhlx62/C/hs3UBRYOnMrDbEVFoh1bKpHkZ9iMv7MdTxWXKgrih7+tnR9yqED7iD
gkNvWJqu8u12fLo46Dw3iDOAkgxSLWvNScsiOOBxJij28sWD0LVGmIH4j6Nqn9/dXuri7DHcAZKJ
ePLSMyTrP9/6kEOBKJXo5qOYWQRTKocveANO+S6yx+EQt4P9OJlUAziO4B0Sh9Hx9vpv6kyrVw0S
Fv8UdI9o0qwHDkmiUkhFtXZAnQiGJwQNfHnBQzWPmKcj0T8yyy33iy/sKU9givlYNNI1RXEmjU8E
eGx6qB7U8a7HMvXBVKd52tNt19NDjElUv0PTzfyo8PPd/YTUWofcDEL5haNV6r7DbmM6uNWg1/7c
VfW7eeTig64KLyllXo2WXORGADHaQmxs7bdh3vq5TeAeaLTz+mn6rV78oNUYXFnawcPosr5XFU37
NRpO3D7LOGLCMLZSkz72RPbo96U3609dZNAn8VRnrA9tMznHQrRmtHC65tNIShj6bZnTTbr9ga6c
wQXJihAn9YgLTvr8d8o6KcPJWLr2IoaZD9V/XgRpcDB7oiNqD8cIDlu8c/U5TDZO4WW+wrG3LeRo
eEGOaa992eBslYTHTkciplRmf5oS93Pfd9MfXg3hKEtoPLsmHXOwOs5za+VaDYUljr6bsJB8OLfJ
xmm5HP/zi8BN0iVGhZDdugoMrhFVqauyWw2meh+qsp/uZkK0vncwfzxRq1X3Hbf0vi065UMFov1D
k6r2Rni4tncg0nNsKJuJUWvMr56Hw9RmPSIKjtYCOOwruAkOJjbMhBGGqPfMtcOftYPuh29a2Xzq
y9bKTnEHKnSnQv+r8BqJuxfiGhoMRgOL24dB3r7c3joXWZ1BSYWwJTZkOC5ddNR1aSduUTnmQUMO
87mCFuNzbLUPspnLz3le56//vB5Shot1GdkRid3qSMGEl2AsYXe6jRmWfmSK8AH/z+y7E/XxtHNK
ukobp+PyogBJS6No+RgG8IdV+BwqK4kjzMsOnNbQF8JDykAtMjx6jAnGBG6gTAbTECcj2AXzRqvm
ym7kdkIAhl4ybER7PaCHoTzCJnfNQx/T0G0jT190GOsW79s0TsKDUUzlCa8pvEwGJH3TRKrxgwmE
dWNDXvnQFM28gmUmTem4vKW/8qcGvVvLTSzzUGMWu++gxf8Q1NC4lM4It/hjAm5u4yReXpFQ4xfd
bqgasNIvMvjZGwwTa8jDyNjrnl6eLPcYZSkPLZ732UbhdOX56HFaixTkAoZw1xurwtrIGAsWcyWN
aVEpKAjm0dOUFL+AidQbkP71cg4vc2nAcSO7i4rU6nV6mF5qMmmiILUMJCYRfryHLTKJvTaE1n0M
1m1rG6+D/NuKCNWhz7fkG85qRQRPCOWWquB6WdqP8OU7tAma6r2K1gtEdb3yhSs3MaVvcervO3BZ
FntPjdEMuo2A0c/3Ta+XeASkkXtALlN/JpP16iAfm/GbJoHG7WqvM34hB66gWlVXNGfQ89PuPYbD
GDWFobcQZTT1BQUQxOB6Wxgqo+4quyv1NH6PmPxIGV8aFvLYAt+yJjbKjzaoAXQ41Uz+GhA8HIKw
ihY+aRkLfPJU+RWTR1RyVWu2HTJuW6JApwgVmwLUnY9JRQr+DH27+T0XOZYGkcQeYQB5ot6LdJT3
etk4yFb0SfxfnAAzYHxa99NOxbCo9j0MMX+mlYKDpOmKKN25Sj33wERQxuffRf8jAuzfLmP0qN8v
aQ//KyDxv9klMvSLmQTbTyoG8lMFBc2Pza76jZMzWJaUaI73VjiNKWjVlAdvWyU096CXFOyFvSw+
hJOTPk5WH83+kJTdnafyrQ9pZnoFg3Ej/UmRgHpGyUZD/dyz288hKWh1CBsddVLNmjS5Y8BN326Q
RvakqAm0D0jAMYzeHKOQXSIKMIZCQ4ocLR9FzM/o/qSzL/Wmp1IwDaXFg8lsH1v+7j12YEjHenqv
4IeGOjtS4wVW85RZjYEkDJCFoK/q/rctXLJCBBPFt4qJ7O+ur9AapOp1Qbl1UfUN77QJzdNharBI
r/AEA8GCc5GdavEfIqdW7tPRxpxJytGbgJ2HyMhNhTnXaJWE6CClwAu+OlLVolNaqukp1J0BIUwN
bNuOlAfvsaJVF9E5EzFX36oQ/MahMhunHRPa+J7RSISLXcrMcIfQi2J94WY2FpsbhjMQf8cSbeLI
m+kx6LKLcCPR7AjNLaXFYqPsR8dHXHf6NashLPUBdru5K4skf5JguREPk/OfNAytXy7QkdyHXkHL
DXr9uCcy9vEjXdzsP5wqOblaMdiTL7M4sXc6qhk/qwltBfgLvfPYVF76youDhGwpiCBsXIJX4pXz
v6HMMsdipnl+jGeTlshkYXwwKnO1TyIPBqGoxN5FBvNRZFO/MTFYWg+rsMHwhboQpVmyw3W0sqaq
MpRcjYMQCC4a+qbVP9YYh2/QZK4ERYYgGFTA+ln6A6uo79KZnm2czQODmal2UKIsfMd81Wl82+m7
Y59m6acWD7Pjv2UxBEXIw2ROpNsgjtcJN/IZCo3iJA66PioPajRrJ0RujGdKUIHHXmxtfb4LnN+y
IkZSWF+w6uJCef79HKOZysg0QhB2uiNe5Tx23yn36xZ1ASX1Htwmik+FUSL71UI3/9b1IYxUVUMr
wO+aMMy/OMIGU4VnnXzOSjhuJwuphQbvCYjZez0SCvYJnaZ9xslc73zB8OJnwni3CsoaJ53dxMAT
7ZwEyvAuTBAZxf0xMx6UsFB7LCbm6R3NKGzwvFA3ysCdLPUxzup+UWTIzW6nQB5RgF4V5QLQZ0cU
RdhXwKgAzHDWVc32jTQ3PktFp1aI805+tbMJaFDVKI6yZ3BRM51Q+65j5hBlOiK1kdn46VTXH6U1
zfI4olQ0BzB+cUDXplp7rSsHRb8x1wnJ6ZRid8iMLBF7hPe0gbSvdIg7EXIRLXYYqDyI2C4RPdXL
51CLxn6vlkyyFgG+OT3QZx2mI6fT+9V6tGF3MyaLwLcjL/s5qXn5lNeeKk+3d5l+ubtJHSGoEwIp
Q0nQVx+9scZQU/ssmI1Yt3xMP5Ehd20F1W8LQYTcynW/RWw7kHGl3YlZKr4ns3Dw88pFddJuB2w0
qibpfpelgcHEVA9IXVNxFV0yfTRC03nw3HaiAFerZD9Os4ulUGT4iN2Ufmub4zNKc+W0R9r6z4hb
yEbKdjF2QlKUSY5LOIK/RYa+2tRymaqmg1cEyIlgZKRNNmLQc9zTzklwKvSYjIV0OOjK1X/UMRpj
8vSp+AlBLXL2phiKl6RJkCWY6so91fUCoo9dd0b4qC+xlrz9Na58DBsoCICQhdZwAY2xMlEkRljX
AagEza8a2ARY0gw/ZJ58xcPqGw+pftpY8jJqk1oiQYdmC41wOkDnG6ByEVSRdVsHqk0La2dUYXUa
s0atDnUqaB62sWaXvk4vrDjg792DmFWKcdqXeicsX0x60+4QKs8/gYDD3c0eOjt8Zze9fRzCkZSN
452CXHZy93MCm6HY26PW1DRhbGANLqDZlwQyS/dkTN7MbHWs2r1Aomn+IKvYSN7psTHBSDTxbRnj
BEpgoeDewj2ZIdJkRr8jGVlfLUCECfRhb5zuMz2vf8zMyBF+jjqmho7bMWxScZnS9jijls+JMnav
xdxHbGpYqwiNpFr3CYasmR9LXvEHO+cbBZ6WFQLHm9L5SgEy9PcWUExUc8CEfJdDT1vfSYfkyTPB
X5MiFOWfNo5VhltckkhwRxjaiobzzeg2VI5I3KkKSNY5TveVk8sKlUsghz6ZRf+tHrVx2MdGJts7
rbVlDHUnR3Qmarz8czej4XMcgLs2O7xyi60m5+Wmg8uF+J+N8TYXzfrajhGqt+fezQPT7p3j0BlI
n3Tlvm4sxhlOWzx0TtxtHMs3WMj53c2uY7AAuoaxF7Xi+a5ri9lwu95LAyPV4xgDTt2gylBNsQvt
BghlPzYO2jl9frImjjDaLbb1uQIcWx712B4NdKcb/b8ux9nhsTdavXgel08AdItUn6oM95snOKMZ
AtVqQb5jTIgaY+BZFENAGMWSxlbDsnrn9VH3hCcCZrk5QyAPLXRbobsbKc7vrs2Vl8Jr7V+GXaBM
efvgXTl3DqkLVzx8CsddN7VGGJ9OaU5ZYI1VeT/NCL6lES3tUrW9I53GaKNSXs7x6o3TrQJAApcB
+sS60dgPedv39SKwVcSxhs6RVoonL8/njbxlXZETcMlW6JmzGD2ptVq1pUXDXHI1BD16Sk+p01bo
irbi3dTq0/72K7yyFBNqY4GNMC+CVHq+iQC40i+0xjwQQDmPSC6ChRe2+0JTSNkgn7xxU1evjyOy
dJUYQjAUX2WBuGFBXnWTJOiK1ioChXK83ynANE8ROADveehH93eoifBOWnL6NUoubCk7gPluKm0K
uxzlUz9VrUndZbOdnrzabvLnMHVn7ISsznjxslySK0ngcXs2Thvfd13TIlqgaNEdZ9P60+uehOqn
STSC6DHJL41lLnzYYmbgMzGj7nzVEu3nqRKGDRuMxuxjKOxNZ4zLrWtzjt4GtUA4GQqev/dGqQDh
1h1vQVXG0u8HT3ofQ0dRHpS8pShX3H7YYilf6F/TOFxmkG+KNgBI1iCopMg1VQwYdaVK5nk70Vn6
UaTCeiikot5DorZOBQ73O3TH5G9TWSyrW1ySfc8orZOHh8POQvrzqS1nXSK/u8iIe0UOXFpTZbnT
hRFtpFbX4irCPxYgTzAUJPHnb4m4RTIFLG+BhakB2qrAlgT4R6vDv7tFWfOYj2a7ccovj4SHmMTi
HqEtf9bg2rB2s4Irpg1gbLQ4fWWW9bl0cmBiNT3A28dvSQ3PjwTUS+hJwMNcgvhawtCEXYiukKiC
ea69g4CZhQ16AMnfOvRT4T1XSOr5kDbU77fXvXhGpsM8GUo+lkYJtJaAmLDdymo0nIJ2cj/Tc0gZ
O5iZGeCa2Xy4vdTFTmcp5sCWY6NdTuBdnXrFHSGUjVodzPGU/TYKYR5pMBWvAALo2DjRvFHSXrRy
gXohPMcQTEfdwiMxO980JiHabUVVBx0aoR/jsBAWtiRQB2vRDMfC0qBexHHH33OB3DMTLQPU1dyN
aHftZ1jkn3hoAD4jgV5Ne4q8rxExiNsAloPyM9V61weIYR8mCyoYfbPBfDCrVDHgGrr5DvdVBcPt
st6I75dvn1EkCQl4QJcaZQ0Zm5hGqbM1y0DNcZiXrTfveXnunZZHA87VKlZWG5fyxZZmO1O7L0oP
3JBs7vPXr/XwZ8IkQX4P76ZTrtPshFaTHotonJ8sr8BgRaJ0zfww3+gyXG5qxI2Y9AL/IQcHkny+
ci8Ns52R0goSW2YaXDpd3lcWyS0JURpuPOZFaOIxF7V4zg4bjlbv+WKcWWWCaSwCVxjGD4AH2kkI
tcJKSR/2HtzNuxES9caiV58QdCdaeKBuyPzOF217gxk+BlmBSwG1V3V4+03t6ae8zrp/jYI8H9eT
xyCHliPg3fOlMH2l5tY9ERhqbO+k7H+gzdd/NYUT/eNsy2HYg8rPImmNER9R93wlyCl5UWMCGtSx
4txPw9i9hyL/Gqex24Hco/C4HZAuNyiApeUWJOIyT7NXAQkmsQLbs2Omowz5TyfMYt+ZQ9feuRbD
6Z0+FkYLh61FVX6y3I+3F788j1B+ocipJEGLsN0q34pTjEBBIZKyarl7jDn2hCXde3TUInyEPPl/
WI5Tr0G6XdBga1QM/Qq8trQiD2Yxm0/mLKbd2DBYsyIn+z4gQ3C4/XiXp4KuHZ8RYNxbCrvaNUuG
18e1zeMJ2De2tMd7tZThvpGy3mlCUx7K0djCV11blEJoQbeAUoBwdL6BCtKPESgi96ac7GAqPfeI
1M148JhIBMKs8ke77qONJ708ipi1s4UYWC7qcmsrtdqZPLc2RQ5WSM/eKbWLfAjbau8xTtmI4dee
D3kTSj2bBhoou/Pni1pHH6iW82AYtf6xzKjCwrxAZzUu3Fc0lQYglZviyheIAbB8YBSoZhkBM6Zf
I7nABjmzgoNvYEdD9T5a9LSPc8E8BGiUfodOIJ4KaJkyykB37CnJU7mrC896dbE68md0zH/c3lqX
xxZcGy2WRVkOOsFiCPn3ZBR4V1RKVEEDr1Crl3KCnCoNKgGA7khWuSI+OMJQ9l7Vuv/8qXnxSGBq
0BfY2N5qU8eUKO6EHUig1ln2pRf0USy9kndJ4m65Bl0g+B0PEg+8DCokGsjsq/OntDrs+SgrHbym
HO9EGeQ8M0WaXxYR71PeW0a7SyvpBkNqwBexQhhPmZZ/yUt1C1ZzEan4JewBXKZpa6k4zZ3/EsSC
nLqwegfcOPCgSh8/MXhP3k8iwsOqMK2Ny/vi8+Jp7S0cRZAxZIlrOAg2zgb+uPaINdzYfAA48lh5
4A0U0dQPqBaEL2Yl21fp6Mrp9r66fE6QxjRSdMow5rXW8sP+mrjzsvFKSmc1aGRlMe2n/jGReX7n
ZNGPrNS3ALPXltMAVZCouDRu1gPwBBVYvUprLejQmttVsJKPWHQwoFo84ntZKz9vP96VHUWZybsF
j8+Qx17XUIlXqpOtzFqg0oZ5Mb0hfScjOzlWMVnwbsr7Zhd6NuVxmhXfUqtUSVMT5zCb+fT19k95
U7Y5q3aYepggG4CVLKXHOlBXBT+TEeoM16dQp3dR2gqx60duCYYffRSdKvCr3Ytap9o3aCNg5bzB
ioc91VdnIttcugGeTVP9yKCwI2fOjfmL7hAKDk1oaNg+N+pg+fjJNACyJxg5O1E2dueXKPkWqESH
mFCVEVyuf80olmnOQnLiJVNvrMU10YzpcksMWlCBPJ8AVznOZzwpq5fEdJY0A+vqBFmufW6PW8CV
JR78/UqxHIGlTqbN7A74zJqS2IElkDhYYaE84JEcVa59n9Z9tQGjWN9AyyqL5BxfD7TUxYcbUTIw
21id/VLT55+pk/xXjnb+3CWe8sRkiDFu3G5pBV1cQP9blJkDNCkoZGut+8E1ISf05uxHZPMNQ8Pe
AC3qNvvRjPRPWovcWl5DjvTBriUfq85zdzO+1c/Y9rbHNumbjUBx9SWQQpF/cwcjK3UeKMzRRr3K
S1QQFCVx13mzxuV9TSAoXGQoit44NsBbNjbXW1dx9YnplSMHT85KRWuv0hurCFsmst3sK9hL7kKj
wGa+zbxPpVlFv9IGMEdaI4YgenU8wgIuacM30V2uU2UiUjQ9A0prAi8EV2w6+HOjtgh4rOjyb2OE
2UaUu/HGfXkhhMuXA9QHM4IwzXW9dhBLKzGiBg+ssDU759E2GJNHyPkhs6ZE0E/s1oGZkXsqMg7x
ELRmZu9xdnUOjp4qnwB5kuB06Vb78YKpsPyqBfoI0o8QREA8/36agjpcGekLmrEb/tNz0ePXMvXe
lwHn9/sqCRV1j2CrFu1jRdJRNFGCUXZFrcq7kW4o80/KdSyYVEV9p6BI+KW2E+OFDmHS70oLIEhw
O1yuM8zl93K0qfUoosngV9+9h29bdn02gfRLxAvC4Mm9xEllL217K5m9aFa8rQVXC5WAhafw9kX/
ugSH3CZrywGNJFnifOHmV94rCrAszOblaxOp5g7QVsr2rpPDpDgimKVd+//+vJSbC4BpSTnWlBo7
EgSuDs3eyph/xWUMvCXUvE9aJ8xNr7cleVmdqSXBove1XEXQBc73QkvpDBGasGnMkvmamGJfoa9w
Ap+AcRduRvgrVJlzx2nTjwWQ4F02jlOzq41weH/7sdcJAa9+kURbmHIg8C4SAlztCw5yM/sFkxi/
Tbt5H6Vmea+qYkIAczY2qok35tn62TXGF1Ta0CTAK5w/u4LeWMh6MxYaYXOnDyC+n61qFAzcYIfK
nStCoIe5Isj1ZSlT248A1/+QFtzCnbnYAx4yI23RJAmV6bVPFaRTShmjRuoYs3IciTSYjLVm+x82
2Ob7KB8L9ktUd3eW3VnDRlS+9voAE7Jv6WQSllfVfDQJz0I0iJ6eKHIGz5nyLooKhYAjFqZraD7f
/lxXbgFoxCBZIDiSTK3TRVT90yitqsm3w2b0tTzODsroYKTRNAWi5sp3GaXpxjNeRAIaMGSmNugC
EnFkhc6/WDNHgMVQ9MFa0HQf+rmAFuhmEeIz+pYx68XjLUstXWGLMQ2l3yobbqJ5mEPFZSldKI9Y
ewzHpCwn2GyWjR5bZR/mSnQb7/Tq81FXAQbnooM8dP58IfbRppHhmcYkufkBhCTei1ZFT3eRRL/9
+S7yJZ4PTb0FggoKn894vlSbsv1HhLT2TmVX31IIJ76dgJTburSvrmOyUZY2zyL1eb5OjQEQarsQ
OoswnO/phtB48Xix+2xOwk9GmJU+4ij1f3Zf9O9ibQLOhouaX9oFsilh51g/yYjNIEOwZeMNXBwY
rNihSoGzppXALb1KY1q9GfQQRxvah4b3kfpvPEDGmeB/Tt6xRxRpox9/5eOCLnZtLINMBo1r5lGP
R5OdYCW6byrHCYBCAATBpsePZm/r4157NDbt2+NxRNdRPUvSCdQC5wRHbqDyKUBOEcW131UiP9aT
pmy8ymuPRqm+SILAbwd6f/6RIZNluQWzYi8ZTH6MC8ztSqduHqTjbnV+lzB2FrT5amiv8EwwABgK
r6pxl4m9as5gAhG9mZL9kDYFMuWj8cphMR4FPi3PCF71StAoVnpQs67b3z44y8Ff/wAek5AHtxB0
zSowVJ0aOmGJMbrtNOMT+CvlXdkWzWnx8HyepzG5H1CAixkIjkVwe+nLzI2HpwOjLR0pjtNaT4iy
tuo0GybrkHZVdbBNmfZHGCV4Z5N0h6dGpey6pynBaDdG/sk5hmYx4LoMJtf8k81lEzgaMv1PzZyb
n5uJ3uxOzMj0R6gzInkKKWgjYl8Jo2e/ePW5oqJUopYyf4/tjPjo2FN/B/sthQtrgthBlPpjb5KV
335P1xZl0sRBo1pgUy7H468kznbSMaUArva9FyZ/prZFkkvLUOEpxPAO3J0MIiAMh9uLXpZpfBy2
JYNlgipEnlU8QeKBrqBSVPu40bz4e+Kh3UpqEIXlcZ41yJVhCuhyX7e9eZfHIvtPzFaXHGC+j+PL
3IaoYbnQ1T7e/lnXtivvgPSGMp+TufoAVZ6COI3JafqhcAJM/caD2yNHqGeG/j7DFB3oemMWgVvn
W1a816IQ8AjSA1z+uK1XoV9LE5XeSV7jGGZ06BuqCM7w9q0vLv1v/GCbH//8qIuJOh/dRWTlAi3S
YPCVx8Ci9yJr9L1wzRRN4Sr0seZUD8UY/6pUI/2GWuOWj8CVB2WOgeAPbYdFcmQV/pDbSVKLZuy+
iPDf08yuuJN5Jve6opjHSNvM2q/cqTbX95IjQBHiz/n+HhyzCasw4sUOdqYH0rXK+A7plU0ZleUL
rWId0hFkXMvMFNjBaqEapZjQHZjFhsaCL5un1D72MhSPA1Z0SNiMyrFR6swPY8aou6GU3ZM9SlQA
yqiwd3Qm4t2g6en729/5yvEGX7aUhPyDPb2qWdLJQ15PasgeQgN4lnqX+QrAiVPZhuID6DrjsU2r
z7fXvPbKSQEglS3DFe641Sufs1wv1YTSYMCvJo9y+8lR4mZjVn6xkQAE4UbBlJH+JIusVklSenIK
wxbedJn44CNxgw0rCKujVO8luKGNu+zaekSFRa5fsxcvhfOncmpd6GrvuH6Ff/rSevSODCjtJ9Ut
G79Jhk2E8PJpzjYUD7jw99hTgFJBHp0vODMzcPRRZ0FdgWuj5LHzE8THGB0E3q/Jvkas4R1oJGxK
rblGdVmPUPCK4UnoSHMnAvowIJBjWumtcVAwk/XtnBgTWImMy2D03GTaNQYS1LupVmPQfIPaH/Ex
Fd5OiZx6S/3iYifyONQiiHXAUdDMda/eQD2/LOvC9V1LgZSmA1tFRgcq4qGcav2oIUIZGNY/q94h
H2WQf9AfYABEuFrFG5VJ14Tspetzg6No1Iw2vmNdacx74GHefhSTR8er3vIuvzgDy7LI3lkkA4Ds
12GnmFSEvy2WNRejsZObOphP4D8fbSliX1sIxQ4afTiAcamubtJaoZJulMKDpAw43Ozs4UNVWcWX
20f62uZnwrIYOhPfeKHne3GwK0PNpwn0ve50H7QB27RK5hVqEIl61zXIU91e7yJJZmq2cPDZ+MyS
mGKer9fGsocfVsC6KjP6frIU1WOHZLG2q/Sqfb292JWdSRDh3b3tTm8ttTHA0UnSjMvPAkf4pBnT
n9kY0p1ZZ/LOK/PiMWfzbuR6V17oomCOjycgG6qqVfSa0DCj0rA8v3J7KG1jY4NOHAnOOGu+zr2+
ice/Ek2455e5LGOHhbd5/kZHK6vniuarP6PxBES8KHCuoFJuZEHpkyFdH+VKfOhaGvNj6zSQeGfv
aA9tf0KtcEvx4+rjk2UtP4fovcakIDEUVlKPwwVEIY9FT2Y1LA3WIna+kVgnwe0vfJHYsZ2W3MqF
bqFD6Fy2219JroNpRz7HhFKlDC39nqTXec68oX9MYfW+zuasnhphuPiMaNLYWPva7oICaWIGu6Qh
66TSJMp0vQNxJQ2xNbbQTX5sEnhyZdGKj7JIhw+Y/47m7vYTv43FVrcHEQ9iAXkWqDZ1FfcEnXx8
zfLQL9vImh5Qjcnkd4D0CGPLShlF5cNunZAVcL38vYurX+8Pvdb9VGaBUa4wFWeE9geJ8ug6i3Wi
PobuhzDUh9ZPKEXwaokZO++8LuoaHxsVr9jzbmHhNeEY669zocaf0h4rCtp8NiLRZm8jiWsi3HOo
7Qq1XgRvvfIhU8Y2h6AZxcpd1Cqt8YAsWX8qE7Uadq0ois92aKHaPRlumG8MqC6rkGU2vwxIgGTg
5/oGlv9rW0xqmIgqHdGVaicbeQ0EFf/YYVXcNyBr90Kfi//QoUF1S3r1nTanYpfW3vD/ODuvHbmN
NkxfEQHmcEqyw/TMSBpFSyeE/ctizplXv0/NLrDTbKKJ8YFhA4JcXcUKX3jDl0yiReJm4VztuXxs
HAt6+TCqiTEQILlB3vQ2CiDtpHpxUPQ/lno0xeOYDI8J4sNCBjkMdwotNyUCSk3/D1NMiAj3+Ppk
1EVVl6OTEDFMre71C11V4NzKac4BPrqD1FHyTaoaFiWRSEOxLYb5en+rbkyaVIDolKgZp+a1uTlo
AolCXqN64zxakG+6osW1NpOdA1LS/QcJDZD8vbVDbCWZLmpvoksIZOF61iW+KbR3K80rk3J5GvU6
d/GtyGB19svDe2cHbJ26L4Pg1HbjYqBGak/GQcMxS0byHbmYj1af/JPYSXxQleS9GlVcqBDkuevw
6NQJVFfXvCmNshbzjweIEyGGaYhOlZ2V32eF6vP9md2+0aRTBKj/F6qKs+D1Is6D2oRlZaqYzlhO
6k5l3P/T94VpHWkXQem5P9rtRmU0dFBoxPFc0FlejWbNsTLmkUb4mNqPdorhsAtPaY7dFFnW0xJH
Tut3qQSNV0mr8h81G6W9V+s21hKwcqTO6b7g17lObJxGt/pQH0HfVo38uGSL9oVd0+/M9PY8gHhG
ig4UMPwK49Ub7c2tNBrYj1YZVL1kKpGPMudA81MNinFBDejb4nDr3l/aG7SH2DRC80ATDUMoKuIX
vRlRbmpkreIcck/l2OVRmdT+0PWtfTFQaP8EjgAGVWamuVfnQ/0joO2AFEIR/AyzWv10/7dsbSoI
g6iq0DkjqVvt33buhnoa4WB1ZoSTYplH57gz5ZPwSthZ542hFDSeyNRNCFiEm9eznmZNkywoIl6Q
KNlHPbG/kCIHT204fb0/p9vWNjwErnSqLegh0CldXbKYsuGKlDS6Z01N8ZnCV/U1IACqsBi0q8Y1
ijKezmkdtpM7xY2Fk3gLochVF9tOad/UpekaJjxYT6mhz7//GAs3VIJDitIqDb7rZbBVSW6zAUh5
ZlOb8fqqD86IQuQjkg5q6e8shYhrr8MSscnIEoBD4OJzU48wECvp2l7zcgxENAQaKqVf8GNSluiz
nc46xIUkbH5OmUMdHqWf8d/cpim46Pw9T9bHMtzb/OIzr38Rnx+RPXDnVHBW8xdPj5w3iYzdXZQd
UDbQfvd4YhxxMpL+18FTbmE55Lg4AEaIsaYo5OO8dO3Owmxcb6DqubHJe0AcrPVUomIR4pAhOkBV
MB1aZ1b9GcWG3xNp5MNSVEntho4UR4QdQ/aTFunek3gjasQlICIh0HQAN+F7rzZpjPamFFi57AVF
Nl5kvUses0Ruvhl4EV+oTuKBlU+lF9ULIWAmheqvQZbLczbFw6lo2uwLiJvy11jK2cUojeTf+xtn
4+pFu55tSs2DtHANLLR1JErzMpU9s8L8SUMpHJWQxox2FFhvMQ1ClxO0CLku9EgoAdenYbaDsp5D
HMGqWjXR2htBLDQdHAs3nKoaNqk+fa3I3FShACF/TBYId4i0hjuh6cYbQHcI9y6hFirqtNc/YzT1
wbLiRiYYy6OvahrXP3Q1jr9DXTYfJ3CkO6dABDyrQwD1QmhE8erwzK5eVwV9G6eysQwxUBj4WNhW
eOjHLL+ozlg9dFoDfoqm48P9b7q55SCUcfrAUKLtI37Vm3dnZDbVQsbkmbx4f4um1KUas/lro8f5
eYqTIoO4GwR/THNu/sqFihUQe2G6Qn4uf9DDyURGMZRzb0nt7mXMS4yR7v/EzXWh+EYtwhSAAbEt
3/zCcqH3w9OheEvRRA9qix6nVgXRBdYaGn1wrusXS1+anc2+9fXZgfSigG9zU66KA3Hq9GNa5Io3
qGWIJWw9xy8EPHh9TLkZ1546DEjF3J/p1gEDDijYGybJx2s77c1MpdaSK72eFU+e9eULPnHf8b4c
f94fZOPJJQ7+/4Os7pgU84dqohPlzQ2sJh+O2YIAnxMWOSKW3fRflhH0Kj5t9D4pPl5/vGBpePkL
nKVQiNXyA5lgPx44BLOnjzUNrzba08cXv399jIQUmWUQAxEgivm/XcRFV6SiigmJYzV/qHoMEae0
NY49RjoPOBP9pu5RXQrA1+f3LywUChhFVDlAKawGdrpkSa0W7QLgupAyNd1AX7QZPsBpa3c2yuYc
OQw8UsIJcq3NmQBbkEyuf691wqn5qeRKMD5NCZ7QtHoLDbkq1J6OoYablKcqU/heQ2jxTnEouDA4
leA+VnsoKeNsjGwyVhVRqmM4I4nQyEvxqUYQ5XB/VbcCN2YI8AF4CS/CWtGuopFV4q+keotpTtMj
zrTj9BFhtTH0EEZgkbEZB1NcyGkjPQ/xqHePeTar0qesQ9rD7SqlsY5WF/XfI5lLbedy2romUO2l
f0p3m9R9dU0EJjbJISqdnhrC7qqUGD+PJWqfcBX6Dfts2Umat+5CwbRClAe3XgSsrzd31wMAMSZq
WOhSQzvMte8D9mvnoM+ykz3Wlh/oUbezr7dSE4qEND/4CCSazmqOhWXE2qBwLRVL0xc/7HSKLnrj
1NMBb6eMhnBe1nQuF6l3+7iQtMvYpmPhShF4QZdUOSr39sTGRUkmCtqRlJ70d03GAgaglOw82Yuk
qZROcmgo3RGccZ3+RaaxlKcwIrfxu0pbxlMUxvDRCO0TlmfI9L8SJVcHknOAyq48YcQD8lwJ9zbu
1m8UO1Z4qMDDWdNIO1XKSZdbmTperVCzCdRjltnz8f7xEJfK6rbj/44kKaIDmLO/Ivff3Hb0O/sB
F3YcOEkrHqZyMb7nff8iJ7V0eu9IXKrsANGXx6dp/Qw7TtA0XViZ8PjH/BSHNoocVMr/Tuqh+HJ/
qNtdzlC0p/iMYsT1OxgVcai1Wmt6uSUjbhxL8pHNhFuCBANglpTxOBnztLOSm4OC0xPdPuBsa5GD
etEtOIvYw/EkdRQwTCrx1ADso4PQ9FOc69ODU8vqzk1+e3+ItofKVUCNDXyz+FVvvl+GhYym1ham
dDF0UN5ftFEm2TghvJOfrBIru/tLuxFcwwulBS/geopo7VwPiJLU2KcUeLxmnpdvUV7R/QZ6lX2B
/tsegPIGzwrie4ekUbXnYLLmr2057z2VN9YeAslHQVzY5ogq4DrRiTB9HJGLM4muKsVK0b0SKlJh
Mg2Ir0C0rl1F7bRL2FvTr66M1I/ZIpS2jACCj6smZv1HLk37l1EkVYdO+Fj/QMkAzcvImObSbQdp
+l3Xdu0cnUy3L7FuNNoFrof07f5qisW6Pn1Mg5IpywmE9aYfrUSz3mnoYHmWUo/yycyV2Ma4Ty0p
ykeY4gG5nqZjzxWWHtJei0uvpEah78TwtzcNhQOaj5Q2UFJGU+X6kzaq2cqBBnlPTRoYjUYSv7TI
b+zs1NubRmTGUMwFlI1CxWqUBW/ISlps3ZOnUSk/10OVSb4uXJerhYR659HZHI0qGGmXEG0xVtsU
29E+DU1H97Sqr7RLbip68byoyBJ5ltkiGXj/Q24NRxEK7QEUVYUI3PUSLvIk2FaYeyxdbP8y7aQ4
9EEU/1Wq+FXfH2rjawGaEPbJMKe5R1clrw67N+E5YZFFN9H/FGT1vldhvBMnbFwrDMLKodtO8qKt
rhWgwDYYRwZZ5ErScEgo0yNFvQimzdQs5kOOuMOOicfWzXI15ioodFTgIPZQWJhmQGaaZKyS0A6a
jh3c989UNsMvy6zYCbaQ43RKpkh+HNpp/HF/dTc+5NWPWO0bI2gWfZg5kTO6kQdL4L3HOGpebAAc
79+idDQhyoDIZ8ussSEg+dqcmqLtQSShczKw6BdpqbmgpGnZKw5sBGEgeagLiZBHJIir1a1oG1ZO
VtmeIg2ZdqqiTPukG+2inRwlr1PfiVVUXs0uXcaz1YzN93BOnQVHmHB8AO8a5DtNq62FpjbMLmai
dI5WOwz3QL2hR802TlvzN2TM/G8S+GlwE00d9xLjrcE4K2ThgGmpkawGG2jhF3AcGCxDOqYJa/sr
8UNzVu2536Gzbg2FFx7DkJjyOK3WWQ/jOBmUxPKU2ZIUH6kBe3TrqAlnPypU56/72/W1lrV6QfiY
PCHIeUBhXS9jXlLvsB0Oqh2qOs6l49h3Xt3FfeyqWaZ+iZd4pgptcqm7MFyK09BoVGAKAJJZN0Qv
TqSrp/u/aWsF8GYkmoRMAO1K3C1vQpIFBcMwQpAXYo3ef8vDZvAqeuqwpg1lZ6ituxBlKZaaLa07
a/aSjaR/nFEK9eJkbH4lVNkvFTJn0c7tLrbHapEp/osuK3kkWNfV9gmsGYfJAoBMZBhYZuN4LP9G
ehclok7SNLeRcvlXgl33zk2/ER0gLQh6gURNlNZWj4peanNOMGB7Y6XbBUoOUX2MiC71I751S+jO
s5kvB1Wuwq9dM2V4cI+dpez8iK1QizvDgUAHVVrwpK8/p2PbeRVoteMFttPZl3mQlMVvLKC8Lug1
6XMk5XnsTaYV4roMQCV0S1uJab2PyvBBHpfl3znLyp9AYFnA3lSwctZ7ywpdzHO11rPlFjVWa06q
B6mORtArWoVzrt2NXfL+o2kQtgpdHGFaue6SFF3YqEoPnqtyZiybnBGLiExefreEu9/fewZwHGEk
kBt0OomqrhetHbWpHIIu8ukUdE9WjDQMeobZAXe4Ymdz3j7VDGVzqcFlR1FlnQEonZVWc9hEvjH0
9Sk1haqyrRWndMZoGMDGHhbm9nhDyxUhN0VTsN9rHI5EZuUAjJW8KoDH3hVZ51dGZTzZfbIHeLod
SlhjCsNZMkYkEcTxf3OT1EtcZG0He0PS1IKyccrjT6Xqg1Z1zrv3BkNREIArL7KpNVjNmQYb07KJ
HmkJuqWp+t5NFqwfWlsrj+/dGwwlBmINwW2scfPBoNVoiOCdawZmcMwofnjo2MkHtUJ07P5Qt3sD
sbnXFBg6Ej0R7XoBkx6+YxKlkqeqGWJ3iWPMh1gKZtBL1sdc1v/cH+72nmQ4sSnoldqQLNXr4UIK
bTNA6YAUvwyQckDED7u5bP5nKvOPc9jmO43mG4FaMl4ZwzPiVGr7cIxWd5OM8jE6ZkAMl5Q7zKWl
g2ZpgvRv/pgWcie6khHkX/hrjdO7XWfIP23EWGM3lxP138Qqk2enbYwaDhSuPR9oZozqCT00LHvc
pazxxbm/QBsxLu8xGR+IANGuXHcFAiLYnlaM5E1BaX4xMRr5ktI4duses0J+3uCHjlWezUS7qGgn
P4cxwqX3f8PtqyJIA2gR8WSSP6+xbNFsjDplLUSKRxPTylJg1qNaPSZNXlJ/q9QHqwqSA6rcCbpE
cKruD7/RMBIhCa+oMCUnWVo9plbkFCMAVAT8U94J14Gk4yVI5v9WNQk7CLRbWzeHafkzmpXmc6Qv
8ZFa8vAbv4EG3LvWn4xIcY5lNgzBIXEw2bv/A7c2MWhfav9c34Jacb2JX2uBiWxxv9WOfdDTICUh
USJsjKL+hNDE7Ctt3uwMKv6n1xEGXTsFBXE+Cwd23SvM4rbBShypZNI740dQlSVPYjP4amV1/kxJ
8qGP49lLpCHageBv3bFCvQL5WlpkN06tNZxgkKIZMrKKgrZBolq+kwf2RTOKvarNxsqK3jixMfpb
Yvddr6wUqXEx66wsXGfCQ2tMF6BikqZ7ijIFPj65qU//b68tv3XoGJbwEFqmxb9XOw4j55h/eLFC
1Zrtn3FVdj6t0t6X+1lODpmahX9Q1HGC46ijVgVF3HDcaCr25Jw2lprfgfgYh45KwZqCuiBwA20U
4umMX2LoGfYAbh+dx/6UKsMe1mrj6gcJgCIXDR7agesHrWwtJej7PPSdrLfQfVDL6HMYyuXsLtkU
XPTWMHZyka3piXuNgy1gsuumzlCqcl023P61MwLIkbLyr1wGGYxmRffj/hndHEoYn/C2iRhrdUYp
JPehA/zGk3Qy50y38nPSxnh1TEiG/oehaEAKKSwBdF69aUE7VghgaYEXTomDQqqOukaeh0XkSom5
915vzYs2ELb2CCGxiuLP3wQ8MN27HPvYwNP1cOj9whnl5oT4MjaKuZ13w85dvDUcryfaS/QAVPbK
9XCpVvPFRinwVLzeniNzTL0yQ4mc0FwLd9Zx663GpJFvRa4PLHb97sQq8jx9GxMc6EPVPAZG3H7R
4zT5oVVK8WcJ0rpFu6fWP8RybMlHMprk06QXBh5l4zL9r8fsIOA+DCdk1QlksJMxtfRjjxz97/tf
XBHTXl3GtIUQvkeIizdAX1XYoJjMEYok4ujkFeIGmQ1BWwqq7pDUlv6Z6LFX3HCJqo9VLUezP6PN
eJB6NI3joO0/GDF6l2BKgIpKfa2NOx9t4/0WGb9IyMCGEvBff7SwRfusmA3Cx9CSQBml1hPsC8dt
5FE7UHvVfa2c8H+uh9ZwsxbKyv3l2bhYoOIix8Y5Z33WJIQwzkdHT0AT4iHaH5teGsDd8zQG0/QB
0spelWxzOKHVAQMQxuE6vWmMmaKxw6WJhfFFNbLCwzScMKnNxpMyyYf7k9sok1GMEwNh5QEGd/0Q
54ustqOMRWLSdfGxoXh3gHERPTgT5gW1llYFNghG/3UZsupHaDnFQ9QO5kMzLNZORrKxC0F0IhBM
bR644Q2qu1WHHjFqydMGdbkIQ1zUavX2fH/CG7uJ2gLXNcEzx3MtV0D8IzlhoEZ+j7/jOV2i8JOU
jM6FpL7ycvCKx46j484dOmKx0r/XtIEAHklOoh7xStGbX23mQpN6W5uB/OCOqBxz/DqwnFbQmWsi
3TdqQ3Zt1Ed2TtDGtQeHjGb7K0iOaV+foE6ZhLYPGXOtBNYBaGrqY6RnHYJx/9a7RSbycsDfF+R9
Tsu6QtVwdTucxMhXlmaJPUAn5ne9HqdLo8vRQXXS6Umf4sVFsphqxJhCqujCeE/6YWPGFBrQrweb
D0R/XfyNW6dGx88M/XgZlVNXElRSr8n+6QnW9u55kVOubk9dCGyAnQFoIK+VrWMsoizgBBEyE1n5
UNHE/tqYUncq4jQ7D3lb/5WlnSPe0wLrcmi9D3pTwVPJjODvvoYoPXWQXXaSno1bBCaNAFmIn0QN
7/qTNyAsdC0BvSE58R+tBdaihZF9MPMhOZVOO+3ckVvrTY5DbkolGE7Kqvyz1Dr4y0rFs2Uq6DuP
2JJwP4ugL6Iv+x/mRqUVyBflZjpDq8Eo5bYoyfcMVrYy2evkPDlZYj+UhaHgP6N1y86AWw8k9Rjg
7QYNNu6mVfhljWoWL4h7+Eslq6eh06yTBbHWD4zghC/RR6C4MN8dpXFbRZ9PFa6kH9tmUPwWcbZL
oqFgOYRVcLh/lW0tOnkMdCmaqUShq2c7wWF1tlMt9ku5RCczlz73Opzxtg/Cnc8r5rfe4ugWE5/h
OANyXhyBN2EahUx5sQwuEMrgH82oy//pcAB2NavsnpxCMV8MC/6/Y0nZTsFjY4q0Syi6QTDii6/P
cSCZehAERehLBcJ407QQkLYxPHxt+A+xIRAX0DGUcgQ3e7Wa4J2cvqvq0C+HYjkZOLc/mhGUqbQt
9uQENl46qmEax/K137huGMwBqvy5mJUdKsGzFoXac1ku0end2wPdbiGaSPkFSO5qQrC1oqw25tAv
4iHEq6rpnfqQjHjTt7G815jYuG84knx+VpDGxDrY1YYOeFBM1EKx3Hhy8oHXbC6m2I1rZ2j8QNK7
n/entzUi8QJ4e041N89qemkx5WqhccXPdRmc7A55d3uxFzcytfARxNIe4WRrPBI9lDaEBQ2+xtdn
oAnlZagtI/TbukZ81zIGT0M01YuWyP6Wtnb8Hz6fSBwQQoCJBd3ierwFUZ+gLfXQN0dC3DSgBGPO
GNpjBbZHJ9g6ZWwUoTdhIde63ilFjcHhoAsbr7pa/DgoG8/KY+Ml4GV6fyjCJnk13OXOgk18PStr
6WB7FVqGorG6uGHQS2c5xAgiwtPn/YUe6ksMJuxlQHmshqrj2LEKxF39eazbj5qamxcsb8enZJH2
+OwbC0grwiSPhYnAw7R6H/LazoH1x6mvRhWSBWmHFJNeN0XtpsMw7Syh+N2ry1iwPoR3LgWPG3yn
NvT2YtGM81NDrr+Dp6kf23BX8mSriIRQGXxDCObEN+v9Dp6qF3361G8hl56IIL9GRiCfx8XGGQtC
u2s1ilDqnHuo10l1jhrrva6GBMuQDwWFThwAZW2mWPNNKycZWVbTqrAIsn/3QZx/RQi0eyinJNjZ
MFvPPC1VisUMR8q3xl5P9D8yTalplSlIf6CZUdSPGdiES28Goz8FTv7cUVk8S11hHXo9rj8CYyy+
tGAAn8JC12OvzGvtb90Y4//dv+w2vjnVPJyfwGpQ0Fu/gwqN9EbLy8Rf4kEGFilBcYnSPTrNxjPP
fqK1DoofyYt1vzCYCaV6TEz45LMNf0+S8ctUSU2w1V1S8zSNlvko9SOq4HFcmTtR1sYhoojGrUCC
RF14HWTASpkBaaSZn2Vz8m9hSeFTONbmJbaLnWra1jzp1wP8opxA12b1dKi9NRR8bDAgRWNeyE7S
B6IC+UD1XjuMKPg/Ic6cnAgH9PP977jxiPAS079RKLWIptj19de3kVwZCXOkiRr/6QyjPYyzNuBE
bNTtuc/HPRDa1lSpPVPaYQYQ+sWfv4ncumgx4T4Bsk57eTjSdB7cNol1F9pYdEyT2n4JhqVyVT0s
X/7DVCHMKcSnIKrWkHtSnhiVHhZZR6jCRcx6/Nba869ZnqaTXTjWw/3htnYPxQNa0GTYgsqwmugM
6khPJiQKBqP4a2qM0FMmFG7lqFP/3B9q6yMKT2+CDhHrrGVFqwL9wGKRM18dCxOeW6H8XXRZ/mlQ
6NxqZubsAMVuDz8VNoo0kLso6POSXU8tbpamHVIJM8R4ST28dsoP7bDsyX3eLuD1KKt4A6+7tCgz
FBEaNVO+DUVBhU0puk/TSMvgvQvIFQPQjpeFD0XSfD0hRWrmNsoWgVyNrC9It/7CA9g8OwDnH7Ni
2IMMi3zw+sEUUAFaMORw4JTXBUR9NJQ6lcPCt4V1Rkmq2ropRLkP8rQ0qM/gbuwaIxmcNWEQybuW
xs3O3Xa7ZfgJDhUCQARgO18f2zfHsAowAZKRJ/IB2dkt6ql69dWY2v4SICRwylDJebdiI6Y5QrhD
9F5gnKyf76HQowC33MKX6asd0ipWTosdObSi9D05hq2dw2C4KtNwB/8hJv9mcq1eNVR56sJHAKej
60yz4hn2X9O7iNw7O2THrcOA4oJIaxDdJoW6HgwYWmeHzohCog77ln5Q4WLEGu+FAuIJWO8Z4WUF
3BTayI3UXIq2IvpBKIHFdatToTIHNzMHk0b1ovqJNjnHeVazQ6V288mOAlAGgRr8e/+Y3N7dvAL0
8QBOUK68VYGy0sgubTX3h3JwXG0kpyrAoTxgXZ94gT7ND2z62ZfnfNgpxW5tV6GOTYBF9gF+6HqR
cZdfrKDiLuhSe/5gJPOfzFCHHHAkGsmYooyH+zMVudN6tdFioN1EtElqvHqQkwyYdCgznmwtv0dl
0Xu3LMbiaYo6y0OZuXL7qIt26KpbyyuwL6/2d3CoV4OWCKTUWRcXvqPTEWoDwilUGRB9yY0UIIeS
ntLYib8rUh++vwpsoVsghIdRphJF2ev1LeKqoz2EUqxU9ZGnSUX7YY5wC+pQq/Kzwig900zmnYR5
o9TPY0zPnZ4IW4qq6PWoUmFX5uCgmkmJFtWmwpEy3YszU/vFFRF2h7DDG/1BQkq0cxsrmHJQI0MD
JHoQ6qvtqL4fWcUPAhQBDon4hO7D9Q8qCAL7REbnbzEaxa1Ta7kgsY9+ltoFf+7vsM3JO/iUI3BG
Fe8GRW5UYWvoeJ7g3GqOfpXkaeVGaCdUrlU3PKhGPDyVY7T8APROFEbmOLzMRtifaj1xvJ0fs3G7
iA4PL59DDwJX0uuJ580E5U0T4tZtZZ0gq2de6FQ/BvFLJiWIzzY200Tedv5goITiB13YHt//G3A9
4me8+q8icXf9G7jHcilIycRDwjL5uY6M8Vm3Z8fgrFn9v10cyJ8MAsTmSTLj6HulcyeciF7LaOdt
3Hieaf8Kzw0WBJrEajGmRJpxXg9Tf1Ha6tKPqn1OlXy8FCWQMUkLtEvZDZmHHET/bYLCvHMNiLvs
+u4RVgBCIRrBPdoFq+HnWFfqakDqapnz1lMx7/MmTYrcoZca//6a315zr3wT+iK4OqFKJ/787UOZ
9dUU403rgexzIPgq1fehSmcfffX8QcJZ5Yc+mXL2/t1GwQWZDPjRpNP85/WwXdkoE8YKDp4mnXpu
of34qd4Wz/C6Rh8bVK6cxVS/QL04z6NdPipTm+/8hptvzMKaounFiwZI41X4683Mpaxts07D5X5W
YoBfaQxSFK2AMoNKNUiWq9iL8Tkq57jDJ7uZigMF0uzhnavPb6CJTGOR9IBEc/WhRwnMgzqV6DcG
RnhJ5648WXqdHKJEsl7GPsPOed61Pb15SV8HpWuKMIKQIFylJa3SduFQVYgcSmWFIErUn4NK7w/t
nP+QwmA43Z/jLflXjCdEeGAcgnRYh9YQtwcNDeYR5c3c+V5mZnVpnKi9VMsy+xpKUefOMccLD7n1
qemT4AXHUuPcd07/VE6y9qsOu9nY+fg3D60o+AF9o4Eu4ok1aDEduxQlxmYEairZx6KsVDzgi87T
m2xyDScdvdRCsEwdMEy9vxw3Z1uMjDTEa92EIHq18w38OZ2e/r3XZU54qJu68WHVJ95sNXsow81J
igqq8M0RY14fspz+rY4h3uBZZiN9QJpRdss4Uc5JFLenEvG8Q6PWjSvTi92JVTdHZkiRZxN9r9Vp
HHMpJKdikrYxwOhrplp5LkBz/TOrEHtLxW5esJtERhR5O20nGt9aYPFtQRDQbeUluZ51UOBcL+QA
vWFBwOpUxpr2v5C6a3psRyfbebJurk9yRd4HzL1g84AeXB1gBBemop1gVwDQz0/LEIGUjHHA/TKO
7XgqtRxdi7nHzfL+JtoclpCBFIce+o3SJlrvmtNM6QC5Nl9OgTaaZ7WYcF1NlvjgvBqq5HGzs3M3
Piqaj+gEAxUAGbW+MIFjk9+Z6Bu2aZPgi9z0PvbvmltD2PKJVYLfmjWGD92S7InAbnxSqCWI3r6K
uMAYv/6k9K+VAVYBYreFXDzMSpd+tLUx+1epFHVn525cjpRZeQ5htIgWzurMpHOtdQShg0dkhmzN
QOCBHUbVPmW9pj8XZdh8e/+nRFOXeixhp0CeXs9NVUOkctp6wMAy0g9hMmcPmeagsiEXzSFuAsQE
p7h4L/GLbfsKRaAyxQWxvpK5jm0FVP/gJWU0HQMU6C5j1YaPcMGjnROy9e1olcLcQX6W5sqqsCKz
nKYxcEIaFFJPcdLIz/bY5F5s98HP+0v5ulZXcZOYFuwykwIqvcx1sbhrDUwYrHDwpETpP/ZSmkz+
yJNieNBdnchFczFujrOu9KZbS07w0wmH9HOmO8HoYizTf1DGOsUpOtDU2Ud/M/ukSapkeMUoR9al
y1rL8aUs0P9yFit/RlYn/FWjzT95bUcDwJ2pzr4b6UWZlBiUEwcTlHdqdZspaYum9OBwk/aJ/tRr
XXvq6ih8KXBdELjtvbb6jU093Smhtiw2hTjpa/ijqczhotVEnA1QBxsLj86K/qWWlRlukgVjeFm6
Mf1psZLLeSjyPH9J6jkbfWqa6G32VhB/socgd1xDLRD8oDLazT+mbJpQuDBQOXaXfhm+ZIMy7gTN
GycXkIcgV3J+uYlXK0WbNDOjQJo88ijY6JjFhb+b3qi7j5Af+8iNhiQ3dvKEm8oPi8W+pnROCkfI
Ln7TmxhSwRKsGVsFV7Nqrl5Cx/mnU0t1Z1tvDYL7KoVyoS1ACeR6kLxdYqVrVSKGKOvdqNBNuDFF
erh/eDaeFIqRgM+AGoA4WqPAlqqyY7mTCEWVYTnzSYcHfemErkA4n5e8dLw0cpydJ2XjctDoq1Cl
Ewa7ZAPXU0v0uXPyhTAsbZrizzAv0XIMJEujDYBK3E7MtzVDEG4o3rBPCH5XxRV5WFotCQn4qyrO
aoB1evXSIU73o0EUErpM0hztJjRf7q/rxqtJmReoOQ1fxETXUKwECt5YwvfwplLuOi8szPglmRGG
HPDTRf0sM9InWU/j56wbpZ1vurW8QOzAFrLFKbyttidQulgpHC4P0aw79M0shydaEe0iSILSuPOo
bO1TNqjg3wOvv+FPFLIzASiKJs8qCvMn31xVXTkx9wqBW5MSZrFQV8Dewtu+3jOL49SNQb/cw7Bu
xh+5ah+HCXkBZDhQfLz/8bbGEorwFu1XSo7rJvrE6ww1AORxT+nJN6KJcKdV5OYpSZv2P5wFITzP
w0WsY61FPQpkJQEdYlDQKAiLB2wPb6YBe5llJdk5CRtfimyMS5umqgBGro5dPy4jCqWcBE1Gm7yt
9ACqVlPt7IeNC5m6HiYe0OsEJk78ijeXo6YXnZbPdGaVOqLBMFaKRVPP6HLXGKKyvsyZae7E/rcl
NRz1AOsSoSJuSIl69QhQOal5kuwB9bUqlg6cbvlfOE36MwpP8x8898A/KElbgYJwplz2odbnJ7mW
WtWt2xIJqnfvH5H8wv8QNyuB5fUSRHkIEqogF0Hu0HSTabZo2fflaUQpZWfqG1sVaBUvHzkX9eo1
UTkZJzWhzDEIlol5MtrO/NbXiQaXLc12htq40gxKdDoNRw47aIjrWZlJM/ZNrwM2Qk7krA4KKkKK
MX6QLHX6aCypfLZrPA2Q39U+vXs96RwLLRG8/4TSx/XIccc6BhqTNIw5+hBmlUY8EY8Vyue5Nu/o
b2ytKAmNUJvn1UC18Hqw3opjrZ+tEQvQNv2WJjCiZUkzngDRJg/357VxVITcHVErZRkQZKuh9Now
K3lQeziU0vhhbhX1aAhsZ8sW97Vm3AOObTyFjGeJRhLqseA1r6eWOmrrVIqBEG7RD8eQCpkrDfU3
U4m0s5U500Mh7xpkiaO3Cs651/h2xEuQU9fQUFOSETeNh96bDT3N3ZDeXevqs2N+CJH7qNxSG/If
GX/XdMOqLr+qdlruGSxufFKqbUA6OCrQLi2xs99cSb0TKJDrWOfQSPP/RbqUfp5lZ342MYzei9y3
1piiF71Hep63SrRmY9hxqEckdpiOP/TaZBwWLRyeEzyzfQhIJCWgSnZu9q1FfjvoaiN1SqIsoUkG
VJnF4KWLNT9kSwjrOEotnMaT+FEyi9852a8QgvsPTxgNSvqgdJTRrLnJZVPZaCMxOro/ul+OSnWE
gy9h6Vrs9Qq2viScDDBRpM2C0Xf9JRs9DKklsbpTNMxnpSDxyuCI+F1iKsf7h/OV3rLeuUJoi14y
CP6biAM/oKLpJr33rMFsD0tTJY+LpCaPjRKlv0pLawfXSer6c92rnpH0577KzdrN9SaGYZAZJxG9
E0Iv5m9cEpaEpLs3/o569Fbv/9CtWwR+nOADCZ6luXr87GlRTYDWyOLNhfTbmqJJdYtUrj+3FfRs
BEmUL/cH3PgIcBm4svgQLM06jgDVXXRpwnGCLYanpJ21zzk15aPVhMuP/zAUzCMBGaIlszY30Ebq
fc0g98haN9JnrUjBJ6Vzzr1VD9pOJrnxvvG4gKtnFYmQ1jk37YI6LwxAhLWNSLWk0QhsOedf+yKR
EMosqnMF2tFtJpz07s9yIzBjZMIyocpD/XIVmKlzS8HbmHov00zpjE+p6TlapOzsk1scJWAFigoC
huEINq64ut5cg3VFqrHobGgpV/OL2aSfLKseD6MdSgc9lILP4+Ak7iTDRgorHRVIq3B2XrzNrSOc
rITwpiihXv8EZ9b0loXgNZA5tXpo675kk+OC55v9+4u6OZSo8aOzAcV6bZjV/h/OrmNJbhzbfhEi
SIJ2S6Ytq6qSSmaDkCVBB4AAARBf/w5nNS0pumLeqntRocwkYe4995g2ylTWl1il1VZeEDQwwN5z
iE84Vf5n0sD+YDE+h8ZnN9f+neFSRu3YBQwFm0oW7Mgt8CLTJS2sLM3aGDTQsB0Xbwld/lR1/udT
wVyG7+EeBfnbqgldHk3dTNfGwnD9FKZiOMKRMDyUMKq7QCVRbCcpUnUayp4iElGMAmxZZu9YNLoT
TXp3tsTBtK9o1+44gl9xmDH1f8tv9i/34V6Z7xMn/Acb659vXC1l27djjF2lW/u48q3HNSGqG6j2
+hd4NFaHHJPGy7+/+7/ch5jyoaNCBYf99DuLI4WTAShOWGbL6u0VipDl89CH7T4KoT/bdRqyOmEr
u+sXCP1JtyZvBX7/7Vdjl+20cgqg8/d7yvcGuE6HqocSX55HXfrbpUWT16aw51EEORwhIeMbXJm/
HSP7Otg9IsGU/t0ehptEJwL4fGMzUd63yDKp19a9pW7/274CZxRw0X6SAKD85wv1aSJhKo7DKlVK
H2M5z9/VpH+yXpk3Osk/HbZ2dhXaDYw8dseW33nzK8OagWxubaRmZQ3fSfIoZ/Mpz838kJB2xuwy
TQ5RSzbYwM4g1UdCI75dpXfzMHWf/31N/fV379y9HSnDAOa30kNY19kh2a+HjJkTNeQbDGnte0xA
xBvDiL8sHlxBGbw6ALWCHPzblmmBPi+DIAimR5bJq55Xcp2TXqc1nM3DI18EfUoZNf+zdAAlMhju
AAGRfwNznN9+YOir1YqgQKIHPvclZqqsfWbyRz/5NxXpf/uJ8JsHkxSAM5wEfqtZOlj+M5zD6HzW
KD1J2fkPsBsBMpG4fN0lqMWhUDPS5J3RBqFYMEU8DbxQV/DC53OVis3X5dz3KfiEKyyNWY4irCWC
HF2m/P9jyYP2BmHbznlH677/mv+6OOUYL5K7CqnFHVDYser4YexZf5fb5X9WL+19Cs4LwFz/GdL/
dkF6somVKLkiqdxcxgr5ycaDgNOtkt/mhSjeWGp/OTL2PnevCrCw//DlWjgnU4uPxOgET63S+XSM
mUne//vW+aOygiQQWj08OnQIe7DjP58fj+ByUwE7aHIH3zsunT9CviKbTRWhhjoX2Wke1zPcat8C
f/9kIeCjwQeF5QcY0ohK+H0voYQXgjCzW+bHX1dYcfxkzGGIkm46PSkDggi0OJT/gKopvGK1tdUe
VVE9sB7696McQR+usRCX539/JH9sgP17Ac9EWAQkheDB/fORFOUUe2JwmoD0kNAmKQI9Fc7yQ2vn
BcltMjvaDYZb9b9/7B/vG9SXHQHYc7t2y5vfllfBBrNWHR5HPrHh4zyXXVw7ksq37r8/LuD9c8Bv
BoaK8R+MZ/758yLL1ILFgM/xUX8e0w7h7HHpOW26JDEfuGdDqP2ERMw2neEvBijgjRLgL2sOKxtU
o/0MBb7y2zU1oOibrME3CG3n8AYXAzdqkdZToauD6lV7XJacYwIxja//6zMGcLIHKuFsA5Er+e20
UD7KUl50QBv6Yr2PGdleFDdv5Q790fVBMIKKE7x1nBY7MPbPJ7x2EN3iytSN7luEI2qbXsAc/BqC
sZfOm7eazD/X6y6fwG2PAC+wp37/UWBPV5iEM91AtyYyuG2Y9WZITHvpacaeWeaSm4X08o2W7I87
Fz8SSpe9AMAdgWCZf/7ISVqf64zoJmiET7di8gcxUd5wZPm9sTP++lE4m1Cqggz5R7sQlBoSJPmB
CzRP7GsnPPvh+zF+tCSn3/59gfz1WaLVwwEAdAG11D9/FYk7h0ctTENyDKIu+Szb+DAlbdsBuc6X
8upava2YpEKc8kYP+NdfiTYF73GfAfyOTLts2SRERqYpdc7PNkmGKyaQyH/r+Vtkvz834O6uTdHk
YTIEr7HfTjjuJWKWE6FRmrHyLFM78HO1BHumVJU/YVkpSthoZsV9Onf5l39/wn+2ulg4sJ/eVyrQ
Tpx0/3zECXWhQ9aXbqaAoMLaFpt8nYfM5QdE5YSPPM3ddGqDXd5n5Rx+VSsSoxqiCpu9AZr/eeDi
i6DXhtPG3tv/8a5ZNzjPEt0Mk57ATdgYa+JxLukbL/Zvn7OzR1E27trx37mjbQzIegVlDgSWablt
E6JOW8Lfgt/+duj896fs3+K/CqFizHsrOT6l8OsA6zCw/0vNFHxHjTQn4Kz25xsvcl8l/wDh8CIx
10DNtSucIKn65yeKYijJjMYG3cZA4U7Hc5XXbEyKh9mU4bPFIXxjBgCgtS8dvSb5Zu7GivJnqNqn
m6Kj+q3hzl+fwa6hASS1s6J+W1rCk5IPdDKNGEb9mhMx3iCOOP4M5W1xKKGnMW+82r/tWZRDaIB2
se0f1o7ZaqbFBG4aNhB+cWyoDkxuw9Eg2f3674/7rx+1F4LQmeB4+l0NEEwRXF5uGkmGxJxCMY/X
botg4hi77H++n3f0ENUT2NKg7PzusZNPZO1Nizi+NSrG4pCVPZjeHVthwa3SvWeHlCRaeHSKAu3P
//PPRL2LAQi0y3uKwf6K/2sZh37bKJzFTGPRMtyvm4qeWleMtTb+rdh2ABx/2ZoJjGjhvg/zV1i6
/1aCpkjhLdXCdxwZocW3xA8lVCQq31VJAxXPS0fwM9u8S8J5iVcYHIFTUx2WciGmTrti4KdYGPNC
hpx83TbPXsTCWF7TDEXkASm8yh10qeKqBqV5285bnLX2wMeCR2e5ZvKHgu+0PC3Lar7n87ybeAVo
xBG1wPXTFmE+2/Bcpj9K5YcfsUEW0QWMjHTEaFT6dxjur6IWQ7rX6z0dv6O8j1/nEtXTIYep+Sen
C6vPWxD9p11kIJqiT3VeI3RkeOYpRQm7JGAHQYOnu74uTBrd695W8gIbL5vv1adb6j4Kyw9rl3x8
GPOCnLacjeKEAhb8KrCuGDv4kS/5GeTorNEUYoFTV4WSX2AdWE1NX86FhevNBv/pTWx6PLqIz+FA
RMz9CajIeKkkLJrRLZKSwkRuU+3TYlvxKSjafp2Xef0EQjTsZxOB5F7g+k7sctGQ3UMPAA5z4XL7
EEYY4h4IvP3gSVYlPr5lPUI4ahwS/fc5Mx25L4sufl7ApAIFihfsBY1jXB3WHqmEcCIfCa91NBf9
s8Uovj+WVhhgg9m8fdyKooNveGLWDX+i+tfgg6VojtAeZ0FkbU1tp+/nAG8/cHVmfKc1i5lvqiLw
n9ArtiCwxUOMZCU/eP0oTXAFXOzaWZ5aJ6ulweGRPBBM4PmNDtn8wIuC4Zd21XDTZmTKTlOJ5d/g
hko/Cdt3X5FFiMAdIHSQeGG8EjWZ7bfztCBd5MjjTM0IL+whqGVpiyD2ce4F6myQQu8Bim3u2IpC
0Zry2CP8r4MK9qZT6zadjaTgTM0t+2inEGcHV+rOHxaHMN9TsYpqbDif5XBfTkNMazbBdlPFEZcN
fkV8ak3WpTcEc/UFvusmHWqoVzoYbthinS+ZLSJyQPZqAnJ7qbcbgirgJ+cBXCPZBbyEOJjKXcdh
7UFNaKPia+oqlZ1ymA329QjuSlkjqUJUz6ufh+3Mq9GXV3i+QYoOno/IzpQx/GOE+O3GpTwjl4T1
4qlMlHhkYy8NbK0Xfdezjj47xyOA3NBSf8lznuVNAvtXiGyyaByaDs1JdhOXjNEaLLkerE9Ad+sp
6DLEoEpkOnu38RI/cyysxznc+UwdTdpqd4LLO+iJgJ2NOI3bojgkIop9X/NiGy6pYua7YMn8EZ1l
6A6OuBQ5f9B7iNPWbvGvDuaJdxA/c5xCeadsnfpiSWuEFqZFPauletEtwUoVmxr0/niHi8cyFDXJ
1/GJtcgYPHu0AzceiE1xhmID/eQskvmX7g0ErFsOC5ZmAuF/qOHCp69FMdIMEt48mk8jYS5A1zNO
68WNBTtU8TYDxelKllyHTYth3w/2e75ldAULrRqeK4w2y4NdJnfF9Nh9WCwRUb3BHvZz7rFKDjOY
9MvVtr77iaZ7+5ylKlcHO1GHS3JD5taF4SVHB1lWZEJO61o9m9y6+Zi03dBeSRecb8xEYgM5LHx3
jrR0EfIDsjUKtV4cElJQe5TL0SwDU7UQENU3bgP0CatehGYBnooC1BtMtuVBR2KO6mXuenUCHrn2
D123AmvXfN3sYUMuob1w1nt2W83CLYgGTVpddwWIqU1rvLVXUZIR9ByjB91svsU0hmwIz6yLLiL+
S8dbP75Hd5v+iEvXYcgru0Xcxwpp9V09BLGEJ42v445wd1vSM3B/P93Fihb+bAKYKbd4+BgQ5JuK
4XAH4WFvHjfYo/JbFgh8fVVZ9OJHTm0+fWq7ccZxuG0KuQK1zZHjYM55tlTFt5y3uvzWxptJeG2Y
hRn0kbXA4z8mQ7bAV95lYSUvKs366ueGUlFC9LzNCyK/OuZjUmcwH6JV7eMEer4TkeUgt3puF7dF
8LsY8uGMEYbuvgKeisbaUDjq/CCxtSrDYDmX6sLaLGmLW3jj47hqYl6Z6L3xa+xfY8w5MEKLRewe
QAfg5sewIkn8I0kRjH5LcKHQRsu8Zb8WCqXdepIl6/v5vKTL1j/lHp3gvfdICFJNhiTdktR6igk8
Lxa2EPGTI/sATp0VNWJ9AdLMxe3gnSpgbVAG6KcWhFB9EnPIIonlE63tQw/iVQp2ZevFXQvmWQ5p
25Rp+r5MCFQChU0RBVbPDv77z2TM9dAeRTLQHleVMqyUR5UmHXnBc4voASbGiX4sAz6F1EFPGs+N
hbRF+C9ay0zYjyPyw5NjH83lJhuv0S3zemtLxy4w3DPdg5kqK39OPMB1onYUS/8B1hNbdoqxNyJV
R5kZSHqMgNv0P+HIo9vlYCkkUdcO3XN7SFg+PdjEG3NZwG+EAcsAKsdtKcjuCFRNFSx0mhwpb+xx
S8QeshQXYUvhLShdldSi71KEZMhUjOY+DZus7rtxjyXYplWzqs7pVikESy1Tlb+fNMdLQWgecQMi
AWELIs9+qHokPk9rmlxEmen0OgjEit3lkaj6k8xj7IQUgW26EQRZt01ArloE566uarsfZRFs+wD3
tDypQzZNtoFf54Y4uRU+z7UmkEM2Cd22R42NOR7gxIKaVI5UgJyTOIkpoiii6bR6Afdk5RiOZbDI
Da8O4HNOU50PPI5qS2fMV2cwa/YLMrDuAO5X1NZZvI6PzC29ByM67l87s9C2EdZk5ExVuj1Wc97S
OhGkWg/WJuZjFGIDyTfHMX4gESJhWJKsETDywsN8nWPyf+BDTh+30etP1OcuNGtK4qVGG8T8zSwr
GBuuI3A/iN3g0g7nPcjEm7ww41gHluDvIze236ZMIMVZVradL1sWxjtwvaELpV6KW0PiqLtncTlv
x2BZ92hx7uHBaVV8yBJkWnZ1QKBgibsKvNTGzGrUDQi9HkaW/Yq6oOiLZG5sB2S16Rd4fzZyzztG
9KPW0Rc5aORld6ZaZI0qEfF0FSskPYHKaCsYagmw0J2eZXkojMDJvEjVIU09XjUGP9G6mfdyMk6d
OZ+C+4aqMUlr2qZj/7MjrpfgZCjlzkwTu/qHFjm5wym0wQVSOziiq08lkhSi4hQgX4LbL6wClqPS
uRuPKkZq9LfYLtFnuURozTB0UNs1cosr67zTsPbaeM+LYwSlIKm3LlNI0+3LxNzOOusvEax25xsL
4lxZxzBaW5/iyEURSm84zBzaiM3hmKOZW2434zd/9l4lBjVtsU5Y6r1JDyAqQsEQTxUgWiQyBVPn
sXWgmWQljMln3YVDtbsNHi1fUJLV6KSX9gGHcTw8YJbSDU/czPH8uMGLvzj2VCyiMaT0L1On2HgB
MbO4cniQS2RKcBnOKQfABhPDIjunI8T3TQRJ+npcBrQtTyLfKD12UpU3uifhZyET8uTVXpLOI58f
hmxaPo6gRum6UBFKFOVBRGtU6qa8LilHtBJw7vEbdo35lsUO+yRRQeZ3Mhi5HkU05b/ycm31keZO
TTd0EMUva1N4eLY4PO8Esk/wv/lAgeOitp2aOBMj3BdVNb04HBPPqVYGXocA0XBPT3xmD5gXUZgh
rsOE1aMs7FbnsUqeveS9qFEZi3dhwu121V2Cm1bOiJ64wT28wGq6gx0ZPCTaFkdWAZ+QAwxRlb+v
QPC6hxttpdFTEeSU4khVSPYm8J0gC5/0l1JOwxPOcnjAUTNPr34YRn7GTuhemMzwj655j6wgP08c
lZklsMVwPdco41rwPI+52fDxuqqGC0liV9Sw+nKY4w/VDpVrgk4Mguyq0Sob46bzLHrqeJ/1KKti
cAZNqcVt6200fQQyp78ypgRtkHkslxvsyeIMv+SMfs67se0uQzr1fY3ZLXu1trcIjfdZ0IeqHZeo
RoHHv5hcIaBTVTO8eSxMa9+HvJzCHbw2CG+AABtzM/pVfrPIJsEXBnWxqFsKmPhiUpwCUy+q9aSK
xY43OS/CdVjwtp4FK7u72OJkPG5LEuIbbE02XwF0iKlOFWa6d24NSsNUE4OE06BmjNrgIAqGVbYZ
S4+mgNLwE/QRw/wpdlE+13On5v4V5pN51cDFJYXVTz+rCdlPFJ6nUinztSVjNDs0PTAeQgjDKovG
wzE9AnadoMAtZ5kEuHuNrrzpFoqUoUl20fKpp2or67bg7FOCs7Woc8TIf0h7032OhuA+liFVr2or
5odtkuErhlz9eIU3CPE1t1jJh2SCi+OZiW7+UHSGAf3keHhzXHbmK1kL6mq65Oy9y1X5qrq8spfW
6OpbyUzQ5wzi3PS5gl1KdlRbkn5nJPb5oernrLziGMeRmnFUqksYxvgOkbvirstRVNW4KEqFVSKj
ZzuhV7+MEFDSh84tRl8c9Gc4ZAom5vtRh3W4uFT28YcprHJ5N8Sod++k5Yh7m3wvYfhjyQ3epP+e
BlgVnCEidvO7CYUpvUvXdP3VTWO6HJYRusU6LU3BUQwJLZpV9OAgmkyQ7b7j41IcYyF0/MiSkgxX
SFPKHxEi/N4j9zeYK3AMntSuH+fofgVx5+r4AO/xjKSlPVtNGUoxk43nic6uvXAR8XfETg7ZwnNi
3AURzuzUAY0xd7Prs2tuY8h5W5eE6HbC04Heq8jIfIZocr6CvZn313am9D1t1YjigpphnwiV9GMc
BRDajABoWxMDELFZ0mwEPKBpMuDTs2mswURHUyHAKP+0OqZ6EAOwRnsZseSoklg+J07RucGdSW53
wW9/cAVdKFY3PrhWTi0/d+MDVG3MwEC/6ka+orQ16efM+2G6JotcAPrlyL9MOoNYM0RCe/oOXj3l
aYG/DztDVZyM9bLA0udoQXJ1tZ2wmA44QXG4of7z3+O0g6+IUJbAz7kt+U/RLxvS6fPc33BXLmiJ
x7ilwI3Bmfd3o4DlYp2uGDqjdecwHY1EP4tTtIHrd0aTZ0r8cBI6pLnGMxgfoD+U4iHJyOAvmFsD
RItSOHa8onuoll3cMt4moc9utx6BsHUEnDp+6iF8DCfgXUl2svmyfISJTbI1CgJlfooAErRIYJlN
OJR5OwosYw4TNuTgidooQeIztnUSny1qFMTcp15l17QNG7/tN78zBsqepfVoRCDoARE+25R4R+qi
aFec143G/IBTJ9Y1QfJQdoLxIwz2Slwb4R5JcdYc50ok66shqBOPAV/niJqVIi2iYwC3rKQD7GZ3
wRH2aIXkzlhFgE00PlrVnBTFC5xU5wLpN+3U1a1YAbKUXauWmgwzQxzQMKlHTiAirAeQTZbHtNuK
yxCN/XIAZBW/wyE+foK/ZofsOJjwf+tIOt2Ua6Lbmkw8Gq7SoU6s4/9MM/ohpM+9McMXfNs+qtkQ
V/rcA574vDhJ38Oob7DnMVFqPKYmzT7O1cZVTalb7k2Ky+mXM1H6QY54IMdJoVtdW1sGdCQ5YB+g
Z9sXhGmkYGxbn3SN65OI35EFDwvCOuGuUlAtjqxL4qcVQnMC70VQ4O4yTALWQ4eIvNt5mcJwEDOv
5KkqGX0uJ7LAAIIj8bTOc8IWNH3/ebfBVeQHADopX+DsKPVjkYJZfFSwEkbufKrhPrIusX7JcEj8
DBaVagOHsim70lHbD9GScH+UQxuqY4nrJsbpX9o7L7XBysc+OQ++QoqsmIf1W0gKJw5m7Kg6xakb
TdONaXg0SurxasEqMzXuT/o6xVmAN+60duxCt5Q9hUR4bKeIoEZ2JFKw6O06ZPf08C+pERBXqYYa
uEDVazCK4rW2eG0rC8WjLAxgQywfgxQ7NcCJdoOC6+IsCIV1IinAST9H0XJIB4UzS7J1pk0Bs7qv
lmRENj0bkc3IC8GBGE6me97cno9jGQroi+tR2tRDpocnIy1NTwBql/dLNkA5CIaaWZquI5htIk6z
/IHexl8Lgv6xBpYgzxNPgD1UZhTrN1MlSp9gZk3l7Zy1C/kawNn8VS0ciR967NI7tozyRwlMeDj2
m0s/rDDCvIaEteMRJQPynTIHO8gaU+LoFx2Amx07RJjuOmDtVIOKDJP4Gm9/WJ8XGKOHk9lzDA6Q
l47XFMX0eAw4At9XTHhoojqiXys6+2ef4+oZN+BESANa4vdi62x6M3k5PvnNseg5R1GwnkjkFAMY
XZYI70Be2uOYYN3UOFrnRxLQPB5TmKFeSwwAkwYezlV7n3lo6R2tCvQJIR6nY9L15mMyK6GvoxvH
BzlqhnieNjP2HBM9XkovEn4z7TQSNDnZJAB2jQKlE+6IpfbMTT8gVvcb0OYFWlhrKMp5h+jUrp7y
YBhSK0qPLHZ0KPUA2eK73dYG/aAvYX4DGrA5FrBF+oradETqmkHrdkCcNGI30rjwn2TFsndEqH46
t0ORfljKFGCdhU0TwtCLrQICLMr+62r5/qqTkB1zeJR/3iceXSPD3KfNQtbwNKcTWjg4U67hECLW
wY4xtOpdTDqwxidXrNgIcipOpUuR+2ZzVbWgUQRzDP2a64e1JKiYECU+3KOs2SBa4TyxB1/kLq4r
oObvRQsy2eughgmPKYyRfonQgH1uN7QujaRQvzzIja93qSAuw25Q+G448mRK66Fbwq9RYMJ23rZF
PtiS5QGDgKTkj5TnWHDAmWXdJ/1eTLdOITZ+1nCwTKMhPSZ0gvAg6Yf4xcDBdL7NWs4uGjfKiwhz
cgfLWNDHknIVcHeZKhaeSNUhhUtAuVx74JkQyEREJvftSrJvAAczeUUfn90HJfIWvrMqgpv05OiX
DLH13xhOLADYSg53iNDiokbBpV9HykeC8Q1x97kT0CdbmODZxiBmhcLYq+T6ULI26mtEsmN/YqtW
7ginUfR2+HbF3Va2RXqMtVeP/QzdyiN09sAntmqFiBUvoIxqIE4pqZOuDO/lkqGyUDDtmo+MUIxi
NEEc0BrSEDdtLGVbA/XA5kGnBQwUNecGuykqQonyATOMK5zVZAQMNST9Bfi0fcEdjQzVYSvEdsy7
YPldHmvcOx51m3oAQrn1d1ZUaH+gTEvkdYrbjh6yPtkeWR+mL70qzCm1GWjsyF1y0QMsr/DY5iTh
pBmkGcO9n+j00WaowF7HKTdfR8uz7HmkVIPUabI1vivByL/ZfMrt0SGuADuKUZ4CS53zH+OAbLAa
8zLR3XcycvdGa4xQNOLmPkFSWcD7HwjbE2R4oagXhB/cyhxw7WGaOqSlsN6uL4tFZPQx28ZlrlPa
SgxtWNvftB7ujB+qrUrW/bXm/cE6Jz7TQk3dFfaXnhypzYb3ynuLFcthDfyNLgDjWg+A5tW5sfzo
t/1L86mFrqnKkSByWIVfBcjOlEkk8/nC347lMD9tWKDbDZWSfSjBM0zfz2IqVNNh+uw/57JfdjEJ
yC8hoohGmZbEA5+zMAWsV5z5BvUSfgpOlFFaJHrlpLowwMTkMmtCyf3IwT+ABSLtv+Y9zf25XXKU
JVbqJBy2GVY4B2czux0J6ekXuhpN6phUs66Zt4qflMMg7RBSurwC0qnIxSDb8ht0xS59kHRafuQm
6h/NaOnQ4HLHoWqSLRpOQ+ydbApewQgFW2dsirarrhsicZP3Q8YxR4JzxLYewJUvqo8eA7ThAkTZ
27uS5/oF4T/Mf9PpuvaNjI3AQZ9P2wGB8BYRmxsa8NoGn2e3SYX9dGktJFd3PMg9RlmBnnmFf/A2
vtddt/AaRYzqMNsJgFM1Grxd0m4px1MsNoDZ+fDgMpfOT5Uz4hfUW6mESjSCozSbWrJcDEaE8gK2
OH4Q7n2NR9PBWf4C5kmxNQIc3ctGWCoOiAMCzJPEjN1i2pOhH+BzdY9gECj6Jl71UKdWSv2CQJYC
xJ01WPd5WPPQ0GoVT4x6/6j6cfGNhKqb4QaVFT/kmE4B/cahuh5amF1fdtYXhCKyWPk7TFsHMAhV
yr5H6Nh1E08F/MIgAl1CU+bx8sBBlV7qLubhKya/mA6CuJ2xWgNeBLaNMfKOJGX+VuRW0IuWyISC
FwxOjqkP7Xc9CTYd0XPjj12ag4MNujbM0uUK9PzUTyX7EfJp+Qn/aRTbbog56vQ5e4IT+KAe4DQE
aF1LSo4oJ0l3UlzN5imzTl5i1HcB6OOYCRgAo2M6AXvPJEL+wFYF9DVtLxT2UfGzQv+tztY78lqN
ZovrzaoqPvMEtdp1IAal6RB1/l2JqUt/NPAZGk7o0zfXqBDQsgBNMtGRhhjnYNA63j7RzSvMEavZ
ozktx1k3HtIuDzNJHz2vnS8QhdJBex3+sz5m0OjHg4/MjPF3cPFwsKDlfYqW0MWYZOjx+xyz3B0F
EQbkxinKz7aErzF8/Xz/0iqi4pdqtrOtXaJHfaoWRfU5McUGhGele+DX7LP8hHFZ2gPmj6BwcukC
dmQmmJxvMH6aZM2WzMOmQPIU2uVWwHmOpUn5GJDfgxIQe/TXrIvxblTA6s5j1K8HhjTa/NjjSNmh
yEmNoKtgm3eV3KuAxSU9dIgUEJZcTXk3ZKUkVypj0R8lEAF5j9azXWv0+2jk6YSYHkzzvLyphhKT
5wStKcbUZWLF0eISAIDcEgBzdjJfF0oHDHzL2cgjUrcVOpU1kVM9W+k/W7do3HuejmcCM0uEGasp
5Rd4dvQaJO6Z4jnE+4IdpUfcQIvSC7aDY8QbeAwBH9OC6fYAHKWFsoKyOa17keTixLqugpeb6Krk
BtpB8CYIDdj0ZHZjdBzVKh/UwDGPBK2kK2s0JvIz6ud+q9Goj3kdFyjJYGkqxPPMoTW47V2BLojo
zDvEs4ObK7NlWg5hLlx/l2VKTkdkN5UAUDLf3lYVGbY7Ylt+J7QL4O+aBCO81Hfw99WtWsUF11T0
QSRT9DNLNuhCup2dCiRHTFBijTHidQNhsMIs0NDII1z0Nfx5hnn+7OcRRbyFw/4DDNz26AU/L6BD
JTBqaRTZ9FKXosPrgIMcufI1YLIAn+ExrcHX7F4Gno7xyawMsyyUN+stptiuO+s4xdguxC3+utWg
4Fw9qLwINttSI+uwzOOCCedmn1sMo3SDBFskgDpmMYanYVtvtqno+Qk1M9JaYc6EJg59lrtW24B0
SYzZBgWPrxCe7ZAX6aFFPFB5Gf+Po/PYblTZwvATsRahSFOQULIt5zRhHbe7yamgivD099OdntBt
yVC19x/zprBOxZK57wP85HneaF6KO2j6jJFJzXWy9q1hRDXLhMdabfVvDbjKe7utmxsb802doAOP
0uO0GH32aSj74WxAUL8MjE3ijW1w7B+Fswz+X3D3HIWAX0DeNABCy66ecwuMBxkiU282dz+Umo79
IQtHm9HdMdNT2pSZH41rJYqTQ/QgdaMI0pwdrHm6/vOMjf9QswS9INIgL25zxs2J0P2QEzoOYZgU
Qe76nKfNah/ruq9eymwovjMFjxznI7mShEiEesMh35Z/4TQsCIYNLq7gOF+CMVm3frJ3YAVoIJjH
6bGBq/KWKA+n8NKucgFWz4cVcVTjIifSXd//sCkwCmyBX//p4M10tBSgUHurIc7lslaVs1/x1+lk
y+1h5yJ970/sGmrc15lSxi4Fijrb4iY8IMTMa2KUFys3HJkXMOW925pE5YlNXru1Hlqwsdpyo67n
aBtqNAdHrTrO60B67SNCnkE8mTa/p2+v3+rtqDjLiRIyde69lEFv+3sjI+Tve6lZmh/gPTjrYJYB
4eyRvpOor9JaRhkwF2+rV7fALA1pFcw/zjvMEVd/M5WZfPdmjv2PWhQ1K+jtzud+d9ZYhdP4imc3
rfbkPmEv5GvuP4ZZ+eq+aGljPoGywPo3//8omxnUgl8ws84TtjnEBku/lR9rv+akRDSLpIOwz8rh
riwK8hRatfWnhY5LeZNZkxZlD6nFVSsN/1MAZfBkoQtp4qVilEisRnBV+fzL/4bZdWdQ9cB89bql
+DXXvMwi9CbmD0WhXn5J5eA3O8g7b0qste9fZ7k2f4O+ltse61853/WqUWFcOMEw7GcnXzWumblw
zpY1Zv8aYwxyckLzborKoDGf2YHQntMfhCwTJZELURsgwipda+L+HjnS8Zak/byvZ5n9UaiiXidU
9PSJp6Xl7QJB3UYkhTDsnQzbbP7u/bF7wSoYok/axqxO8AfZ6ArywqMzdpyIYQVfWs2daUn0A9sQ
TsUON09e3I012RBRWQUTtGk2At4PQJN3G0IAREXr4v5DcjtXyVT0w9vkSOlHpQzWl8brLSvi7nFg
rqsgs++2niNxdytt2c4T8HB6P8gRiH8cFsPf91TGzN9Kt6aIdSmVeQ/9Tk2TaHuS8Wwjra/B2NoL
SFXNLUZV5KafvNnw0ANLSlnOJcYbnrRKinsvJf5hT6wPwaAbxaPmnuOtN6M8wAy1G6Br9l3Qyw2L
J+q2Gz673rXBaHmJXrVFjHE39Ou+paLUg+db63dDowwEIlB859WM+O8pLfyQA1v13iVlTnhJHYHW
ywlRrGpwGmwn6eDNSRhK/8oY0n1BeDnyIRir8jiZ9jIfu4E/er9WdfVgCWqi9tnQ91ejrfx/3lYz
JUC4Bm0CDy+uktH3C7IA2T4uGQQ2bm3bQzz0ix9Ebo4A4pQKECYjs4P5b+Xk2xqVqENgR2davndM
mUhfxg0KpG9GUeyHoaX6I3dV8e2aWRlAeJisTBG6G2ZQs0f1vVeQgEWUprQXxkENWbNv3SZD/AWd
/zzYHRDXNDvjb7pyjF3KCXnGLrVqS+/62ybJKlsqBus0K65qXBr5WlRI/e4Mpzdfb3rSLQrEuh09
UOXxi3V2/IGqbZyHqU6J7EE1k7p7g8n1bqOeZYotnM93xbgsIkIPQbJwDr6v7pZlkS+569I2zpPM
EbROLsdfoN3+odu8ldzpYVrrSM9r8+01yq3O3Gfuz5yq4mH13OU1HAev4qp0Ebojl6je8jzVlMia
IK4omczgEYxfTDS8cvFEvcxDL1LK079bIYDkZ8PJtmNt59U9fcgFKim4fIANOSKHIE4lODOkO/ku
t2BAdquXNa+zJngnyRtbmtcy15w87JLyt12Xkva3lABxWOWcRSytq8Sa+rKEQASJ/VjbZhojbRAP
ETHMrw8dgUDyj9ttyxUHrA4ODPeptZ/SSYfIF43we+srl4WwNgNQJVRF1h/fQSa4r7TTHUwxYeBT
jZMz+s1hmMccRfN4KZ1smWAPZqhm7RXOtTdc9R/X7rwSr0pD6t6erO4jK0k9icMxBFJpQ3PJzn2l
RhjPoQkfrF55Il7TAGpZ0xJtH7Nwat/YvRso6aXIrhwCg7/Lkff+9KtfflFdAhh/A8c+RDPkr2Xa
OT5Z1pvNZ8aIzsNYVUGS0rxQ7P3NzN5qM++sozchOUI9VKcZIrmOAzVbxuEZ6iOM0rnr4HS70QF8
GhG0Mj4E+WetinrcV0HYv6YYYbwdigH3EV0sQi6Lz/fUjG7oclRkZRMpOYjxXjVG9gXAWuSRWRRd
GlGCzTHrZdV4dsS2rOSEFbNK5lEvf0H1KkaKSW11rEoI7n3VwOXvrcEL5W0X8c3nStWdjVxtoR4d
K3HzsIWV86mwVthnHVjzmaXN5k7jVtEHW2zO9lQBfv1XButCv7ry2SpYMzMvKZT23zeiAcsH2jDt
jA22br/ofvXVfvH4Sjhji42tpBg7c++v/gTwk9cEXpQq7HKUFE52Aosu24T+vfLiOYiO4cRrrtR6
XUH5t622/zMWQb9EVtcU9kLH2PclILPBUzrLfkdxmcPfs9r25zo6tXdA0j8fbZaA27ovh8dgNux8
P7ouT2aACOtrqhpg0TlzWlTjdf5cSD/L4kEp909z80nGjWrdN6tprZeiMrSBSs6rEKWF2q/jwWf0
SIxmcr98PdV/isLS7ySNel7sEdfGDGgZGwhWGepIuf72TyM1UQfbG+jrwo/r3OH3nz8LVHxDMkPj
EBtt3WhnSDmFo3HAUYe2m6mtoF5jjRFnZYzFbV9fptSf21iOdvmGh9da43nyF+OwNTfKP4TZfmrQ
RsGdpH79joJHdKgRLL4ou/BcKGP2iMeCmPY56otw/k+bJaeNgRwAWz8Ky2Re52COwGqzr7RSJgJa
w7UaIjDrZqU2G+ad4TFE7ZEVfbkHI20+G4SMSLMmq153i+h61OTj5k9HANKRU94abVDDMntKeazR
lRcGQMUo2wBJi/DaLV6UYx9zZZntcbDc5epBaZTxhNjHjwbUh2VkWKOUx6XlsicAaIV0wfrchI9+
lRrPyKUQZWTjVL5pDUfXRpqt9Zx28GXoq+YCvfNkMu/mjIoQR0YvDpucBG2t0g8H/sAMOR36h26L
OvTDU5TLtCe/Y5QQhuGa03E/6Ex/ExQ5/ClF6v9FD+RfHOkCJFszcz06HSLYdgF5kXQPOIttU6o5
bq9+WNhijwhOnZSJPPRhBO/8Mw9Gbj4gxnD1eeyWWl1zqw+e4Du7lnQ6aT+W5In2Z91ZzXeL3hvJ
lTCnJWqMWT3YmCXnqFJOcYfIZBoitkjjHYYwR3KMRj22e4+bwp6b+qnrDf9n7oop/IPY0JkSTMeN
gM+cy3u08oCPvRLhb6cDYCUHZdleYizNI7SDXREHehLGsVp1uaFfXbf27E4plUfNaDV066AuFHeQ
IemjCuD/k0W2PTC8k6Vmsowl5L6BJy7Bo05xeMPW+mKif60TFgsvkWtuUgDoiQxzyNYHGsWaglis
IN3a/RIgBXnWg1q+srHTV+UFWZ+oVA0QBJ4cUmJgTdj0yhUCJECTtZKwhrmXbEb6F5lj2Kmkqjl9
3udWVPLHN0buubUZSmO3IWur7p1gbYdntynmJTJ7hgU0+7qyIlUtaucNLLmRi+LdirwJRjtRJbqL
pE8tHyamd+sHUms2pmTkjoltaxsLhJrWS9Zqjvo610jDZNdkv8XU2x5DN/DMhefC2dMFwlkIAdvb
6I4HrvBByltLs+8OP7MdYDdKu1mK2DPnEtAnIEqYW2OohjdrsoF1WFRhF+ebzQAV+TA1B9Ksu+qY
1ln7nFUFuZCSkIiWmbqcL2hc+vfVcIfLWmeOBWBVcKyZA3ZIKKl1XqydcObA2hs9gfP3gZrN9jBZ
am6PfVeYK5EeTMIgTQDBkeV5Phc2xrnj4CLjxmbsVAizOqv6YSkS+IqkNZPpUKB9QYWfa9QQYZlf
3NqAE8r9vORJCJzlvmmlU+8RorV7s/C6jnU36PlR6kV+CbyLCT0GTXcK7R5WmScCPnzmtzE+jX2G
EFPWor8Pe26LKDPW3IsQjsr0GmirQDBE+Vv4mIci8/eVyt3i3tfsQrG1ytA5TXXWtIwbXq13+ULo
GDTvMN1BN3fdgQ1WPblKoE/LBLbryEoDW544tsaJVa3r/gY+wBZ6+4n0hHELgzZ2UTOliRt08LKA
RZ11UqATCaMHJ4nO1fYqi7r69X14sn2/gMRG/jCqTwOY3eE0ZOEji05la9IhNdOHoC9HtFqWrt/s
Ip/zpKkc04psg8t1b+S9CzE96Jmbps0IhfLKPnjfUE4wkBNkBfpRLkj7Z3QD7BMdwtwCeS6QWUof
FGIGs9qt5Oy68eyu+jrxeZY9HvVCxtumaKkAVWrr+xbyqI+K0KZlpNo8xtuN733hva7WZQf5ihZj
MjzjoDnVdDLOjp0n+SZuGoNlTh/EonvQaaOnb28wZ/1Ruq18mjs5sTa2U17EPdJ7F8oSj0zkNlWx
xE6lmu008zQD5jZr+unyVz46jj+9NKNOi33LFwFj6GuExrL2ZX8mJ9K+B8lSKgaDIAzb5uq4ynmr
yiTIe9+PqrVYcN+gfpS0Vptmubu5+aFNOTV/fEwDzt7rSSaOJcQV67haLLytXYZ8uBAd4tlQcCgg
MhxSVmyNKGpAg6OS3GvKF0MXvjyp1DXvWlsFQGsWLsYR3SPYgds53sX08V/hbZjLZ1U4Iwyb344X
Eth9XmpQqp8qNTsvAYDm36UVl2oMODG9TMwdaUQGdnEFUHCDfbG4TnX13V69zK1jLh8lXbv2aVIV
Mq9We8upHh1pQNanufm7wpTJh1YulFCgfhd9PFlVPR1Se6kONmL98q8VDLP3z+zNpYsQBuTGpbRH
a4gRPpqPjgwA6vptdF826TTNu8eaLIFjCRbnUd9uj0y/NkDvhgwO/JTOesQJoc6102Q0Szm1jcjW
3wiDABFb9hh0mxruadbVKcPhtPB5JGx7Cmj3mWUtZ4uBsv5fmwnzN50HxEe2kXvXFPsSUPuaYV4s
gZrCg5qBtWNVGMYETVsrZORmKT5Azyy57/2+W6BhtfsbTj12EmSTqKctBNFfU9+b36mUoXcva72p
j5mL7pNrZAt3wluQD6HmyHpIncb7wRkDTCtxOxcPmo0125fWQOiek7tGwK+lmo+ihy5CEZVX3q4d
BnAPyrzNF5nDcR74YVBCsrD0HzWSYFrSkIyOe7twkDOwCNR/R5yK5T/DS9vfqkXBcShH35l2HWFN
z24B21bKjf3fATZxJ6jmfH03eaxJsincjK0n3LZricx3PfN2D/17sfiIuKJZd/obmGSYDgKCfGFB
FaST4mRcp7eamKfyeepdVzGVemjrxRY2/6WNsO4IiwQiqnwG110TBAB72QyabK2mtV6QINZbXG61
ep78FqMHdyelNkK3KlqNBokkjCHvqgwFJ7Kjas4eqSbvMffqBSm7kQX3o9NNwe2BmWB6TG8rqzhz
ZJh/NuWalREjZIWqaRBWjLKR3wYl0NmlQFIoT5P2B7Tso8dCkAYtc6gQqWRMJuB/3hkCh0oUKEuu
TCwOswU/hP24wC5NB12Yyysvl9THspxK85Bx8R1hyhBSTcNk31O3Ya0/Gvog3fMlIxQVozDQOinV
34XVWE07y2cfOi24DGlP4/DKoqVbbNRiZCZu/02CNOqrTbxbetCwdOKuX5ogqUttW4k9lvnvjFH9
HqgJMfYCArR3yxvTw9drQhr78/+P4lLnYM2d+jeZwfZWSaSskSVV8SIqj89o1qO8GqtYu0Pr1cB/
rTE3DS0ZGRids/GiJ2pCL0CnaklOWGUJt/0hfpQK8NAa0n+ALBR1Vvagq2QYcYzEFSGlJRNOlX3m
tQmJxsw6h3HTbuAtpQ/uHGcdgpXzvIITqWYEpaVO1YRm6MHl2QvLpj6WcFnOozTmW6rQ2jrRPHnr
pWZH50o2p5xbe6S1MtowWDOtiQYfZQGa6D0sGpMHRjsOhGCwzWeEERReWtzO/r3uZTucKIhmKhSC
R3LPfrVcmUnLKiJnQPMYzBgRwX5rFoVbG5uiCAzX4M6dgIx3FUU1r0HJyHy2qpxFyZmN9NJzXxJW
4KkP0qDg5ByacPHwlw0CtCngpCBC3DY/ZsmIFjXloF5cDHmPuODBT1qd1l/GpNNXEwgZHG6lCSYe
BklYfM9pwb5qKERkzAR/TAd0FeiOSR7KtV4fh23VPPQV5phDYBLBv6u4m56AXVzgbYVz9xAEqfu2
OmVrvIWlkzION37w0XX99tkxN6Ky2AqmLk3TYsxGMIjY0CbSQmk140PNg1rv/Qz3I3vZ7BV3GQEQ
cEb8TIASucGeQZSLmQgVmOqtdhs/O5n1lN1+P02OZSRfHAZYJjtIEdepI2/wixfASPq7WrPKv7DH
mAs4XCvhD10sSwlnRNte28Z0aYiZC/Sj3bK+NlVrfPKradcYmVzz1t043bhzMv+v1qr610mT8V45
vePupi2Q9a9qp9K9naD23EEa9+abtHXjntE2b+0L/Dvtp+U2BWA3pWFOv5I3E6Yu9QbG3zK3GNQq
044LypcQZK1GWcLxVNUl9bWzPCO9dc5KEjEeVx7KgmPb9sZwtEeAeKbXQIkEFKFAMT6jGIJKLUMY
aSl+JtOpuWd82yuOVT5Pj5SAYvAscaS/0jlv/nHGbD2PmVUBatLIwwnUbMsjrt/+Cbla1gFrkC3z
JHIxvBWdbbyrppYOgeBBc7VG00iP/WgY92g80+nNbvHdUVJc6yMtLIDYRqPLZ6ZEh4jkPKNGFG+3
eQmGzkeWG/IERTboE2kB7mIe/Ub53cEpsnU4iHXQC3UgCnlo0E9u+RgSlVN8OV0owyvAwKLvpWS4
3PWLdwjJCPMmZX+LrbRfoHXMkZl7XN1DntKYfRwxNnQ3ssv+NxVFCobal9MT8FiVHxE1Ftdq3XT+
CPgQ0JKxefPfeqk4nnKM6osRtctcqEQUlt+B07XFRjWhzw3dtrjD4l4Uwj+sC0DT0W1cv9/XpDse
mqk3BCXqQTZ8kSLt5iSQlhLOuUQ7Br4FFLBTa4DBG4UDKyKd6F1enepeDX85urPXjWg1vbfqEqqq
d0Z8MiVJsP+oRq0uyObX+dL5bL2xKGY/3ytrc/az3bvVbmiCMkg2qypwUywg9jVlTgcDnnSKXJdq
SmjexsLoaqWWc8KkXnygIQkqTJb0OcQMQOnwaqxG+4NnA/qnBxglE2BVvYNRROLzLLquu9TZYFmJ
P9EefZhHbNrvq+XPE1QYGDbcfVd4DPGuYFCmPZqDQIQ86uhB/2Sg5wsre1uhL8evDDxOCGCU4zFA
kjtYNj+KXIIiMVLduyivNVVRSFHwaTGOqk+Ixfrb4RKweMBYqBEhl1lC3hk+QxQC/is0RP6wYMrJ
o7YeRHcIXNqyd9rbCICkglXcWUzm/+zWX61ko6FNRgMZMX9G1vv8BDlX/bULF1ViprX+4RDpFzT2
jKEJNrnuv8Iq/ACfC4dOhMfNltG6YYjd1eyFOHncNoVYFqH/jU22IROkaAILJqnpfnwfu7QEb/Xj
koHvkmZTkO9qKeQfRgE0ZN0s3JCAi7ZrTw5Kiee26oHrAgpEXHDKqvunlRl8CYXlgVAkSF07W3jv
Q0NwM/bj2AcHeg6QtGZeu/xAa5fDEfEcKdNIgNbrNiE9ObLMQzBOk7kpXJST+YvvDHAMn0J2bky8
JAghrbomXNhZrD0GVkyZ/uQFFwv0rU7qLcRqSPgAGj9hBfbffrP8DyV79QBPC0TeBq1+m3iPG95y
r7lghkHs1ipcUmXjwFmYa1Vc55HEnWQdM8FRkkmU9jni7rPhcuPs+taVVz3q/icoLPGPtJ7qsq34
AaDLRAejh+nxX6NungX2UtjSQIxGUviT+bxVGpTRdtqNnlYl5IZekSzBPT8guy2Sie2Rt1r+QfGY
usCYMFHUG/bekQGADIW2M3AjGWOLDrFGH7LLB8d2v8jaA2gtM7e1iUYK8/XoTJutT3NdtefWNQnQ
zozWF0e4764hYTtnPRs6cxs/XWO1rRNycnh3gg0axEsI5kakIDz40ey3yx1bXhGeLVak8V4jQX7q
FtF4hBA0Bfd5wGy7D0wSGaOy1Ou9M98gGKucQ383j0Lwh5BRW30XBJekB4BxHvOgsgz5TByR6GKR
luElN4wb4JZ65dU15vaviYjE5H8v/IuZB9k3m0C4Rf6c1t6JwLa2vvQ1aPazVQxGcSIuu9h2KYp+
BK70awMRYXPxy7KvHmU1l5SFkhXx3YT0CuyIMoNFnC23DvZTZul8V+E2f8AEil2RtVJg1vbm5Q6P
Jdy7z+BhR73dKCSpiordp7FqxLKzraVyuTRX7pt+VPrOTsfi1w4m0X35+WL9t8ALteXObIa03eM9
yh8C4K36QOFIiKrPH6h0nDior4gxHPsP71OTXpq8sx84J3MO586dp7uOAwFDY83ns+5qoDXnXHlZ
UZ5cOMHrnE/6Px810q/JLvk8SRjh/bKV42cwFpne52Jq5+cWwfcux3aLa38gy7cNlE+0q71mR7Nr
ZljPTOZ7Cma7bOejqM4SJxVBcwJzpZGhTkNOX35+ehhHaOA3FY7mdK2pBLz4PDsrvNUA1pBqqlgP
ChCYrKi6qmMLRT2evCDA6j3fhI8o0cO3NsDHG3mzP3xnOhc3DrospqjzytCJQ1jkIhJulf3XtVAy
qCfAPqPQhK7YcaksL13p8X4VJXbMyOBck6e0TPWny7z6mFl1x/Qg7PnXteT8upQpBkMMfU4SYtH6
LmUxNjvEY8bRbMfqv0BOLOSV004RbJa97G7SZWeXQ2LrJBVF3u0sBsBPFE/df4Zb0mWSkeCAUaT0
nxvqktKLXc32hUSTxTllgR4gVyBtmzMJQeq5FX6/7TDuYUjpiRJJL2xPSG78BsI/WiEexkjannLY
gzr3C1IuzI8Wjz1XYOU378BIo77LkOfVibeizk+IR6CIBxWxE3cpfbHcUnard7gdAnGUbEDY6Mah
wxJiL5kdl+VNrXZrFWzuSJ7Tc1KFkwOD29bdUwMLCTRklQGy/iV1t/u2ZIRmnlGec2oHO6RUGCw0
TVYXoGI/+/Qe5CDX7MVwEIjj0maIK+y+GmP5tOLyXG3jNM8MKPt5gp6KTPARFAVrlxM0oeeObYuQ
JHmZ9E0QbtvcNrTjjD5yqhQbGPrM8rq5LlyWUy6SFJpZ++KuacSWiAyba2TWRL5ExM3J73ke69d0
bNfmXK/teh2rVD0wB0NWOsJekU2OYrhL0Y1isTbSkSHcMdTVxulv46ty9WVsu3B7x/2/Pfgm3WCs
/jbKaYZZCeC2BRjJeSWeF58MpMTwtmJ84FsJfNJdOIXOZcBtf3CnhphmA6qRyxYhXbknx6C5pkXD
S8vVJ57ZlUVLhyeBJuRvDe2nrFP/slkc9xGDbfM+OGVzrw2PnuWsJrOWLSzAyAbIc2LQRcFUdV0d
4Cowg4RyBvaahfoJaGvfH7bfvhOoJvrNHXY08KYPZJlM2R1QoZuXsWzMkI816Hejytxzj8mbbxUK
7bDUq9D7EREhzdnApQDzhW83v/Ys1vyiSgxvOjIKsXQfNekqf5rBQT1mTNZCar206uushbtEbed0
fsJIx/BDbxIHDLmEA3RZtaJLhKC3sn2jU/PSWd7NKoTRr0RQbzjIEG6qx7hakJ3jgbMFKC09JUwi
/bK6O/8GwwDMiBT/HD71LRpQIk0PBgHv27WvfO+nn3oHjT4DgtxvBM6aH9xwfXBetorsEuFx+Eb5
0knsYYtnoIdwy+3sVfAxZKbPejKSfmAi3E3mwAneoumMTbz9WRwiX8Q+zN0YL0WgH8DLaRrPB+a6
RFb4VOOwtRbngpwqmIklyGgJBRKQv8TbTtkbytF8JPxlQnYydQPBQgHsFub+SkmctxgI80eV2v0z
MiKNH5ZdMIjJ6gj/iFkF1cnvcv3bLGt+rwLtkefTN+6VahPX/o8eINZ/rPe+G/WwG2p3G9pZCvIK
46HUqzeTGDDfXGRr5j151CMhZ7ONHiDUVuP41FS45/nLWmxjgbcU4z4oBvGc3qywTNymaPbssAJ3
8og0AwdT3plPiCuQxmkz6x5uvqPT0iD1AFppQDioMcXeNIS03rN6t35xYGzC1+B464vXk5L6vWY4
wLQOg+Zx7UTenvI0l+1f2nURKmOhgNzv4KnHI/pc/x49O7Vm3WDjbQiB1YCB0pA3v0E6+AT7z2Aj
bUXkj0cWz4f0cY9Ezuqur2Dh4kkqufwUsKBfi2FY7bsTDvqkOzfHjMUaDELTtw2jgF//s6io+GtC
5KTRtKnxpeKnukEjUMC7KseiyEJWmJ9j56e2E21CBryfJR9Zw5v1NOgByXcuyn2GJTjcjLrPktwM
aAngjL2VeUiRUO5OCfYh85xtnlV0Bw4OmZ85T0w3zlEye3sbMSFXp+lsPwiL9LYrhjAIzlUFDhkL
IZfL0HCJ7Su7ygbCqezOefHqIZfnoE3Vfx30B4YoUlXeb7bWgjyFYnngWGTo8gtu6ETmDdizHFnZ
idxAbLFHcpU337nRc/AqetXCUznO1lO+qmE5Wrw8WZStlX4wVLiSlU/+ApuGOzL+j4NUVBi1N/8o
xMCMf9MKsdPXomv/WjmZg1ETVu60d1rbsOISpwCIgDmnYGC2l91NKL++fFgNmIEit2QsqC8MdxmB
KUVc0gf52LWj82E06za+Tg6PCY8qrz3S0L5Rb2zxpfrwPfTp+GC36c0gq+cDvOdm4B/y7jHNKj4N
XKm6I55jMGNs+sh0wnZyX0Lqnpp4LsqNq4ENH1Ek7oMgDkszuIbWJHGBL0h+NeRB0Y13wncC5BpW
Nj06KRW9iUVQxYcPEf0fX7fjHkW6mWztI+bVxJTV4h3R2ZZnK83TLnZG1wI5AyEgGGpC8kt3UA6L
nLH7BvdhvbAT6y7gj1096j4vQ7fOd12WDeN5LlIfGi0gKyYGSQrAR4Af8MHyT8CJIOq7BDMAViE9
kiQX4wNRWLkqc5t3jLHkd+SrzSu36iwVu2rMUekqmaEDAE9lbu1JUEYwQF6atV8wBR2QXAze3sDP
x2QA1GfucFnaTbS1Ake509nm0zCm2LE5J7s9BtjciJVCqBAX47bZmImCUh7n2eOQKesuK/80LFgT
wTuW7UZ6nfuvfN3C7ojAT3iROQ3Za+Hp7E3jhIfAdMPJpRKhlf+BV/F9BXk1fo21aUIR4SyhGccp
5B3cPNTAJFeCuGxnyYMDBsPhT6VIrCbRI1jTSBUt5o8Uu+iaKILgnzbBlwnzm7Hp5QCXH57nGDRl
dq2V8S63wXvq8bs413SszjUnnIlIkmpkdss+NNxzgE+4Pxe1TxhBy1w/Htjfy5d15KCPM9RsU8S+
ovO9j6l/TuqW+JUoKEiE2zl5mL6oxiytq9U13gldgCpiEneyhETmqj6ubT4VF+R3XG0jmlbzHGow
6wgObcKpERIiiDzJO8BLSnlnkbJmxYHU3es4i/DVwk4tEsnbc7O/d8aB4PEhO/CM3s57ZUjOa9VX
CfyuQke02P4HoeEIDsfFQMqkBS9mqGxxmAeFcqMu7CY46G5U3m7GXJrciFscLxhRb1ilABTF6mj2
yTLNwbMhO+QfhWinmobEQX2tZHj5uxrV8DOadHinFO8xovRVIHtXve02RKPkqJkXKXH3GHAmIXJT
DFoMYgUr2+KiJcRotBDOdpMV5oM1lNFEJtuv5nZ9W7qN1AGkSPZwnfm7Hqz/cXYevZEjYZr+K4M5
N7FBBhkkBzN7SJ9SlqQyKnchuozoveevn4e9wKKSSmRC3WigD9WoyGC4z7xmgkmxRUZD8xk3qQ8j
5CntnmKtVOsBPnoPSDe2jh5U1XaTZAGlU66PHuNT+mDzRVw64VMaGZRAS/pUK52uo3ffjy2eMm2C
xc2slCPN3zUOAw9O2VQ9jXl0dEDPYVCnr+Ax22Id4hb+nsXrEtoaWf7DdUPrawG0x76zpReJA4LJ
o0sAbRjZSQ7tpDhylvEdopf9mbc+1rct2E/y3lB3f+iVpn9EJoA8uMaeaUY1hmzuMP3llvVkrFOE
Zdq7yfN1f0852/1dKCT5j7oUPkLolOO1dS/bYtqWEpLCCfkJGW4IrYiI07yrvkz4FQerSnNyqMxa
oANlcSyi9xg0RnfUVdpwhtwkHXYyh06wKXzq/Ftloe+B6N4kiad8/D8/otkADUP54HB3E0VGynvW
YB51isEFLRkTCTYLQcW71vHJkFEeQ/FgGOrBWxnCdLhHgC6+j8ohMulMt1S8AwDD99KB4o4orIFU
XETvCPU+Qxv+RmvFe5ZKy8IDvDLjB20j1DkJ1Hq0OFvD2I5U4fS1cuo6p+NlQSOOuxjluQDGDA+6
wOJ8bXWzEjUQYkI/G+R3tkIIOHsxIXrld7ZFlLaOUt7/LTLQ9izlF8DY5Fy5pP8okbTPhF2sUt4P
w7QxR1uPvolS1QPwtQJpFD+Y0ifp+hHVDeJhdjgVgvQDQp05VcvJpKoQcy181RLQ5weAsjWikqlN
adEhSgWRnRnKg3WMWTy4F51P/ZhUNCmORCeJcSSvGuI74DuihhjYxeiPWkngwPB1kFCAnk0jcEpL
nnMui2m6t5M2gzWSTonzAIkWFw5K0eqbXdKc+6ShB+NsRyp4DKgB8ELiYiogSckkmvYKripVszb0
yx8uAMi7FBrXeALwJqa97GEQ7zsHN5ZHOqveY5ur+IfImjr8ABwcBCN7cKRYCeeYfKKUYlyLtrPs
75Lif3QHdy6MNjVOBhhFsYA5VE8DUNjs7ajdBYYnPsdjoKlD3A7RJ5E3iB10ed5DKIh9GEOOEyb3
fJjuya3zPNzyBuXpj6gm8NnWWjiV+9YKx3cgyxEgH/VKfQ1igIYD55tj61d1ABjW9ofHbMZZUoty
PgiEqiD+GjLaldT9MXKGPF9+yHBpG3YwCuL2FLtysHdCS7P9JMiFYOuKEnEKVuNe14uuXKOM5qpt
F5mds+sQVAW5b6HeDwEjarNjL53qGxKgBc0KyVt0yAa02Ld9TYpziJCH2I6R2+SPrtVkX61wir84
iAeSDene+Gmcoig/GQPAui2xjWNsfQMk88YfJt/bNM4IHjNAmomz4YPaosas0zMiJaTTPzgGgMIU
E+oAIaHpfkBKqN3nrh+ba75f3MHy9Qc2a15lHxIt6rVngMY1T1CkJvtkh5HhbcEhEzxDPSJd0vs+
Sw5kc3H1rtbK+kkMsui2XdN3IXiFKLC2OhqYX2MwWuHOrt2m3dNmCe5QsCP1GgoDvAftkpSHcNKi
btu6ZXGSMi9MFGXsKdnX3mBwii3wvGQgWtr+3bgDOKzCQg0QMrrr7CeAjcGKzMIgs5z0VCIDGTf5
l4E3CeCHruFgClUoo49GdX6Ab2VGKQIYdlusALfK4Ymg0CjWqENS0sXF0LozIqDex67K+/BYsBYU
DADBFicwoX2Po5wr38VO51uPfRO78bt+CAfa0nE97AGShr96TbPFLvEiFk03JuNIHQ3ZJ0Nl8wGv
NeslC7pyeKALbFe7Oklr927Q4ATSRuihg9Nka/ytjvAnkli1KT5rudVSE5lUw/Nvj5R9UNCJIJCq
0IG3YKUzW01zxNppMoFy4ERfkhqc4euPdeH6PYplyra2BWrfXAkNoddOL6geoV2ERN8ktf4XuA3r
Jc4rmNhOGkFAlnk+voMBF/wiCinSmQDfbNx+AAk43+Ub8p+B/mww+B/yKqLSC4yD2qCohMQpysuq
3yiXhT+iKaOV5BH07W2qAcEJ3hhGDjk4tBaXjiZpP4Z9TobXBNJ7H5d6/gueDvo1JRz5YRvrtenB
+5sob+iOjhuDTd3TRdXBQHDL4dLgIYLo8DlIy9y58/y8/Txl0/QROQ2UGAjJf0Obyrl8bLcukGOo
3YOswXEh2zONn0RcWjOsYQQbqNhd72sZRIdQU/4TuROtKNVAob9LrJpkadYfy9cIhSGoYFa6Fq2c
ptPtY4FN1a+27CFLGhUEe0RpS1hMDnWI8SDgJRSfiwQl2l0qJ+9vKx6a9i7j7O7hLXvN/dBk8Qu1
xVoAM2vMewvARoMQKWyUF7eDN0VND8wv59cn+u6cVJZb5Olyd1VJL927ketXa/j2ZXI3RFGi0/6b
DCq4FpwF8DNF/IBqmZ88IFfDVZx3MQIMSlL83ZQJeeOcyXbenSNoMW6FMdn5VlQuwrUYT4/xykRY
FqQmPPfmIeekfTcrt/lV2rl3QgIII254YyBD6qLUZzV50hsCfBVP28kJ9PeIQQOCqtykeA9OgmZ3
zTIfakTBaOWTKH4XIOHjDYBe1J3RkEWDffIKPd5qsVQvLFalrzOEuIOjGQ4GdZsCQcS1ZyWxdc9T
1/p7lInMYA+fkiXg/+wOTpQlvEyWtOsTfoe8GDakErZgnTlfAmKU6uALtKz1LNN+WwI/k8OUtaGx
G6J2ymdeTfoe7CtVWb5R+jurTCqTVtxML2mK4N47hFwquQs60fxEzT74TVIzPISAHN+bfQ4BMEv0
4nPs6PKZS899CNu0+erCmGy3vuY6kOVTE95Wb3zxCSQ/W9PU9ysfRYSGXG2KtC3l8+wYg28CGxcK
k+dcjE29ickz4Lc7Dvj/pmjRZvZMz3rE/q3RuEKj9idJM33MpA/1v0PQmt+7VtrfRNFhGjG7qNpk
3L71MTFaIFK5TOCVjrHq71HKUnKdUJ3IxTeaY6l3zHPf6bcpBTBzHUFjrnbUu7SPkxdO3w1RVdVG
eo31jYI521y5c6aEBG31NKJogJgB0i00wQEmPZo+JfEVQYxBqJTp4YNWgsxcuY2f91tXUwk1NLpC
m7oKnZbWOr0IgKtG/9sco+QJ900PvDNPGJpVnlkDofMUdheW3Q/RCVVO8dx0xAVal3jJGgIGRUzh
0HHrLTvT1p6Lw9uDM7k6+pu1Jb4pGA/vwfEEwToGmOqA5HSA+jpwrw/0RiD0Z6XmfMH6ytY3GjHg
jrImqkRt0iE7orvQgncZLx4IAlB5a3hSVbSFHUZF00oRZfsA8F7AmkNXBB5agW+0NsxNiYx2L6SL
BKZRPxl6sw8AGMzaAHVCzhXSDV7VFl1CFCmatLkDCNU/Yz5hNt8bOSLtCFBHM/aJPuC35FGKlODE
C5V+bhUiWqCbGft9pepZRDflF41l1fzCfs1xaOHh6XpHLJWfor7RkdoY+uL3iLfvyaBQQ1GfVvk7
GRtFu3NGF4x1zIGVJwqGU7SxZOFy60pe7Ad9BDyxnVJsp3ZF0jpfyA2SdC0qhBdXtJh4S8NxQsyv
jKoG2RgiwH6XOhNhtyedvJq7zH64sXq4DRszMuaGr2Z5z6Mak5cmI0p/wR8PBDuapHp7n5ZI3ayQ
+0MovyvpJ67MaMrVNsuYEt0G6ierIDSt5z4ocjoPjkGVPypDyOR0hopfo5pwgUcJvO43IbTXboUu
WWmtiWDU7xS033011uJlhhj5K70jJ+D2oQSxatEZnNlHgPcRhx3dj3rqd/FTrzltcB/WhYLSB52f
41hBfy3zPIIgVfnNPs0FPDtlugn5pzZNP0LqOsjg5ZW+y33VmNR1HBOkYIOk8juvRFFnZQ3oEBx6
26KsBTNNVCuv0ayPIcLBvxqFOjJiLm7/GLuV568tWXPDeiHnd2cFgBZ2SWWN1mqURf6A7i6dfA2l
FpRkB/FF1bL+0aBFDrbGIAzdO6oTvyM8jZIHXtv8AVpTQFjkCb3dapUngEwnUBWZgB9RBEWv+87p
m+gTQih0phDPq54Ls2xQ6R+j7idaXWW+6kxb/K7MXHgbBChoaaB95jw1iQqIDrhtUbUrzejF5Qii
A2x0Ef0ns1enngAYtlLQ2j9TxGw7lKdQ0VklpIL2Cj0mLoEsEX0P976CWefSgL2b8KMcSL0GEa9Q
6VG/VA3Yu46qylsbicfrkcvKfgcOHaoLmCT3C+jy4GBUIbo8VdpDSo4spLm3rAfgEKTLG6A7g2PP
DbcA3IUuyzh7FGlh/MxBBxRHF+nIFLXyWvzC3kOT69HPJOTRTDXRXoBbfzCdIW32ruFN3Tqp6HJu
R+x0xB783fignKGFwDL4+rDBtrL4O/H98JsHpPHZVO6A5NtQcZh+uXEg0j0qUG29UqnwBbCbtn0f
YhrhHaIqjsMjqAdiauB2zdExcx05KYDkX4YsdL446OsTv3TdAAAm7dCb1qfu7zCVROtTg9GxmZik
nEAjrU+TY9pUNBHogpBo4bdCNwaP00fq4taz5iawgrXYTJBgdih0t2gZKFATaaVAFlNymsOAHFz6
R6uZuBSLAs4dfc+6q3eqy6xvrY+H9To2JvlJTUALsU3wxTaiYw1mA5UNgy60SXbKGQoslEehXGwA
JtvQLwuYgpQ23FKj0yrAsJkd4rcrP+Vq3QTUwLY9Sk0Ywlb07NedDfz7AURIg3IZ7SA0rgV0CCNc
M5ZbbkXbx8knH80RD8HrgTYkKEq326K8CwPBU/FAYw6T7/TAgxz6G8ohZnKQElzdtjA6+cOivZ6d
0PMnuE4rbZa1anIk1yMTPwj2mSa/6pWvPmG0qDlbmepTAk4JjttG2gA6NkB3iFChMeanAbuUzymg
iB9tXmkZ/T/HfE7rsUMqAwI2lQm/0L8iQJ98cLpqpMAP1Oudix4FKoDZfZyMd6VQuOi4FOFfMq7V
EdhbHjgoKnYFNXd0sPHVsJ3hOe3a4Ws5gXjXnCgGh1xP3X0VDtSYpSlCBHEBeT8ngPGM+wEjAshh
hFeztgBcqz2eTNWT3hnsjR5c3aexkLl+Tz80JFmE5vOAUmMPqAqBcXgYCjintgNlhLhUY0v9Ixp0
vvHdUjU18x7vr4eAC/ynqfvGuFMRCtXvNCgm1IpH14m4WZF5pw6YSufJTAI4CC0sjnI7GQHcyigY
5bjxwWEeeUzaBFXSHPh0rZnWhza1Wh6xhHepgEjarkKj1GJCSVXdqS503U2UBTbxCTIxcmsPTfd9
skf5WQ/GzNjUtGbttehKhx3t422HXG44Uj3OYNZIsEfp/WgJKaivuF7zLejhcJ8IVcY7SMxGs6sk
NX2f2wCePT18RMHh9OZPAEDJTunfBs9db3OTua0vow3tIIfCvEe5Y0M2FX/VEP0o1+hWjvYO57D4
axbUakCBRhvu/irJSUiE6DLZicUDI3LUOrqqRMn8rzJw+77MEpxoHJmKU4WPyA+pBxEF4FTQO+k8
CAroc5fyp9/APIWLBoYNsYLe/1BYdHRwdYmo9OGQhj6IIHcH7dIiDvid0njrPJVVkLXv6GcbhO95
5Xuf9HYQ08YIJ/MI4ShModuUQbb6y+2lHDPCug0Am+ievoKLeDhbPd79pRcUKwpqg5vA9tQvGnbN
cyajcI6dwGIJ6Mlf/pomGI2ik1CAVW14RLQCxKIGxJUySJGq3V8wKBtX2F6yzZURyLXg3bwTMSY8
hwgg83jDP+6C3Zkx+6rxt9gCtYrZWukPT6EarGMsinI24DLML4kF0GU39M0gD0PrJ6cJnN330YvH
Y2M20Q2j3AuWVIZJ/5sw3jSFqy+8DnuiGZtbjrEzJOZHT9nbEOl/6twzyjpunO1//sf/+b///XP4
L/93/vT/7Lf+I2vTpzykxvY//3nBJorxXBOII3gT11k4HPrRWOEdRAalGbRa0WR80dqmeiDXGG74
k85mWmf2X1wYYNBNIcl/LL7s+Vft8YnNUdhS67DSwvt+ao09D2q/NjVcIqxU/l2pHrlz7Dbua6v9
eX2ar3z66MQxpG6bwiJcFAu3szLo/BhWPk4SWRUdCxHiYYlwx672G/iCZhegyBMnb/22/wzKrIUA
Xmcs7ZWnseibwAIDN9Vt8VlIZLKzotQeEccP3+quyMRcy5QOrrYGRmaLZaRrNjS4HUA3K4p6l9lu
toG42mwGD3ul65/y1Y6xTZ26im7xX8tSYmF5aHpGV6CIj/SkrT5WbpS8G2T5YqZd+vD2gcgnTdey
dTqpYuHOlujKAuaEdgCqufVqoCrwaHC97miGw9W8PtarY8dkTEe5lovjngNx93xzwrfFfiV1zbWN
9ijK0qOximVO0wLM8Ap7jG5zfbxXRmLzeO68XFwwBsy58/GiovGRPWO8Cmz+HgVIbWu2U/r++igX
ZoXDp+HSqBCUN5Y+12npTzzrDkEnvmRrL4/cHfRRdHIbgRSK7NXH6+Nd2BqGbcP0dQ2brtDyiOsa
rNhUgMhLRFuvDUvR1S0RKzJ7Z/p8fagLU4NraVjsd5tvaC4WrJvLA2mI+cSUJeo5KlqaDnZhvjTI
Fe5BrwY37uULU5PCANlHiYADZsx//seboOEOwEsJpk5Dmvcw+TlROYCqNc/4LWfGS0PpiF0IBJt4
YJYHDMWDZqYxID+DKugBexdOQEsLASZb+1Y/QhtnX4Eu7fyvy84/n5XhwVOBUTSfZbNcaUYojh5w
wkqLzBsX1KX14s7gLgR4y+2/WK/CAHI4BEylAtAAX5cku/eHaB9YPfprUxntru+Pix+RzqmpFCbo
YukZjPNHn3QuWzHDGXk/9NLfmJiH7Zs6evkXIxmuRHjEETZP9/k3hPKPk44NTTyuaM1Pre9tq1x2
22jwq38zKQm5UvAJlSUXQ/nE9qYeDtxSvYFqHroBR8uDhIEMhH3DPvL1a83OQOST3hpwRdxtz2cF
sBz0jYfAMMo4GdDmHg2dnU9gTlMe49CXvqoA7zWGRidkAqV8N7qSpPdffFpHYKOuO4509MX2zEng
s2pA9cHwtBJHJLjnFCyrg3D66MaF/M/fdR6ewGYWWFooQQcYJ/vzCQs/bXKaYnKdTVnwVavo4qya
AaOjAszZowiS+CmsKvOeBll9whVPPPLkTlva7c4RTI79e4yL7jcg7cwhxwekRYc/PkShToFXgwxz
48F6FaNycv/8uYv10TRAq7Fy5DqmZ+FnAV1Yb8AIAduLLeLtYp2OTYjyMLIh19fknwj02ocyzj8U
OikQXnpGrpFyBPSAzlzqPCqKZ+tSV929O8MCKBS8eJWsTiJMg0PZejd+xaXjzeXPeqn54nIW1zFU
IjOSwHzg/aE06YUojteA/49Ihpc3hpoP1av5IqfACQcUrNTi0FF2iVqIfObaa75bIDb3NGYyWruo
yhZICl3/upcGk7PDKGgPyBDGIuZxi7gxZzVcWo+Zr69z3SxOmh1Ve6sfEurxJhy0G/PTL43pUDIg
IjGUbSx9jV0Y10QRmHEi51Kj9IszAXhsrzjahOvHEe8vACmG2iEe2D+BLmoeR9mTC00xtntUI9VK
s3x3OwIELzdQasSupGq+v/5h5vdhsQrwjHUUVRyKfrwj57sum9cgR1ULjBxcS6cEgm/Sg9teH+XC
tuJtcolqeaUMIRZ725sG2rAoIazrUaCya6KZYlvGCjr+uLs+0oX7lTtc53U3+OxSLTZw0ssO7B0B
IG2i6jgFmXcsaPOsKarMvQiV7btaD5CHdLUTZiLV229WompuEGy1uSVeubEPkEHDPrDWrpZr7xsl
oFuIschPsLCTr9enemF/WRgem6QL7C59mU6Dl4QWXDKWAVD40IJSXlUU7Ci/Rmh+EBbcMuq9sIqK
55ElxK/boq13vlfw1UHf06K2D3qtvsMjHTnAonFOleG4N5Zx/qsW25KhXN0gtiF91hcbBuOeGq8g
jxc5sekFJXXYoloaBuiC47O27U1hvMMsS7txTVw4DQogk6MswDeWpc9//kc0mmRDidktwnuWjRkR
clzhxgsKdXrzwtGdQJ3coBhjIz56PorSUJaHbEqQO3nio1kWEb0DAMgHOJaxCxavK40bl9HFpXMV
WSVvvm47i4lZstG5A9krwvebcqshMfYOnRMr2oQQzd+ervABWT3lKEMSAZ/PryFxAlaQIV9IDgHa
iDjHxrh7WxVAPK9/ykvz4tJyXMPEF9aWi3nFiGrnAJGtNfQzC7shtIi1BLPaFgDi5vpQlx7oefOT
PFDSgfm5mBbMfaHalmlh+WT768LJOwuogJ0fkKIR6CwnEKKS3s168rSx/11VAOBx9qnuplYnOL/+
cy7NXPGW0UDnPrWsxYtWJ3hE2T2qmbjv2ocWPtRucOvntoci+y9Gcl3UscD48FDM99Afh4LsDbtS
fgHRooG9AGQxhI8MsK/44934xpeOvT3nZ3is0ft1Fse+HipgWjWQigLI7xF1RjpteFltKvo4d8hI
a0eIis7h+vwu3KNEIUSmvMY8G4Y8n59vo/o4IqMNqjjx4d0CxUgDpX8bzfRQTK53I+O9OEdaSLZJ
iIW65WLhcsgOjjGi4uSFefveDs1ojSPPdEBfIz7BGcSAAuXCG2nifA6W96ljyRlehaW8oxZznBCk
A2OHkHsCXhXtYxdpMyhWQfjt+re8NDnHdtiR7EvFHXf+LVFDM70BLY+1Gq36eZhc467KAbJGuJJ+
7gMnObW9Nv66Puilo0BZGVVRlyTOtObJ/7lBq8wuzR61BOgwwyYftXGtEg1+AH3i/ZuHotpJJYZa
4Fz6WXxHTLZnthmtAyjA+iagRnmirBzvktLrbjyBF2ZFlRyqk7DJFAlqzmfVQmGCmFWjFusKsYvB
VNIKSRQS2M7L9Uld2BxQ/diKBEzUYMRi0QbheXVc6PVaAih5qDCuHuB7Zvh0Xh/nQmw2x0aGgi5H
ccRaXKCOXWZxhLwtSJfKPSSao+1k2og1gTkNT/jpT7IDrVDwCGKEYMc/rg9/4ZzbtlBASuiTKeoz
5x/UqbLW8m3JORdW/9H2xPQBPDeypU6X7cox027UWS+cBRu/U+riVLaks7w349aDchzTUYyxsdqH
hmu/1BrEzpDGPiImWFSmUV8/vnmS3NRIwEgphSB9OJ8k8scI94PSXncuAnU5ShGPir70Dk1IdE3I
I2+s6T9fbXGz8BSyPx1pcQbtxZXtJv1Il7RGXK2N4x9WkNo/54v9h7ChdUKdqtBo14MhgME0QfcA
x+V/Sqk7qs31ib/+2patXOIISWyFu/jiuEDjQMIppDwqlGa8xzgxeaERgQsq1IN75BIsezXCrzFv
PMOvN5XFpiJb4QVmYHs+xX/cPQqN4dDBWAkPQ1zHwOaNG8wo4zuYLL/ZhOGNWV4cTnfmzpKruzyV
58MhW6jDXALeNOsAfgLBYx6rxDihewWiCIfOwn77/OYvitcXRHidOZ4P6KhZmTjva9g/Gl3JiAP7
cWpNdYwsr8dEM29uzPDCOmLqxpg27wjB6uJ5lGUXpjgtQf900/oQygIFe+wdNprnxYcg0LzjpGnG
jVMz3zznm5hKPvc5OQ1pG/nU+Swpy+Y0jziq+HqAa6oGjAZj4hxbL4pfKijLX1FT4yEAvejG+Xl9
y88jK+IBEnAF8Op8ZBN1obEqLR5MNEy3dJ7tYyUd44TWT36jUXhh71C31SW1OAq4XILnQ2meERWB
aYJwKNBtrIZx2sKvBuY8FR9zDzfv6wfy4sxYQapJ4OpMa/GqxKkdaFMI6ASac7bLiRsB+HvaDvmc
5MZHvLR8OmUdV7k0m4S92KSRMcDuSGcNmQn+X1dp/tZEeweVb/mZxq+xR9RotkoYtBux3HypnO8b
kmGGdFyCR77oYrPG/Yg7UVo1kD+oKmk4Fe1CKh03jsTrhSProGjMvuSqeXUGOx1dEsjfzbquI2R1
oANsEKIpdqh1ojqEO8yNz6nPO2E5LXtOyeg3GcTEi+NQiQKh5EY2YJ2tWQRUi/ZjGphbCuUdJHGI
NHtR1NAElEgPZZkiVxq6zbbpfIm0R1++EwirPV/fTq/XWKHhZ1DAo9/MC7LYTmCufch38xqbIkNP
Mq21T37cDHu0gtSXpoGIeYgGiVI2CG4uw+ujX1gCl+ySqI9/YGwsrnnXVgO0XKALWj1995FApt2C
0fQImYkrcHd9sNdxEreQTnOWc2NJ4oLzg4rfToEoIg4VAlD3AVMuhHbsqT94Kba5VNLsY+6nCEq2
TRNtLQAIb68C2xwixudXKETZF+dJWBXeXlnWrnO0LHYw3vUPokzkBu2h+kaQ9PoEMRQRGRRSHm8m
fD7XduYexBZ4G2PIYByXQbMP6XLe2NEXRiEEI6+cYwNaEYvlw1QIOjvC42vDgak74gB0h6Zgt72+
bvPfcn5s7LnoOM8GZgv75XwuOcK1yEkPaLTOml5jILuj0qOvsp+m/b8YSRHiSRI66mSLULZDuQzi
St+te1+N6NNELlo13tF2uu7GSBf2IhVzkhAdpWr66cv1CRysadSsHwNzt4Yf0Vo7czD6d7pBlX6V
yjr+lI4w9mq7K7/UvXp76RgFOhBDBrAERX9zce4R6aWqk4KimvGKJ5rg0zbv0aaMxWD+i/X7B6rg
/rN6yzYgOjBda7cGshJ+pJ9KO6Y/l7bRE4qHt/oR82dbbhWbGc3wFYGo9GJDOh5GVfoIz7KUk/yI
5l3xpdCU8cXQQPauusZxN2me5W9+rvDlBbhGQqlTMVsuJpI9w5D4ZrceQFLeY65UbPTetW4ctkvH
AJM7qn8zioD27fkx6EfMoYWJTDtcQ7RBJ4leq5yqNX5+by9NMRXySa4P2qnUAc+H0g24ysCrATvZ
2JbYCLVuccOzVr5EkuXtR26uoMzQAfre1uLIGVWNMVAnu3Xp1eN+clHHDmgP75Ju+HF9pEuXFe03
npkZVEVL+nxSqpGpOyU4bpRV0R6bqlbrzAHjf32US6vEgyotWLUoY1qLy6qQHgW/CNZl6WAdgjI/
ctCVVR6mJu9uPJ6vhmISRNVkwhh9gStZREkTWku1avF3FVZn77FIGQ9l31JjgH+0vT6rV+dqHoov
pyiNEumai5dLw8wbRhGSR3GW+geAzz4yRE3whC9b/Q2SPJIErj6zyt48rCLKxWKItgGvzPKWpIHN
Pijww+QFIKpuvmKdqO+TNDZ+I7vq5AhBWeWNc/Zqn5Aw/DnoYvNbyOGkfjDMSGbTIPgcm90Y9t3h
+tQuLB5dO5fJSTAzYok9aivXmnKEEuYOmjzicDRikYSdW1UiO3B9qFch3jwhsJL0Z/mMICTON74H
miSUQzz7ciYDzmwou5oS/R3wCtq+6Az1nRAs/jjY9Y0T9+qRWwy82DWouYClN4Np3TR6vyMFRLwo
tOBn6lNU3CG2HmwQ8oJ2j/fwiU5yeuMsXti1aq67ceZpmVCKPp84GntTU7k4nYgAD6pVKFC13PhB
kp08dAEieBklmiAjuhbHf/HFacAjO0XHjGDzfGBCrlLHpB3Zbw/9ASN0na8GLkR7+C/2phT2tM8r
19niI1fcKEhfmjKdcaqBPH/AvxafvC80V8+8fJ4yGP41GvRhf0JOXGg/py7TnrqgjjQquHn18/qU
L5wakigSYD62KwHVnU9Z5ZNZjgjgrFs0MKZt1CLrtY6aLExu3AmXBiLolISbLhjSZcuN98IonQrq
tKIONdvqjJV3HwRQVm4s4sWBKL/NjROBC+NiRmEz2WbixWIWRsbBNceEYaq7Wx3ZC/eAzQ3+/0dZ
HM4gRqgdzQ+xRgmk2dvKQ8o9cGcVIvvNNRHwXgTrtEbgZdKXWbwXiEmVaRcYYG1UbnwLtFF/b7Q2
TS5gRJvru+HCNrSJarGuV3O3eQmfwy3HcbPEE2tk35DcQ7gSafB+PEZ2PRyrZgDZj8rUjZznwj1H
wILezRwfgQ1ZhBLCDmwNpy0dnbm0+knp5W9kEaeHnpvhHvZ9trGm2WDOtVGWvz7dS4uo5hIX5QQK
/sutguOd36Qxu6RN1biHkY4bYwTBz0Bm5+2vk03YPuMgid9fYWRdmj2VD78HnlKd7/Mis3eYTd4C
v1+aENVCkHs2xEVn2TAM+sppxworN5Skyp072eWxKXPzgD+wfGs9i105V0NmOKdNZry4pN0Byzhs
vox1ZWXpNg/acYfz17iHzXirBnpxVjZ3hyBUt8gkz+8oOjWFP2rMKtDa4pgHvX9AAB0hn6Scbjw9
F4fi+aOmSFmQNsX5UHEIPj+1E2Nd44l5hLZgHgvcU+4U2yS7sfsuHTZWigvRIEKjrXU+Fq4JUdMo
vqCU1e8YguIhbODJxbjjbhrMIjCunvL99R0/vyNniRarRqrzT7mcWsoSIFAAb/ezget+dOdOk17G
0WYs+zSDNY8HIwLU2Q10x+uOyD9DAv6xdO4UGLLn07Twr8/6AKhgjFIy8nRUHLjNnF0YWGjOQSjU
d0OIozysrA7nlCLUEVYYXP3Gyl66ZZg2mTvwLnozi1s0tnUsooIQsFvkGE8aXiwCQIbq91TR+p9Z
3lgQllCk7+pK3oqHX4/NqedaxcOPKj4lpPNPUGi+GrrRw6krj8pNa5pDjDreynB3MJLqTWkG/bah
gre9vtivX0KGtXS2sTljr5b5LQx9ylktJDds1c2tPUbeuxjFu8P1UV4fmXkAoN0k0LwPYjm52JlG
POQGgLOedZTSx0cLfZfdUJRf3jySbXIBzKk08dkyhMASndrcYBtwEqWxdeMp2PeOW+71qVc3JvX6
bNI/n1G6jgJ58QpM5qvQ0rI6BIfvoqgusxzhcKGhQ5U53g70q7ayUf++cSG8Ppy0m8FekOaSg9L9
ON8mrQ17u7UA68HYDA9mia1thcPcYWig2tYhoOG3fs+5ikQWT3pIi2n5PbMujmusp9DFCqYWcu9Q
cTHkJB2nFDDNjc34+gycDzZvoz86g0XrBX0/w4XsqkGD2qkRh/BbuRGT1ePSC1HfziXeXxh63yjz
XBqZ3hm7VOFWyxNyPnIurMby6XiufcSYPjuhDb20QOcUJVL8Ygc0S8sKi2MrNbobd9/rBVW8kHCm
ZgIJx37eZX/MGZ6tn/k1nmrc8Dh3gIA9DnoCYxxl5Q9xWk43NtDro8h4NJ1hqjAg5Zbz8RLkGlH6
cUescwz3HdXlAfezQG58s71VWXj9UW3B1WLohiIRhmtxPhSiMcOEJEa/sYqqw0ygq5vn0EWkXW+b
uIUePFjfcVqp7n3s129spdeflbFZS8DLJmWUJYsqGXW0U4cc9Y4iKj54MvIOE3atd7006n0g9PZG
VPz6s84xIl1f4h0HmOIiLcQiZ9BUaPebSpZc2W40rFDNwNlUVF+vn8h/+pvn77M9w1ddY+6jzQ2u
88+aBBVcdNcfN3jFosbYp4CHVpWJNypoPtl+7pDGelII6jyCuR0R94/ohKxmRWhMCXDUXfVJqm40
Sl8/I7bBtSsIkOcHbAn0QyOqFYCE+dyewGUQ1Z5gLftsfLk+9/kBXkwdqpY1Ryck/a9uPzjh2Gzp
Zgeo30PBOgVVuwHhU4Z7HaNR4GcSNANkKGeDNGcjV+mIPN71n3BhoSmzzKNTmUPzYd70f5xX0/XQ
iY0dNrUl4hOBQXMQlSXuwMTLG1nqxaFonsGy4aYH13s+VB1JYo9a7zfGpDWYn2WBbq6Dukbi2ZZ9
e+NiuBCEURkmuZKA3ebcbjGzoGMlBMokCB71WrZuDR1uNNI5dxJW6rprdDjqcgz3UIKdh3qq/Cd/
0m9ROi+tMPRYukEOIG1IP8s5IxVo6PmAoZCun0ZDYgwT4oWdpROyhNi/ImhpaJskgctP7NJ+ur66
F4fnXHF5wKiGV3o+vJnUXhBzcWyyNKOXQVxKC6+DA+1E1oAsIuj3BFoaFW1OXq7Zt9DUl5acnAwk
PMV5MsHFGjQKHEc7VMPG79LiR4FF4f5/OTuPHbmxbYl+EQF6MyWZrqpU8nZCSK1ueu/59W+duniA
kkkkUWrcwYUE6CSP2TZ2REZR5Fgn6l9YSBwPd5mxTyog67mVUOntTl3GCTaUFMYMJJPP42RqRxht
Ysht1O50f2u3Pg2UEW1aupYKIdP11iaoYKa6xfWqB2f6ZLKAzxBj95hU8R5sY8saiUKICJIAdq1v
ctfLKEXGABtTrVLLS1TYsCqhfIbSwP1vEqZ2ZY+oR+C3GWtliHY91Wpl81CFJR6urDX7ETVU4xCU
sA2Vfbd87AwIrmHVcg73F93YSBy3qL0IGIX6AkX4wwJBZ2qNYQpvnhlWI6phiAP5lSZUgZoWjq8d
s3DjSKEfIDohlKbYqhEGXh8bY/GZnvVW53XIRiRuMebOU9ZV+ndUS+3nREqbHRt/83liQQj/FBo5
TDKurZ4+G804lyAp0myxzrrefVIkKTrHcav8zadZIi2x8FwMd19/mh5lVV2PrISaRHWualioY3jK
IPeTp0sPV8f5/sHdwuHFp4muDh11YOFrNCe0+qFq1exlkUMu0Udy9HWi/f6g6QMyIs1kxcxr6suP
LJ6SR8CQ0rNkh8kZurf+1WUtforAxDEoYjEjba+Ota3HZjBovXj8n/ptFuSaD18jwwZmT+hy/7u3
TpQMAnvOYDt7vQpYBkXR0sVinyuaLzljt9AY03KCS1KT0unD/cVuniQfBmYLBgIqTpjxVSA2oWMo
LSaLUflcvseQBX+r+855X0YxJASjuQBAYYjK+X5/2RuTI5aFjICxNYE3Wh+tbrX8ywYMgfkUzEeI
aAJUNkr5eH+VG/ckViGWFhku+OM17FiLe+jkG1aB9nP0gxGipgDVChfZVfgWYG15CrosfkKHo/cD
A8alv1le1CcIq6nDrh6MFE5ACksTWwCH06mYDDj/hhlK06XrLovVLQ8dFv3kwMfnolYf7Lyf26Ol
NMOrETNADDvoqyJwM0510unygJTlsnyfBvSQgs6iOoVGcoVwTmCNkjuUlrwTFNzeXxpN/E/0lrnA
hnptJwrwStAP0zIvUxZnr+V3rdm8hdVY/nZ/g18KXVcOheqTxqsEcUgYAGrreqkZIiItaSPCrQLu
9sMo29I7Jdar1I3mJv0uN6aKXq8l/UA0qXjb2xE8wzFa2lASZ98qZZCeBpjdPhZyUO5cva3NZz5B
NDYBt4I0vf5l0DUWWmqBBzKSIE7cFokutxks1FthFo4QLUC4GYL9PWTE7Y3nMWuEQ+w7FsRcBWQd
rTBLbxAYd6jm1m65QI3lpq3ZfqdZpZjoCoXJSRuq4Qe8wkt4hFF6anfsl7CF60MBACULELEC9mpl
Upa8razJQkg6Kof61MrZ8ByHXfVFhUzuEzwerw4CuQQYMAc6DiJgQqbrrV4sRLUYB+u9MUfLO43r
1EeHsvd02Ml2ntTG1eaLBGoCQDZw3tWnoavVWo3QrM9wx57gpvECqpN+ATnNzi5uLgUMULCaQOi7
rgFKNAzNWgenJjvRMypbveLlNDQfTfj/97CHm2uJMipJBINu9moH1cFC977Sek/KVaWBUWysnHOZ
tuNRdor5y/1Hu3E9xLwlMTR8HLe8RVHkiO4zi1U1rXDKqM8JVLoIhY1W7tMrRsr9/oK3voZhOkZP
QHhR4cAZXN8PvECsdQ33w5qz8XkJsIBKhSW4v8rGgxcXnloDlEzww6xW0ZsUltGphvZ5UePJB9KY
oGUV1Sn1MMtBEqNRD0kVIL54f93Nr6P7ZRCfaASC9vXXIUdtoszUYGgCSdBpxmV8YkgTosf762zd
EUwsaSRG7Xa+U+5pQ1Pv7L1OFN5aCnGnfNQiL9Ys3f+LpcS/ptHCIf5bGbG0gm17jLkhGuJ8HlGS
8pAPwz96X9g7GIHbJF4MOZCKMO3ASyNgv949iVEem5l+jIUNnVujt+XvsqAegnBneikXyXzSO/1D
OIzKrwQSkq8OHmVnY7cOkCCFN8FoFPZ59bUTIkWdo+ApInQRPJhrl2NrD3ssGRuOAVJbUiAKT6CL
tdUTr8YoL2kGDx5qVQtuYAwuA3KsB620IeGrQT3DrwzJFry9p1pjKvn1R0ojAyidwwSEtk7UtapB
9p1uA/T6qBZNUlr7kFFSGDCnvUR966IS0go+KGIPzvf6SFv0/+CGLEGuFgl0ivWc+IMBdmGCZ3bn
7W0vxZgl3yXs2eromHNOtFqGyTck3folD231WdDcXoC0Bjs3dWMpbgf4WFpCMD6sx3LgBNELaQEl
G5CF+DqDsQdpskY3H1tn50JuGGgqnUAd+SbhxFdXZYQPVYkyNHCQSBuPsdoNsYcgDeT+rVoylZzq
0+X+7bit0ZJTQUnGID7lDkpJ4vb+kaM3OQKPsvCrBYpfmZtnS2m866VxVA5lO9X/mJ0ed95s0exw
NRL693VuKYUfIYX8dkoDLTygOKv0P3d+1tamgx2i0UdupCjrSaEE4RqJkgLunrH9ozSaaX3sO5Q8
LxiN6l/TQLHNmxP66F/aaDTfoNYej/i1AuoPRUdWRU+GTHuajMg6ahONyY8d6LNqJyjZeNqi10Qp
mfY6UcnKAyjQx6AAm/Qeyrizbxaod4dMyR6cOn0b10N+wVkp6GHV/VG0r1//BhjPpiZm0WijaSlu
0x9HV1oGebkJv1UVxbE7OIb0GIfKL7lncPX+cWydhkY6IzCChpjcul4pgY1ZqknVuIHIzDCZ0qL1
CouxsTCTf3+pDWcuUka2FdgCkPTVUjDaRRGjIoSUUT0/Vk04E8w2iM/AvRqeanU2PaVu9qZwxL+6
CpxhRmOOiWNkyGjd27JiJJogIRo8ZN7g9FSn7DuykcUOymTjurCKRZQCtJOOyPp5x6qSDDolakXp
0S9dOvUxalPtp5Mk1lGCrfJolZ3px6hZwSLf6h/ub+0L39r6K5mjEoMfTK0yq3t9jPEAB3Q+IqjX
DU6jn9UggFsM1ppgdgN6IoEX1H0SHFD0kPRDEJWdoAG32n8TfZr/y4xe/lEXUX0qey0+omEcXUbK
pJ9bKY3NQ0h1rz2iZKNKbpxFLVWiEWN6QPLNrMCutkp8to1szJAFkopDBrVsufN9tzkpgQS1aMrE
DHFTKVv5nxS27s4kPoKX0/kSV8PJCUzU3JDSdiNHco6pnafuOMMMitQHzT1h8Jj9+ZbH5vuiCy+6
0b2/v+XCAFztuLhRJmMcosJzi4pBu75WrJ46xJx1yZeU1OUTMkbTpW3RArM6ZGWluA0+W3lmHO+v
fONKXlbWgGaL0Q4aUddnXSFhqqM+1gHUdxySdKc96i28nUswW4ehT9sdR3JjIl7eDs0I1qKTun63
OfWrKpqNzpOZfzhNk4oOoA7XVMeEx068v7UUDWjRqbUJvtcdTLLcBLR+QMt9Shtk6cbipOuLcsh5
ezsOeev8GP2jK0wmiBtavZi+UI02zoeOILVh+jC1Ov0ninHB127IWj+h9Y2wTTI99/OyR/63uTT1
ZZsYBzoZfVXG0IDvMNE8coCLGR2SWtWFPgUU9NMYPqHrGHqw+0MlPVXh6f7V2dpfkLuKSiQnMuCV
mUqlNoKHu6N2Vy2L22XqAnce2sOQHu+Bo7duqQqIC25IACpAla9vKXzoRmI4c+epITBaKoqzPznx
4qLDmPnLYKo76InN9QRpKasJ7q6Vw6YkySHTD/Bk6N4OeVKkh1rXKzRDovbJRKVmJ3bcXI/UkL3E
VWOSrr+P0CuZxiXu8Vnp+KHra8dvlba8wAaPVBcjhjshwS0vGc8QUAipFW13weR0vaAqlTV18RwW
6w7sGepaSV4fI2kwFE/rLeNtnpg5PWfH6nE9jhS+LWW9G9/JUQ/7upOAanFRCi1sBJx6m8YlMtBf
+Uv1I5oyaJ2//qLBDYrJYJxDzKFd/1iS0EmxIx5yisc/OJOdPAex0EmA0v3b/aVu0002BhplMnXQ
FmScq5ccjjGN2UqihSLJ0jfebPUt1Rf9bPWz8qtrECVCSrGJH7EC5gddspd/Fbnp7Z3z2XpaZNfc
BuowwC+06y8GlIskC6TonpwFi9+rdvJzLjoV3S1bzr7c/+StuwceCpgg/HtiDPN6rSjUMgQ5mF/u
eq1/iyvqeheNBURlSPJTRK2rPcD1TRTFHmOsmAfXKLtS77xesQ7TSrEaBmlJ5qVPQNoQv42CnSBq
cxFRLgNAS6i2Lu070EQuo0WjOxuk6bORSuYbVBbV8/3N2zooMZn4/6usrouiNG0m22XnDSiO+xEE
H17kZIjstYl5uL/U1jlhIahg0bekc7ny1FDyDlbeiajFbuYn4gj5fUkQ/q0iiitdacbq7ni1rY+j
EiBwKdhAcIHX5zSoIGcleAI8pYIxIEit9hTDN3dGgCzceeIvzngdAQlAPNMSMmSka5jEYmHKJw0P
Gg2TFh2MrtXeq5RyzKMTxc1HaUSAAD6/eooPgY683YF4JkRkqSm6z4o0zBZaKkKsI6KVbCBx3U3F
oVDVAS3rrDI15mky5V2CCgRluExNL8nYS7o7aHnye9Qhz2PeMmjVnSPb3EC+hiSdIZMb7GbLmZil
YXeeYwn5UKq4x05LZUTEpHRnA7duB6VaQRUEcQpFiOuzsmxEoQuDCBIq7/nQDLnxi7oY4kymIflg
xPZS2q1P4+0qNLSxHKR81+tF8qIhkLiwnkpNs5B6QjgrT4iwgr+5hmADQBJCjQ5t/2opBbpmao10
dq0siL2oHuunZEZHom2LeCeB3QimqCWQPMLkAjZ63UAfDMkc9Jmp+55Jl38D1chKt9LnwTNlqX6A
nSs/jJVc+qPR13t46Y0dJUkHTgyfPTOZa2ZFZoVStJMYuF9URMfM2ujOqbQw0aqM6fG+KdlciilW
W0BDdVgGrg/PghdTqwtCizgO/xu6UjuqVY8ObTvuUUWLs1k9a0B0At7LeCnXchVIQTfYLYmMOw0L
qTwkOYwVulHJh9d/DxQjtA9oIjPevLohmF5HRdKByreBNg/qxc34rUb1bSC5rLJff7MYjhLSTcFm
uvJes9PKhhQTq5nxEjNyObYPGdTmz1PZKp/vLyX+qZvdA4Qp6JlB6K1nAqcFjYAko56iODHqOmrp
nCCC7o9pOkJPCfqXijSSyvcX3bAkYkpXRB+UIEicri9HArMHun8sCqQleOoDR/Z7bVSPc6BM3oBI
9E6atvWRJGgCSf+/LOZ6PYSpZsuKcdTkvzWsnv34AQ1X/cx1YiBJnpvyEktj8fqIm+hXFA0FtJ6e
5PWqy6S3BpU3jArx4DEDVnaEHHM+RkbcuGEfvZoXAlofGib0nvDc1AFXtyYFY1nGoojPaF5xAOcn
n0tp/Idhpb0+wsZ+itl0kIYAN6gWrr5MNBe61pJa/Jyt+4gdqV/RmVJlv5RlJKrA70qxO3Wq/uP+
vdmwnYRaghAeniga6qt7gzEN6kZEdVOjTb6dIPSO9lf5psz1xZtAxqFDZET0bfJ6J1vbymYI16Eg
ewGS8PHXh9mgt+w0fd95ZtOVH3pezBu5X4ZznSrhOUDh7kKVdXyL/ER4aHNclZXI+THpuxIkatO9
h2gZ6VfdlP6pZrlBOTIpu9e/KgwUP5L5d+FcVrtTaZPWIzVKLCUr40EyavUSalrgFk43X8zQkE/3
T+MWmkWyxDwxhpd3DKGler0nWmNHlJypCygStXqvlUrCpVTNY/uMGN7yQZmLVj/2yJk+UJ5F+naU
0iHx9Gpu/hvsgUji/g/a8Dn8Ht44CG8RMKzOSKmhSFNlfk80ob2WoX9Lj0vRYfkEnHp/qQ0LJvCE
NMoZCgAHsNprpn9mCi0J1QK5aKLTUpNaurOloQpYGXn0nDgaUpD319x6dfhSMg3BrQVBxGq7rVDO
1dJsyWmMkVRqaQ8aOj9+WZXLh1ZlsrjXDHXnQzcXxa+Kngyu3FmliXae1XMTwmaYhm3yNQsG05Mq
u36wqzzyQilEFVpCWvb+l24dJEMlfCuJMm5i5dLtLqpRhYWtLLfQCtZHuOk1Sj4ntZOinUu8tRRW
HlkQDAoQrZUpkxYri4waUsqk1GiJojj5Zpqd37qD0Nb9j9q6MsTNQnpHoQKzBoUiKpiNjTK3TAea
0dlox+IJ5ZdvktmGvtORJNxfbvPDBFIR6CQYrDUkYO4CkhwSDm8e4EORjaL0kkJrfFXhz/5iKVox
YjUmrdZUs7ll9syORATqCtdjQmvzQGr8u+zN6i8uhgBggvICUYX7uX4Cqh0MFtp7OHKyNKBTTvwd
yVr2rx3Sj/c/aqtMA/CGIQKARTjWdbPciZGIzmyeWzxYBdaE0mAMfR/imkrsL+nYH+fOlnxLryPK
J3l7ChtL30kWtu6MGO9ksoD2Mgi+6+/t7Kamr4hLV+wi9eqlyH+qldW4DFeZfl2/nkAfiw5xPo+O
7WWwamXWRjkNTLngJKMAhiU9QRfAlKbChb6n2PGoW/dToNMYBdSoP61L50yLjYqN1rEHF3NxoCj2
u7LD+kMF6GNnE7eiBtEVZX77hYJmZU0oLjajBqGkZwqB29hp8+/B2JRPVEByylDx8uikRShiinDn
DomkYBVck7wS4NIC4i6tm7LmlFp21VG6iYZc+VqUcQW0w552dlIcyu0q9EJxwhAarLEO3QDoyayo
2qj6KJ2BAsTfY62oTpU9TgdtZPKCzEk9y/kg06fo452gbPMgBfTuf8urq9Jpg5igmTt8ZK5VJo3w
yXg3Owo8THobn++/yc3nAOOTRhFHpZ+0Osm8VxqlDnn+cT4hNzgnCgqI0qDDpEU/QJl2iRc3F+TT
CKtNYp11Fislcb/w2dCuwoQITG1G6jiSDQaKqGsjrbE3OLB5VcVqoAqF1V65+MRAH7MZBEFoHmXP
TpQHp3koUmRZ82xKD0GrSx+Spe8+LIpd7jiMFyDD+h4RyaG5RLUeMJQ46D+a+GbHiL5qhxQa6bPM
aLFosDAu+ZJ+Af8gqxcSUksRmkHwHCV9ZOKdsxTB1ojpxLqratPrklp2GHcAEukGqdOW7oR2MdSO
taWig47y7lf0ucfGlYIBytz7l2PrHppUIwV6kWH0ddAwZoa9xA0GZVBK/aCGywTDmaRHleeEtdzu
xA1bJ/XnaitLOZeJUiQqlrKRrPBo1rC5D0mSf2viPH5ggi5koyzFk6Ui2aH12LqTlAZQsSRjhLRu
5QNHoHDt6FCJQIFu8cjQ8rM8aZDYZHN5dNoqend/X7fMC8erMNZKNoupuL4W4ZIn+SzRvgUzLT1q
eoOQjW7Os+xmIaM8Xq3P6ej3Sh99STiDf6ZZR0T+/m/YMqRiVACTDIoeFuTr34CWVSSZaQMGZ160
zyi3Op9DO98Djd2iEnB/pHgC04vaAXKX18uoHGUStBRTyxK6IBgi1eR32IyMiko8A80NzOBTXuSM
ekGZmfuxkkX/WoFdx7SNml6iehjSUBmnKX8jFXAd+UpbocwyStrSu3aTLz+qvupyD81XGJSTVgoM
NzERDXdVScmrZ+RaldgLM/h5/dHu6lfDdLgbdFOpg1BWgjJoZT+tukqbPGAbJ4hZ3g52wNuo5PTY
dfKOz914jLh2usXIWVKcXhdU66W26rSi4pLWhu5WdWmcCbPgfoJLeudubNktUV8hQqMuTea3uhxx
PhLR2FQFGDNNCs+qqjnwljCrfiAOL72nzZpYbphkuXNhfDrR4LrT+0+lrZXPMKuY3GYjHFGQNpi7
dhecyhubUlnjJnLVI9vcNuP7dmZTkfjVnWondhavdWV0RXwAtbloxd2QeTL0m85tQjk4S/X4UEnz
fM4686cSxM7nJIjCmHfNpPCOrdxK3WGto+Qn2voCFHJ90ysrM+s4IgNvtEx/ltrR8GmCICBfUjvp
vQaVNVTWxyH17LQeD8MsOa7ZQDDHW1f/u/+4N+4K2aWgV6Q6x3/i8f/hd8C+Qy2F/rzHrKH2K44G
9aDUgkW1HWa0l+8vtrHfNgA3shWBK8Z8Xi9mS1QiFHvAwwZ18WSnneYN7RAeSf8qhtjU/IdmUCC/
v+jGF7IohXAMC+HgutfaWChv6M1Cg2usM7/se/Wi97LsOUr3F/0gW4xvvjhxKvyr76vlYVFbu2kh
2hnyA3Kymj8gzX4INOoi979qayvF835hVrsFvi62PRl5RttuUBPpCBQm81oGmk5mBXwYNbfo0dKj
bifY3dpKsYWkDuTSjDten98y2maoChEOu68VT0+S7qgLdp8OhqHz/e/bXIqwj/9wC/id66WyUY4N
dK7Q+8jV6CT0x0+dU40+PON7oL+tZJOuK7MrjMowpLCGoMexXAIGoAxRxLy0FNINjyZRdIDaIvfN
TPBBoKh+SOJq8mGnDl15TNudrVW2Phg+REGpCtLohoNRtyq5GgJY/5c5b+tjybF+omgRfl6ayupc
iwn+3K1SVJ3Odjsw9zjJVVW5eddltmcuVvhoKRMNQSqA5mUsGsOBaGCaP98/lo34B04cwtOXFj/E
xNfHMkR1mVEbaDw7mgqaPtFy0Hrtc9so2UPgGOFOFX9jU5igg/aLeh/BwRpwWsozOBaTWhSAnext
VQclE5hB+FRVi7znycTlXTkDMTIHXS8EQ6Q5q6CSqG8ItImSQ1VPgXnQZqv31UbXBs8Y6uI8FXU5
Qi8QjCdFm6UTY+9h7pqSIR1fvcVCdoZggYkI2DJWj6wyo86KJ/IseZgjXxkrUNZqPB8Mp28ey6IO
v9xfb3OPgdCJ8Rz4s9eImEombZgWMnTN6U1QZsTsFD66h4H6wKsDEzIcR8NuwdiA/VhFz+U0K2pn
ag08o5lzRh8tQ64kko953e3hHm+/SizFIrTXGHowVxe1zasJsjOz8Xq5mI4Gk8OuPAT9MQt258Ru
3wQVeEAitCbxpKDXrt9E5NDZlVSp8eRcNw8ygugXYmbkD5lx99Q52KNYeymLXt9UNpCMgNaV4MJa
JwVRoVslbTS+jRo/oquDbZTHQWp0wx14I2/naq5l10STCTJvo9Mf4TFwigPkLGHrRuFIDqGNYTa4
gVXk6aHKTe0hyYPhd2Ln6jEI4i71m2lSnti7MfUrVYvehSFs9Yf7N2/D8AopIkEfSEqFpReH+Efw
EZTSbMopO5fq+vgvZf38Ulpteily5tGgeu66AwSezgmuAvni2IH81aiMZg+bsnVVGBd7mYPmqqwn
y6Oy7No8ixHdVqP4Hbckfk4MLXOtsUr2vlhUtFdHR8uCBiHKSILzXNylP77YaSJNk4RBS83ZeFNM
I+UFrUukc5VFrp0lx8jUxyfDbMtDGDvDEcq8o2IUe5ywt9GDoNwkgQV//sKUev0z9FkL7L7Du2qh
Dse1avWnKUPTYmxaovesi8+pnuxV+zfeCYEm2GwKgYIIYnXaFcnRlLVG4zmNzTCQVc5PgRa3z6OT
Qq4EI2G2xxBzWyeAbAK0JZO1Qlt9Ha+MllyUwQQteZ1JYAVqefayUW0OdAvRt0MH2DfjUfatQa0/
3b/aImxenzOtE3jYaaEIqP/1BlMWnKqxohA3RyiiVkWZvLHRRt4JkjaQ7nwgo1aCcFHUcldbWvdt
ugSTg+nRa9gmAnMuL3Y7z6JmTIigzNmsHiShqB3OlF+TWEo+jXms+LKTRu87e8jKYxNE0XGJNPty
fws2nhU+DOgwyqDiGFb+VGrjNFHjlIAmKdVPOnjXgxUCgPGVgHrfjvfeutD0XsWgCHIm5hpcU1M5
p2LGYpIMERs6JroXdbb1tnPSwKslnLZBpWxn0a0L/eeiq4zeqMslN+WITnyfmvQnoEF0JOIF3QzU
twMtoJ1o6PY682TFpCRAKbLWdV4vy2MCj8rQILznzBdwZ41bB410KJt0cXtrGg8UMPVTKC97DC43
X0o/glEcikDURYnIV19axdZs0vtnLkZC7ees602YM2bb2MgnBctcnWETC/dkKW4uENkoYRCpG3OT
IMNW3cFgiZJsDpka7pm3zk9qr7VPRhNAdGcqwZ5F3FyMcRjB90Ed9iU8/8Mwz23awbxTAjEC9/6Y
ZqrhD1Jq+U5dWJ/uP4yXNPfKOEDyQ7WBRhplGuWGJmtG/DIv5HnwYxQwR8WdgsLp3XkpZOu41IOy
HEZ8cMl35/MvuidGezSyRE9dte7k+DDWMmOHnZz0wTGVi/YZjdBuPqHQoYTHEWjL7yWK+x+9bBXA
9pMeEiGsnrm8l5RQCoBUhoN9MKtw6h54oOUbmHnCzItxFTv39ebW8J2UDNnPl4Rh3ZwoGNjKLKMf
fSeYqo9yOT6Eo1Q9JX1mPWS6sUcDe3OEmFsBUBHVNYNOqPj7P44w7ZmmjAAT+k2uLv8YnTw/lLAB
fdfhfd75sq2l4E6B2oOUkZbyaqnQqLJaKnrdV/uieq/lSv7Y0eU9I7kR/rx/W24sG19FF5nyBShd
oPCr6LJvI6QTe5aq+n56hPTR9pVuiR6SDLkIyvHqEy1KfScb3Tg5UCxww7CTAFrWA6jaojZWUAaa
nxdm8T62YhiXC1gCmxF11q7bGwDY+sY/l1u99AJ8nSBF0PwlR0vl3NmhPLnyEtYUe1u41AaAgZPb
6q8HFrK5wNyocuE9gSdr11cmnmw10HsYx8d5kr+ncAh/q+Ww/pyl+bJTyb8x3oQ9UNBQOsG7oTG1
+sZWsYIsFDicel7kQxvX8nHqtf8WPYqP+SSpcLVY+X91C13+qy8QC1sICXKYZAyrC2QgWcwwdKv4
aWfVh2VUpU9oeP2HnPHwPHWo/JmzUhzur7lxf5jH4l0IjVhs3OpjR7uyqPuy5hCAU/KKNuve5EjS
QcOi6o1fIJZ5vL/ixot8qUFTdaN2Qrf5+iTbuoucfqmAOXWh/l2Ru/Z51hPnV4G6xE4Wu3FbIQp4
OU2MOHD966WkDHXyvLWJG8tOrnK3a2gXvLe6woKUv1NVT21s+91YoVj9+m8kdwCxT55OBiF2/Q8D
F9cwEmuwHPqJoi3LYYCj+CuRbWO5mZM3O7DNrQ3lsr4MZfGtazXhxlK7NKa54BvjMn2B/aJtEZ23
9aNpx/OOR9zaUZqHtEYEVuYG0ggumhnT2VB8ywma1kWhY3jsnaVBBQrM2QHtBWqoY9bvNPNumms8
SYJF8Fy0tFl3FdVgVZekbnQVZsxKGi4zHaSzFYQoG9dziFwZI2/6h5xo9VM+GP1/RQth8v0T3TIK
wH+FmitNFH7I9YmSZVrG2NYa1OiNMrrmojj9SS8z42eWNjIh3lgeIsbD/HYO2z1+m63PJ6RDdYui
j9iD68U1deqn0hw13wiiIjsAoAtrNwnU+mPqIOmol0H6yDy06UNoMQBF0V+NNGP/mWigeUTjSLjR
6x+QIgHToPSnoSyoFf5gd7IbV45+lqrl1eUglhIUAoI0CJqWdWwQKWkSWQ4bnY9R6GeR3Z9y6PYv
Obj4nVe6dZlZAsQeoBNID1c+RQ0LJcytRAOPC7UiDY608RHm1X9RSylNVyXcehykbldl9NbmQrHD
84H5muFuphyudzM0yiqAt3jBLI3Du56S2AHEQu64/On0s4JReCf9uf1Qm2kN4mWLcTokn1YLOmHa
mO3QLn6mqMm3ulYfoY2RFDeVZ4PAwSA7MeZpx/jeNs9sUgENXD64T8Fbt3oykypnyQCJmx+XIZMa
0zApj6NuBD9HPTM+ZsEcPXVhW1neXBXmGWjfyFyYPQDlcOTf91/vrYkET0jUIGZ/OO71gOxgzpk9
phLM1Axzf5KtKfpVyLX+pirq4uv9pW7fKkEgw8fCo5IMraMHVQsHLWkSZgXLlMZErjqHyClkanet
8Sm2mR5gTfxAnEiPVVUGO3d6424RgwpOEtBM+k1tPJytwoSuecG7NnHhIQGvhm6CxE7qaZMRnBwn
K3fm+zZulwD9AHEXQzNEaNfX2U50c2AaYfYVB43gITMbOg2Sc4gza/mlxDDkp6r1/v4u35pjRjGZ
laQbTN5Csn29pqRFQLRqho+bNo4/Z7n6rg3s8gPmUDorEFG4DeUtH2zA3rzu1k0SuADMBbk9Jevr
hcM8SwsnSmU/a5Tp1E1q+ChlCM2mXRru+PUX+3OdfQLsxTjZECNwk9bYPybkmmw0psXXmNBH3RFO
RvrMUBCI0fbnNp9Gl/605SfqOF0sJZw/xJRwPzX5GD5IXZa+UWsrPN/f+K37BdQS0CN4RAKA1aNu
pzwpoTJe/HhB+daNzM4qXb0gnEbQ2yguhWPE6at9r+AiBz6O40dUfA2gT8o0TMVUtt9W1fjkLIr6
JR3CjPqZlv8umjl9RFrK8pWUguxffC3eCBQ5mTHjv9enrZSwg0CxIfvM3nfPU6uUHoIh0ldGQLuH
JgqDHeOxdbswHzwnA01IZrWu18tBLo5M4OAZwrw/ThMuj0n8/lROdrnjE8RBrS4XZordFM0rpptX
IVWZa3EJ7e7k5+nUvYc7X+cYu/Hz/Q3ceKcUakQ2BWUykfDqudRynM52m8x+VOVTDQGCZl3qQtYA
k1TJWVYii1ONOyhqKYFLO/dmwzARqZEBEB2TVK1rYTCN10MLkbK/hEvlLkVdX4xqVJ/7OiofYXLv
3UmZysP9L954IIQTuHWhmYXXWx2hAYWaEcfF7Id5q/uFrkcPsRobR3kwPjNXqJ7uL7dlJOiDUnOg
IkYRTl759hF8VrUMCN07s2x5UAhYBzheENQZDfM9PIXlD0WHynmW+LNJrsP60DSyeYrVIP0UwwAC
E7mdRjte6LZHjvgTZgJwJsVISIlXt4soDk2NtoNiqbTUd6kjLRdr6OuPiK8Vv8KmCA4yXKdP6dhE
3yqmFf9JBLDUZZS4PKojEB/a5PNThwU6yynkgDubJg5hffmpdQmbysWkpnD9zmZprmANHibGR8u2
9rVqHDM/Njv1eytrknW0JCCSD6Ychv+MeViHHkoa8lMbmukeWfLtxBQ7Rd0ImiZcmdCyuv4peQJl
OY0tqPGHNmrdnKjzCPlq+yhUX0gd40J7mOVsPpvFPJ7y0in+adCmLQ/aFGRebUnFG/QZ9VNsVflT
ChbpK7zEkrFzqzeiGgwg4ZNgHhOR+fWvjIfaSopZnvwkKKeK2Uc9flTnMn/EQzo/Sl2GEbBMio6t
LGDrkbs5+HL/zDYeMzA5qOsFIYRAGFz/AqO2MjmsEDMJY0zHQxgF2UM9RMNnM7ORFBi6rh0OgbXY
r3cBlIBZkrFWQce3cgFJV6sD6jGTX6H+lR2bBsTev1GjSeWxUJHiOcellauXV38swwWA/plWtynj
r54PPXC9KETDa5LjpvoRSnN0TtDiqE92mpWxG4JBkx+UXH1135/tBeeGX8DNQgixehjI4OkTyC7K
QU1a1f6cNFEA+4Q8Bm6UBFq5Zyc2HqIgYiMRQjSGOEe9PtU0yVSm0VLF10sIVgBtjOmTqffVozPM
vzRGDY6J3L9Tw9C66EGJbmMu9x/v77V4YNe2gKIEM8R4d6ajobC8/gm6lixwYDmtj96Z+pXikIGW
u1FK79tiGXaqtbd9dEDXFDEF/zyjrriH68UiKFMGeeGdLOrYlo85tqnwtSyyvus9EMo3+TLP9tHR
mxm0vjHqjtcGraQ/Tl1e7sn13EYA4KOYRALIS0BLv+j6tzDJvzhBa/a+lfQ0IttaYUKPfv7Ow711
iNfLiL//oxbWjRXKxrbWg42x7RBhFbt/bCu46OqpaWFSG/Tj/QPdWpC3Sr0IRh3qFqs71SVmb0x5
OviymZVnu1Ssi5TPSHgreeQGqD6d76+3tY+ItorjpIzAjNz1B9rFoKCQ0w6+NjThm3Jpi0+qMe06
emFoVvdUgR6b/ixVEc5rtY9UZXokGPrBr/Um/y+pkHp3kBR4N+QONO11bs+PS9Rrbmolwfs6lbQ3
ZRXmfteP9rv7HyxexPqX6BBsGdgI4pn1MGAIg64KV9ngB7WJDmJaJdLXJFeth1BRkM5plyYhyFOD
f4nX071a2EZoQSWMgg007fSPbsrztaRJ2v9xdmXbceNI9lf61Dt6uC9zpvuByVRSixfJlpd64bFd
NsENCwmCy9fPpbumSoIyk+N8tGQRJIAIBCJu3FuAaBMcLyVUtXgf57fh2Ne3zFKBBJEC6chuVo79
iXLa7HJPDB+UHL61VLnv+3Jp9rWg047bOrxDzUY9nJ+clyfl+nqryOxaEA3MLj8OFEHjgCEG2ieD
QIYZjKgPJOD0MBPhugm6dUKAqvRYJ23lguQS/mIjJDy2H3FEA4oHJ4PLi3FS5hHz8i7GG4x+MYQJ
zVsAP6uo38jJHjMzcAVAFxZwEAAhDfdRq2jWjih0SoilHyW3amc/g2ptPsTLIq80+oI3TsWjH4ZM
VvBTwBeEAc8NrSp7bwxroEoZ6fk3d2j56yiefz13jwh9bWEHSCMEZsMwZ6EJQ18D/BVrlLVXJA9T
EMpZqeSAP53fK0eOnpX0HXO3Qk9eFOtznOJxRIFeJDqqDnwc4zQAQ+g+L2KxEcYcHWpdpzWFjEGN
TTGA+K4pgRtMgdAHEA0t+nuHOhXQoXQrRXJsY6AzCvsCfK/ICJkTqFQXCR/+14N1vSmDxsuUM1jo
AefuO2jc/3KFd6Usx6mK7jxgLcxjDNUGJgYSQZUCCtO7nLfdoZtkkdqdzq/Or9cRx/eTMQKIqBUp
Y+bhIZjlgqQ20KkCyw8CkiVe2VQqiA3pPnOKGOE78aY90sf5hk2/xA9hwPWYBvRzzQcFRpRCHehh
oSozpB6h/SOr57BMHRcdG3aJ5EkmRWx/nqiw+sTylwUUrCPSm/2MCDWhjcugaaqs4fe1BuhmxSqW
kp6fmiP7C6VL5BxXBYe18f65bfI5Ej1qW2MKJbwAjf7NZ8HcJVuKYMO/HnECzwYy3E6f4149Uqjv
LSjjT+mScwp6POX3G9m3l/cNXA6BU8KpDu0ylAmef9BgKQliKuxiZ1nAE6V1hzupTfadR7okspj1
mnTU3xj02OGGLpMAmXrcdKDHbhzyDtL0AM9InQ5VQPluIbO6B+W/ROJvZM5XIlqLYXTlptUsyjEp
wQ5wz1whHoScgTKC4xhqBDl5cVvhQniAxUwfz6/0sYlBD8paCgOs1TNBtLWw68ATgCBWNgneNz5Q
XJANIOCTjZHvqNBxOuFcTM4Pemx7obt71fJd6UXMxJg19A2pwlynETZzVlH+O8CfSBBMxVaX/jEb
X/F5/tqPBb9s7K+86pceyCKEF3HBPgdcf6o7wQ+gxWF3ROn8GhkWyOdKb0vI9ki9BOEqDBAKeWja
gCrI8x2HPuRc2cF6oIL8vU/bvuOvyzks4mTms39AV32za3EVg16xLcYMXCtjOvbg1YDsUbQlen3E
ia+XIlRMgFrGLWTdBU+i9hJsFYVubKxy2zfXuuqRkKDWRxV2800wya0+0SNRE4bD9es/3QNm5yJB
EUFXAJamjk31g6ToHIQSkPD3/ignKAjTqbwt2OC/jojH35AIEkW/vsHWRAzKy6jbIDZ5/r0OzA5N
xbFKSWi/bkjtfpiLUaAuN06HC0ZCIRWV7FUdxQTL1a2gqB1jJISi0x70zktGgo5f1X44/HqgjvZX
VPyBXUNEaqYRKrbMdauwN8rQGct9H/mgO0dKMoHUbZ8B0qa+Q6/KIjvoeDq/7iZQLAYTGMpCgAWa
YrCOU/C6LTD2wEhwNRAVa6jrzuOrCD+VO49V6mYKZLQ/P7tHNhLAM6g6wlusN3pjHUFSArkZp1Mp
L8qAZbWFvurKI7jTlzmZHqbQHeVBO8R9N0PstAY5hrd1QzniQYDGQCo2WKti6Gt4vpWC0YcmNcn7
FNu0vorn5l2IfqH9uDjDlSVicR1xj6Y9Tutf31lAJ6waiHDr6HBYky1PbDYvwy4eVYM9XJXR751F
vANQxQJVIjZsnMLO0Y8MABxaTQbQaSMeYdYS5Yu1yp5Nof+144reoDTkHDrd6OtFDTSlRUB3oV2y
D4NqggA8VABLLJY3Q4odBCVFAv6r8VpPk5tCpbgBMfLMQsCOKrf/JIVLDwB0Bm9GME+4KUTe9O/o
2YhHzOcy3gxNKSEpBK20BEkitqurQGZ0hlzG+d109CvX9kfk4dDbZOIio4iOPO5HlXY+4e/JNN40
YRvMuw5bLEFxeya7EbD1V0h/yo3LzrpLjEs20EO46sApQdvS3MgOKyPahb1KlZNHn+E430mXoysE
nd1V6lPn8fyXHgmrkJFCmQ1pDPTtmtp2g6wiisBRpQFa45sd2hkHJ2nZ9PX8MOsZ9uKrEKSDBnbl
wjAL8aHsc80oUaklhwkcCHVbFokv+vlGRPYWj+MxXwBI63qIReg9c9bfP7EHRXgFrYwFNznizY9d
5HXsflF5bu1AFei+QumkmRONVIK7m3Gb3o+1zzcuJy/VOqCHgeIhyKRBzom42LATAjJlrV1bovPf
l9MO7fG5UyWx6PO7YGFusQNrVPfBcbnXvgopegBEo6CUJR1lf9PKD+941Y4bu3o9u41FQFCLygwi
dWANTQcFppdGNm7Xgdk6HO9W3gJwrvrqqi3YvC+7HuzGsQYj2vmlPzIqWolXDFGMsAqloeerQZ0a
5P41kakWffBxlVxzE1rX83sbsoNo8ghFfFvTgX/79WFB+LqSeaJc/YK5sYs6DdwoxbBVZKGbB3LS
dzVHLWUXW0WLbosaWAmcVBvme+xrAXpBQQd5bTTHGsGca5U2DfJFpJr58UdfOhNuDl5eQTe2K8SV
pdhwFUzFpjrMEbcB2Aci5LXiiX4a49piMburI5CKp6KGbb1y7Z5JkOvGzdcZOe2HKu7cOmncocmG
2WMBJBVq9FpD7lE6QJrT5QZ+vUItfQEtaeJC17ZLaqUDL1k4Kb6fX5ojzuDnZXEtQWNpzEjI9ms6
ingUuKozx9KJ18Tl/BZdh/GCfs18ADvIrw8IN46K34rgQCLp+RYEjkwgyd2I1AoFsPaIopvbrhHl
Tau6YiuPdGQHwLiQmFi3ALa8sQOGKeojiuM+zfPK/9h3wSMXS/sqKtsinaQWV6UstiKAI6sPIRZE
ej+z0djwzz9wRs3Qq6Ekkc6c5IAINn24q2OrKZIykONHGY9baekjPnaViUPvFu4J693/+YhtYXmL
Um2HxBUda/QvVIvKKCQP0DBaxjFNFpvQVyGa19qbcZEegc5v5zhffnlhwa2NlliUnNeY2pjrEtWA
vO2kTO0WAN857NyEFCH8GHUmveE9j81xiNo2buc/QzxjE8UNMgAwZ5nSqtMPhd3Mj7WlW5DRR9GB
LYJuZO6O7CPQfkGGzofHRte583yGQw+5DSBBcCFsbHkfCD0RdJRXdEqiQFVvpMgR4UVab1FAHIkI
0BMH2AYgFGjXMguu4KKvfKdHqaoEBmZPg9JJ7Qj34l9eOTTIIl2NWoILGTIjp1tacRnGtehTUIXy
He+8+abqwwrc7bX89YlEJQpFA8RU65hGOLDwWbXaHVQaM1/KpKiBrKp5ET1gBr6jpye8QodBsT//
fUd2S+ytjbPBSm37AjBdVlzzFrL2qRuU7BUIQqabxQvYrp1n52oEucZGSvnIbonRS4IA6z/nuzGf
UV1D5llivGBQ9AezWiB1FdACwnLn17Ky6nvGne7Tr38k6gy46K3xBHLmz7fo0LCuG2yuUjl5odrj
iK2WDLMd31rlWHxQreNsJQxekhCh7IBmUX/NlK3kosaH2rVfNnrWyBg4jSDJGM7jfDUiA95WSQlu
qyqVveU+2mW41Ne2Rnr1qpilOhTaQsjpSSt3k9jjvvO19VnbvK0lzOA6pr1tg2avq9r7BUY5Jv7k
5m+LnhV/UCVUnFQk5ndaL9HHhkcteut6dwqvUEButigVXiwlzAHHOEA9gHyjkmS4VtzfpgEcyPhC
4FDuK5xT6eR24JMS3pJVvv6GKXg8v5AvhwQtMnITMHj0q7/gI6ILcIg1434qK+gq3kLTDsJsvsZ9
NUGioFuuSI1Y52YAtGYrPHzhblDRRMEF91ccI6ieGS68r6wIQk+Fn/YVR6dk0UVTWuZY+w2DXJ/z
LPhdx4E3xaUA1W/IDj/fq30EGIEjax8MdeM4J3M3dTs+QeElACCObgQcL6wfg6HvBOhAHEuIfI3B
oJvFVm0uHxBN5t7XvfTvus6FWh/N97wdcBieX78j463xJqC4uDWCv8E4/52w7YhTrpNo5Q6atBfq
z6+XfhkXgOixh9/FLkMH9/lBj2wa1MkQbCICAMjOvE50UljxXHR+ukyL+FjM9pQIVB9Qg5XOru9U
fSsgo7Ux6JFlRIyDOjDSD0jOm6EcdyM69GUVpD2V5FEXAI1lFSM+dIlE0V2d/8IjzgZlMXgb3F4Q
0qHsbGwaZ2gs0cRuClhwI5JeUe9ONgATJgg7qnsrkgWgBU7h4H4unU7ggl6RNzYUJx5Kr2p/OLKN
Y+hfzK2bolUFWgKB1evp4JQQQ98B5kIyT5dKJNBom26GCl1LiaMsoBbDXPEqsQiI1nZYuur3gNfz
5/Of9zLzjBKHtfL6InG2wryMS6pHfURs8XppKErrDmB9Z0xisBatyN6u6pJxigZ/j7uduB38zpe7
cPa7KiFTGYKMhLthm51/o5fppfWN0DqNCgPSBMiAPJ9wSOlR6Il4PI2BNBtBUyjq/gp6ggvZx/bs
oMSxLLiUsB5QhER3svkOIfN62amCVyX62C2ww3SBpF1iAYXOQLFRtBwb1PKsqxKNAPWu7KvqLZNW
A907N5g/I9/tC7ARQm91bdOO389OWDor3xjFhckO1HW5jHGZLKVvo8eG1uLb+W9+uaNDcIPDUYBx
DnlDM1sxNxKNTzMTKdrvQBDKnSbrWgWAwwJdg/NDvXQTaARCAQd3IdTuXzSNyg6dGRCxBud61A2f
qfYC9FEF9i6A6C1NLNwGN6z16A5DXQuXhDVCcB3jWtqBMLNdwaipo6pxj4O93nlNV+8h2IOmSs3Q
eCMjCxizxd8vQGxkDCKHkJDh5X8QWP/1bfrv4jt/+x9P3//7f/DvbxwM6WVBlfHPf78R39k71X3/
rl59Ef+z/ulf//Xfz/+Jv/zzyekX9eXZP/ZMlWq+H75388P3HjzbP8fEO6z/8//7y398//mU97P4
/q/fvvGBqfVpRcnZb3/+6vqPf/228jf/19PH//m7119a/Nmr+Qv4jDvzD75/6dW/fkO8+080vqyh
NcBD6FiAaY/f19/EDn6B5YD7RJoev8cmYbxTFONF//RRfoJb/ckehraO3/7Rc8SL+Kt/IicJpmVo
GoFbFp3AwW//92LP5v7vtfgHG9q3HP3x/b9+e37mkzUBhVzFC76AZWFgEZaDyDogtO7ySMWQjo7k
1sG0uq2/j/q/H29kmlgloOlqQTs2dHCu59V0N7setMUhkYsrRh/ScDdFIfiaJWO/dMf4vyHRNPzc
X1GHh0hrhSLzHSnHXQN2zE8TrWWADg0u3WyQ/uK/VSUp6o2A//gcolXu+YjOVPk8kAvPKAF2fzc6
trilkF9Y0ieb6c81e7pGhun+/UlG+CkVsJ8eyFIzAJn0cO0Ip7APYxcVH5vCCcbbriu9rz533vSN
lnftXEVv0ZtJvinaE2sDa/TcN/79Dqsje5LBJY1HUCkdZBZ4k9ftRssrrH2F/tJHl3nNxil/apD1
508Goch9dg3aWDK3cPU7Nkb2j6qRkbcLCsKnDU94arnWnz8ZZBIVC2hARSZLBqrPEb7wfR3PAKyd
X65TzzciFKUg/udTjpmCcb3mUzDe+wvbUmM8NUVwCE/fHozcSquOAE2JRX+s53ZpDxVDmzDEHNCO
c7jsG4wrnVXEFHTWOc9srfme2IpfBXYTbOylUzNkeIWqIgyXwUpkHK7nHngOcBS2rfS7/fm3NzAc
f21WM2axGYjMZsJFFtTzNL4BTn22risVAJrkB9qPdlIMwtohvNIPNa4g5bU9Bo24CVUv5B0EbtH2
AAgAMq6qjAMkeWpI3YJOkOFGuvGK60y+9IwvyJ/nko8cbaIiy5eIQB4AmsV0X3uF115Rq6qszyAU
g46i0LW910TTG/QsxDxlgJKoQ4++RX3ZYph3Wx+XLx3Vhcx6MuLCPngyfABNR/z1/IeeWGuzS29o
FoGukUpmBRo3HlyrLiLc9DweX2ZtZpNygRat2uaxyBq/Abt5brMWksA0+nDZ6xvOQo3BMLkVlVmL
QO2R0K76Ns5yS8r11OQYrmKwC3BTh7XMSDz3YB22cEfboek6vMyMTfx1s3RhzGgkMuCUrDyJ7UJ+
dCoHCnXnZ+eEMzJThjhgl5zmOBTmTs3xbgzHxdtZyxiBfzovyI/zo6xHzDFTMdzFSgA/o+dfZAUQ
KK8Hq+y/j2Swo1uo1+sGvYBDXm6cDeuJemQok39rgJwurnkWy7wQpNg7MC3V6h04QqfwFdTGlJ0O
+F6yUqVLOm64ghObwLzyaWpJ20XqOIuboIqvQjXJGNj8gm6F/ifmLzTCB7ebRjW5I8+gMcqKCd2h
Lif7kYQtbjiNXc4S3V5q/v38ap36nPUtnhyvOiLCyScps6EXEdvnovfy/TJQ9njZ89e9+OT5k8Ct
xuPQbuxqkPCkQN/zPzw0JG2lNU69//rzJ88nULdFt2KJbqIYd8w4CmSKs6HZWGyj/eSvo8mE5CK/
5bSdVfEsFuFyAMdx1HyjhV1Oe4vU1PlMCMgKrmhIxyBhLa3Zq8bPx5kkQlnhhstfp+rYLjdiCOYU
Gsk/LBEROv6Ut67zx2iBjGwHhBK5v2yZjAgiICQMZAeWM7/jY7FDZ493M+ZhuOET1mj+2CcYPoE1
ukYdo5UZiFXAYOcNvRfvi4b0eQJNOfBCumALWpM4K5ZhqOf6c5gH7rfz33bCoExYPxBw9Sw9hBdW
bjttKrwiqK5naCuQN6UgI3kXUsX5w/nBTuxHE24siFOAcrTBFQqgseuyDmyVWN20bNEVnHq+4R0C
6ZBSTkpmqplJ6kLGA1tN6o000gmHamJnkECBlOF6PNPAYyRV8aDDZCg0uxmkCCAK5pbhDz2BcGnj
SDr1OYZ7mP1WBl6nYb5WX4LgTz6iHtJuPPzUwhu+wYX4M+BFa1w5aj5c0byY3rmxbtGtRZbpFiiX
MD2/6if2t8kk5MjF5yXHvXz0m5Y92ktkvQMDHvWBILPKT5qJ6FGRNg+vUFvPIdBgRbW78ZWnptBw
D21UOhyNYiAoxHX2OoC8cQVeZbfdwveecD+mzGQM1eKwt3CFEchVQ4WkBvYFxO+OVSdLP3n+2/NT
eOozDBdRNK5wVG6LzNU82oETje1cbLrLJslUBEVvQyvi1SxRlMrfLbmw35Fh2YKenXh330gp5IEq
awuYhQwZ9PHGV+M7UIOqq4smxoSNU1SWJORR8PBprhJogFlXnSzsC5++2s6T81NL7rS66DDtveve
hpGMkZduLoyYTXQyJY6MW4K9WdZUfqkKOg+JtoP++rKpWdfjyctHkvcNKyeRAYnF33CfzHsZO5uR
2KlldZ8/PliILZylxdvP4w+3qu0diJy3+JJPPdww25nVTRxytEFD9JwfmioodiAGqQ+XzYxxnlfW
lCNvEvNsqsobppcisUXweNmzDUtVXg/tvwYOgYbesC9ijupB4G9VMk7Miwk2GCbd5I498IxMfgGt
8T641qLbUkA+9XTDUhUnugF0gmcM3UAQzlEsKXkr04tmxsT0hLEuO1AiIFrMQ/d+sezbAlHVBjLy
1KsblsrQ4KAnpEmyYl4k3fVAeaGyBbjpFmvMqQGMs5hov+ltgN0yO+r2zjiwXYDw/TIHbNLfSFdE
Ie0dnqlOvvU6sa+c/sJZN8yUotyl42DEjSxYAOaZFHb/HWuDbtyIik5NjGGqEVTTUJfteFarwF1S
kZOqTvyh32oQOvV8w1j9lRewQ+9k1isxwxHz/mGYrS041KmnG+ZqhyDD4Q02JZdl37wagzb3AFa2
xVaAcGIAE8QCrfl4QYsLz5zaljMoBcFIm3iA7Qb7i8zK7Mbwu7BY7NUltC5zM14q+86vovEyV2ny
alPWl7TJUQ8Ah5KXhpJXez8H28tl725YrfLRyF35SFFgc1bvcs+/s5nfbBCJnZp5w2KFmEJrREtv
5lBQnEAuuPkWCJDSJOfffXWKR25tJiQW5CQ0bsYJM+PkDgy36xLcDj4xMPP4Kr5f0DiX1dC1+Hh+
uPWtjw1n2HHba5fqXOBcKUUFcrvJruaETdH4SCSEZi9cbsOYFwJmvarAnE1kinYWNLeu13L6Za7C
JD1RKL9bbY3NBIMOr4Tgw3Ws8vqyYM2UjLU6yBrGDE5UREF3mAbe3YTRdGGwZtbRgX32B9eGo5i9
0r4LWknf5ph9vrGbTmxWs/HFCRU4Xee4yXoAv5LCtpb9FLJ+a2pOPT58HqwJMD33bt2zzJ7HNkrx
T/mJeIEa9lpaQC2GYtLDzcTzkL+u2qK7Z3b/QPyqvhFgLb4DoyUFZMArlzqdPfSXJosi4AHsOV+z
OX1cfUcrDb1XTpdXr5AlR6JpiFhOdwurI/QKD7WPQ7nLvfJ3CcBPmaH6MNWP9bg0j9XUSMjr9m4k
0shbUMUAKBDNmALKOqHmpfUKHaOaHaai6fQhmNRMEwI2dP9bnBeue92HKvihxdRH99MyFwv0Ebtw
2s2lG32g6A8YNsmVVis4YoMmQwWLawLUhNVkcnYBnwG8NWiuaN9zP1kgZS0P6IIDcYClvELcOYPX
5YcqyqFXwhcyTpkzzrYuE9Sv2VbL/4mrtdnYK/rJheR7y3C3WtR7xZzyNRJVX6CwuyRscXUFncPa
jRJPyPh13ong1+C8f6X+TBj6PNOSlWXBs6BqrUOuAKZpWLPhhVb3f2ye11385ObiM/BmjSAFztAz
K8NdWDhzioC9DZKRN9dDt4zvzzvVU2ZhONW+Aw6scGuWNZHTPtq2oLdLTKKtDPypxxvedOohogbY
SZsp31tSwkIvtQD3uux+Z3aRNcCqEu14TUY9gLd3i+pRiAqHSHy+aHJ+Kj8+WQXFl1J7kA3JQNZR
H4APVDtF1dbxeWJuTBa9OdcjwLVOnVVNF3zOCyt+I+0u3IAknXq64e9yj5QK5C1NJqxVXlDP3QEi
OsGWOz2+P03OnGFcSCDtoc/qImTDYe6l84ems7ulBHbirP9ZCn4y8+ixmBrXWaCzMdUWmh+E1DDh
so5i1Fbb5sNl67vO3ZNRwCc41h6n+Are+rdAIs7voqZcNp5+woZNFmTaeBPYLqjKhF8ELvIaHRSd
mtp1EsANQ7bjooIU6mVfYtgZA0JsGKqGHKxoqO+g7PpHGS/1Bgbn1FYy7h+LPVQ95VN+YHMzHYC7
6a51R/XGuX9qqY37R+1DMDxnTpdZ1tS3SdxGhb+P8jb2dm2b55vMaOvbHnGpJlGLEhAdjUvRZT0I
DvR1XQyzc7Aap/481i4Vt77X9+VNrEWFb3QgyZ56oF/wbyYwGrDXA5265ZLFikDK/XzbiYC1oDmN
eAblXTmB8d3ioEcDu/jG4XF0vfB8Y1v7XhmiR4uwLJqaj1rje8BxvgXIOvpw8HIZGRKCKM0qg55m
hZTee1vytGriCw3SMp0WL13cVCQezqIpmyO33NuO2pKDOPXqq6E+MXe/x3Kig6nI6gXGuXPhyz83
tQzbS+YdU2Osa6QGtI7IOT5EnWXt69ICnrcF1PYiE7eMVbXHdoZIoBcf8jLwPo2THR+miCwfzz/9
hLMy2U6nNgehFgG9TsUDcldMtZwSXkEAIR05l/rKtQURF36J4axiGeg6IlZ0kKwMQF8ODsYidrfa
yda9cszODW9luyiCKzEW2WTlfvk91LUUNzZUt8YDsZhQe+T3RnYTQu70MkdvGR6sb8GiLGOdH0oC
TVjWQyI6cUUpPSDq7AicJnGgt9qfju5h2PYaBj/Zw3qKaEP9ihzGvFqihMZjB/IS1+rtDXd8agDD
vmk35dZUE3LomBWBTjhUdZ2CYrj9NZbEP+NmfIFh48CrAMdfkfygg7z8NLZsvrc6SFyc38enXt+w
cek7HJKvLQGoiuN2pmdIhUTOVr3/1NONaHnRUzk63swyYs3DG38e46u+jcMLp96wCzRu10ENHt8M
qjL5dYdY/BV0QLYwaqfe3bCLuGha38pb5wDmCH/ChaVk3d4D384GFefRcxzraliBKwGGhttusxFw
fj8RYT5+RcSz8N0EGNdFvgPsUcb+j5p57OOuaLJ8rsoM3NTetZWX+WXfYFKWsoLEBLCGOmu9uE08
i6g7yDA774ti6X9ctEFNgB7okamr4ZQybyzFjQoDdtV2aksy68Qim/i83BktiFkFVTYypDOuGAiM
2wQheuFctkdNgF7bDb4UEwaw+nD44LSMP+gF8pwXPn79rifurSoXCE6TfDowj8+vnWme+j004eot
/pFT82MYMHfyeQhoX2ULICzNLprZchtBiu7XaLX+cm4mRE+jUSsImrxctye7GtAV06RknP15x3kQ
fDm/hU5YmonTC7sidJslX2newdG2i72hzXdOI/0SYqZIyaTnhzk1V4ZBAznao5VxqjJ3EB50iNB0
hl7FiyqQoEU2DBlUZ03Bp67KWDSjXc/PW/GuqWTw6aKXN2F4Dsi/a0iAV9nUOV8kRUKjAG/fZc82
TrCmGBXYrloYWU/FW+j0Vtksyy0LO7G6JrP/OC3eAlKDMiuoDJedzeZhQodaPLyPK1telL3C9K+j
PzW0wlukEKTMoN6pmqQGg3CxY8SNLqq6YQDDkkHpE9LKj0CvrYZ+D5nW76OenMtuUCbsToQ0imag
/jNoc6iDCwnQZArnixLdeHXjHBa1HgECcsts0AFAyKDY9m8ZrZAkvmz/GCcx6EUcqD75FM0X5P3c
xuTO7qLl+rKHG1Y7ARA82WNRZg63IdkCJpwM5UP3/fmnHwc8gj/JMNsCLG5F0BQ0CxcZN/tCRGBT
DGvcYLUUcQRCucH72tdFW76fSEW+zK1tySqBVkWoLqmh4BWMCBUcghCWCxDgL/Ugv/ijql+zogof
z3/hCa9n8vPZbqf9GtX/rBk95zrsZZ96M1qaLnu6EZ4GAVRifWQ4sq4q4lt39P1DPNebgOdTL29Y
NW8ImNMaLDmB8N+tX6AaDWbFLV2iU09ff/7EZ0y59AspeJHZcf7D72edIGeypYh+6uHGySxQ1fAU
xdVfDkilg0Sg3E+r3tD5eT/hVAPDpNthVlDys/JDzlBIT4K4zV+jv9lDiwEfendjlFPfYBg2eIgc
YFF67MyxmYpDBdmmfjfMTb9x8J96vmHb6DoMqrVV9xAWPkF5yd553bilaXbi4SYEDs0yyBuxgRwW
2qPRrvUqUKHml1mViYCTGq60ivBwNA7StOOivuWztyWmcerVjQMZTEOjtsEfcaClLO/cabGuoU17
EX4BrGOGzbaoui1cRPFhUG1wFfpzcJWrrk3P78xT726YbNkGfuMqVmSu4j8i3vBdFNgXZhpNpTin
0mhFIT2mHdpad7wdo2TirDycf/UTRmU277uys9kAruZDJEI0VHlOV4AeUjfqIPIZRMLnRzk1QYbp
osi2jGg9wI0eTGSZ1mOx5/04XBbLmWwnQ4Um0rji8SGsqmqfq7g4jK3DNoowp2bIMFg7mtTKiwe3
08mY7XxdqWkHEKV2Esrs8aLs/0pt8twxF4vjaIqWoEOgWbhrJnqYUOy+zKl5xnEbDhOOc1muR1Zd
J7Yam32YRxcBvPHqhumWrNKSCNQWusAeP3UhmosX6qq3F+0dk1c8XNCPUVZufhjF6CXoJP7Yz8q+
LAj1DMvlwp9Yt+DhE6FO4rX5B68iXy978dUYnhy1+cABQgHzTSaWvL523YLeEQ6ExIVrahy28czV
EkJI4uBZ7Js1y+sGtG0XPtt5/uoq6mowvpTxIR6r+q7vGGEJSPuATb5saoxDVkIHErD9mRxkPfkf
8tKLoRRbb13gT3gbU/YbHL4jZKOC+LAArn/XIFOW0cG58Iw1oXCQEoHK9oRjEDQu3XVbeySZJ+fX
WCj+Sj6YODgHskmjXYr84E6gQ5mBDIFTtnv/StTgj29o/Wu6EX8PZBitU1MGyEW3Hitots3L+tW4
lOXVRetrUvuUE6bbyeHvG+FACLIOH9ph81a6ntkvigMROEKfb05HRBWpANzG5rHU50jNdr139Oyq
nQfFXX4HKlF6USsOxjJsGLxSrh6HMj800i52oG3VaQj8y2X3PJORKICOk4cmCHxJ2DlTggiCfZN2
lF8CHcTLG1bst2BdAt0far4QU7kO/Kr8hqTElujlCSszYXAzg3/zVAv/4wcPVWdB/VFPF6aITRQc
+AytOm5RynKiUu7LwS6hIzHMl21PEwXnlixoKo+Sg1YzxAL6OITMlHIvKbWDOs04bDmI61wNZBny
n658kwc6TzrOi8vS2yv9ydNTpQ2XTkQSxaPFLnKdQPmggcDRYjN0boV5WF22NU1I1qrPSMMce8fW
Tr5zaTFeT9B32tiZ68seMWETdyVHyeMFbbuHUpVLi0sixNpuVVEXPSj1KQjVGCQNrB1r67ramLcT
29Uk2VExgRhDOZIDdbR6G8d6zID1Gh/OO7xTH2Qcxq6CXpiH1u4DKaPqB19m/z2IfO17C8GctdPg
xfpgNc306fxohj7iX87bMSxbRjkc7IKzn1syoA85dXmeAiTE8rfCku1bO2iRjOri3rfvKEFjTqLA
sB5fRdxdPjZTG5e7ol2aeD/XzAJP51B6Km0CWlqg4KXBlqTkqTk3jvmun5HiKzxyaFXh/Q6yMyAk
rVDxD+en4dTjjcg8tnlh23xClGIVbjKrJs4gonBRuyykqo2A3BMNAnJP5nh5/SP2qu+jrMVl8Y8J
G3OjSrdgjcBl15razBq74topmgsTVLbhImRrRX0BGO6BaP0maMh9XrILc84maKwH79E4hzo+NKP9
rWiCRz+XPy5aThMvNpYqat2oRkSSD8BI6ma+nqS4sOj+U0PoSTSO9tByUhwvHtn9t9Kp3ldBt3FD
PLEPTZDYXHeoBf4vZ2fSJKeOReFfRAQgCcEWyCRr9Fx2eUOU/fwQgxg0MOjX98letWmXK4Llc8Sj
SKHh6t5zv4MW+2IyQ31LWn/JQTT0j91u94jbYYbJQOn3OGfrgX4l3EveIwETFccGfbdES7OZZeAs
KfoKDjkyWFUqlDvU14g1tFuhK1x3GKrhSTFG6pcZ9fdtfgsE+sqg76Vg2PDAbBwhQAlwyfraB30E
kyl78PjbK6Rg/FUiuh+9IjBx/aUWpf461SU/FiHsJVJNqVHMChNElaAUPyBfNxQu6sjp0CfdQzwT
XvWQHpdx4auefXJGDe8AAHmLpv3auO+jbzSNL72Hya7MYEXmJaJ7MKPfHywL7SVS0gttK2fsAlUU
bYVax/URJmlvGVH/V1b8h8hjr5G6evXqpeqgu4Jr6E8OLUL34OxAvgtv02PRVNv70B9P0EHIl3JO
5nPUubqHHVwJO4s1AVKgQJfPzxpcIHWKqG0BNMIJe4ZOv5eZxL/AvtQp9rnWOqYHv+juuG+6ldlx
lXGxEYa87uAlCtRGvfaXYzNmtwmsq2dlW3McdTW1MFi1LNXD0h7bwPbSqo5MVbO4OS6qpUbckVSP
pYWLxpFXh2Tl93C4ja93vi0oC76hzDeMkDhJ5sZDFwVIVXZPnwNXxg0yCWajFv0sJay5ayA+j737
7pyeDW9AZGZlgXzC+AiDgfiTIG57IyT980JFje33d0ehueflaPHuYIKmdRXxVGvvmAgDGfXfn87j
itRyxfbLwVV8ATXanMNRlJ+Ojcz1N/3PYW3psHhgPicF2FRPZTgt6NTZuvzYw3ex+jjT1pcBIoHG
92U62ejTUtJjyjjc/n5/cx15gxdviOw8tAWcOYg7D6uz7MuxV98tVDILuKk0iOyQqWgLie6idBzL
t3R312/3/3sjLCp/f/fVzR4DXhQayHI2XwmYdi+hs97dpLzpUMNEHO+1X149uEgvSVysnepuRtbr
+4GxQwgIPH2/XmW59UPP4qK20XcadM9cHmryxJN3i3WB+fu4mBGBr4v4XdWZ7qYcW//QdRuWcr8P
fYzGAtgFI8gb5eKd3RpWSLgSnxzq4cHb75br0jBiuCcR5qHjLfd8HzYv8i256SuCArik//724D9f
fVVbxNa+6k7JAoeL1LG17NM+cNFSdMSjNlOeaO0NH7quP8ERhC9AjI646x9aGnt3DyBXcCdWS1ws
XuKfULTpU4VD+eDTd8vas5EKSs/FBbIv6mUxm7v4bt4OXSDivRhMrgFg0bBVLajX3UTJSPIpWo6V
PuN4t6q32Qslhd1IAd9ejcb28LPtbHPsCNsrwDwRzUmokB+lMplOlqOReI3G8g0q1itH2F4A5obI
BarUiPGnakVxVYZXq42nQxNmz2BD/wPa5EPDi3mRus02WXcNlARwljw2Z/YisGqZNwl7pbgYzAAG
rRbyo5Ct+Xzs9XcrevTQRurCKS5YrMQFEhdR2I2oQzcUsEp/X9HIxK1VC/J4ATfZ+tzUc3da9PoW
tOm177o7gV2ptE0ifFemVFvAVA1NPGiHfCO5+NrTd2tV92D/gsSLcefx+zUhY9ZH/iGkC06B3Qks
IZaBp8bEi6nUzVfIu8mHxY7joUAc3ki/D7siQBOMTRRB3+3qDzweyueEDObQXT/e675C3/rL6Auc
jnGiB0A01vk5kjXi5kNTci/q8jXB5YqSqIiXFV4xNe6gsHCjQ/Xx2PN3RzApBYwIKmTkehD3nzsa
qM/j6qoPx56+O4JNZSZqwhrXFJxKn0Lexe/FPLpjy3XvXzvAQaGGo1BclOEA76lF67Sax2N5FjAs
fp838FKDUcoqeDGAQ31K5Obdy7FU74+NzG65TmVC2kZQXlwV9flUeSR38Do5Nuf3sq65x/arr+fT
yEguI5CdQuZvB6fkbrlSsq1ds+Jmu0hjq1SBHHUjlR68g8/fLdi5sq3zx+vh2oxP2zg9J5L8+Puo
vxKN77VcbbnKDsDhsjCqHr6CMuyaImn9LigSJQ5GtXtNl3Z9t3gNckVLi3jMwPs8pQ04l3//Ca/s
xHusGTJzCkLJiBeVT1pctZLe16mYm3I+Fn7sZV3cK7daDrhNTGsAJz8hC50cvcrtwWZ0Jf1iNx4X
hsZNm4O9HRFgqmN6iFKPmHy3am2r4s7AnrqgfAZvf/Q5nL2sPDj4u1XbEshD4go7zgiKaWbj9lu4
eG9h4V/7suHvG44mthmnFdH2tgQK+Hso9oBQPZQwivd6rqk1oAIYJIyM8yR8Vr0or5x6s4n4ehn8
wzV377UJdCusPMolKeo2EdVFN500tzqMVlhnj215GwfwXQDdf3qqNhikZs2mmz4tPel/S0ZUmwJL
jPkCImfwDS7YAEKWNB5vGujnfq7lkDAI2rv1599X0CubwB5cJJfGc3WncGws3fyFzV4Av5V6SlQa
uNX79vc/8srH3EvPJmnJLN0Kg74BLYI5ShmbyCpVluTYMt3Lz9iIlw0XxKorvNu/hBvrX6iZj6m9
4738LFZIjVZViGU0iceJrRodNO7l2NDsggK9bV406j4uQsvcmfGaf4VJLzl279urz+IAp7UPLUsh
0MIHKGO/tTw1yQiVybHX3+0wyILA/w3QlMKBg/HMaMS+xT2Zvxx7+m6H6RrAxcGSw7V/dfWPuZHt
jS7jYwKl+Oqz8r85wBK8FAjgBXJdZVuZtGogCU5hDPCmW9Zr034XG8DCSK3JgNPJk2jbr4kKgXeu
39pmXnv6LjKoJjg3lhZ6zqE1WYv69AgSxqFx3yvQYFkaWu73rCinUZ65mm7h3RAdmzJ7ARoR/VrN
pccKtCgvKDgE02fN3PTGlLmm5f+w9+6FYZ12nMALlRfh2LObBdYzv0KjtJ8RNpx79GnA0OmTsEEJ
Ro48mKveC8bQFw+mt5tYEXuLu00kjVe4di3LsZIVjJR/n6lbSyOnSMOQC28RfcT+xp5tF0j/dOx7
79YZyO1QZsQYNB/5lYyQCb5i3niseh3vVWITnegaXqVWxB+iFJ7uP1WwvgWbemUV7EVi3Rbi9Bzw
cEpBcU9X2640lROnx5I4e52YswpGGSu6Bhoej+8ADHQwTA+X74cGfq8Ti1FGpTOStYUeyAN4+S4P
hBbnYw+/hif/U+OQDrfBpeFRMWxbUICv2BUGbLGDT9/dlaOt7kaYukcFWNhjWlHyT9kmb/G6Xvmq
e3FYbcg0EBPQwspuOsmugtaNzMdum3tt2LgOdDOA4RRss48l8eEoOIq3FEn/1cD8YQPay8D6CRG3
UGVUzCPthguKnubWRDDkSEM3Th/BczImZYKOY1qHrVfCR7hWNr9WQChA32M7pUnTDvAe5Kt7gFFD
76Vu9Mp3Mu79JW3nuBHH8ljhbtl3yBhIb3JIUEaQrTUNgLC4Dx5rkIz3EjJ4QsPM1BdRMS3qjGPv
qaX64IvvDtamgkzWMWRWF1eGRSImW8ievZVW/e/v/9Mn3J2skd9PG3WIyWYC+6BTvMGg/hkQN11l
McChU2prL3hf++1UoaOaVeJ2rnvcbvXVbCw1rLL+KQrsGuUe9NRrPvNp+RSGxjendpkY/KJhybGc
lNvWHz6Jee6F0fvVIuxLg96TL7yXvjqkSvw/H+nA40jPcz8qlkSIKZMBYIVpTxT99fdN5hqn/v9Y
8X0B25unXowLEooO8EQPjt8i5hl1Lvkn4gP9vKGmcWgn5nskCLUNmIxCsWJu++YcCau+JyZQxwpY
fF/NBkyRI9oJkVv0InvDgNlHnu5gIzvfV7P7eNSb9EOc4AsmataaYHiMrY/b598/wysb5l5LqGpo
/aAMRVA1cNjNr6tIh5AdzLvu1YT1gAmUNJQVg7I/AyzqFCmpY31J8V5M2F5zupWLWBFVZZVKB5vc
IP55bFius/Z/jsCOG/jJKmRY5pjpux5gfSxJP86OPZ39/nTkisOAKxWBpybMu9B47N8VLjLPx56+
C/oYLFK5YxyfdKbhj6XFe+cVhGJvtci8ts3tVYVoQ7US+YcIBWfe3ZN2mZ/bLoQtaC9KkaQB5LSf
IQGPH+XabfQOSYzefIVdN8CrK3rfP3Uu7B+bKB5VjtzF8l6qSvi52+Dsnopqi70MNUeNQq1vl0dY
TjKXzeUMa3ByZdbnRgEb9Mb0f6VAzPc0M6iL6wiuVwzbXMMhRo4q968YQkpTaHU2flO5qisfBGBh
T6gMuXvIYAb0qdWBPKaJxc3698mA7q6qpiVatUPfY/+dxgZ74cGZtjvw1gqGu3Uf8qIlynNp0Ekb
ZIGoj/l/oD68O/IGMidQ9KKyog2lxQBEzKmJFT8WK+6llEk7V/D48FnhYiD8JPDDtzCxbA5W5vda
yg0YQARd1yyH31Q/l1EhxYn6h3+MUhHv1ZS8ssrMy8oQIlGe4gRHtkaK6eDg7PaoEdryeotMVJQC
QS+8Kav+WYxle6zEvefNbdyi+KwNxl5W0w0RzGQ8Mv2h8ALW57/P+hG2O/5qNDbvbkNRESWz22E6
2DwZ77WUcCjrEArFFDdHA3kHeKIpHF6q/O8b7HWb/v/QJfZ3KzbW8C0xPaYN1b6i2Sp6EJNDdD5X
ty2z0b9//yuvnMz+fuluxk16QT3XhtP8aZ2FICBEB+KtevErCY+9+BGUSOa6FseEUvxFDWsHcqg/
+Fvm0DmYbaVgv7g/DD9ahgwm2sYRnh35YTwhv3/6Lm4IYsmNFWOjfzRl8gK/7EMQRsjwdp/GekEX
x+PCCqhgy3eANvdojtb+oRWHjo3f3zyhVCJmRTjjbCDuY1oFFytYeyiZAi7n708XWq5z3wekiG0y
Py6iUZ+SuGye/j7qf560/2fNTmjUbH1VE4hKxm7LhKiHNUffiHmeAPJeDyUA+V7mBhiVFclQ4Tcg
sEzLqf5E3ciOTZy90K2jFXNNNZOibIbyVDX1dglGeuysQevC78NfduUa2KCnRRk1AczN/QENlf6x
zRqSqd+fPoJQPXhdRwszazmlq/PUZQ7ag+Vkvhe6RcgWG6/C88fEUw8b86EGh9PcG2HSn/ciGNr/
/vagCelAVA0tPDXD5F7SX/rqQfr3mfnaw3drFm8OsozCQbPUrrkL2rpOiRqiN0p217TS/2/WfK9g
m4d1DfoZKWlfD9Jlamh1lIFjtIENFsYjPevQqm9iDs2Pv/+cVxI5fC9rK0u4oLkgJpDsB8gC1Jtm
Ot3QAfLvNTX1YIdYttf7iunsOVjLaGzAwUSCMCelT3TqkGMKTpr14Zy6fmiHjzae5F1bNn6XIlrk
yy266VAO//vrvrIv7HVyohHu6nZIiqUPzJpGkN188SFJ+DFO1SFaOIyKdwlF3XGXSH/BrgB38nwK
NM28vl/fOI5fmT97uVzYUG9wzJHCLeF8UcTKDwztmcf2/L1WrlsgQTPCDwuwTqYcnHlz20+qPhQG
8T0obRlJpaaB4ulz51LShfUD8Q4K7fleK0cslEMR70kBlgq5IW0Sfohd8la/zXVj/MPK2mPS5gb1
EgW2dtGPiUTupm/Hr71TXZuiNcYOOfUjfcjbCjNot0dokFO0lSQoJjdg6sMKXP6IZ7IdnEK7gz2q
TNmsJQ+LWIArdqKCwYluNJ1+C0P+2hzdne2tHLDvX2fRkiTNBaYCZS4grTj2+nv5nLT+xCtNfNQL
4zgTNOI5PsYxJS3fi+e8WvXIZ8IufhHcnLbSZ3knp2MVeL4nonV6rXSEInzBcLxnKIEBySnpoTI2
3zuKdl7HtYNlbUGGtn9uYNeX8pIMX/6+db7yUffKuS0WLZWDHxSRauYvyNo3D+0q33KG+nN8zvfK
ubmPkQ8ZdFBU4wS9+jrp/guvaPkddIzJS432Spt6uvI/+2Ka56IC2fSQxpbvDUVrErKtmZcAcskF
1Q4QQDMUjc3NsWHbreWFUUmXxgQFNUNTTB07o+3tYJy19wvdTBXH3ToGRavs8pnWDTvPITOnY6++
W8Zq4GHCJV69q3j9jz8Em0R3NyANhx6/F9Y5RvsVDiA4DZDyfzKNtmhPDcOXY0/fncLCxvOICMQv
4IbcnSVyBigatocA8jHfK+oIjvcAe4df6BpizBQ2vhq+ko4d3EH3grpui0G0CqxfLF1Q5nwVCygr
yTFJB98r6jhTlYZ6KSggA6h/jCJiqNscTTTxvZ4ONlZsmIcyAFpvnW4XeCYVOmj8Q5kavielcdbg
Ftov+LDeyL8oRbqfrq1n8casfOWcZ7v1yr2uGmuJba6WgFamvpd0azp7UDalqtHNMzK00Xpsge0F
doJqrwIxCifZRrYb8DC2x2qa39JMXWf6HyKWvb7O1U0A/yjPLxCfr8s9CRv+LnJ0A1afsLnKSsv7
6eSjCSXMp//GqodW3l7G1s6ynce+94saVnmPPnHVvbFCHYtQ9xo2x/kc+xXQ62CpVe8GDeeBbtuW
Y5Nrr2GztaxAC6sBdudWnSYmfsB4z70xtV45QfcENTZNYD47rIuSzvNPvTn5mZnuLa+G155+vfL8
TxFn6mOiQ1mFhZLUT2EYOGRJ1L8lo4J92HXb/8N82tuKeiisS9Bbw0LAj1NBDTAPG0vBfWo6m0Jl
tUyntYIfy42/UdBr2drO61Vj4nX55sLIfbLgMUNaC+DYP3HniElruiH5wBZktrJN9XI+lVMflSmc
aGuo/JiL6nuXDLZOoannLE/MVPqZ5uh0ypCts0kWTTG3MI6b6iaLTRtuWbU2/lLophlM1gx62ApG
ZmIvSRUm7GQXZuOUwSDPAkNs++G8EQmxyrY5X92iJXVWd6rTo83aBtWc96qCEfeF1cgInIR18D5r
w4hFae01YXhnnQDNVlSzE6hYTq19X8NY5KuPKM98Hy2MqfFgNosstIu3ZrJxfvuTzNStmZZzPacS
fMH6Y1Jrv079LYho0eL6u6QLxC7PULOC4xSZqSNp6bdmu+WbwwSFXR3aUz6VfQASWWtcPV0Y9/zy
joyeCzOJIo57YPBTa/LNd1v50vfjVTWBLX4N07WFEQBck1rVvoAJ3/7Ch4vLE6hVKvgRhKUpH0nc
RTjTWLO26eQZL0il71Pcz0s9dbfWIBOYrQA5+xfg98l0EwAZOuAVfRVnATeyR5gTBS8wY6Rb5sHl
kGdN5QUfQ+bR5L2E9dQNDCEVu2yAolewDyRr+eRC6s8PKgwbFGWRDazZLfG0LbN6qHyaw26o/6ce
l6Y/Vd7YJGCM1YF51C3kv5m/JXN7Mogl3lVLC++vwDiyXZxz8Zy2S1maE2hlyp1NNYXfglZE0221
UKDWQj3Jx3UsxRPesIaeqwI29Hmk6/ZUC/PCEJS+tB74R/k0blhR4xaqz/1gt4/SdPRp2bRpTuFG
IVaxpJFDOnaNB5RzAEpc2skozC2PvA9ghkeXzuA2gSRHMqlsMuH2MYSWJLyUtUHGRLNoYZdO9H2Y
B4ohKwQiWa3TWmw16sjbEI2XKFDiAWbQXf+ZAtecnJJJmK/QSso637aoMd8aMpb1mSy8385THMTh
x6aUc3hex6Zszi3qmJi02l/6j3FYseCGwNlqhXtip3S+omURunrmrXVO0TvtpVKvujklMVHbZVBm
7W5IxDAlMXerGhxqE5RJFmN/Rynda7cx7QRHlnJqNJymVpM0U1bTMaAQgnRLmHu4+T8KZ3X8cemn
5nZCV3L7z6bmkJ8HLv3mjgoYjiAcFBqFLxX92yCR+COcIvYuGIlcT9zh615iK+1DRbcI39OtzXRS
Gx3nD7OjoX1mDEOTtQoSXlgjKrvd91voPVveOgAhQJaP3sHRuZbpAKTVkMplHHy8PcgWj8LAMTNn
C9b5OYltvzx0yiR+jo9ZxqdAC/5POfSdfd5CZKpzKN1ifg4SNd7zxCIXCWWE94IGiCDKRLV2yGrV
9Zjk4Rgk7cn3xHwPtyeUfj0J/v+dHFSbvLv6+UqVqpFczTOrCd0TG1X6E8MQipzGfudluoLK9G6z
buuyOVpXYKYCj/ywCkscPTrTdTcZgkicrjTH6bwIjPyH0tULvRBY4uq7iI5PovVOsp63F7+a8F16
gEGXPK7gHNCkERuu1M1h4WF8otajsF/s10jeAsBctfhkMTqCLPAa631sgwDVnzKc3cMEP+wf8Rpb
c1dDVj5/bWzY24dG1s1603kBW/T1dOB1kNKhV0gDxwKCUt+VncxWbmaZRaaMvsYMScuT50v1j1+2
S249ZD7w/a/SGHPquzLJ19qYgocjfNsN+PSRG75fJQRpY8mUCdX+K3woBFPYLED1H7NvJRh7Z7Ki
57NHP1ZezzOukPGYZL60dba1s0pxG2MfkKbw8n6BrHlNIvtjM6wH72T5qmBfFqYci/lxCeIpA4Gq
zytUZbNOLAgHY4+dMGVEhaGgAtdsyau7RnjzklkVee/gUgp5tI4dhnUZ0PWdap8KkIMgIUghYbcX
FSxZBUNcHAGqOnFlSQ7fti84wcTtqoYw80FVrNKqSh7c2psqheVFkDNUa2dQ5rxPixUvIQ3KF7gJ
hR+iLoLD+uyN6eDjuBFLiB3dF3VGpd4+TtroZ5g22buxCf1v3Sj0M+Fjmam6dplP+fBRKYkf2HnJ
hQTrt37lHy1cR1PJlcxoJKIcJJgwxaQMbztooyDDXzkgwk3zBfAG/i6Yh++erJGy3SQcHJpl+bhK
NABEiadzUYLFMo0lilMmubQzUqGsg+SAkPLD0HQfSNeuWVxRU3iDeZpq950pPzyt6AIsevAlU681
+jZqPMzwUda/PFOytO2rD01EX5SJ3sGI6i5JInNWa//OuTUxqZv9+idgOKE7MdsmX5qEVsgSgSPj
5vnE5BRfOg2j5WZEvYZMU5e5xclfWNlRkLlW/RwGB0aaH8tbBCfq1Al1728xDivYVDxTGMZ+L+14
Q8L1XSfVmgWdTx+jpSsm6j60hJMbHBT+PY+EO88sVKlv4+WjXbf5WbXtljaeiTOsMftQEoyTQPSR
9nVbnocINxlfWJ4h2BBfS7ltH3uUuW+5h+lbgxGdT+XQpX4F4vc8q60wY/jdVREGbREpSzqdDkSe
twEkIAK4YkFGsj0GXkLQ2lTqKoUcz2RVGITfgVSyP4QlP8DMIhnEKrrwR/4VWsfmogMPoBUY018E
3FNTwqm7RNs4timnoEZjoWF4TPgs6gSGI7BcwKTT9TteNhtPAXCpntsKB5qJtEnF2KvkhDlyiqtB
5UKK8NH4onmhk54eXOSF+Sz9M+XV9EhDBJPGdLcMgVoWRO148qPGhy2XRIgUzvSrRpH7onqxpt0k
b3AzZvflsjzWwvvcipBesHhOQcX4aVtMncoycOnK/DBrJ3GrTPm5rNo5I7Bpz9pg1WkHj0JUKZr6
dvF97NyWfKO9fSFA2GQjZIddugTrdELNwLygl1PmQ+zVVWqXWl94i53W22L/EbAx/o4EguKgcMtX
B6V7PotBwxuHJKmpKzVmbrNLk21hqH/V0F3UuW/1UGdLx0UOo4k+NUABYm/p2feKrnFVrKiYdVDm
VIQWzHpmylTgdZdQxXO2iXJNScBYuiIsyEI3f8dd0lBojII4Sgc0o3eQvoSxgmvLescaTftctrZ3
WTLzJgsVtsRgDapbCz+m9RHtwnUKUWKU+zAJze1VvwkkWYhmQXJbl4EolqFUmejr72AutSmYJxUw
hjzIV27J5wnssqzeYDGEPxJydxlJGVpg9Sk9J6qd7pi0j/OWfKld9zhJeWvhdnSJkto0T+g1Te4R
D9LhQw8+Bg65eDHfYMG8bJm/EmmxWkYIQ+flw1i1W5MH5YTDgZExAZI3boKTREqtvp+dTs69UcFD
1/RMpPAmiuKMLCsdUur1CW4aCUF8IbHXpLUB5lhhKO5LOGp9q9QaZBMi/48siZuULL5337v4JGp+
hwBoevCI1CKls15Owo+/2UrfDp2BqUWHIK1F7PcOzHl6mrytGLWU74B6eDYEuuVklEmqZ8enFKb3
cTb7LS4vfU0zZJU0pgbTiJJ8/zap+BRcHJUeT6fVH25xOwklpLRs+7cGbKZYS9lPeau26gSbnCn1
wn4j57klNYLXKxI9jqv2XFM6ZraljxNKaKlXiS7l4dSeFZ/4U4iiIOys4Dk6AaqVdiXF/4Wbbtpt
PcZOjsa/EXWt8xInqM181rqLCjFPAaUkDB14sv/VkVqFWR1Uw8fSNciQMNzB0nFOZJKXK0ACN4rx
9r1rV3tK7FrmXQ+O3bTVw/NApb0fl9jCLKqt4ObgxrwPZn1WXYMgCF0E5wBJuy99OOoLdo3+lOix
P7U4r0+eWOuPbZAEHwLEFAgVN6/PPM6Tm3od5Bd4jUOoBu9cuJ52Y31jqVHvcUebH2gQ4FyMXdwb
mKD2JKPtjCGe65h+mpWZfi0GzNapHcJL2JLOT8t+5Dc1AvF7AGRJVq+T/1HLpS1IG6BBxmLiB9Bi
AlM+TlOqVxakAViMKq37cfjHD3ClTdz8ma0JyxvVjMjp9N0ttJsNulb76qkrgfZEd98g/JPlgRel
UdM2P3W1DJ9QhpT3apkRHXOtb0PeD5hilTBpEgfeTeKIyJdm9W5JaZqbPhj4CRnauH2vlsk2p7ZH
yQE7Nl+hAwI+rdxoJXKwacunhTVDnGJZmudkEzCEpXEwPECaUn9ZSuN/Y6TC2AnV9U+E6AAXaU95
CP6jAFXSsPsa9b3K5+QaXWvZRS7lvYlu/EpHd9Ncjd9ZhUI/7jmIm3CrjE9lAj6XlmDQe6Dr3Y9b
z8yl1LZPw76R5mElIKSmwEt5mYnN3GbCeA6nUyNL3HeigKMGUOL+RNYE95dFz7fr1sePyAYEL1dL
nBTGlxMmc9UusBVS1e28BgNLVR+pJxw68ZhFkYbEEpzMiqc98MCFXMxQrOgMvcEWF39qBG+/Bl24
wMzBeyg1RPipog5u9GuAHbAcF563OsGOSae1P+MoXsasqe2jB91kjiA8+YWu22k4YVbq5rFVBH1T
136mbJmQMIBInePIDZNHzJMfaOlcYCWfvB83i3m7NeuJRTYZ0mYbscMJ7prPMBO8cxIGnpUZvlqC
JEK6zr7fgxfWjOQU0Db8EHAyzs9zx/r1DP9jina2NoA90OCyZan992snsRNH4VTbvF18hj6lxYTf
x0Rt3xavmtt0G4bEw8ZWwmtxqSvcTEqv+ixYvSENQjzo8Oex8s4xiRKXasf0owi1sPkSU9wGkQ9h
fsorgInTGQmgM908+MJDgjY+lZPTOW9KmMIwSA7utrBDGBMS9s+AQCQbu7I/Cewsj+0ctvg+msBl
rQwqfolpud2WaDB8mlFdOglC5zumxBMUSPHdKJAwarEnpGgfax3gckjkgHUz5QNA3TeULy2GqA6r
ixzaqsA50jzMTpo8Crc+17Si58aXEXq1fFql5eLZk5Gqf5xQZMoQJLdPKgrHs8J/Z0i/NPkCO97r
YaiQZfBD+R1p0vk7BIeqiCZZ5UQv8rRhw8zIaKob5NhwvduQR0XqBYLgcbsy5Jj60IAEkXMRtZ/q
cpzaFNJ5MWbCH59mOCmkZJ7dkALdGp1h0+fOU4sdeQ70mNsgIicJVu/NbG2YGuwo71hsRQrlMGa4
7pYmBQ2RtHmATTbXYRnclFSxf6EdZRcESslNO+LiiAd+oC1eCRx7lSMCZKfA1k+4t4Zn1Vr+IfoP
c9/WHDeOpflXOuodPQRAgOTGdD/wkjdJqasl2y8MW5JJAiRAErz/+v3SXb1Tpd7p2qmnjaioKJec
qUwSBM75bicIbwPTFi9kM59HX4F/qXUqGukQHlXnT5g2po7IiaqHuF4wJDVWiC9G2edXCWwYaHZ8
j4ZX5cBVogJMPrNsxi44I7sUyJ25QfpLE7NATckwQuy46GqFi3zU3ydBbeIwG+CKsIHtNPHznVRw
fHRD3n4pnEJBvWB6S0UKkW60HDOEO7p70zhx1+IM/oQxg4j96vh86BiAim3OD0FfVmfVlw086ghu
WurpafOpF/tQmmEP9+tThcH2L21XZQbF56Ua0/FWOZlRg459AJeA3V+naJsEmq3qvm6DPsHo5DJb
SvomZSH3g8ESqVh3UAuLYsZRgtGtnjLEq/7YED77LURTcZI+pqf5WtdxKzyTgU3ob2kf7JUWS9IH
zZe1I9NFe93tBGU8qa2oYjKuc1YrPqX5gK/lKb7ugczTo47WuxUl1753JTZdbq8C339dm3nc2yq8
9YIZ36Bo78ZKnAMfjeIsJsBGknwpIuHt/UgBVUVE4HnqZANgBBB3rPtinxMGE044wo8DD+vTbPiZ
8ksBJRRNkN7cZFApfZakQkkZ6q98CoeEDsH3StkpZRgmfvY9PeMpcS5Wbhs/14gSy4IVDqxKs2Re
rUhmOJD2qzE6KSxSbcslRJIo3+ob1Ce4pzgcMIh+85oMMACqLivQSyASEDdnIAj494pdvi5h0vTw
nbVIrb7gojS2Tc9eFPG6kzeHVYr5gSZG/bBCs6K+9F0BpGnRInPGv20njbJUmSe6tC+RDSwqhk4l
U8FqaAILs5v6us+Mzr/WnoaoWPrZhKTJc8EwqpFM9L7H2Jn73JdjVk4TKrhSq9jUGNPG+3BHiiVK
MZA+PFRdTeOSqi8qb8UukPPCExHl5EXiJgCqnsonhAcfR9zuOCKQAGPJyx31c+wHrW0Sx6puh3Ty
hxC0t1NFE2/ltBqc4XV4GjEz7c6LdJTUxsOWJCY4oJbSdkeH+fFXXdSJrBQF2iPbI2htdqANc8pc
InQ3XiuixzaWSP/5jGrnK2pWfXJcreeWjySRZF2v4HYq72jXOZx/w4YvB6TY9jGZBT8DZNU3Y8Ff
+jmsbwdeBMsFKzbL5w56gGRmJscH1/yMzLc5nqCEiaH0mL4uqoL/JVAdLtUAK888A6x2jZr5qckj
nMsTxMoEkFcZ3IkCMwb2C/Im4KIeRqWAgufTPS83Z3eL0o69FdXWJ8TCNXsyYh5ZonJge3HOUOvE
sqKRPTdzNZfXPnEsRvfXpLizPR5BnLn662UKSXkceIAhwwgqN/Rx8iL1fc3NFLz40aW8iOdahGdr
6HpcVVBMKFNwAH4dmnpiJ+DoU5DAknR5gCH63BFMU91gXh4DH7Ws9drUpxPa0Qsc9yztGPQpzi8f
CjxBxHVJvV495kFQmweOoMhltxRFm99hhHC7H4lCj8ydRqs5NlPHb6pN9Kc8hOgaD4K487zRG+MI
VFF5v8CKaIDUzc1N5/v9uF8ZHfrUdb0tTl61De2j8Uacs7Vex37vuO+pWC9syb+43Kd9BggU/Eo9
dJ8gdGHoaC5VVrwoiklrHSoBe+85JuBwhC/vFiFPiOiMwenMuyAA2PrmBsx9v1oq4ra0WDH3OC7J
Nk4/qN5wCOMZkfMurKr+k4ui4jDmtX3Q3G72Kgycui1wKuHBkKLsjgPpq6fRFmj+/Wj1n8KmkY89
m+22L6ZLdVFUAaJ98TQCE+1kN2MuLqLlfXR0S+TfNXKgt+oSPb/rZW4Bvw+LXZHXB539MSh9pW9w
dnf6wFqkGB8bVtED1hdOLzNBiaSqZrqtgRe8Wjqoa9gSWzBaNYVxARPawxAjWleNwQfol8p4lIYp
THiolUobK3Jz4NgtAJJCK37ArxWPMzoZfhyR68r3REp7x4RDlIwd8xVG90tyMXaovHtDEuzwpGAP
e+iXhi1p0eIOgePv+7dBjB5J0XYzcoex68Gh0TQARmR98dj7hVE/ZmORf4LSEXN0ch5FLs5x6esk
D2aOwbULOIhONcWMSq3NP1ejNeWNxgxgP436qsNjUpLeXBmi1SnqOn1dIwfSyzBFpR1jTAHL5V0g
3ZTU3tDyc0v8fkjX0kRt0pLyjYP00AmnuWozTGUvHzDbjcMt3en1gEaW0XgUDIDP2EfI0K9xuMXg
avSPgjKwImXUzilw7W1O81kvP8a1Dx5hgmTrToGMOwla1uRHQ4EfZ2XkepikK1XtAxixTxpdbncR
MoXPngHXeL1WwzonLV/o8GrXSrIiDpWa+zMZN0uOcpMev9diE2U2G6Tl7ZqmZSfs1cF0agtk0MUR
nXuTrMiqFMkieXCHmyE0uBavQyFSh3DiIkQj7NNGiQfMnek1NrqSAmGgmw94jQ32MMpuMolGLQZh
Ujfnlboa/Fx6bx4wZbmz61iEl9xNhKy+CpAe+grkScfvCQEClJYDq+s7U2+gCBecPXtp5LBevke5
E5sJEPPne9g7Va+5SSSmmT9DUrq+ICe+uQmnOdyNzTZ9giABALbD4X21BsLZBDa+ao6JyQ1G/fgT
+25QMj604Mqe2mlsomNdtRPae+oF3kMvendDVtE2KZ7Z8h33YPs8q1AEByEJQdKjWUzCiPZvx0Wt
9/UCnr1s0F3GpFFoJVjDeXUkOgfWBGy/bFChArBJG6qC54i68RbFP78DLZTruKzUqJAFOkXdC2+X
Kkz6aDN5IgHhXoqNYnLvlC4T2XFaYcxpNLDovlTjtg/QGWDwdgm/UlPP+iwjAQKBbt3Om8XKsWsu
IaD9ktI28ZSoyXGgAa1A23aOaUAsrSYvRk4M984iDhWzeccwvwab3Ix3a08DoPbbKL3XStjqK8Yr
s+shnwKSRAi/8K9awxao+4Fbq2QBhARKUYXsGX2c67O1VuJpINIdV3TA6z6QKnrmdkZbi+yk9rgW
W9O8K8RyIvbZ9BeyF6zAwVu8DT3WumkUwqEonqqO93FOiVdmm7zEILcTmPl4mnP3iHit7VuEf+fx
VoiRxxy+7rdVl57ZDwNWbTahTH1ogUKgV9NVH69Ew+e9iqWjpwJ7GLaANQQk1mKfVhmirmsvqdXa
8RiiQVsdzCTWx3kuou+N0ijfDZuHR9Sh5SPNa1yIfFwMDIkgYl8bqEaqWOM4cODjvTDKkAKI7k74
oFzqIrfHfIanP/br1d6ho9+uerEFV3PNkVWH8SdasLTueL4ltq3pO7xQotixuS01JjasNQb7QUj+
VjZmeGW2Zd2FXjfjcQOa+t6ZXOUZbQBJ7xxFBwukucHZa532cNT6C32oTQfgmgZt36bg061OTCSx
XTSc4GjawNjnQKqraIoLkkcvAOaK4qrQ2D8AR1lSHKCn66D7rGaKxr4r6h+jVN13bTccAWADl7ep
A2WZCK+d71m1zuE1Dk+wGXRowAbyinLUscN8JKQRN/1sy/HU91T5SUkajNhxwwruiCqpPrVg6BhW
NJSPezhY6JZZr3ZvAsjnK2kC3lxFyH/O09WVwI1JZbCHA2Atyr3HEUycRDVI7QTPLPXTwoAOQxm5
VZ+a2m++DWZqvdPW5Drc5XVo38DUT0G8jVGdcB2yt0v7ESWQ4DdT0tp8vvWGIdeJE3CGJiDSsdd7
+fAsG+gvdl0djs0+HwmOZV/kLTKRNwkQmIDsRrUVwEuaFt7c6KxHEBzPFgMALEN13nxZQDPH2F18
sNquaXeh0DN2WrWYMzZhcuXNBIxuOC3fgRtHNqH+uAGY9PL2EWNHsWI65xFc0nmS3r6nDn7qWZCg
ABhXu/CpQvSAOGKT5SKmkgxQY9NKfQrm0XvuCRnr16CDkgOGhG1zgC10btJtcTB/j00b3myumOaU
dvlwFmU0fd+AHWzJWpmV7mw/o0M0Sz2AIJ4F8s83DPNJ4CGj5HoZvQXtL3Ck3WDG9Wru8dJbYFeA
7WFbU+HBqNqaa42Pv2JXVHgiyqBtwWbULcQencHKQF++LBg5MRNMr5xQZxr02YgpelchQRPWOX9p
YrJEVOxMGJm3MReAAzxk3PipvzXTE8jjme+8Uk/T7pKtU6RkC0YoZLhpnxFlXGz7HJbV12LyzBhr
GfUsmwYUbwmCKk19X9PKgZfQFZA/ogBKYFlrA0ym7iDuxa24cZpW163fQObuaZmvsaOwmR3d1roB
9EiHun2bZt5lYWnqZzwfnvc0hSuzuE5hH6YL2m+WCMYsBCVoM15Cs9HoMMweQqSqEBVNnMOW1z8s
6+YPqEb13P6gbbNGO/yK/jM2N0zGLlUNzqprOh+yjKCYgwyp9LaJkRJQBVDwCOXvKBjoMQF+YV8d
n9mSOayEKQaWi+kY3gwmK/OLQdq0JBKXdQi2GkV7sK2vBS24uKk7NG1oP9thu0BTchnPAWD3q8iA
BUsWzvSQ1QUIj7235u3tDG/2pzAvL1kgw+B/0WhP3c5BFTKlXd0Km47oQrwXJNUN7p7adQ6uym72
YUsGSOuLHRmKFb236fzmE+hxg//TyrB5I0FpvTNYgHDerQQ+VIuKFP6pGLgADiYuuQlfKo0yAooT
BKOe6hWnS4ohbT4a/RB6j0QWOGjODYhwAj6kIkMiIAMsblZFsHHymnSPfm38L5Yt41cIQedDpG0Z
4OttFloCxprpONPGr5N1bYILMbeG7LVUzcRxwg+o6DZUe7hCe15p2m/x4G1hk5lNszDFOXnhI+ru
DnMxu6fKlKC8CWfduScVPrS0VVkCE57G544UyCvslv55lYxXKcaZ9NsxLJr281IEvk0Kbym3BDcc
WykGscsFJXrD5gRRJhCVedNYoNybfd+/D2jgtbeVMOF0WLGDRxkZKksTnADtTWhUGMYS1s43YDFz
ngQoyQEAqL5zl1lBvkvZuLTD9WhUdau2QJB47hma3xnbbYotymxXOPexngWaxSFWEoAx5HzRwwx1
uk7GNvCqpKrhdIjtsgG+shy16ikyygMwvU5Nd2JuRDuI1hPbbri1Sx0DQ0JcoW2xtBtKfPgTa1ff
+NNar/sCeanm86DA5R3BHuJQCaBHWmMgsdRkYZhP3mXSxlSnm19Tep5wLRDPnTMVxV7YDdOncUTm
gImrCFlVODaULO8wSqSAFq8YhickTdH7NuT6Tofl/A2XCmWxgG1gPIbjWmpUCq38BhEhh0xBimGF
L9q1MgMXGmGM2Mrz97qXq5fMS1mKBKBB8JVGxQp6VJsFj50m27Xzp+56FQr0iRynKrNMs689q9dH
L2iUeaY9aLuDi3K8JTDGoD/MHkaI/whHVcNonOO2Zc4bjbwqPEOX27Dy+h+j6NfXUNsph8Lp0qcT
7AXFbrSMLZDbebpOh4CzNPeawmQEYTM/QuqD95bOb0mMg9b7Aunghs/YKInx5WM+FgmGKPqHVeWY
zyUDvQ+5+GGWGZNkJkm8FuOYCQ497pBHEnPEPPBUQ+vR3uWDC9UNw+MtszpixQtm0tjuKRxzIOgG
QxlFqj2fX6EC67wHSGVQ5cb5Ksofc97acxGwyE+3vsA5Z7b6xZt8bpNyXRqSmb5cHwNoByZ8iQLd
SVFY1WQ+RmEWKeObCJJWVht2hI6XFuP6hOnj2UhAnhTnVBlT8KMCkLS0+XEYiP7igbRc4tF1mgK+
mkdExAyqW7K+9EDqzHgaryrPi5ZMDSG/kWVXv/QtQ1HvOdD0zAvyDYK/FazQvHHmJQIty2Ou3MqP
irgyB7vT5fkBQpcNVVtAGWjoApzkK/wVFjhyhOWc+P0m+Enby7dAm18/NAuR912kgTkKjvvj5Sq1
ilVg2N0UHlsF0RhSn4YOlwHoaoaB6m7GGc6DHijXwvVBk1HfoOQa5t2EpO4QHzKirzwX1VPb2xz4
xUJ6AHueIzucO5XZ1ZFfQ7DQwkCUgacOX8qp6EHTB0GHUgw5nx0IUVF/Ja03PtftBVKC7LsxB1Nu
psQwlBbQpHJh1e8iOvX9rhxJUKUcXEIB3QqvcfANsn+C/wDa0lK5/nLd0eY/1WHZPa4jhtnf54Lj
sQ4lhmfFyofrLi4hJzGpjLrqHXXbgNlrvMPlH0SJcj2UJVptIIZszbBHANUvQ62ACDvif0Xl6oPG
yiuB2Luwps85yq4K8CEdOBDWltW7bQiWs8HAdZW4iblvM/SQL/nIaQN8gw+pj0GTftJNHSZEWJbr
IdWVQY2yLnYE+YUWEjvRTPmngAwAjQvdjjeXEdlqj16pcBj3Db55B2Zus6fS9OOSguPxQT7Wre8d
KGpHlYqVXFLgt7r7UY5l8DBJNKOQIoRIQW/MhrclvMfF31hdRonIlX8kmA7QXUV6lUlUwDOVDZ0F
CjfDcN2kLizYO9H18ri50kHP1FO7pSPUp++1PzU26aTA1EMuSgBo47bkGFAbkdFBBLs5QCm0rm5L
CIkvl17Wr5po9zVvAzxI3iQgvkIkyhVEbqbOXCiXH5Xr3YTKq0Ugi1tze6PzmrOEjB2haYRhStOO
s8B2WTERi0INRYvcAeBa3K6aotqgyd+Cdj97S7eAXuV9BLu+NcE5D11eXZfVgF2JmUYsoA39tgBH
rRuNoaXz9mARg1Sdx9C0DESSz5adp1U04IS+lNqNGAs/GRDwYZ8bqEeXP7DL/nea8g9O6HwUFN8o
upgh2gUVNjTr3/3QuPc/5xT44LVYybYsiweWYqBbc4ljmq6bxfI/cF79TOj5vwnWP/gc4ZjHQM21
8vYyR8F6JAWe0v0QQQoQY7RZ2aUN91GXogVev6OZbl9pV/t9WjUYSror0WI1Gc53ExwXQeSfM5v9
FNf/RqUPFrGyAVS32EQgi67Kek2p+qM5Hf+Nd+VjICmKf6ZDAcSkM37zWTVz930BZL7F/tC1yMOh
HeCmP3XrPsaTFmUXaBPxbU/npbhaSY3nzu/Z45979w+pidTjMyL++m3PVpgwBZ+8o+fZ6s/5MD6G
n0am8gqGydX7VbVe5g3U7DAAjP45U8/HlNO6j6wX1vjslkYNIh+lHzBM4VHlH1j8/5tn8mPKKbmM
WOyDed2DsP/u1VM8dub+z132D487+gxuMQ912+NR/KKiKMMkafsnF8yHZ73txhHS2AsBqGWNuZyM
Zvga9s8lcXzMN12gqhCtp7Y9pv+pK1t0/a7b/D83oib4mG6qt7auUGCs+8711Zts+/q257b8dTjC
f7wu/6t4t3f/2JLc3/8Tf3617dpX0O18+OPfn2yDf/7z8pr/83d+/4q/79/t+Vvz7j7+pd+9Bu/7
6+9Nvw3ffvcH8NtAyO/H9359eHdjPfx8f3zCy9/8f/3hX95/vsvT2r7/7ZdXlADD5d2weZlffv3R
8e1vv0B/+JuVd3n/X394+QJ/++XGmsG99/234V9e9P7NDX/7hUj2V4BnoAB8AMUeCy6rfX7/54+A
HkdwwlAZ+Rz/+ctfDGwIJX6t/CuCNMFteXChRPLi4XZ2/PUnMpAevfxPgYPLY7/889v/7v781/36
ixmbO1vhg+J9fx+zIUQYBRQ5OD50oFywf5l6CKEigAKG7EqUUO6TwpiSL0iy3I9+7Zmk8Wd6ArbD
75tO2vdlW+RdhSPvZLgiYCLm8YssNLvSlR6vGPJejmvF6gdJI2jyf17W/9HKuqlee/idfgwf183v
ltrt9N4PY//+l5tvrfvLbjRv39Aom4+v+f9xrV3CKv7jn3fzX9ba+X0o3/v6m3lzv1tsl1f9Y7EF
f2WoZXgkPYHmBH0gfvKPtcb/yiUTwsP4NAbSLbqs6l+XmuB/FZef4IU+8Bx+CbT7da0J76+BACYT
UQ6rDdan/z9Zaz+DYP+rignQefn+ZdZiyLB+MaLm4pz/TeVAQ8h0MeIYYtK2I0+IWWEXobQHnwsG
3UN3pQdpYoTHDpkLynKvwPyCVkG2eixmyA6YBz1mqWZ2ghIh+gKQwrx0y1LPiRhIiP7AlFDEFm2U
P/l87I9R602JWYN195ur/usz9Ntn5vIxP3wNgYshImQOcc7YB1O5569hxwENguva+K7l0zBexOwu
5oilSIHvdA8WqOEB4+P0ESihl/z73/9zs/6XDxB6sOkJhjb1Yxbb6ncQkMwr7Bl5ra575embYa4k
uIluABqZQ+AZAxbOT60OySEY9ZqWBXkEpemOpl0hEOmDhEfb4YJt3m5QId6yaHH7ue8wOyd0/ZH7
PvUz64yKS9OST5HHEfIIIcIXNbrNv/HBByBXCJYkeB+H/PSPSw0+7w++6oft6eeSkRA2Mh4In/vs
41wDU0B5EuguhwFLtw/aqejsUG+73ba1kdyVdlvOcxgpCYkAMHjgWMsAjZAPN0AdRuUL6uD6W4CU
ZjREC48clEPFjOQ0kFCCQIeqsOL+/d2hP4P2fn97JCZiYUsXIQRD9KPzfYb0r6aDgTYJfdyZ0uV9
0O2WEXzBLGJ6gnFqzk9DtDyyBZ6EoJm9GDOjxPe1mZrbiS+mhi7QNinUdx36q6BuzxgwMl75ms6f
trIKXwvXrkNmt75aYTttuk9IMUZknormE9iLccel8e6g6tgBD/L3uI3djjSDTA3Y+v1SadBBy9Df
0Ij3L5rxFUlHEXnoaFOfUNqPuxxNOgh0RxLf+iQLpkUntIcRqwXzcBtCxprZcTaPgZiiN5tvn3od
bs8WddyLhQHwmQS1hAiQ61gCR72qCodKbOzWOweQfU0q7NfQnDfLqdmUPENv6G7sZsxtzxBN3ecT
f8EMhfxaYNpHEkX6IYAy/gytxqxT+Ozane7r+ZFzgmE6JcmP3SIQ77nhzSDdWeebICDXIfOHY+G2
6rwodzvV0Q5+TcCXEFBGo/eFwVDKYqCqQwox8lLEgG6HzK8j756CE0N+h5kkRjuLIgU3q26KsoCT
daq8JI8snm2J8iiGZkXHIWJ04DWMdpOchjuInnWmvfHU6Y7CztP80bzpnwm/v11eOPE5Ij58GA9C
HN3yw/bTygJycbEWiQOLDifZAleNsMg43LO2Bbq4MO8AYyNJCdrH29nTiBeTwctAGIGkCEL0Fbpk
AisW9SeVSqRQ1nEEBnW6PP0saFy6omb4g2aRXjrVD59aconZYRLVC6qND/0QUG0eBBbOrqYlXgox
cBhH87ZgU1+jw4IVFMDb906Rmo6sDsozr1jBztZV/uXfP56/r3cCD1cPn4JjFBD8VICELz3Jb86g
hROLAC1WJtMydU9RhfsLL3KVliMIM9Z38slv6R/Fj/zLNkY9HBbIc4Ka1KcBYx/6eI/KghE4qOMG
Y78nKPHm7rMf9MXrqDkfYwmgd94LtZlPWltgKh4CsS4zDsb8C8haPx4gd//Sjc5dE+jZoYGHaFV2
C6DZBpLKf3+F4Lr7eK8oTjccb1IwL4q8jxFa/RyEpiI9POIRBCJiDG7x4b+Xa8s5zOMYgRaVIchQ
QOtxC8EBIvLkFeYJF7DMAh1MYAyiyAtj31rft3cCYOQZpsAAzRKr9kTUNJ39vP9uODlUxFanaRrg
ShTmha+dl/gUdujKuPwRov3mCL0yeILa/9STYqbpFubr3geWnuZFGz72yC9O7VxQsHqzMVDgB+M5
9PCHBD44BrgH81iior5eSjbExG+gyV/DFdkC0/jiGAff5JfRnaAwKvZj7kGkAR3nbvO28it4h/Vk
ZRjulVV95qIiBziIlj6Bwxpc19zJRwfh3AGB/vleNwDoRSV7uBYNTmbY1b8IOLugBK3x5pui8vNi
CexRnVUIkFv1fG0I8QlCWt2pn1l/J0Tn7gdipje/qOgO25k+ey0r8hRpC9upKUcI9lTLgrSwELkH
C4R2pWD31ql53zLefpY5BDcI1xZn4cbqjiiIDYvc5JlC8XdcVJ1ni53A24DHiJluypOT/Xbqaznt
EdZb3DZAM7Fne0XbQGYOMj9uAwGXE7qa766TNBsKCeyJQE6ZCUh97W7kbYVAMT7HfQiryQr14mFx
4ZqFla7yFJaL9huMNm068CEJvU0dmwIGBKgTJCQ7+XINqP6IyQjDDlTDZ+bl/AqQ8bMsFIkZhuzF
bqpuQMdCodQABoLx251rIuy1v7lhD40UBB84bWCz7EIbT7Ud6nQpWpvyCerKTdjwZgj7T3Ae5zfO
DuFtOG1RgmT5+gYqTw3xfiv20A/fAVv/WrpqeVh7iNqhaMyh2J0mCJ0AxmYuRxAe7dleUTh+nMo/
F1AF3iNuKbyt5QqpGGqhT3m30meU0exoC8WvvEIfOceoX7qWQwKwe31qOqjaC0xSehjWRV8tJlwT
jOl8MeA1IWX157tetuvdhIz3EzGhf9galLO1xdiuGmr1dhwwRWAKMYCwhRgKil2Y7bDCIgc9oJlT
0COIbZjc/FiLAUBwXZ2iYWF301SJa9E4e8IxF3zutPBjxaTdSdnkaVMQSGPG+n0lK6gxC2dsEi0c
agtlanbausjtmhKqI6nyKu678t3C2Wpi1QTVDkLlBR+GPuVmBYNYbN3N6KE63fXMkvsBD8z9TDcN
+0hxQ0MfZI3f21fUYuAbp+iyguApO3G/YQ+IceuTLezHZ9OxRwVv8alhDh6bmjc0YQILeatgeo4x
H35IkYe7HmrcgLMhpf8N3Ev4QuTQHCz2nk+I52hvW8fsZ5SqUCRBL3zteKFRGWsCyF8q8JcDjKEG
YsCqnHeiC1QRg+CB1RXT3PLP8MjIHWQ11XsfgDpJByh6bipHIHqw/nysC8b2WGPdd7J00GgYZO72
CN7FtPYVHusIIcm6WK/gM4G5vK62W8d6cRUIDMQJg+2FV/KHxRO/U9LtcTRGuwJGjYQqdQf/aJM0
EZTZeU0lFIqB/22q5MFCLpN47YIg0jrSwXMAErmKp8hEKNBgln8O2NjBNxAJZACAU+12FXzHt3Nn
i9dV2zHjfgQBlZu1RYbDtO3HopviHkb9LGqH/BCpFUZwlALnspQenjw9k/MMjeBjqS46Fowvq/Zg
pmHL8L3iAOlmE3OpGlg+BshDQwy5uEgGr7rWmhtSCRhkQoQHZ8O01G+VbKHN6bcG+okCQ5N66X+H
tnTEiCaCjX/1s9yR8Fs0+fONkl1/wANNzzpqo2wOItyZCQkhEnxJaySMUsZPMFUYw6cLzHeBDsNf
+nwfzDWCOnH+WxgUVvjRVzn3J6R3eCrxQIDiCbg8+23bupjV1XLwQLHeVrVmKmsFoiCyKecgpypE
xCyfKvgzd61nYMNZoGxdEowYoG8zFJr0dlIO3v2fv0nNSt4gUR2OzPzyGKzgC09Nt3oiHpE63MJR
ts7svq8gqn0bo7xOLD7xGelSvEE+NAf8WUhvu0ahvqYjnrXMwfuVepvAAazUVO1he1/uZrO6EGyQ
rfYYX0bPGFIUgnf1wFwKbL5jI5sGVDZd7kxgYclY874UWdsWfbsDeefz3TxV3Zx6NWqUK1uNNdYr
6JYMBWKFJFdT7ReEEV7jHI+e8cvr7sHTpVLf88UU/M6XHRsTsOGrRhVM23pX9bnnEiSmXrS3ZTO8
Qa41o5Jx9Nyqqj/8/KgajNf/pu5MliRVsi37Q0UKfTPFGqzxPsI9btwJ4tGh9Cg9fP1bFpUvy4Pr
5vaezWqWciUDN0BVUT1n77X3Vd3GqLwHBJwQEnZWkWl3eccwpnuu3aG3GZCz8jHm8IY+ATybsQ/5
ytyA7EfPX57uPh4Hb4MhdXqqUVqz59bL8rmcZwV8RDSxBTLKfnxoLZ6W0jp2/zQquQb2AYSvz3bS
fEXFz9DQxgndlKlYoUYSdcowGNIhDprwdCG1yOpdM9bejWWhmZgNA4xK6PE7+jSmS6nW1Vevq08e
5tKtnvTKcySu+QgbvNcnDNhSmPsu7riRpkAyuWoqLEVrXcFMwf+u8pDXWSor3eUlgSvxNl2mYESf
xFDv6ka37kET2sUqo+gu+HB65TEbQeqsEXN4Lx6+8x1AIvqlVa03P8zS8V6meRJyhXRFs9lRjNZr
hiz2i+b1zYRWaRyrbVWa/UNCSeTXjCLr1vRKd2vpERpxWut+J0bYNfmhqvEjr4CSeQ/o3ujcW6CK
BsccEBDii9t6MeSCpp+mLYLNRwK2zdcM48+tNdV7pCVwQmhGPnpyFIdImVHY0kjU1igTtVVGZO5n
XEn1SOPf+l6KlpbxwGnqYGTZtPPAj947RlI9dmhPbmdPbdfQYfh3rVEfBuRdGwicp5MacnwcClG5
dZ3Q+abB8WH1qYZyJ5usOuKo1ddOGGc/Goddh9QD2mFecmMQBLGxqi7faZpT/CqmcrzNMYt+roRA
DS5m25ix/tVaTGZc1X0F8nvaqlQgQoZS4wuCjNvy41xqdEBIVQxqaeyoqpgMPAd5F+r2OdvZrQgn
vqBGfIT9PqycttT2KEC8gkUT4xQvI6Q1XNka4oKxcI5po4w/yYJt1mama/vaUMeDlvTaU0IHyl41
nPx3pTlHt5hV8f1l/fQS6uYX9pifHBE91kKPV4qs6mMzwXnLuvbJNJzet4xpS/Gn/haVqDBaBzep
YMTfVzhQ0dLmyiPAb3bptP2DaVYexYAbxxOcJRXbmjaNEXb8LT70rW6N91Hbd8eyTMr7JoexQxXB
/dsQhf5ABA067SE17pPIRZRW59pGA/iDZaqObpssDe+QVuF2EzJ57hXjC4QaSC6NW94ZgAmUPixf
aot2/EoROODRycfrbGrjnRc2L1Ep7a8dQWwrfI/1jzo24zUUpIZx0J4a6/bgsjF0zQBBy3Z2caFr
Sds+tuKUCMzMpESoGcRXd7rJ2zd+xIX17OnT7dwKdGh4pf4POCaAJq5p+Vbj3nF4ifBKmNlJNPJc
sO2MJ/VePZG/0M8oEArqb43dPhEU/l1PtS9Fz5ou1eqpDrtPqZJ8FnRRojR+1YX6/Psk9r+qef8P
uin/s7L4/089lxNU9nwd/PY1e52a+PWPIvjpn/zfIrimef/SHc0wHdWkvUGZ5L+L4J73L0oPtqM6
1E9sRzvR7v9dBHf+ZVCp06iPuy7aGu3Ugf93EVz9l0ud9VQuoHROgpZj/a86LvqpwvD/KiEKODqH
Kjg19T8rD/i0RDanobFXWqotE4VpSRSwkj9hxxqOrTfhoSzYpXyxx75ak7EzgSXBdbufI1d7BEBf
HgynrW841bn7jHCS5IQUGUNftK1+G1aa+1oh0dkLlToYOsocf4iGG9w3h7iN94PDYv/msb9TCNff
5zLqy+QDtD+eZZodn/aMKr4/JW71s3Eo3vihhQxwg1rWiFc2Fk4s3EZj3bALkfoKI5RI16Poqp9l
HLsvc25LVC1yTFw+jS2hUJjcs9swt/Svg+Jileew/jfvOgtEbBT4n8nnfXVJyIH1hSLxK3wUbCSO
qnzpete8mUV6iYD+Z63/Py/LXbQqhqFt2AQl+OyFlzm+6c6I+U0ySlZJoivfEqPMvljz7JQooz0K
Cjmim0vJgrRk3hsoy0yG0SpaObjlfDo7Kg8e+7WvnMDCv3riOy+lzdMQevdvLMpxoYIYxm6GmcFl
jN8dYyq+xbWifnJQ9h05AozZhUr+7xLXO8N+GdNQJI4RJ6gC4VHk6i8yW11Wzlp9bjksNaupd6Zd
BQQrX9uoVDHoeM596pF+DZInUp9dT6rPWt+534Ze9DuXAAwBkgtP8AplHwcQRW1Qk5Wu9kNT4uEm
HJFPXyiInZmw7un9vCkVlqoQFGL6NphjK2BfdMCMfRVGXl+mP3Q14lyMdS2h544fiWKnpdVVCG19
Gf2QtnVhDkPXBqEu7zVVPCGavPKB6H8+EI6bRiIMya9u0nUOXd8oWaT/s5C/s6Kce9SLtdExp6gB
aUhBJ4u3YgbjUNSb6y69KJd7NqAuqN8t+wV1oxtsptTuwjp45lcvoxhSfdRnxx3awErRDU7Jxk2u
y8XRlwkM+QmJCO2gCTwMd0JPftahed0DWcYvNJXbElMh2qB0vW9llqwjW14Q9pxZuZaFY/ZLrpkY
p2GtTB6m29mBDqdnzedRFtGvq97nMoFh7HRVCwnjCFoBtNS3TOm9Gt6QX/lOT+/6zaTP2ITbg8dI
xMCBmXyssVVLWA/X/Xh2GW+vXnguwVlp2hKlBAjQHTZsaYPrLr2YnA2eqYbSRhvQH11HUQQawpSf
rrv2Yno2lFG0bExOAMPmU14BBVKvY/6yvfrzieCfKQb8Fm1gjM66VOlqKZeyhU/fsne+PMuUBc70
PXr3nEUlPflOcSPvwjr1XjKwJQcnspKnyCv7C42uM2vBMnShTqYyFTOzasipYWrROp7M6wbNaaf7
dtCYnTZEOmXEwKCRUAxmQB7gdaN9mbcA08ukjlE3gcD77hI/lFdXXnnx8YQzZ+oxEEqcfs5Lq/Z/
0c25EAp8Zu+yDFqYhBk6bguu3hGkBSBqQfhQhsU+9mK5IjhduUqRp9uLyZro8I1R47MGT3BLcVqj
M3eAIF81p+zFfBXFYMPd563S8v5shz+HQnm47sqL2Rp6kTuDgcQYpNPrDcPxS95P3XV7gH90n4sY
fUvLQ8moU1RJFWRXBnrpyzQFAR9ZaBWGptqCJRlXpgf2dI6ue97W6SzzZmHXOmHQ16bYTmnxmFZj
ACr0umdiLSYoem8GYXYaKJbTrqjzHuqyvXQaOLOwLNUkYuiwIZctE8nrsVB0uJ+663ahJ03Y20eC
DzcasF01gaXlL540v1HtuvJpn+7mzdOWaLsKpPFNoFuln7o45fXhupVlmZ4gu7I0w4IXiYNwU+lf
3cm+IPA696gXU7KkBy1Ew5rlFsbeVrFuTU8XpuSZE7O1mJPYdJD1lIxtZBDGunRDNkbsc4HKiOxR
nQzvpsGuBB61JxnIp/Bu3lPiTHZOG2HeaqY+7SAxRNZfnTu6X0VOzwM2NyYuT3MekMSEYpXGlfNK
HVJ5Qixk75QRg7ZKy3MFnN3PIOmsRyrDe6j1yjqyDGtbyzQLul6KXSViNEixquU/at3Mt006TbtB
d6b1qMz5SjEs0/WNobT3WpN0P2M4MwUkowYawqkf/XmEIAYuL1OfIANBMlFdpX3S4eDgMintSwE7
517PYqug9ukE7pKPVUvwUJgBRqvt64brMvChybW8pvjZkMbnPoWl+qSG+pWXXqw7Bt5oG1NbE4Tx
PtWztV1m100Ec7Hs2KAK2orMLhLZ5wrtARINRw0uDFjm6Tt7p2XQAwzL3E6drAH5VZAQTbCsjz3o
03UXX6w7DhCyuUHER8pTeCzN+IBb67pv9jLhYa66sMmLgjHSDRiBKbGvU/qwm+t+uPHnqoZ1zi06
wSx2Zn2T2NNxxrJ13aUXaw+RWq5H3Y+X2RkIAWh3R+N1y5q5WHuEkY64FfWGfq+7GUd7fcIhf/yr
tdPce2+cLOakQgdfGqraBCNIztdwBn3smfB6xBx6n2F7tWiXZre/07KkOeQJpymgDPK6Z7Y0C41N
nYAPSlivhTYciWlxN8TQZNd9HZf+oARuq+lQ32Tb7a2t8Waorpy4Sy0c31wxla3GC2myHbpHfIHG
de96aQyKO+gkQHCbQDPjz8ikMj+OhysfyGLahjkmW0Dnp2sr9zGmNPQk1y1lS0cQ3sh6hLrZBAU6
qKzEMFzzbfl4jJ75bBiLSUsERK2RgsEQBX8no4Mmf1534cWUdR1tBm428Dy8cd3qEO8uloDP/ebF
lK3IFQY0y6Wb5FZG9Qou64Ul7MzhaWkE0jRFGRjY7d4InX7T2q6Cp7XJt8IxxvvKyKLrzsP6ooCO
AQB6leSNuqJBNQgMD7X8pVd6sia8t+z8bky82V7qSlF1mYyYm/Nsb1JnnDfUVkLqe7AhAWDkK72a
1ENd1M5h7Md62yGIoQNqq79MT9rXfWz0xQe4GlEtEb7ze0Lc0hnP/JBE3OuGrX56gW9uMYayh3CF
L9mc2dC92gd60hcO0AtDxn+6G/piJkcpjDN0lnwlB0SAdEWT7K5EIkkbGIB/TPeMlBe7kpvKPnWO
BqJp5FgpezduvE/S7uuvQMuKg6zQnWFC8R4cGFwnQCJnTgLTVqqRlZvZjPSbUrGGIxkM4VVPBRPU
n08FlTtMtq6vAwgr6sGaiZazvOa6PD/NWzyXerKbFL6oDGyFHSZEZ2u4FEV+usQ/P5Totv/84WTh
6d5UuTJQYUB+MsemxWNuG68Sp/V1i+jvxuObETO5iS6dnLcq2Way1ccvfu1gXKyhGSEX5ISzHTRa
dzN5f9MGuOqF6r+H6NsfHQtcPxYfrLw1iCWZErJZ2vZCPfrMMrqUXWtENsHHTzkqNvatOhefTKLa
r/zhi50PUu/MAH1AtQKAGi0pvPGN/eOqL8tvC8Cbh5JFUk9A8LJBGJpDDxdphfxSXPfDtcWBxLQI
yyUDqd8TZFx+bsceFD69twtr4u/L/HOgYzb7c6DLycsT+nHdXnqduXGhePp9p3wlYsLbNnoXHzTs
FqswSdVjh7rzPjYgfKulp6460gCO9Je6fZvE7k4bEar1gJDWBQnvoE0M7bp9o7ZYRDgnD660pm4/
VbURkGiUriY+WBee7+lG33sAi0UkBM9j29Wso7BxxkNfWzlwkba6by1Qv0qklzNyt1bffDxUzv21
xbqS68QjTQlBxbXXdHeDp9s33hibt5PmNrfCJlwbCi7cjI//2pkJ9ZtT8GZgog+tlDqhf0HijnvQ
u96DMs8b+vjq76+RiC3+HDohDVcbsLaxzwhACKRKlAPcr3o99WL49vGfOHcDi42VUGulKXpXC4C4
SOJK0h9xX1y32vw+I715ONZgI+gTHGstMf2K4uqvsEyva+ounZNK1XtVXHCEU7Ktq/7Up+seh7pY
CyxvItCidBmrBZB4Y0zv3Bio3FXPWl2sBO3cjohWOyMomLktERW+IwCGXXfx5RzOB4sGHaezvKyO
lLz9JnGD6y69mMC4cOqqtwRCnaKFL6xS9P+Efv7KRt3SgeRBMgaUOjNMIv1u4FC1JpjPvjCFtDMD
XF18qesM/rwCez0wMi/ZOzhCCFXpog10Ke2QZqak7tjG3xN2xZ+ktPFu1K4CIq5SiKgYlE0zOOGB
TyWo/Ouepv7npDYaFfyclxlBGyMVsvsmQfDQ7j+++JkVQ11MZ0JU+XLoSbMXdVnDwIn67tHpZvXF
NePs+eO/cWaFVRcfeiPK0RYrXr0vdJV0LEtmT6f9LYpLePfmST1olnr96eM/9v7rQ3T259OytKkw
vDYyApSUz8k8BGGbXrj0aWb887ukeYu5XozYi+zB1gNmODZfOzEx3yV32kyCBvY878IIPHcHi1kP
q8UihMjUg8wwf+Fj29FavGoVxJz658MJ9XaeZCvqwHP7cg+DaIbmRmjOx4/+d0HgvQe0GKmpOWSz
ns4yKEdAxzcJ4LTnnOwIwMAKeiSR6PWLF8bGA0e++EbpZzfy4XcbIG1N46GeYaP7VjZPt/04Nb9Q
/BbbKYzqu07k6j3f4GJL7TCHTqd8TYQntjmQ6xWtaQnItiWSpzMLsZ3tybjpEme6LWy4pSY0oS+N
NYlVgvLhi5pq6pagWlteuOlzb2sxgSo0wXJKyAWRuGAC3UuPIQlkm4+f6LmLL2ZOAcZpFmKUAXKT
xB9EbBM2SCTFx1dfmCv/+xSrLTV63YANcapFuacXbB9SFKGbxJTpcaozEWRTxoLgwRqcfSuaQ6hi
c6g/KlExk6sgm2MIuH1e62wtixvkoKGvC0NrVgCdYelgn75OyaMtHeyJGcejYalEA6pOf+OJk3YR
CNWFb9X7CyCgkT+nhDnMDfjZdAikpmhBV/dw8wu93JZ9fUkqeOYtLuWIM3b5KSGiF3TM6fuQ4Tax
mqq+bgC6i+WijZNqENB6A0Mm8ZNQsLlrSnqpCvX+2g1q8s/HI1ytaQk+10HieeN2birjQTQs5bYM
vUf0lM4z2YXFl48H5Jl3sdQLmtTBwQ148z5jUH3pPWM4ZpMk+AKN5YXXfVqr31milrpBAFKiijNt
3ifEbxxbLBovQPiTz41qZvtqGDmc90R8Ci1KLsyyc09wseY6SU6oe6ype7xbJIfIdMDnmo+EOZ00
qYcpL+fPhoOG4dJ4OC0O793iYhWGL6F6XW/Pe8sinIkos9okuECN93LoPcCK9gA/O9OjQ2zQAux6
FYpk14erilCgIDdn8whHpNzEOK1wBkPjJtTk5yDxe/hZ3OcbNc3zr9FQaD5u3Paudyo5bFUTa/UY
i/HFDAf7Xu8biOqEhNUPXh1G922JHraGQg1FUElvpzYCXzDXYbiKsJiRAauoK2+KRjKp4r/bTsF9
OnTWLX5bb/vx2DpzrNbcxUJNvG1IgHXP4HKZfavZS6NftTKTZEXClPI3syjaF7WmrgccSD9NI41v
7WFuP2GwSF+Uwa4eBPUmHzB7i01swORmRh5Y9FSIXy34+Uuv78zbWyz5SQUzpLc5Wtunwy/Nz9si
16ILu70zO5il3lKodAZcxMD7TkbTrQEYDuOdieHVxBmq66m1/vhhn1nxluJLAP+qkoRjtycHKls7
MhzXE/WeC6/y3NVPM+3tMbEl070bs26PL20CimzMMRGZ9ZRct0YsRZgDiFoi5ppuX2qKDuuhMdW7
tqrTRzFB08hwBm3G2ZsoKen4lj9+Yqft6TuTdinKrIbWkFHRdftCcdJvpIgWuCNLN12NZeSt8zzz
vqcNTkNMS3l4nAjsqi785XNP8/Tf3zzNEHkpkdbqtK9Uj0Rl+xaW5b+pZlCjzkCyTpPrvdtaLH5e
nsMXikS3F02ONcpTk/7YhjL7buIo20Z5BCO0U71wrbp03tPctrAZVcMrIHpEFh8/2nM3uFgPPbal
JtjgAkOb+KtniVrT1msvPL0zjRQyJf58fF4IlyOSTrsfpEFh10iPJAfV+rpyNTopdWNibqvj+hji
cCRYvCnWllEi+iqIjPN72Q4XPjPnNnNLHSg7Xgx5mVYEpMYpOHAzbedCmGDbjZZkPeGDwWBJcotK
j/xmtERI/BJ8m0aUJxe2m61JUM1JROBn0vTHHU7kgJ85U3Sh+Xnm474UkxqIDgviDgjXdmu4qkab
AvueMJCCPbvwpn9X0d4ZbksNadu0FXl/MejykL2+GzZ6S/Qo6GHfKkjIms3ePRgTOo8EhsW4IWOT
I4boBbELZDpjA+yNT/WIQuiSA2JBb/nPFnspPc3SarAaQbewJ9T6Z00E1Qs+Ki3xu3okDicqnwSV
o3WaMTtIGAL4akA6J3grJEn7wtA4s+dZalSLJqUaU4tpX7d/aUOzTcNpZVbT2nW+6a0TDG1xoWV5
Zqtjn179m6Wk6UPwZIZJytKsBOrcddusStW9JuxoVYJd2jhlHF1YpM8Np8WyFc2kKkLa0nZ6OhEt
687DIZsB42Dc6C8MpzNfy6V8dZ5z6m9mre5GUtahgpAi3eruS26hxKBDGm6uWp+WOtbZofLSzmUe
JJOxOqW2VtGl9ffM0vebU/PmhThZPdpKz6X7WFl72p7wvQtj6tyVF9sUtyO+acbzGZhuWe9lM6YE
w87GhaufGUhLIStKYZn38ZQFrqZXwym1AgtZXNfmHQX5aRcBmcLN7lQ/Pn4D59aNpbRVmHVl5InM
ArrPdtCkvfMjHAdCZG12LqTPAexRm2wVDzF6EP6f9T4jKCKwS6sh4jsnTi315KU148zIXophZ7N2
I8uuh+DkkSZxjVUCIkt4qd9xRnH0T7paMxFoFjZZoMKk24rhtO2Gxkfy6JhHdbwil6kKIF6HDwqn
+HRbtXX/S0hruNQ9OmPk/A0IfbtOZBMiCgqmgKqGcl3o5CZ2U+/DkGF3PW08+z6Lsk0ti3tjmPaI
JDe0rrZeOiO0CNe6E/2iHLqqE+XYqhtHRhzYsX+GzS220TVQ34Ml0wsV+HMD8TT830wgw4K+Zmtl
FvSapa5TMkvxahIxQV8bfAWUo+nOtaOLzflzn4ulNDdWjR7SXZ0F0OndZt2BzfiuD0b5nRSllhMk
ZoNV2HrWd+BT8w9t0LTQr0QyNgcitOsLy/hv+cU7n1Hsun/cdeaaIk9Uqw/I5LBgjbtRcsgy0p/C
3kq+ceyJAjsllxS93Xr2unXhzMHg0X0WhYx2DmGTxbrNCBpQTMAgcjhB1qBwA46I4OgVRmU8O5Z3
csBxFCW+lrRn6VXypVXG8FMyqdQC1VH7aZXtKNcfT/Ez30DT+POWasazO4aCMk/U5IT0VA4+f4mu
t5nn+YaMXeugmuSmZPYwXGj1nZnH5uIpKkpjVK2tYGiZXQzvka0Rl4wz9RgVsXz6+LbO/I2lKrrC
iK/A0esCaXI0IW5HbmBtEbQ0Ne3u4z9x5itoLVZ6qegm8WxqFxB2B+UN5OgeuEl644xCvVPcKr6w
CJ+m1DuDbqkgznqCckmR66CiW68toeVfSV13n6+6CfM0LN7M43RuAebVTh+ouREforYgnsJyyi7A
OJU9mM3UXnjp5+7itJC8+UNjHjaGoPsaeE6zhT+8btJk8/E9nLv06QW9ubRX5PUckgsbxCrR8T1f
QevC5/bMK17qW1mFizFVwjbIZifczVlm3UKli1RfhXq/S3OHAPiP7+Hcx2fJvm804GpNhyW47ptS
J4+7mzdtEY9Hk3PJBuaOs+6KckeP4uBWX0gRubIksZS6hpYHnsipc9QKo7qPp6LZFVYzX/dullLX
0BwaSb2m4LXLu1lmr4k6vX78yM689qXWtVBg4tlFXwRD1Bh8MUf10CX1pRdy7uqLQRWBmrLJgudw
bJGcWGeEtA2Z+PLxTz+zOi0x+GWihgNksCKIo965nU3Yn1FDlqlMDe3vj/+E/fts9866sVS+OsrA
Vtzm3JtoOf0ROGWEfZWxNm3BwqV74WnRC/li5LMPZnFHplFyTKNO+p2OUWOtERnzBXJE58fPxiEh
Hq82lPsy7WK/DEX5t+qm7dYhm1gnz4hoOSNW3G02qAS0zWK+y8OBXbXTxa9qRV6ZJHY0haTozT8x
W9DyihMGxMbgGF5ATTp5RIysU9bSUvofyZSMW5jn/ZdUGOOjHikKZVQ9WTekxexaYvSAc5WSHB1F
GEHU6emnroFaRQDWvGuo3DXySziFqj/2g7h3x7qj1ltMk5+2VryTpuw1n7LlfFfMpsaA/NzPJNST
DKTTmia0sf4CqDYmKDGc0mNXK3XlDwQ1gdLlp+wE5V8YWzAwws5On7OyDO+AL45kCwPKjXvTLPxO
hTpGjGkegRXs1U96MxIjiqbxmZa1CLwyUbjXPFUfbF23hw18p+Q+F1FyC0nPIyuoCQ1fabxidToS
u/QiwV1A9Wj043wKJiWNSjF2UE7DPYdyZ+0VabyLEjFOqyJqpp+n8N5DTNhhCYNH6SxfTeLBXfVT
7tmPFsF0pDO35Cg1cyEfMhBp38NOS445QdrzOsfqcDsOhGKvUtmLZ4vE3WTLYjcSYhzpNp9UVbfW
dqYoia+InBBcuFMgqBrp/XXC8x67hMzLYiRCG3D4UPlEn+lA33LiKjwrNdbdIModpaZ0De56+Jxo
Mi22o1Wd4ivxR1kxvQ6JTa+QR7POjCrwhmzs6SFWBE3FRTgbpIG2EHqtjsT2bSLKcvjctZpJRo4L
QJqBNqKZdk2VgG3RTJ9PDcInnTohWZtNp02PoI70n0DV3Nc8IgLVLxzF2nMm7O8yRxX8VdgigSKg
LW8s9CWJ3zucdGEHRXJFaGxNAKGTatqayPX4b9BwWeYTYF09K1Kxbl2CcHfFZFefSVNUVz1+xBXZ
reWqcntyvylk21uk9MhjbbtriTjmwPiq6SRE+X0yEWQGgttel3MrSUauHTtbOXOhWisrdk2fmJ0K
NB9zIqdlkFs7d5TNihO+dmxno+6BmVeRNa7its5vBnxSRImOnBLqisrXOh491/lVEdxCUCbvGcZv
ChBKzMDXwsbsdlVrhMMqiQrSmxSNdFHf6okr92UX99vpRO4HCQr8y3bHu6QjoYxEJrGu0s7b5vY4
HNoOLtYeqKjrkmSqQA9z+0SpfC1zYyLoVOfWMyVwV88Gau4R3rWayvjkMfL6bEeAbHaEHDZX2zAl
znJV12n8PVbbsL4rKhzV92Oi9N/iaJyLwEmaot0Mbvo9w6x7yKStx7fl1Bf1Ubc1qb40rfdLzROR
QzzDB76b+nAU60aN7XvSsImwHyb9pwR0c1+bdnJv6XpCfKad1355Cqb1e12ZND/pYNtBie+Ll6RN
63vKYfKRn1//6CO37QOFlv0neOzZZ2vKgHnY7gAfKwfZQG6PmSPIm7R9mdjZqcskDxZ0OulzciG1
2TS58hxDHWJ4jeImAlm70wF9fqZ9796X0DY3xOaOT73JcYeqZOo8IrGsV1Ec6coaUqNYl6Xt3Vud
oEPbSPChBAYeQJvVKyfuJPs3R95ilc7WBflBn+JaE6vBnNVHCpnOJqb25ZuVQvyl0kNAVCbegY0g
d4f3QN57yih+qlBFt65bn0KjLOc7mhG2WZHIv2klIDdbjc3Ex69brHphcN7USA6XxHJvQ5to3XWc
Raz9Tgo/NY2IYiqUqj6QQ1VseOnj0Ruq9FE1AWXaLjDBmiCBBCm9qY0QvOs7g3KPY8mTqtFJq5sB
WYmdFZs6TfZuwtELx3phkKw4Q5Ts0j68qU23/+H1ol53ZKhBVwDBPEShupaJ6ZAVZiTRsBldIq2U
xrJPCYr9faPW3Y4w3eJTCdOWzS8rf+uLE9YQPlk+riosNYEKqw7aWzunX1zCND5LQkQkP6tUV0bp
CsuPZlE8i6otaBmyIvpxFIqHNsMe5aPFTjZMqGkNUIbQ9t/g8HGUkU/Rz3m2Bqf+Bah4XtPlRSqq
zKG5b+0KFikZzXyOa0/5ZMqMM0ZoZc6r3pFg6k+Nku6JE5xXs614t9JzjZuyreKX1s1HPlq9Iled
PZTPah1WB5eA42qt6jOUetiaJhmMpS4zMJIoj1gtSXDxu0iIB0tPSQHtYsIwV5ZQxgdTDLSoZguk
KdbNfEtKrLkqBr25q+fIuVVJUeNh8ekEPWsWt3MKodNPrIbYkNnAPxFq3sOoKf1eAImqfNVyE3YA
xOAqXlXfNtQRfBOr1ejXfQVluZDEfSs2ODjUKyhGHKv+PrlmegunYPwrjpLuQKBd9OoRRRB4XqJ9
lvPUbwYrgt3mhQleBke2JyjyoP9Uayc6QMXWfwpzLHcm+4qndrBjyHiS0OdMLynj91DrbadqtwQB
F89Wm9QkYrXGLkwVuTVLzQ0K6HTH2qM275Int5ZjbBACDMe9InrO1/SsHO5KWUj30fNmiwy00mRs
kEjnZTvXtlJwVak7KD9sBHQgVKOxBfuM7ss3LaCUMXuxxzHy0mfDDavXEa3nMRJ9+0lSQ3lmSYUu
HWpaMa4rz8ulz7rI8pvF6QOZz6llyF3e8/UhwK89pYInUI8JrDOUKCnWjhfZN+k4DgbOlXD8ZKei
NlYmUdvbrDblIZbZ8DjpY7bVExGFG/Cp7s9OS41Np9qhexiSIT8WJXsy4rE8Ga3quCQAgn9LUp0H
seOxjSeNGOLUVu/TRC2/KVWj/NU20nlqG6fcaqNu7+tGwSAMHfgIlZWk7wEKHrGgjlK/mPC9XGps
HlssA4Tm35CY6EnM3uikq9oq+r8T3SM10BFpxjYzkbY/OUYlV3CkYCcWpnyIwPuFm7InsbGuvAkX
dC2P6hBOu7hO0/uRimmxjUyS7mZdqQd/oJ1drUQZkkTj2OnBrvuXrnSN9albStzz6JQ3QCoTw4/b
wvqmamjxcBaW5o82kpGxSsKG0GbLKrutqnESjLXBvVXYzT/nJpaqTtWLZ2kqebetzQiOYCoBSkWh
E/txB8rflwJLsz+GVQwvuEK/4Vduhd26aWCMrUYzLuFCd2HiHkYoscmPjt32lv0VRaYyK5Uj4em5
BVpXTQBxYuzO/MQkCgz4vBc0zK5ypRtJkgetYngkvJpavuk8jeDmLInFrePVY5DQdmGAJqLofZJb
rQMCvuK7YtWU0OxK+RYbo0JmdSbYySpK2N+CfYL5L5yUaO9SiWPfUDS5ykGerHPLzZpNhmSt8eMw
4yCDIU4OfN2sxqa3DZIery/KzFZk2nM0m9aPqALK5rUugSIkpQ0Ppwij50ROOiDksWRvM7JVn0tT
xeJNdfVgTqzlc2siiSSMYedkDkVQ2IrFja5oxhd1aru1w1qHGr1VbyVv1vVVsPaQ31Ijq0AKD5hD
C7RLq65PU2cb6RP6OsPNo52XD9p9kYk06GZ3G7lNSnTrIINhGsM79p/MpDrpNlY6/YT6N3pPCLBt
gJNVUxu7Kmrs1ynsqm41VaOmB21iqjn0MEW6qxkuO49PjdO7JK4q3Kk0qQemJEE5W1Hgqi85eu+8
EQuZUIoIhUlcNRB7G3PW2a0JTbkbuzaP7qJMWxUWFKvNxP5p2HietFDz4W5ut03XHvXckcR9Amr+
bln2LLcfHyAh9J9qgO+dIBe1QXdsdckkEbtJKtzYNJfZsaB7exfXcbf9L+rOrMdxI03Xf6XhexqM
4A6M+4KUlJIylft+Q2RVZnHfgsF1MP/9PLJ9MLa70T0DnJvTd+7KKiklkvF975oJb9kOWg5HR6b+
+zDlvRV1zTAeoCL0jsJPdp6e297z1tmMuq5vL4z+7OwXzgBHUKZVE3a5YE5YvHlk21gSWnnolPHU
TqxGeeIDmcy9NGK3iixS+Ykv0GK8wqCnKUMtywrOwSJMQcbEWOwQyOe3WdG03wrDik9BO9lGaDTk
pYdpb5My3cQSnZGl1+FRNnXxnMZzUmxKw1ebhhPgve3nYECBtk6HuugqFJK+/RpXtnnHjTdc1T27
Ab3cSIC0mCduwlH6V8PsFrSiC2CiiB67hAy5xV3yYzqtBg93UXAwukDBRW6VdwgIgie6gadHgsKt
x8mN071neOu07XwbOahHvEq+EbSf7lvP7Q6VVOkJwv88gbYUZUXTmvIZF+efbQDzXzu3teqomav5
hyqd4AdJj1Mc4utzr2Rme94pxlNx2Uyif8cgI+lHCRr7sDhyuR+oVbDCpGOgDYPAmeOttTbjh5Wv
cl82mfmm4HReAwdFNbUNMt21WVE/zaoX73KU7KwZEe2WE3c3Ng+6bDMWWKDOTwYq7Mlzy+gu94+q
8+kK7fo1J/rc1dNz7TfBnSZN9pkV+Tme8ClvEq8ovgfd6Bw6X1tPlT/Y13m/UN+cWQtfYdmUPTO5
TSFxqtr4cVpcJyFiOulOc5mbsCCkLmMBaEzFsDvZhy4JrDKSaDeonF5b0NjK1Jc+ucUPpmupzYyX
7VSyo/Rh6ojciXTHmr8hMvuMbowmXclVQXT2bqKl4hKJGAQLQ8Gbo9P8ZfGrXIRm7HrvNJxq8rBB
Qj4BBahrNzLAugNgPkoY+kaNZ/pgnTLkS/NQ7JJRzcpH+0p+Ke2xuLAAXgnmHsz4ydCSGYngvuF6
hDybwqWj8SqqyQxhXSa9mXJ5OsbpcMfL9kqJR3nXUS9+2ZSVOs4FPxYSzt7dGLh0LgdfsLvLrPeq
rVcN9nvnCSqcJBe5DL3ESK5TKo/57vM5vnTWrj7EhmPfWhTMOxE1LhNiPHI9bxDxqAddGmKvhJyv
EsJvb8jryp5QCfvE+eYU+IStIZbDlBverre9jDByZsPNyHb7RjBbee25ZHkWzH4AF73/zZvy5sHM
qRmXVHm/ezVtWiGRX/Ujlot2S7qq2miXniGq1PEahBXcQIaLgVqEsJoaO9kII2nvfFSI37HzxJcQ
0Vm+UXHdXwVMz/SJdxWjaVuSe+0tERy4/50O7fjR6VoNGtCuhGOntDIXmS9EVLSVeJwHe7jRIluf
eaSq0CME9JXQAe+V07l/pkpv7TZnPuE2qI24h6uZ5LUR5DWrPMWofchcrTejF9h7g21ObgeO3QDr
a51+q8yh2y2CMH6e5GLaUBwvqWpJavnDSvrxGY2hY226TvjPs42AiTRvDMfEvI7fnLykal1Btm+r
Pl+qsPG65WX2DCNBYAVEQzVB8BKs3fzld4IFf2Roi9aF4HMttfyczbEPF53iHC9df6x3GnbR4sBm
1ffmOHgi/tj5Hgy6vCSyxc0Ic+nqR+o77KeGxgZmpllde+0QPNjtOPFOpiz45vROs1HKz46KzuQd
5j5G4Ny3AbpUXcZfjll0KwFlk941KMrLw5hzphKBX9tzCBvp3uPDZFQgCm/+MaeGu29FP7ArFPa2
AwI/GfQvPeVz5qmNXHT2bIO051segwv9NMsSM2tagCNxXmK511bWsVNQWmzQfSJnTkGTli4Wv8rE
GV7Ar+3Qu/unPDUz0u5ZvfrtCFLwpIJZ7vP0PIMUinIRX9asWk68WBljRJZfyUSsX7qzneei7xyA
njqgwKDI+we7r3jCpatY+FERz09pZRBN3en1NNsxJlOPDvTDaFXEicKfUEuvmT02fETtDYBNdiUn
18lDMnS8c+2Te64AKXrrsSpnDripymZOKkdXYpNPTULoBSwr/xISsJN0x3WXNWl8xJ5Uf6N+zY2E
WZvqkofhQnuEdi3qa4AvLpaibpqo6BNr79eGfqi7oqFH2sl9CqaCmbaqtbFuC9tedyhq7Ju69qpD
2fbgU02Tmm5oLkq8NhINDO3TNXhWESzhgg0twpcQU/1WdgeLUu77sS2KqzprevL1zOpQVEsNv5Nm
V+syufsljdudWxclunGzOCyjbV6qwWxv1GiKfarbtgDMtL2PsoP25h4oly0oAAWuq0ZIq/2O5X5e
aSTv8JTyuCGff5cNzAwJLTrH1aYXYzIoJlZTDRrS1euDcKv2aRYrh2bh+HG4uFn6nrsDtenOuShp
GOgTuqEnDHghHSoTU7lLSHtvdX52ICilvuZQw9xIrPsCAAczm2+ddKbgIlal/HADXR0707eP5CkN
R2/AB0XZWlJGQOjWa02NxHUTGzS9rEyyG8o/HDviS5urHQkJzNGVRZvKuFbXdcXk4FHq9JQRXQJA
2krRkppfB4eOa/O1cgKmjAa++9ooOsMOx6YrdgUS268yVu59ptmNzFWsd30qvQNLWcblLJaZ78hZ
lwNq0Pmsqx7RZhST7SF4w97H2tZdq1bU22Fak11n9OJz7KbsNjd8Ot7cEqi61cl4U3CPvikg42hN
EPZ4yK92qzXUB7sqh4UnFV7H2VwJelI++zvO4oNZlRbR/5a5p4OOiCcy97c0BzpMuCNGPcuZdtSa
ZBdEJgQvA+/pgVj1/iGQdRx60pSvNbzLntCXbuvOPDf8Qn34eeE/lZ3ZEEddtt0GNYQdR7mZmve9
6szrJqALIG19deTE5lTrA8nwQVn10GzsVk4fqyOMW5W1S7YtcfdsG+qWNjAjpMqncxa8jR5qlmil
Z9FnxLXjrQsIWG08mrTkfebmenhcRjWwfsTm6m2XxfMOsZMvy8ZoHfoDUlPT0OGhd2RkbOwuv/Cd
WXihR73EYVC1JOWoaoR1tCetPhrPNtoHb/ayi3RQ1ffq16++murE3cxlV3LO1ek8hqktWFLGZTQe
hsTUfQTt2NhPgUGr13YeoJy3FoUbEf6PbN87etj6IrYfmhT0S6xpR6GRHWRXhR/Uu9GHzwjdqRA+
84cDlrAiCwvB4ps3qxHjLpajcWISEA/UBjn0/sHN9n43bxnPhg2dmP6p8lLzamkJxWc5DF4Hj6YH
wdvbZxW4tafyeW8DRgIRZNV3TNZeRFtfdV8OHTVGvu4uaDEvXhb2xJ55TbVPy1D0twXdsi+eBO+h
Xye7qKSrXqgYfTCY43eyT51DKzK0JYKz5GjP3fjRdczRXpfTJBPId6l55IBWGVEuxvR9mBtYnY6K
IGMdl1flQmzbLShjmPDUvPEyf5Wh7n0olmGUB1vJ5AluJngSuq13PQapCwxmmL+8drFPsAbImFwS
YLPQHqvlrnCU/Zlou3t1fFdR5aTTldObYORtJfPsaZ1w8OVz0nwBvHNWzRQvN1trgCjI1ODcuPX5
ulCAIEboLlnXbChcj29qmI9TL1TmbBsdtHeL0j5NBI7RHb1UmiA4iE54CCZiPq6GlEfW6uEaZ2B6
FfQIY5AnzXRCmoGhyESZiluRmf49NEF8WWFlYmtKhE9x6BQcbIcA+FIU6Us9y/ltXeN+21urAp4T
w27MJc0xZMbNT/g3e0pN6vS5MVR3HAwxbjmCUPi3Pd1JQDyf/H/9Bhykui3dKji5XUrnhKI5njD6
/DNJnBhwxM03XuJjtB+S5JBy3V5oq8BGArlK7U/WOkfatNLLzqwCxrzYo1RlztZTSxHEHKVL0F57
ANLUs6OBAFvlK9lSBoPZYiYTAZv/aq2RMQJM9GZbfWRxalI5oud9rQL3ql5acZWrDLuG8seDTyz2
Q+ZkpKl4KSQC56Uq3iiy8eAgi7g9DL2L5w+6YYKcYKC4g2sjmbP2MsJj1WSHbZX3LDIQCTugBO/D
UcawXafGu52R/QVItoocWVDbqYkwxbz+pNTJgw/isZ6mcf02QZLuDYS3mxTkbA1X0REzsnglJUdT
PhoCw58M3sFfKP7xqAOj4Ag6Pp5hanLaltCB9ea5pU4XLw3lJbxvv1P0qbg56bCVd2EUhfVKkh4X
xVrmaF64hCmkWeIMtVoFDGIj3Cwjxuf5uUvOHGKarMYxSE2GJ3ta+jufT++mbY1s2xnLcjHZQ/rB
0p0/DVZavPrzkH0XTsyjCaB82tQpFCMg91yf7Fx2XDzlOm6CJXZOrqzz7Vpn9KUUOn5YxhlbcMvY
HSYgkBd6ae2tvSzcYGgdNhxI2T4oDPcHl2B9qNYa5dQQYBzkerhMgEW3k+VTEDUVtYzseFkeu0Dq
qz4VfcPBDGcQZWugLhhD39k6x3NYz5oyOXrmcZWZx8YGnJX4zcKwZ+RRDxh5qnLNralF3OxTURUF
O6rwr5WeRBc21SBOrFzlxUqZ0Q5xoziSUrO8L70dvHty1txJbpWRRt2lraCNYJnfqL4N3K3BL3eT
eeQHsTjVWyuzpmt6+DBiWr0sDwXnhb+tkkrf+QlDiCkGqkUSJ7jPsUgeJvq8jzY9CCebaJRLkjPV
aZr7+QhTVz11zsxuUeAqhON1d1KcTwxSikKVpiIy55T4+iJreIZ3EP1yXS7kMiUX0i/N54RjFz7f
EdgMCOUJQi2A80Oohek9AH35pCGScb5tcyhAr072/iLmQwWq3VFiylA2+LnYAcWL2zGts5Dhqd4I
jidau4N0P/PL3AYlPcAhqZIUMw1U7uXsj6jYSlakai6Do0OpcAgZT6E3ANitgfxNhka3tu91UZh3
9ByLI3nH4lCaQp9imsVvHCdXn2VNs8oV5bQjqgRX23tafNznYqj0my2E/DapvN9pJ8FD6+vlpc6h
cC8HEVB3WC29ee5fa8cTD3eQE9vmYM4RJMx8H2+zJFuBpiZH8H3wbtXOQSz/NS494XJDVqPm67hz
ysA5x3aXwfRYVUG16es5qPcGUZvAPNV4v6aeL0KgObVJ7ZFERtfxL3Ux0MFjN8Y2JvX7CAs1vVle
XO5aAwuuNvMZnMA2drFGqRiTA/edmgTIcyUCtYUOazZuK+Mfs0ODGPES2VdD2VIAZWI0oGyjvxub
Qsho7sdht1ij/d22xnpv6XI42fWYMFu3jfVOsZ3c1tCst2JyawxaSsnrGqBmb3p0l6XDSNWxG7SE
dtmg3akK9A3SSVozaJ/tngdSdLjKFxqfVWZQGyeS6cpMxrwMJ1FbEc15xQ2Wt2TYZvRac1lRntIC
pUMQh1XVNPSNmjT+hDpTUGNVazUvPP5wLnOEHSq3XFUUt0AYZAk2D6guxMZZZUuPQ2awMne+FXHO
u0/IJmxauImPBNFaoCMW3v1DHNjVvQMee91Vrbkt1tW5s4I8h3cokyMDYHaEkku3fHvFk0uEoN4J
R97T9UUf5VxWyz0Pv/7AHBoAT4ricx10G9roLKIB7hGb01qKewOn0X3hNNlnUlf2ZYdp4XsxnFFv
Z16dB12Tb9sAUe58OrxDIL34k5CKb4mn9LYzR+beaoDAY4zY6rSPQdcr63zzDhcmnmIoOPh9lY3F
jqsaBDCnKzcTrdyxI7O35Xm9MMrVyTM23MCnZokuyizOp0cyk+dbgmuxHpcOkhc1lOaeBC65kT6J
HgY3EaoN2PuLwpv0Jiiq8loZbnKVe35xP5NOCgrv2jm84TxStarFQ0YgeBylle1EnQC/z3I/e8yq
arouTfcsvW3B42ceH/eunMFs6mTdpnNR+XtlAuBSHdPy4CRL+0tQ2X4YRW2orbEuWXq5BEUcNjz/
V0znbb+pC2CvzVSAvwixEGJD9pbe87BLTdY2syLCMzbGU0VjH6VNk5uY2Lyk9+TCFj4hLYmv2Qvk
GHWp8RIbetpZcW3sAfumvRWnlhWOa5cfc+BIDo4mmJ/nYCpeUoQJh4b2rFNJdMUVLVrOtV9jLItK
qctt4iaxEcKxoyisiz4raNfKinceqm5/L4e4yjaTmwcXpuQw3hCVW1vfapWoTWk2EKQ1ubh6lT2A
2EiKU1SV7WRulG6++Xk32iH9oOmFY63xozshjbrRBuYMMU5Z/2iRCxDsUsa3PML8ldcXY7s4/B1h
STd54DXmHx64/4YihHpE1sBvt9F+kHDirtmL5Cmc7BiV9XeBIOdGGC6oS8PtSeCDN9UZex0v/qzJ
zDsRoJmHyjboscf3GGJWpUuMwzVCRN0dZtSaly4sGd809ZdQ/JQnGorOWe31rrPtpBtU+zUu4uKS
YXUupoi0DC9ODucvrDRCitDcDSwZGzQ7DWEEReeDvVOzduocL67vhZU1tJq2ZbrxVBrUG0we2G9S
CnEpjSbO4JNZazCZMBRVcHIAKICvLICYRy9mebUqz+LH1cQQtKTuYkQrM/1AExAuLplX8RO9htmE
Tsd1pguXbrTpmHRF0oQJaXLGewM+s1cSSptzePxEx2N7b3UOOxCmQWsw9lWZk3PiJYOO+Jxs+wIK
wvtO/aJvbsnHLYAXZFOuF0Iic19VOtibbFXyZoUWAkWhJW4JXZpGt9q21eXsFO6HdHpIodrwaxla
K0UWMYqiu2KJ3ce+alCYpIiaLEdQwTsNy7HyMRjbdIqz+YMeRj6PMKZ9u3dSvjrU9iyWpIOVCU1t
pu/S92jRp1kBasfjzswTLApY8NDZ1NMbX5i/U4OyjtXZa9Qhu/42LRo/mwVkdh17NCfvGXdnc1tR
xvgGeqq/wHnrtyxxnQfHpDY9zNFVXULpIIsrep7areGsGzUkDOjow53ymurL+UdnzwFVqTZc80Le
xbfMXBn2e5mkF5QRmie8T/2mB6TjUPaT4CLnwn4PSLzsItpp7U0et8M7lrXiJkXS9cClnF5T/Wa+
ybHxw8aa55OMneVGWLNLvQDVcBs6qdhFusV98M/V8pwc7o9SJ+vOzpuOs7cxH9dmHXbc/3NEs6i8
shlvv2x9RpY836xeWn+hxrSCteajBV31kto/Uuo1fjeKDDK6TzUsMxCBpwsY5bhpmz2ime5jRIZz
afS5vrT99AccVHy1kPwgQmjO5BV/jp2iZsn9MtJZQReCmXvOR+vc2sXeqEkOkJTF2ZCnKkwnt+KX
EO0lGEFwVNLHClqNE8NL6jc5KiEnSS6xfqyfk58usJACmwqQ+kNPaddVhQT90xmM6s2GaiSYO2vV
GI3I4EMBQ3OpuER2DNHZdjSM4I4bMLhv2jK+6Qa7jwYGvN28iHpTqgX4mlzuMkDzkbB9k8ngPQZ5
m9+2RlN/TEYJArrGDfxPrJu7kv3Ejib8ZdZv0vr/1zV1/x8V0NH29gf6dfOhP/72VWvUQtcf1dcv
Pz0Mnx/1H9vnfv3539rnLP9nh7pNx7PNgKr74GwUnb56/ctPUvzsCyfgHgwon3O9s03r9/Y5KX9G
rhuAnXmILD1xFvj/3j4X/Gz7/I9/x5aCQEHvf1U+55hn28Z/s8SeBRFi8TA9Dxd2wJj3Fz8Em2ih
V+2+EucwuI9pR968HyVdnpvqyq+rxPtKTKb0dIPJgCvq3dYTLnIepXW17AHehRnRjx1DKsxB0SKP
5fGXRlRdpivSBnstM6ZEy9Ly2pq7pZa7OPNRo+Tccqy0lePKHkl+N6yInIny3KDbd8+KDFgj2n3j
2ZLXEAsu//RgZDVXMA3rjVegTa5EepHMve9+Q7WVL8WOLbHu9W7yLafw8O0oa9xQBur5POaslAUv
gZ5D4Up2CU32bWA2Fz6IxhSZuZwz8nbQApKtuybzxFJpFLl3LFwjGdAtxIsErE5gw2mmPH+XR9o2
Heczrx3fPDWOcpjkl4XhL4wRYGQ78FoEH2L1lRl2w5y3UUMagwybvEZVsNpD1UReo4RGIAQYSIV8
q1FBJBg5fIcxGfy+z4v2h9U0FekRq1PRVmlaidd9yweAwms3SRqFztNxEGCtYH9O2M3lCDFXc/QX
YdX5LSW19uz7B00WWvGDaLeaku5MJmSqmH01FFsDSW8SLrLkgPIt0bwg0CVX0lfQmiAfqw7nxEQA
psqyuwW99F0IS3t44Otyhqfey7R1CcRdkOlICqt1ojGYebkrECiHsoOnzAeO1ajjMaV3aAkn3p4E
a2BooU5PnW3jPPy0h/8NKFiV24ILmAV9SOnl1uOi62Nl9klDhSc/mMRW7UVd3Fg8z/GtIdIrLMB8
x53MF98cTZ8VS/I32ZVbbe2ytfLuQBBTDQ0WIDuoG7eYx8jUPh9mPc2MOYFe+YVFt/BbemO9Bi+i
rGxvY/Taa0GyEdqEyHSpP93UiUiHJornLvXDqow5o7vGPjNaKc1z/g2F1swe1Pka1rwpOK8/p9jC
ouW5NXoHJmpntj6SqeisV/PsdPLwyxstwSwBRm55qJsesf/FWEzxtJm1apBHlqBU0Zy0ltwMSWbd
1Cy18VatPkyxyBEMQ7ZzGLAbO6TyS6Q8KgL6b5cLKmmxuoErpLeDcKgHHlR5Ftj5iw4pKKR1erFa
cwhh5TMdIhlObrlj52euWj7GyezrhN7T3HEi+AV9o5ByqQhRHn+Yj7EKOFWXPtgFg0UJsjURR90M
Mr6YjLGyN0mu9HtdudQHxqv9vpqT9wy6hkZ3nK36qlRJg5vfK1lIB1z+3plDAWHqHTOYkFG5s80d
knOxlW2JOtxR0nPDgEDYdQOFE2RHT5t+RgqM24CNls0cakSh934VqNfSadM+bClRFkTAEPoUseRx
qeCvHt86m0dM6KEwmPataS/NlVqNdecxBPnvGMB0g2DStuL5RlMMqgmNTs4JhXKqyLMpZ7+vj/Dc
LiqaicF3kzfS0Q+oDSmprBNNOk0x4XwOoqStz/I7SaZaPrAgV/nUR44l6HnXRWCk94YO9Hyu7J1i
yJ5FksQBeQ6RZp8TTGqJGJ75lEI9SvuyaFxbBzAo6MF7uUoL00SvOJlCHWY+jmozjY2VbbNKdO6l
kRjY8wt0Jv1pGQhLuOS+Tb0jzoDa7zZI9GdFJ30D62xIU/lrpKGZLX49l3H1u7TMdHyfgxignE1t
aKM+IDfkhUC4XC7ppmzZd4ntMuYFuDW1vVZ8Q73gr8WBqtxEVqz6ljJzbA65mzytZu/cZEmF+UEn
nv00maNXXiU9AWkX8KJKXbTlMJtu9UpPMg+yYDRqa6nI6FmX1HxwcUc4vn2JCiZeo2Io9EtOIrOB
w1G2w32duaI9UNESM7Nzw6QPVYqSkAOpJIRgtnDchVZzZlG8VKN1LxNLAi7qwLTuk6onKcgPYuAj
0Tuo1ocY4ENWRj5T8NTGMfrjqbqOx076m9o25YdvlqnaEfyBpUKaaXXdO2d1S+meg5CS4HxJmhjN
JCLLvuvOm29dnpwOmQVqP9fVAGZWUUVFWhbXoyVWDlMoICwrbgBepvsyXi46o6ymix4C9pZJjVSL
PAA1OTT49knFdXX31RMm+0qV3rrskNJ6JyrY21PC2XS+NEzzCEKJeGXK2ET31Muu5wm1X/GIuT2n
Z8O5Kzex4KGy84zGTXakbNAcEoGzLejTFj1+GGxZn0kw+wXLo+zcHbESLd20OfL/SJoAd+GIr5RL
Jjk7XmRsm0dqpEnayBoOAFTjVR93YW8ZNSrTrgn8UAeVm7HD+U5GTkMiLjOrg4kPPGd69x0oy5Ce
9bTckamhmGILD6kjPg6QgxRLJnG8Mi7A4VA3hMu6dhW5eu64L3TQT7skb533uU3J+gjLgvimre/B
DBE1Y6h1j9Fdr/cugik3CizLIhwko5CJC2oeNl0wu2ukMG48+GbXZtt8NtNPNy6RAhqDXo6EydT+
hoJ1v9kRwD4S3lfHcJZWfF92K8QZUsTyOghGKl99Y6k/qqFvHyejd2nWGAnbhC6RWW2xPidcY1lS
i+VpcVOUmm2fxQamISlvbDZ+rLuo6vIbVI1rc8j1wpOf4SO940liwfcNeIVs28m+HL5lPtAK3fvr
qKU9PNV+EAxn/XVTR8qgHP3oj/ZoXtTe2HX7WnsrzyA65HvGgc4R4IVV1xp3WHcsTR22cOU5sgo+
L5rMYEV8lslvaTcnD51lI+M3UmF+x4SBnTgrh4HTpukq5Ft81vdytKDp4kl554MvVaAjwvxU9jCM
QNuJx/dKDcd34gUEj1mnqvLI78FrwtSrvY9itnwZMseBNSOFty5NjQ4VlfyCxtVgipm20jPlwUGr
gQartomgyTN7PKWJ6IFbVWs+qVr/qiILGCoSvB7txlhhJVCTJAs5lmOf8TjWJW8+R1zwrVKJhzTb
TPUHEg2NkNhKX4yxbu6J9Vjk1lsKO+cp14ynrEH0GWYjkFvoOiu2jkxDi29qTthDn5vVj9Fx0qve
0/GPfh7NV4zfdnuxjJaDTNKkTV5lcIth4ydKHrQxmhCMI95TgjfjZzObevbOoIlfOgWqzcnWVvM2
GCEI3uZSVuNj41K5U+Ncgsu6kNhAzI1Rsiv8u1iKP/tkzyuAZ7GiBK5vS1cG8i/O7mDsnMzglwJx
lA3eF78ty20jzP4uIzqt4sIcsU79YUG6/W3B+FsNi9jABfe//PQPr2l7DluHtGRgB6b9VwO7ZGMa
/R6CxxNFdYkIwr9YC2PGMouSqij5sP/16/05iIrfkdfzbMRl8vyC7l9fzzHmnENBuGeX0J3LeRvx
GQ9bJNbBNgGDRMQsxo0c6mBLPc74b4oV/mxH/fXVPXoPLIermDla/GXJWosOSZcomJ4b19wGrtbR
LOvPf/0r/tmWen6RwLOEZNE0cWKzdP7ZUJ1DhkPVli62IJsqvsXt8J1Zptwmxfjvenn/+Wu5wnOx
cFrBXzPFYpH3ZGs0bjgwdG10YlQv3RSYVwO66/7fmav/8VoJiLowbZ+d13Js8/xm/uAUR7U+4dRs
XXYanj7ugkQDxZW57lXXkYSvy2nbMnXj8cjh3ivL/2b4nrtNrY6BE574fO7YL3h39Edb1gtsfEsP
4r/+8P/xG+Y9InR0XTJcPO6oP7/HMUmsppj48PPGb7bDmJV7m8y431Td/ytk5ZR9V03f/ND/cf5r
34lDUFi39N//40//ddN+1Q9afX3p00f715/801/s//7rH5N8dsY1/vQf218xjrvhSy33Xz367F9f
5Pef/J/+4e9IyePSgpR8b4Zan/+1BKXWHxETTzqm7ViuAO8A07TRWv7hC/gHxOU/77cP2/vn7ea/
/vYCmPKl6r898DngQf8Nlzl8/vLTP/0nfwdlnJ8DS5gWNyWF2NK0uFd+A2Us52fPkYJ7iIeFS8g/
F+PvoIxl/WxLM+Aw5W+dUROuwx7bWPrLT5b8Gd+fRTyzcLwzXGP/9H8/qt+fhXzKfD//PF5Onl/+
j6DMP/ss/njFK/yYCo0wKU1VfLaNOPtEuOmWXW/do/G1w4z284vGGU9Oadzl9viMq5kVURwYSfOj
CekPpwTGrJxrJA+hx/kyBP11ARzyDvAfAzBiAawWl5hbSRzqOLsvFmhpmKEPPi6odwABFvvGLAKG
omz9UTrJm22k6KFpKb4yyngKa3zLZlndT60HPVik8R0TUxF5I1r1VmDhCDQuo2WqWToCJlkVZAA/
Y6O6eyVT92xAG8NsyGZKz6tzNhtiAFHnu2b2tqoeTj1C/h1S7pciT9tbG1V55Pg6w3upHhF9f6Qq
Q4zn3pupN4aOeS5F8mk9zNPrxvKu1wZXXZDd5Ya4wqJ3SpE0KGdZt1XRD1ccPioaHTR9ft6ukSNz
xAxegEZjgHPtzZPVVj/MOI8jleQismd5VQ3r1bKa88ayO8ISRziNyTS/+rT86GP3OkkZ4RIfqaCF
ayHyZ+XsZs3al/c+Ek2Hs4bwuau6deYtCqwo7YtLq02KKK6DhyIuD4zJN2gc14uKdNEv1Xc/At/v
o5TBkbF2OWhRkr6RRFPtf2ALO8Sg0rHcsG7kXV5B0gTbKfZu6GP9cQ6zQhAABeLWuDWkp9obd212
QFmmDS1ZehsrNacq6hPdH+QC5VEqw76uFevJaGKms/kIw6G31TY2533TC+9hEv+HujNbjhy7suyv
6AMa2ZiHx8Lk88CZzhcYySAxzzO+vheYUimlUkumtnroMgtLi4wgw+lw4N5zz9l77Q+jwMPfR228
Zyz4gBkbuSQ9QnzAMJVcKkSbkWbyEsfLUx4ZmzYOucq9Hnh1MZVXZovlsWvG8bowVbEHYRT2S9He
2jayNnnFHWdknxxFV9V1gPNIDjyET8be1Ba04vVUHFppPhoC6ENhmJ6A482OlHamyjEdMafc01wT
7UrOtpaRY2xrH0GceXRxSadGiNN8F33sx2jyGBdtaos3SBYBHfTIG/BmR2G1K0OOgfMbXl477VGP
C7pDKXqHpJU0jcoe8upQh7JTiLehJP8QGQCjF08IQoe2BrSCmiOjxsOBedLMNkZzFaMJHh2jzNi3
zmm/NiIrW1dQrGunYoq9wGRKIAjSxVAphLsRYSg47GIYNs3Tz/L437Nz/H+4H0gr++d//2XR/C/r
/+n9873808N/3P9xwf/5nt8XeDTxvwGnIIkP7bSisi//ZYFf/0ZTaHkbBs4Ci6bLfy7wa9edld8w
Of9LlimviKM/L/D8lURVpWIcVNjjLevf6rr/QzCbwVayVhF/qGTCdDKrGs/MwRhU8lHPaak8TQo2
WXpw4zXQPHkMXvrBh/9VHFNLuf3hGv2DolvhDfxhX/kd27i+7t9ZwsRIbTu5LZEKzP7SYzV/EMfy
XIRPUmRuxVp2LjzB70GGtH3tuhvT1ij3guj16n3dbTO+QMxMRwcDgrujx81Ng8Qp9cu4+rVVc4vk
ZWOmN448aREeenWx5+njn//ssrkWyX+dVPz1h1/f1B8umgH9OU8w1x5ShN7iV6J9ZPGbpCBDy5yk
uGmTX1efhfRNqM3wKenbKHSX8bo6La3pbM3X0cJXn52FW/zB/yF0Z7i+XeSjJB9PnbCv8wcjfUot
Dqy5LyvEK9lj6BQtBtZ9+VZ/p+rsglKIduUWUd+peGOXTGzVx5/uN5t5G3iai4XfQ9/rLq5ga8fF
ptXhhR42YQeJq5t6xUWwPwybo5QX4EI44lSYnU71OPwxmXEM2ZezR3k8A3VI6l0g3fTqnGVPxUT7
2zOUJ+wZbDbemL2Q5WOzgbHsrvF1dMqddriICFhCf1DcOdu/tZxx9im2iPiCl6G+F6Awtlt9JhOd
X77Win4QnLvZcjlqD3yFwij7UqO2DBxD32bNIy8IQaJrJFeieV8FftLs1fpIM0ztnutinzLE1LZS
tcVjKKnbaUDKcjHXIMWNOOyU4Zdezi6GmX7Y5qWPJDid2SJQ7GByw1bLVDnfiqpXfUQuQwRlo6X3
0XLSTpnmk4KsehnxmvftCC3GrrypcrpnQT3p7WB3M1LViwXkAqvhvoxQGaEZp8kX30adpuRoD+/q
p/jZK+jGnAKBKMALgmAEW9Jd/jVuGOl+Mpwg6Gy2DP2zDC7mhxplt2LTcmFbfSdM2/Ehfp1kIJyW
9IJ4xRbDcxts5pZhf+0sKAHSsUYTRKnBxy6c4t6VykOeBs4cv+syvXSHwYbmcp0iPNCuoNmJbisG
AtutYhyKwlWeF/5jeXLiY6LUoDc99zTDlPSs6/vOem4Hv/Zlf/DaneJl++zJ2sp7zbd8zefw6CJ7
F9VN+lHE/wLy9ZNz9Y+esLUc/cMTNukSGTCozQ/CQ3YN9vUej8dFOWsnZV+cp3OxL07SNf8X4Nx/
SC5fF6O/OwwnU6Oo1JX9oTj2z5gartND+RY9hBvNS87NOb/ND+AiTua5/H98xb/nhMtIdZcxMkkS
uIh7bDjPy67eRJf0pB/NCxCSs3jUt/KLeVYe//miJdFu/8er1t8zw4ds7CVEOP1BudALpmzFo4RY
TnqxzvF+2un77BEsbzTY+fO8l3b1VvcWP93yCOxJp9zzZ37jKrt2XxytT8Ufjs21u1R+fCiuWCC0
zM/abRScOjCX0CdiFxpL6NIDVkdfxr26nvodoXBi0U5nhxT6OvciPOoIuWhyY7O1+w+pcMa7eHIz
GemOXWNqTJzEkzyoUwZloHM8l/6dQU5qiv9jp3WO9lod5Q32+Xo6dsMdJbdYo1DeaPpWavfh2RoP
QXvMaLejPart+XtmnsvbfmY+OH9PuUMjMilt/VsvHfD7+Sa/E08icsfCNt/r+/psHR7bjYIUhsEm
icdYoU7dFqXwAPTiFZTDfMVZGvg5xCZ0frzkjhe4UIVKtuUlJBu5lbahf0dcsspSAqu92/ahb8qb
Ot/39ZfF6ltW39Zr2n5m1a1TnuXiOxR3jbE1k+30KZ/Gg3BLBTzBroSkZZPr+yrcIuVpvsSP5KTs
4m9Ci9TMbT7Dj+U2MsNLyES384/pKt49x3CGysOUviFpCnMXKQ1eOX7DYAG1UZBtRbSoIC7x13BZ
vo3eXj7jM9LObbitn5X6zlLXfURx+JCsbXuYDxT54wtnnHvszLvoUXntvdSO/YhHMjuV295peIg6
9xfDOVf3Uze8EL6p2NLI8uhbzJVR53CvAPBm7Y1tYl7dzE83xVY7ATWxVWfx5btxtpEpeYpde+m5
xFnlVMfBn3zrIn5H10PoojlzYpcPyh55+cQxdtlr7VmX/lnPuPlsXG+KrXrjiU1vZ3hEhtrmnrdY
7WgqOjO6/Nhl58Z6+YIA6By+temms+7omdjzc8tzED4WEWSVjBm37szFh/hlHer76tbcuAlqfqWe
mpDR5jbt1rQc1eP21Dxk/poTfot+UXjxU3bQQY6tjgF06o9aEzrRhcGuXT5p2DfgzuJeL5x+tKV7
cX4wM1+5E6/myFZ6r5m+ci/uhLvmPTlrd/WrdDdfzKPgsUJ7ylH2aocZhNvZibvYjzBotuW98Gr4
2nG9mIITOcH+rdtBU+I7aqdwwXD76YkkCvsmObrfP+p+twEFsK392+R8Tp7pIw39laAgunXv8TU7
Bw/969A4ELCwXuvXdA9pZv3XkBHulz17lgsECBvre7omZ7kJORa1KxNpPnrSB/z3wkVFC5ZFPyBt
Yv6pemz8Yu2oKKVkW5/vue8m9uDYK1SqOduyLR+P0YGnTf2VQE96FS3MTweT/AoqRU7ii1Nltu63
D9VJD9yBmTKPrCtsGJoySd7kSJe8KgL6c9Q84RzexcJz+Wb43XGIbbDPmLHG77F2Kms3c+PLJ2HY
tIovovhXUHT5sulprZO+qV64VfeKn1At6TvpRXpRtqjvGOzaJr6eneT352XXn5E87PNn4bBcx7vh
U9aYGG3XIQDeMs1uZ7ydvlzjKrGTz6Ry8zuZSSSHKwb90aY2ke7uwFwAlYsHN7aOJmK42h57t53u
8O037WHprjLRTSAPZIaVGqQCV16uwXyeZm/ZTJI3TvvqpXhID+EBB0O6L6tnWbpVxoeVvunCi/Ea
LumNoeK2ZsAQixEhlnb7GM7fzKUwVSRP2V02dY9tkXGQhkYARBy/kLiulOM2OTEHpkCNsJiauNWQ
99tjZke/hNfhcbhaL0NW5U5Z12+l3B4Ny9cr2RVS6BuxxQfPnO0r/zJvTGSu4nW+5MvEWdzuSCD+
7N7DW3c/3IWvYDuysQOLNHgyqbwT/hbMmiXeZ+ZEWecE8VuYbTRUcJjJ+4ozOKKcJxWfUbojWyWm
hGruC5zM3YP51f1C1k3VDLUqHY79ubuoN/2BIqefX1VB3xkdAulJ3uGQsmfWiMmw5/c4vnC4DYed
Ba4g9NX78lcSHBC/64ldPZjP4vCRtr9gbwmv+XP3qt6J3HFIMAiOpnrb66Zjfci9y9m95PrwiJe5
U0VONTwjEwwKP0Y1x6h+ovqsAsyA07GiFEYbfLLaX6BVtBR3oVuNmLOdWtlFT1U2eCWN8u5FdY2T
NrpIxyEFwZ1gh8HzqFv3ueQXwUHprrWEMvPSCxtORs2B6hkpun5Ut+mlfgh8qL/RM1LbHkkxmBX4
9zNNeBdLS1dR6nnoCKrEmShECYgbDpCoi9wbVcaET5jFl03siDd2N95acIRzdBd8hr8Y2WnMb5+r
4jrnN32VFAKhnx0Bq7Lqa3ADDZcqE6eICCFIshUWCMXOv3IOGeQJSveLdad1B6N1WOf4TJPvAY3C
VT52dzP3XrWNmnfGbllwzNUPS7UDDoDarjX3nO2k5iluMG/lEIpGRq1ONmECcBOyWktXkw5Kcpiy
DylKmHCyPes5yCwnSp9z+mD69CsOHtk2DQoYGB+X+Zm18Y7JW8tTLxyU/qz15/RO9eL79F27VK9K
+Za9DpVdvsQP5UV5CpbQlrpnGlvljoCse+ntyprkdU71FGMY9qqak1aU4QXlMcPm7K2O5JB+F9ND
V7W2iFacEuBggaVLeumT4hAythYH1D+7mV1vw5TpiiohQ8T2EZZ38oMGgp2E54jjyVg89rS3GIra
5ot0Eh/rKzZk+oTLDPSRRpfD4XK6Gz+VmWUC5KFdI8/MdgvtI6f3uSHTz9IjMa531Bfj0fTbK3Db
ZFMGLqJqFDjpQ/dmYrQTfUHeWKty9LGpDrHqWIAMgKm4abtNtrlbf8Ciy57IHjIP/UNxl30J6IFO
3OEhklrqMBTLH/F3cpxudHwLSGtP0TF9Cc7gvASFQSOesS10tuVX/WJRk2G+qNbCRpa3tWFnQEnY
vlEl++I9H7MpMt13/lc8m3VSBulwWL0KNn4yW+yVrW4md8Kr7qhPyJ/YAdIvLA9Wj5Ud7MdJQDwd
7BuOSy3whcnFRlj5qIGciAQySFKiOG4qIshU4SbV7z0DxrHPT5k6exynLel1bBpvKr9/yu//nqbX
34xLzu9DXHyX/wMGJUScryep/3tr7Ey8QvQnGmRfv8ribycif/7e31tksvKbyEFLtWBHGpb8R2Gq
+NvPKAb0BuNZXD9/Faaq8m/rsBhdhsa4cR2D/GeLTBV/M/lDZNey8ft05C/duz93pv7ZCMT4yW78
61nUoPlmWSoeS+YqWDKYuvztmVRkfClHHTFbaJUGmlRzhCkU9GNcnaNwfk1C+EDgZpxFM9+ktnqN
ImGn66P+vgjCvMF/8EsL6UzTpr+q6GtovehaucV/QNuEUqi3bkooyH6eShszkO4gjCPhr6+aarxW
WqVeyrGLvolZYZDS1DsQbGwIFdVLey6zbwU4fF5lbeBlohU/dJ1RXpZoDyqhndP8IY20lJFIwsl/
yR0BiaWlzul9WTde1MpuauabEnYlTDlSLCBfSFMp+xi1llM0x9Ypzgsrw7uM4VYkV6wrwNU2z3W+
nLo0PUljFG6WWQekJqzBhE4eGzObPVDF2WhTd8LPjfkukhHDg0AsUqyAA1PSAFd79kSU6CrLJeI7
Vj+VjgsYNI2EPStMLm3JCcliXprj9EHk5wjIaI5d3R9zo/wVxdKvGjNZRaQl8Jf8BR2Kl5sxML96
UfweBSsLp/qgSAIo3V6w57wR/GwaX5oaS0G4PNZp9aXAFKBDXjympXFDn7nX8gmDZSL/KjgfJpLC
8joLdwUu6LKgupgarJZFlSVOQGjUGRGk6nYBU6K+wtBTfQWN6LbVNxAhWvtG+5VL+HLqgLJ0aevT
wjej5+TcpFOsKGpLN61HF9lRNWrrBN7IG/bwMTHuIzpwUXOfyfxBQIQUtrd6eognLPGZ1T4y8n3v
qMkyFb19KYzME/hRc6lbfCuJAV1BLCJZgEaXEDfntpE7evqLStkMbTTOB8kLJJ1+URXqjtyHbLwQ
RPCNeErZIUOrhdquDJSDxOTAZxgF9hdJpW634C3LooA5rWBNF2taW9MYvc0xd7SCZ8euRuOqCTQr
w8E8CKZggm7AMcsb9iQZ3zyCvo6nAFVmXibUS1X+EROROUoLuuuq2SLHPhvzculNUBWSTEhCzdod
9sF2TMKYndxwEqRjTrMKkHt2WVEuP0oDVZTasV83SwGhOG8C3tYQ6DfZbG8G7jd6AFaYJLYcNv0m
mO6i0rhL2vZlzDhwBJJKqdIfZnCQ3OZus7agVSN5RLcx83xkiJzHWIcNtVAuaYJ6EyKKaExU3lQL
DxJGaYoSoZ9oXKTk46Ae5TET8qtWop8Kbit5KrAAaJLcuUCskF0rijwryHdS0ss07YzorEUAONh/
tgEEhkvSbFWRZ8nqlx2JS55ocbZs8vJLaNSMU68A34SUPUWx3kJDxLDbuZKG3SiObxqzfkcIEX/y
oTQONAsVXrLipmDYnESd5q1uzNVW04zxquSaQZpsFRJHVWcbZZAeskL3evy7UxRtiwl1iNgY3+qi
nCy5DM9psryTEmKcowoccVCezRRqRZ7xT5PTgQg09KfE2gfDEbisshUTsfCSPJfu+4UCCe4ukORS
TTmu0HttNB4xa6LxGyooCnGoDWP/WcOh7BlZ+lWDboncF4Kb+HzKXDL5XfUJilNxzb7t7Ez8Gpp4
j2T3GvFjbNMZWI08vVtdxPk7z+g6DeKFeburSgK5sSNtL+RE9Ja0suGRCYuOe1baCNb0hoU+s015
FV/j/N3WVc29Iuv0hzIlBXY5vpjJcsQ9j6VrEanqFmM/BfWrMq0IZI4gSzLfD+nMx5oKW70A7sWf
0h0j/suEv8lpodWcDKmomVF1osJ0BTJG3sRU2HeK8Tbn+WESw/jc5JzNUKaNqLvmmxQbrtZBzYKN
6Mzq9GnR7UpVRqcW80l1Ad8EmVjLKsNpSqbyXXuN+5HmXstCT+zkoxhwLqk5OutvIbQWpOG1djL0
jbEIr1NkKBSsy7YWyBYR23ezNjddPTxOzMkJ8HqBBjl4Yj3d5n44JXHtmisKLQ5rdyEIFbbA2J/h
tQp7wexQfieo6xDNuh0cGA8bQPFZDhL9sREqX5OP7/ESRihcF3p47ewasCC46t/SoHSHoAZuVBry
ZztNiq2Hz2M4094S0+kNu17u64n+UuiaZJdTcNWHR0EL1X0vc1QN0G3ug0o3QBXUHf2T6IHASd0X
YwyNsxUWuwlaaJJxdCmF0KLbwFao6/VF5exdTh+ZBviR2IebgZbdNnDvYYjYqHGv+ybT2k4cLAcb
pguD8Yyd4ioJ7QGh0XdYMXXn5CrZhaXuY2BktlVbNKWSgQFKNXxW8QxctKLnJYjREyo/aVPr+ifJ
IcwLtFl9EAmIvgtVdlRY4pQGEjY2XP21isq6Ep6yLmaIU0iCV1aV5iaaEaO0506z1Kh6liS1O7VB
2l81kR7DEuf0I/D43yOxp/mB63BXDi1OeDxe3wRTZ8dOn4srLsoiOkRC2MK97YzXSIIGYOv9oh4l
2KF+Hs3RSyVrxs6qOV/Uy6J8EKMaHDO2EUoKWpHtPHG3ItCWGhoCBuKnl9AMy/cG48W+Viym65Le
79sID+Ckpek9tJzODQux42hUZPm2lRNM0IQdX1AnxPtsMN1E5nCqoQ7Z9nFX+VYsrijXqGzRHJSW
I3JeclQzSN/xGE8uDRF4nnneXoBRwLJX5ncB3fSvlMxR1pi8frSIl3RZKFh2IVkn+jy6dZGMdyKA
ZW8U8+Czn0Yil1tTpdU9d4abdDWnWU1ui5M4RtUBvEjLuL8WL7CJoj1kXSzGVdN0Vy2P65PY6pNT
ZJmv9e+ayRE0tNicCrRfXl1Gl1yOeijjppaSs6TXsas1TXM3Tpawbyu8oVMva6BsopHukK6OZyup
agw+wRrvHId7ISQECGUpp6+SnE/IFMi4PTjp+ms3hdMlSuv3DpGvC7V2/Bg1ugvUjuUGfJdGA6RQ
RiSjeqHf64hJ9hhq63tgV7Lfjal2S2sZDQarYstJUVg2YVTGB7A8ulOUGDjBJZstjjxXZw+z2vdB
msQNBNHPbMY2Pev4rPWDMTeORbLUruiG7inOpnPGJdbM8S3Js4Ow8s/0bNzJzZhc+j7X6HuHKiUZ
LaNK+7mwtKRycRPIdIK7RjyWkcG0EqVw1YFEHpv0aLYwXyZ8gUZZ9ocqg2eXtfe90jlYYCTPbLlv
M3aJJerHzZhkv3TYqU4/GdnTHAzPbbD0joIdx+6WiBNsHm2Vogj9srQOuGALZrRyCeiwPCERB7Cs
PtVp2lvUVvXDNNJVHvQ7KzqM8A+9JWBwoWmoF4tCPKsot208LcSj45lH8Cc2J6lMqUNHJPoxD3IM
a9JBbU6jl9xdvCWOKs+7NQuiEg2oy1W8CYT4nsAR1WagN/nhiEw+Dp4xr5auUXXo82c93xNWhyyl
B3U5hX3u6fhZ1FT0TC16VvSmPhojayWI14zmWDED2cxf2aQPiV6R+tlpW9n8rtG8Xgw5DXcTEYze
yNe+C8VqmyrYJZD8ug2ErUbvPtHrL/veepzIti5Hwc8VvfWsqR23IBTpl2tehDEC+BuxD/iCGPq+
QK6IHFg0dtZa9DisqwxR3xU50uRlfQnggBkd3EDUxfGXNeIGDazkVK8iLLN7lnDTHxUk/QUh7F4/
4hFPwpPWPimtWTIaGE7gaY6zuhDS2+MoKxnj4At7sDQhQsm1n2tOGUZJa1uyEBDM7I8ibMLhK1s7
6uM0vaUN/TJVXA4STnKqscoZTW6jvrMY52EgIoyCcTPQ4r06UHuzdwmhbtc8xF5FrkDcNhMbA/+E
ALZ8anT4uYWOhZiXV5dLu5g5/Wl+TKvzQ02NX9I4UY7NXCd/jo79t9oG/9P0kzig/llT4GHVKf7p
v/pU1+/6qyRSRdtooCJGPIzs4C+KGRoF6o/n1DBMHfS5jHrkz5JICcWMsppGUdWYiqitMpu/SCJ/
Uy2YxJYpiZIp6jopTP9OP+BvpqgGdbWM2FhVdboL4Ab+Xl4bRmY0GU120xJJfNSoX71iyrJ9Wcyd
K6vEFtDWr9V/oVE3xFUX84cmBC+L7opGBMIfE63z3yeAalbOgSQbnsumpErsUzOcNiXc2le1otJA
VzaMVJptnt1hP6DjmGNme5SrpPtQdBg+DfoebadJImpgQQcrvEGTp8nPK0UyxB3WTr+IhcTOpgeo
MpQE1BxHYDRkXtuz8fhVj81p05qKfgohNL8SlQc7joZco51SZYHU35poN8KQy+DIia6RfmL0DCUJ
CDI/V1tIekL9iqE3BvZQOnnDz9I7pUCBA8ts0ITsu4vFNrjBQ1RolCcxBr8Wa300yZWHj3NqSq8o
YAbvFj7iNtuhaxT018haE4Wk0ArEGtta1DAvhfHYW59WKWBfLAHBFHdyXIof4ygltzIiFmYzRRwx
7s24VE7qaI4UnVIyYQuaqFEFn9VDmfCjS1Njq+B98dX107NgZjKDr7ldOHpi7qJYId6S5aLuB0Nk
HyZzOdzkUTPdV1kTmH4p0mK2sI20wLt6cVtzU7WuYS1wccJx0uINeTCVtMGqhHYjmdLG7uVJqeCc
aqFM2APdk3JsRriPC3gr8EiA8xwTlDRT1QFtMEGdRdAZ1C5pLzpt26vjXQVfOnqMjPyDLZiETwiQ
5shkhoHdmC/6W5WWtBWSJKR0DLWeKAuD9I/OiSwAM4D/OhOMDsseatB8AaVPoFS9RsLk6Wuk4lvs
jC5fSJWEtuISL52yCneSSvix0BMGMstKTJYrJmOaTjGhM/hoMtHX65FmeTPotyCCCIRni+u2KSGd
kFLUd7R+yyBjb20shC1b3HLLzqIQOizqzGtHRvLVw9z4wie8GLbFuZqBKgyLL1hmAx5PMZIdcAuF
W0c8i2wYlbwFW8TAucoBHKNNVcPeQSCJpVoO8vHYTCkpObOq0arOOKMxroiD+JeYT5PMMCZoXjE2
awpnqRH7Gf6CxtXFuNpjNK+fYELWtT8sNA4RUGpab4v5OBq7kTSRDdAbyn6yeoMNtRf3y2ImGNAi
2M2km6TAwF21D7V7yr72V25Zay0QMOUTJ/JKYlMrn4lr02tvEVq0zQ1pPo6ZUtuXmoSAN0uRcBpx
DVhm6KqU4CIRcRL5PMZGarqQF86n5WiBBSXNcynWJpFSAqwgd8IgyWnh9Qi5UEamEYplUcvIEINQ
ZTSrECodOVjn49ByVFSmtPcXUWP0UZV982iCv7xLgJ9QY2JlO9VTPtwmYL5vhKgvL5T+lcmoK+FM
IpnxQ5L2xXnJITq5M37n72EpLeqHaTKUvRRmyoJhtq5f1QDLOrNF3ThL2TQ/zvPEQ6wPnXWvZvoM
nGvJ3tXBilIPnZQUkBAvxDClhgylBolb87VUc+RrJjlA7NwCUXs4pCU0TubUqqnTyhil6fdHM/Us
eEfZCxItFX3kr3UZE0ClpaaTgeJEAlaLclx9qzwsD6kWGs0XIm8c8ED0upOlzxLFp1kSeq1oeUEQ
0493fkxDYqmaH0+9vKz+elNu8doDVsZ3v/xuwqfqxZGf/rjzw2Z16uc/rv02/LHwa9UIUDwDpMhw
Vwx//P4yEl9uVXEKVVgA5rJUTF20mowffwBVzFxr5QYszYDgOP3hCVQ/bAGeJxkaUqJJK3TgdwSB
UBlcF18YVzqB3gtLtNGBzoEtIEEixYbZVCZ12EamuaVRhy8jyIOyWeLChVjYLUhfBgl9TyFHQBIw
AyCch6O54hOE6gemkKomESXTPOiztal+hy7Ii7ByEvC4gmOQS1F0RstArAdjaSo5QIBvBALJFiU5
barQWtzWSV+iO8LDwxoX/Q59MDpcayfM3QqNIZGenf4Y5j+uM+XHgsaqih2t+t2bNv8Y1YIf01oj
rga25sfMJnV1E7xIq8dtXt1uo7w2E/rVAwfxucLtLoZY44wfm9ycjNpm+DHPsb6Ir6x2wffSjtGx
W1125BWbGCJX6x35WWrhtYlJizP5sedNVdCfzB/TXtQoE7KnES+fHtccqyFiIWLF6QdubnXfGinz
tBkrqpPkE294qFeLYPBjFwyTEdWATgPGwD+liaNdr+5CFo8GAQsImzMrFlNhbl5gy7MQtYiGpGT0
2IRkEsCGOqBBtHoYix87I45HFN3x6nKEg0B3SjMqWtD5jxFSG8vlsw3Y+3Gbr1bJOM3FX8rqn+wL
UU84cq22ymV1WIZTmfUe1sQONr5S8cMvViZ+Nj/WTKvKwgdr9WuCM2PfmRmAdOwTFeQ2pxaGhk0X
GBApAFkUaUxHCRe3cwJ277TRNJ/xpXUdDaeME2MVF4NBq5mj5mYqlXxwsCDkGL5JXyIqpGiH26gY
LFklkLD1CKLi3sjqlX7eSZHxRL5JOvhW3gKEtwRoVq4VdwqKzJLIBzI6yuRGJgs8AWhXYM55rNfp
CJjKUOf5QfZZWBDxwrSabBGXKaNFC3u9XcXkdwLoTYwzoPsidUVMB2DyzRRIwCQogCtYgpFP10op
HiyAzwET+JgahAV5IMvXiiv9lA/Nii+okh6/i8DyRYmzgEXNIfij+9XFSt/RRxJe0nFFTIBhllHU
NSZyTmAEUk2GCUesrcnZHcyChSkGv/mMYmJJ5YjOSaZzqjPBdsybJWYf9meiqe4mmpb0aNs2zXbt
CIbIw/dk9BuCmcCddEoIJiQvDH0fi3G91VSQAe4gBzSDY+w8rEsmKy7e5CF2ooSeUMEXW4RpCEyy
SUocFAzC2DgADBkBvUjNsqB5L1PyMo7V2kygK84AJZfaX30nGJIPXRtdL+ODGf9KkaEHrvNJvcLg
Ne8Goo220iIS6mvBLfT1EGQW/TZBO7dKVLxhHx5PakcmkpNk6XLm1pzeNIkxk69OwzjZKpED+I4H
4yLSxe7Q+4bxF72X6TouGvSPqUqFF945jUMzCekoCmLao9sx0BVi5g07NEqmCmi5LNiiLOVLk4yK
p1PFawh2rstZ7aI8vBCpI7wRJEbCVMMQkHl9T9umBuX2OlEtXINgjE4jY7gXPq1+Vw1aPNgGrP0e
rY1UfQNUxE4iC7H82NSLhGwimwySjrKJiPKyJfo5qNteA5hHm9oBXZXcRpxxND/6XJo2w2iGwMkF
onPIBypL5DtEY67KnELLXVHojAccVF24KSM9KBxK/JA7NJ2yF5NSZXXysMRgNiE/Ci5XjWFliqH0
IgVQkMexNmI5CmfwBrYBBUyzmUlqaFHKSScWMFzuNWLzUJtJKroSZbHk1idUKb3GRLZ8awRd7hfM
n7Sgcey80r1Prm2WqHdW15m7wci1loufkokYRSHKPeZMbburLfgXThOEimljHNJFBwIGA5K0s74A
AClvOWsNqF64/yR6FnR7XY0SHFeZMKuFb0HvkXac2dJjAl+QWwdudOHnZZ8QKRIv5uCAwedNdEMh
YiYTpLx2+Vaq0LorA9z6ud7cSyARRScOQgy4Y6etX14z4gOlENTdpoe1ei1qIY89KhnuQQJRCPUj
tbul046eLFkKliaj0IqLMUrWa151tIWXeIEmGM5FvSs7guj8BBpN6dcMCb8KsHe5Y8Z0eo5JkLZk
DPJ6i52aWTK6PH+RDhMA4oxnUibSr0/y5aJDqkDnEMcUeUtTMxtok6HVjrHeRCSLJrW5g5VEOGc4
C42TKSAZEQnpAP9TOaXRBsfH+iURuPSa8xBg/SAn3OZwM1l2ReIBQiYhyD9C05hu8dByuckEUT7+
D3dnthQ5sqXrVzkvoDK5a76NiWBOCCApbmSQg+bBNUtP358T7C6gzs7sOmZt1n3KqgrLJECSy325
r7X+wV/gK68GW3YIsGHK81TGAefWmkLjighg3zdSgCsJjbD6Mizc0BrXAO4nS5P0JbNRRl7Rmwtu
qZohkdimtX+XK+F5m7HJvRO7HXCZAyANaDauMfXYtAI82KaVS+PuPads3LWVBiW1utok7+mUsVxE
nJGLbWD1I/wnwqqWx2sDd51IkCLSsECOFQZq56vRitEQYSV699Wo6COqSYephK4UDEDbMKMzgj3j
GwTaSorNOCi2ZhEZj33hzzdpyClky4rKhm2nFQTXyK16aAH0hkOahWXPvEvzFpGpEgHLCLnlGGy/
51CctcTAjjh5gg5mxNHFB9s3LGggGPH02JKKlKv/LrTJ/7rikgtG/98jTrbt+NwlZfKeiyX1j7xV
luBOwT4EYeKA4wDYAYHnjWxr/uEFQlq+59tQcRFC+8/KEopKf3jC17UXtNPo/Dl/lZYM6f2BVo5D
vLaFawo0wv5JbelYPfqrzIMOgWlCYYcmFqA5HJjBJ0aCFQ2WrCfWRmSisVjXd/ZkQNHEfxQoSeMs
ZE6O721pbtkgG9LyukbU93xMsXIiKQqeJunP34y4AQ+oAhyPUYzAVqGqATv2BuZ3VcKSLDvUTNP4
q4+VYT0kLxwurB0iaGdlZ9JADNGWphWeds4d13LI01OYmVAB3LDfIEtwnsr+sW+Q4aK3j3tRHG9g
pU5bORR3Vh/iaDk19kOBtuE2hvuEP1PXQR4KsQftTyy0/OO7FKvk7/hDTaw/tuvqMMVlLtHacQeJ
lHruH6oij7fgOzBUpuPHKWE01VWEych6SmjFGA4IuZWcp4ImK21G7IsGR0UPsrLK/o5O3ZivE9Vg
2dCNsRi+20r1La6dw9BtNIm9XFtGYFCJmEJBhK+FQHyeloq4rGKh6JiFaIqjYJANX3sKb8GWOpl7
kmRS4xzqiN62bCaQeFHdRzex7YyXsGhjQMo+YlpNbdEQkBZOT2SlYXS3YH7YozpX9icy9BpjXZl+
dGmTmj/IcEDBKnCLyxG4Bde+QfIftbSKNls0m9ZqNI12L3FyuWDqbMcs5C3WKT2jqglODZNq2Uq2
4R7vkfVIJ7JMk03Ux3s7me1d7NXZZlSefY4NF7jEfKXM9BzR+jvlqQiBuOYQGHTdkmGhNSuybG0a
yVd2hvhSxjEo9yQIoI0VSLFvutk267Wa40Z89dF2Ke5js5B+g/4Lym0bLwrgRBmlbansWPz8/7oI
HhA//n2YOumfux/Fc/78Pk7pHzmGKcP3Nf0TUrWHDUzgmn9VwPHfQo/RcU3f5//IB+pv/asE7qHi
6JqODh2oa/ryL6lGmKZg5aCTUk+3hYlHxz8JU0S9D9Vo5AgIUkRCNCQRTJG+/0kHIxvJaKylzE5s
3Ey3Za3l7h3suIuy+2ImTPtOOMhLpdFPBN/LO6jExq4bEPoJvX2aordKrtJyXEfarezpkIUU0k8l
CtMcyVtYG1l8MpaKFt4cwQ3H++QFfEa5mW3qiv08IkiOqnIErHspnf7Cx4lq5Riew3HRvMn84RH7
sJRKF67YaCevUB2J4GT6w1bNc7yWo/rpiAWh5hSoaEcMW1gnJ0OdH7SN986mnQBgvJ8pIfhQfvq4
p0fUWh1tY5HH9b5sYfJ0o3kXCdJpK/FgssS+/7ULlNltchr7CXoHMDUt1tS3uau7C+ql1o5v48E0
TPNNndbRQnkxzUE9We3GzwqEUsaQld8nCa5Z4mpiLC/9sS13NpVHtDCTE/wLJOK2IHsMBUfFwkrj
nOQg8SAWqOokthrnSYW9BYoJI8tUNFd1Ku5N0haqe5l7sgCY/0kXrRlWeMFeVRHAYjJ0TNGCVP7p
Z3kLfxCrzawAKJGA7tgjEYj7ejQ+Aiu4tBHmxNPQdu7nYr53BMB5hbbsZRn3xWlb+vIZGcgc6tfc
oWQ8OfETEH8wPGKhLDFmQ3uGC/Cf5ujO3x1PtRcJRb7TVrjzY6WM9kVW6hnLWja2rLYRSvQs5Zgr
wuxwki0zDr9oaIyQT4sRHNjUJKcjedE11WBO706F3AqmSSu3KNVdR07FYRxTryTAbxwe/iO2PMWp
n4l+M6QVdlcoon2PGoQTOFNm3zFXwfkI/Esvb2I0Eo3LblRpt+8gX65GcqbiIhw7AxsnKsbkNQ6W
f+wcmiSDHuUG2UxS/SlS5X6g6VB/Df08S2EfyPI2xtodPBH6Cytz9JAWdbzuYokc66Iv+1uE5Ket
Mwy43SORBYQt9mkq+19dLeUFYXQ2kJoA3vlVdmO1Keaa7nYAPLSZDwbthEMGROnc44StyQZUbjZ9
i5/oGh2Kef5aA7pVjwMtaaTfLH+PMkIHOKenfYtFGfabiffNn1KKTQgBLge3zUJ60bzAKHLnryYm
JrtpLLpDiofXRVE44R365KgtG14JCG/CnUA2Dssj9QcEtZS8pbWQX09tUjxaM0s2x3fwwjOX1Npi
XZtW+AGOgMY5Hie7cvSNrxWO719wkAYaNkvFgd5PB7TcXITvTgYDMH3ttDcNmuVAmcw1MmQC+mDg
scn2eDsKXHEweOzPEp9TC2Coa3TCHzNkMQz6MbizX6vK6zeTY2en9BuSvWqKH4A/prUbWKAABnNX
pLSmqT9A4yipqJVw8dc2TnN3IgfqGWLy4TWIcBQIstIwuQ2T6Eqm7ffQtLofXYzjeJ8Egl3fxv3F
GM5tAfT3PkNxDfeyJjLyvL2qbaQ4EalF+C4FYY4wVAJjxgkl1gx0F/oH07fOl9C1vlnYDX/vwtx9
dKrS/RK2MaAaaJQdx51lMWAZRp2PSigKdYa/5Hul7GJfIxiuTUxdMI2J863rYLilE+mPDGugx5wt
clssqxDS+kMbh9ZVaWgFutnFqRf7OJv4eNkrcCZ5maYXgZ/Ff6ZBF15bahkuw6SILrH4zgF+WmW4
i2m4XSEr16lta3BirJaLaUwuutA793tUGqepfJFYI3KuRV0FyMSqx9pWJlNyGnLUmDCi3bSBeeMs
03lYQxgZqcqsqStQqidh32FSBpdJ/amgNSQWeJaozrvzclb+lyYPE3wX6+E6SKGU4IGWPhQeYhp1
roHJZgj/oBYpbbiuQ+4E60DKg+aE6lvoecWJEFWFxkUBqaZBA86xb6aanB0Z23E4rQsITGUSWz8H
D/5YDvTC6If5RsfMNdphl4vtDXtnEee8L6wkXLM6JQeZgDeoHphRXN25mdp5SEBe4/9RAp40p+/S
wbNupGb9JYhmcTZ1yaG1AwiwzVzdWQj7raueJmttOiZNEmx5a9lE+wIkwpb5W69FIgVGJ515QBCl
uh3ayV2hIvkIAjc/71Tqbb0o+k6c2k2qMtbKZMVVUwM2tQ+oKmY4eB06ETw4yLvCSox3nA6yzTLk
X6M6GVfotEYby+3m9YRT35dITszHaYJbI7GCacILJ4nmp27BrACPGZ+sQPfxlvGk8OBfVXiQh2LM
t3ERjNedwLRYZvco0JK0lOTajVLTDtt1+CbslXdggO5DWzW85tbfVJl3GMblcRnG7DC0qaawj8NF
PmDObA8Q6aqpj3e4mpawQ1zQYXa0xkX5RJCqX0VTf4VDWwGAUPrntNEwM0kmNGnAkZ3jTyf2oECw
A8FLm1kB1wjNSgugnpdu6W+vMH+DVlcOFDaVceObPYIM5N+UFcJrvOavMjpl6MfCe0d8L0QHZmjO
pRtOa8r0FFpBVs+4H9z104IUpf2IuebaSgZDqVsEz9qEDaiVOpOyBjxcAJTGjg+7aRZ1vI290PQe
jDyCpmn5AwYbWex3z21bl9dzUF2XAu0FjhhZXj4QuuH2ote4BmUlthTmym3XxHAwQ7nHusH+Kjpw
ZGOLaU4QXEpP3ZCljWsxzJcWCp1rC7wljZHLKiPaJPOGoiQYAejMRnIaNSXossQv1z5oqJRiUJR8
ZVt9HoZoi/40pt5BRpbBtPCnERkaxMuizt3OZnfVLqB1MJ8+d4P5tITCiYzcqh2abz36tJfREEwH
lJy/cBS9TQYRk4Egg2FklbmRbaZF4Njt3E0+4RjBnCdyAe37Bm5OHOou26HDyzktRqgW9RHn3hlr
CnzAPFFM6IPDKAvGcgx+OEFfXvaUaknf7G8TgFet1NTcGA2d+JUfdvV1naUXlADMrgdRPGCdhMPF
nACcyDl4b+se1bpOG1Umy2XTRPD4sC+pMhBelgWgoW+LELMJZ0q9UyPoQFbESTgbp/Ycp8PXLMDJ
9BvOU0iB/j8Ubu6qgn8/838+cIT+a8JrJz8qLQrffv5V/xM1dkySErKJXyVNX56NPDG+xckzpeD+
feYEruftp4/5kxf84UpXI4g4g9Lc8lGROJZ5+A6fRdcN4UMfRJD9V/aEphrvlsKLB4yIH5EfNNUc
iY8mv883qfagoPAPAETC5SLvsDxH+RiQMlpK/724RSBJ3GtsEvYVHiwnoQsZpjSwGJmpbz4FEXIv
k2TndIwRVZIqESeSSvw2nBPzHGF0iSpUT3DOfD95Ji5VZw0d4gfHrpyzaMkf07F9mnrFkWP0jHOn
LO7cZpgQKoM/MGV4BDlxgZlsWNeAEgw2mDjNT/IsOIvjHNIJnnFig8UN9Z7WvzbCfrzIgy57AMdr
PwJNtysYJAAZB27+UmGSFka9v/YXiJ5tiDKLTTdrgxHwQTjPEsW49SCAisYJXkUheKhSgjgEaJxe
gt6qLgkh875CPGwtiC9A/EvucubTe6c1xm947IWHOG3AkA8iii7QBgfFbrryLAICAuWSPkllLgSp
di4uKCCV0aa0coxtsrD6AXyp2qeuBTfe8JrzegaPvsgw3NFSiJDiEt4DmGwXdDwHRwm84swgp96X
UHpuVDVb29aVyy7Ps/4MtXdvg1waqWhgaoprGEGEZX6tXQ+1NBfV6hGvGkRxZAmm07WD6GqMyoys
xx5Ia9nDSNP6b2BCJ/TKmVswqX1QDtJsxjPFYJ5VheliLoX6jG2XXbqBaZZe4iJbX86GW36h7VuS
JDoQ5fOsM3exm1FFAwWme2DgXFIzvXL9hjpVMqCEZIQe2N84uJ6n3LgoQWzczxX4NDgCPb0W1WwK
nKiul5poB+zd4hyIFhrbSolTmEBPG3oWkmcRZjsjXqCXfR2wCaUDXF7X6DaItnLOczhz2v4itqap
FmObxelsrszGxJc5AbAyWfeFETbbNvDnh3Gw0peIw/Il7a8bv6iRqEAgm75J4l97DVxlrE/Ck5Am
5N4Cg7EJ5/aHU4TZVW9TpsPActy/ho1/VE/6r0XQ/3so/h8YP6UOZP++3nRfJt2P7//n0FF2at9H
ztefeys6ue4fxD6LGjexKUB9jGh8jJrCk384uhztg6NESNz/i4XpiT900PxbyBQ+spaSGgBFdaKw
J71/EjKtj+hHfUWB3qWLZq5HcvZa2XofOXORNtpuzvkBQ6rr0Suq7drI1ybV6+UBCFadPdu4S7W7
UhER4OVJyg8TfMfQfInKhlLGmoZm5mFU6cxwmgOjVHttxNAi9cSURJojQ4T6hU5jykHYcN08tdaR
59nihzdVc3+bg/rMn6mE1eE3q7AUMotAO2qWhcCjM1/b4HwK/IZMUOwoPDgNJZRqRGb6guihuOUI
LtR8LgurTH9Sh674mXev9I24+l7HWOu6/tU6gDlqBhBhHUIMqnAMl9513kkneaJA1NKN/R/hyFlQ
7bvCzu19zokaTZkFfUV2miWp8+RnboaJfBOE/bdSoeJjTZDrex6EXGkDv+VNcTMfr0+a77d0JZPv
qcgsEEEdiFPqaAjYGSrdNdMYNdTeY+gA8cqwkcYuv+BUObdyLezFHS38DOKSvgWa3lYjrmADK773
6zH6JHdne0K4CPhaJmc/27IZrI83SQGtJUV2q5cydwxmRcp4EMEHzrazc26FDjOpjfome4YzW/KO
mhrxU2fvG6lBw0HFvD89l2aAUisa+DlZ/5TVaD/85kYp/r5/m9xoQNJOiRXTHY1m/nRWmKyxrIMS
Dk4bStdAfqVr8Sf4opYO/Op6VDPy/BCSyReLbTWrAp0znzKZcRjrOjxtgwa0zLpYFnM+L2JV0ngt
kYUOu3UPayi/dYsgIndBUHlikPEzxbjpzATPw2/NwKxgZv/rByJ4fHge07IsLZtsuRS2dUD4OPBT
nBgSWJTx3aX8aMpNtGAArXa5b3cWaW7TscFjuRJ2p7++7qdVAZCahp9N284xJWqDn69b9zM4DvKt
79HMaodUYUKWBsrKhhehQ4Ho6zVnka5DBz6uSDd/89ifXyPCvlDHgW4HQAflKzT+/aKMoGQaeKpa
3w0v99htndF0nWdCmNGdYqyHGCCYi0pcAnme+0PWmubChhgnOYPy64HQJfl34YFJJDlxUv+nf8lo
vAoyvgsPmIXQi8vK8FsYUDRvTipVF+GMZGjRBvPJ7DcTb+XXl/z7w5PnQWcGxRnQUbU/NTNjLw5z
TgbNd9sdia+7WbiLyHZOM6LnitVnaLtPDewkysMtIpnuUwWeF0OXAbR2Pf5mIugF8/754QXQq9Ba
yh7bEqfvjxMQmgkATbVML1PTNYwuqvgmd2FOowUCfcKhyTjUEkscXXQZK/0lqaP+N3fxtwBEe8a0
tUC64yJeYPmfxgS0bOoEdWe8xEnjFcZ+6mIdEIupitsKSagUqvY6KcgtcU4ku2FsHBR8+kNRuymN
YOxlywMQqKIB7gyZVd4W6Em0L79+c0Lr7L0fLU6w2tiLlralxfF1y/v9vOXOSjWUQ/3kOZWudtem
73ArYdgHaFiKxTMI7eF8XMN5b/O9/nVS1yL0+dY00ldRu360fj+t7M+xRJKgBcc+l6Wn86dXmU0Z
+Xlc1U91wyiqrdVmvn0pRWzN5xZ9G4JXEA758lDE0zyjHhw3o4rRkZOjexspSF37prDT5QH37da9
8hNXHxAmgEx5cJL1jg6mVWthgIAPsecMt3WTZsvDQjsYwKyZ53rTSoiVhNOqDGL+0kISfHnwgTgT
aS0HTApwm8WkYruhiG21O9frdaTNpijhgKFeLx/4kYEWj19N6asfijC5c0o9+mzQ1U6RPU+tWyqI
BrgeDAcbZn930TRkBKucDEvCNI/CYtpHNpvrn6VfhvbDYEK8LbaeH3HOGFRZcUT59dz4HEgYfc/0
SIW1mK1jvUo3vgskmGyCqgbu+bSIokV9ZQKpWcMuqNIqP7V6NbKqfn3Fz0tXQrcxpWD3EBwz/nbF
lsQiHgsL5+Ol15Nx7G09/eHmZmwhLqYR7lOYWq9tJtl3bXRJ1cljnv76NnQF4MOisODdSAq+EryH
xNzi06JYcJpXBq36ByCiWEChV0X37UelYsXZIc7aUmyb0KuSL0Pr4zAGQc+pUF/1QXZCu/SodwHA
k5FC5ch3DxPC6ni1tCOgh9vOh2W8VlTGEfCcsH5B18IOkfOBUST01hybzMNqiNnjTsM06/Q+PaCd
ci3ZdeoZyU4wx8PJr59Yewu+f2JAwrCcpH5qntYiJ/gYBjI3jMtRtd79ABqYQyxkVskhdlj0vLXZ
6u19DOOOaTuhEcyXqHs92RouFuCsij4dZXgIJ1dPaYnncdHsQYtZ+kCjltYUO5UPdZucLM6cserC
ET8Y2C0gJ1idnlAso18/kvwU2Xz2YZ+wSVTjDeoy0MdHUlZZLFVayntwKBZrq6sjfQOdYfV66b6u
Y2maM/eGdode4sRKHVKaWnEsxIKGY7yYHP1XlcID+jnH+8jeJ2Oux0HRpnKvQjXxKVoK+hHnqHDb
XUYpwtrVZOpWSy+rrHnc3zzap7MOjxYAb5KCpWI6NqeOj4/WTZnwaLrN98CIdKRCW4SphUNpUn3r
TD+jiz13lVoePFnq02xhVIIXMrkFKMHtUriii3aBZfTjPWelhuEYvdRi9lnDQjQpE3CoEOSRWtbR
DfMinlrWI2ENJLuOgkkXmvyJHEswFEVkMxQo0sQGgp15n7IkYkBJ/Ok4PjoUZmAk/jOx/XLcot5n
QZ/WqM/hnt3VkyCTBKpAmlX4fuMS42K7CPYYdwNKMUSH4yFLxv6EohaZZRyVvwsLn7YjfUnb4niJ
qwr/ccT4eEkThSob4q131/aCGdLNXceE4qTO+NhpTX1uG9L41GJkOY5izT4fwpIEg6DHKI3NlHdf
PLf1wxQbd9snGLAgh9uGqhY7QGGw8LupZKN6e22RGkuGcsr9krXCKtKvA0Fv/SKMNBF8CeY0GG5p
11bcCRU89qbM7XSe+uvRBvnAw707KPDwehMgSCA7QM7y+XzN2ak1MGac7+J4dnMqR31m1UAjcSy4
oopmN/NWxY0LPSiA3giwuIFdp84A1luTs6rJTTCWjQpklUOE+pEBG6sp+gZN0dzj+Wa7G3yHqvy7
nWLyfltUbtE8j4vIx2t7EOa0YJpQBg64JLK9tt+NsN2Gq0bFmjrvFmahHRcaEWB13QRCg7d7FJeq
yVcAy+JyaOxpHU3ZwGIYlmZE42IyaN+ku0CK3j64OainCCKO6Mf+pA6AkoVkW2HUnXaxRx619pZ8
XNACjZmK9emEEzPytW2dursh8CJrg1/UtNzhDiiTh97OoxBPhk6K9UyWhE6Li2xHAD1BjgjlOnm0
R9yn26jKHJfzMChN80SMAmB7ZLR+bILgqgr7HqZ/lBn3Af3N6W7qJqu7hP9EY5cdw+u/O43rNveL
N0QlqtVVBbLtJsCDPjsJE6obu6WyfWQAAhih8NO8BnUi/wUbd7/8HkvcpnCMdLsZ/aWexoe5znIQ
3OkepSPl+BsOzU7unoSFkblXgfCMDOAMApBwo3/Efml1jPIEQ7exLxerGpjSi2jaOr6xQOIjKVOW
QHi80z4Ikzi/KJ0pU/SchqijATg6YZQku9Auxt65DUtpqVNsC+MISdSJ4zQwvWFBDmedt34yBggf
2C5MnDhsaK2fwqk34uRkTAp2mzU9GpsAi51C7zzCmISQesrkGI1wPVocW8RVX3PqChDytvzJvc6l
5/GlO/6lAaya75kBuSUurFVrq5elV4EcUJRo6kjuxWQYnrfGljLrvROYAAJTT8ce9L5oAsnhcSLL
YVN5nsIZgNc6deLAia5nOJm19yUNjXTMd15mGZT1s34O/OHaTS3AAeA2Eb6indx0gE0evCgMjeXc
RgKBkTJmRci+JGqr2Dk3YCriYSgSlYj8SwpvyA+3Y0ogiLa0DyzunZClb2kGBYL9komHJFouJt2x
BifBDmhl+YjpSsn1ijQPgnu0s9CIbsjGGFn8oxN2kDWGL/qXcP8cWVYKqzpSRTtueXokL0Vp4csX
j3rErBxb8wBL1bgzDmXh6ZBvD1STvXUAFogJsJScN1DcRRUGpPnxUePOWRg+etr8w16CiSImLLEg
IysFfGH3WoAIkg6GqJMe59IOUmpJRm/QusMEO/Nj+4dSJDTo4CcJJy34/mL2FGTj2Olxdq/sXvUP
Hc6wScl4GfECXArpEzFd+qmnbznhTdfLwWVmcQWLb6mX0Jj0BHNBO/LmnRn7p5c8KPTQDIPgo2yx
vhq5h6Fsuez67XmaxrLUCwW3mL9zprpy4RRqJsnaHgPKECDsQbqa27fZEy5twK/0NB8BldRufh2M
nlkDUeh4xg0cQJn8yWodeNRm0hiHt6E2jh//1yAfP0emKNH8hbXLDYjSiNEyTdw6aU5QCJl5aAWc
jmsh1BQl5oFyWQSbyDm+qGoZOqYadbK+QdVaBDPGPyKLh9m9Dooe45/DIIucj8iaSk8D/dICxLrK
TJTVkFYqHMlf5l5kqpfgOIJVzQoirh2fKZbAgeDmgnIZxX7ufV1LM4+v9jg9kLPJGR9Xa/GYW3om
+uEnd46Zp5Fo9GViO3b5y7lSphffL0Zi990ZT2rp4T1OpKWfe+6Sh9S/RSRNy89Zjgf5a9VigsaP
HwfUWMaFP1SQZW1va5hOmaWnC1I4U43EOHUV/A5QUWFNB/CFKBO0I+83GTypXoQblUyf1uHEysM3
A4fd65Zatv6FctBf7CHy+ZKXpl4OxeLo+y97N4rH+z6PcshXZeTze2NlicjaZ+3sie7cOs6VJG2R
6zl5G/IgHeCIAQiwMn4JO0DFxVOYnOzzg1BQZu45uYHI2iBL2pUoubZRyMWdNAact+nymgobZu+6
zMFrgpbkVZFezhj86qpINvdu6u8yDovTfGYFbT5V+86uzKJAIMXOoXGFLS51pyIQPZ+PO4Wx24pD
o5NfYYrG/2cAeu4TvEVkyVaKWn5+NWRdSFEAQgpXFzFNqQe3DCeygHBe9NwfA0I5cnaWkkQYv4nz
3t/mAHz4yGSUYN5OnYCtavrTdKeUeBPlVZVl+7dyctphh4oQX5yT736b7da2LDpjMcNxYr2uGVUh
AMJrDwFQLw9W7COqeK+sMR7dfXd89CmIWobIqqcl44lAPbbO1oWHRpTrGlsPn5hqPWuoLuspfqzi
+QiaMQKil/p5uySRfGmY4HxewejmT0mOZMFTYMsMa2RKFjNob6sWDZ+AWaxz2MGB13t4K7IsAj2k
cNeXEFflaRQqWGur5VinCknLqRopQG1U7UKRkfoWBblTue5yChMO9g+uXk+dPSYU4aPMBz8G0Cec
2fNauLQMM7meHrw+QSCx2GIYnVGLT/MSDaFzuIQ8JUQzCxbC2Ri2TZNcBVaqi1TwqAg/XhaCG7qx
KTrP4RZGqYFbqzsixthuKF3QDl95FIHcJzvCIxCgOns1L38x7IWnwgZKbxugCfV0a2QjmHzHkUw7
CJpXFhREazgbF3qA3k229KNxgB7XUVVYahW4T8Rb5pcx1gsjkNqmfgbQZNANdqSXukqVJ5xXOVkH
RTXWTyBVYiVe7Alz2SvXVfWsm9VV2xk/xwTZB1SrsGBCWq8FTKmMtZ8Lr3mgfzBm3Z2J/3wUrUNn
tuLpdvQ426jvwYDEh/yzRS6pMZHW6AfkEg25tNnDYvfSBhPJ7gCOpgN3xpnS80CsAD3lhlKopQN/
aYD29EY6U6AVj09yfJeqTikQrh3HmvVjvYabHGQU0y2YIx1NOP3rxZu0hf5E+VpDDlOp/w5JDYNP
zNGsPxhaVCeKLZm7rrAneVizlCNOi+HVglxOvU1ZqHpVBoX+ztuU5UxJJAocmj0Uol+rsjqcIj6G
XFCDJLSQjel/6WMvGivICSU1XHtewkCejqrUqzwyFl0ObOkT8cXmWNadqsVkftsmVfArugz6zoFF
8qNvF3KagC1NMVWMwzFjK5N08SAmlnVv32Bzop8vOxYaFUIvzAYjV7oI2TZuYyMpGRWqCvENhY91
6BFI5fPdSBdvOMNmXh/jYnviGt6Q69vqXxecUWXsI6vQ6fUir6VuM25wY9dzEr9wmQErj1vA5Ohj
5qzG3XFA6NrooJf5rj5i2a0w0vNYWrnn/6bw9Smhp5ZDfGAGS4KbK/7WBIo7ash0l+QhRkmVuwbx
N7Eaxoowi+aaXkH5QOEFIFSi9L3/Jrv7mNvpyyOlAicJ2oDg+p8SW4QNkBdtPUpVx9CIqpleV+QB
rKRfX+pToYnVZIK841qUrPj/Z3mbEZqSH3KU/NccQf4PRUdVh7Z9DS5Hv/3AjfVLBanNGwbjZvPK
3oLjr+/lYwnBMRHY4V+Hh6cdzjyXH/N52MyS8m0KnZ3ejvuUOEKfx9vW96ztUnF0/t04//2CkMso
HABZwvXW0TCo9zULFH1NAec0vMVZTuNcMnb8U+x/CXNvK/vXDyh02e6vpF0/IbVb0/EEFpeCdsSn
CwIwsVHAzN3bt4gxxosu2s+uNTt4BdotiO60xrD7ph+tOd0UPcJhT7bVEBqMdoEe/puqnPg407kj
Uik/YPPyAgfv6M9tkTkwjRGUjbpFjkUvqpFzHWt86uE7qV3iDwmvILb7mZUZWGwOHC3gm/IlrS0F
h31QZPY7p7AqSANgvsGNEuoVH2d9AOxMZot8cj0emz/1Mcz+elg/v0ZenG0iPUXHBOw5vq6fXqMb
q05C17uCCqYj0/J6EKpbIPc3s+H39sU/v55j8iL1P1jBfSrOehOnEbzL8KQ4bntThG7GyqyIrLgj
YHn4j0prjknJX/hUFgncLNW/hQM4bVSihyS9Om5LHJL12/CynHVRtkpvGL9+QB1f3k1TJgTtJ6xs
AaXQPKRe+3FAx3mZkmZxsr1XGk3mrL2i8Kwnt2HB/G4J/v1SvDqffjvG0ySZn0NdEcpi7jFn2B+P
IoNDdYR5JFXBl18/1RsU492DUSvkUgEAmdf2MFJmHx/MNOnLeAm+CM0izbjdSmfSPfEeh+O++tku
JW3VddVG1FbhJ4QL2SI+IBE463N2a2TPUE/Oaio/FxIOVWp+wZs1iqr9zNnAQcpxSjKBJWooaTn9
2aKMQRrUpNIu1bbI+0WiXFiZblts/Mah1HZhTZC7Aaof+3mZSzJiXYdlIdR0mUEdCIDM9IObCGoi
KVCNPYmGlxSb3EhrXsXbAcUz+LEY9tCopwIndJ/Nwn0NY8dUIxtNQvcYF5LQTWqojwHjIA0OtBUk
s/yqlD0f4Ijl9t6V1eb6MGcczzY1UAZWu1n7YtG+c10BraFsm6BEyKf2cjDD/yp5KLbNGEWl14PM
6wkKWM7I+C7K15u4pwYqS+QWmSu3tV9xySIjqxjOTLoVSbTOp6Iln6Ken6f5vcWxN7CuXORa7Po0
dVFZoRgA5pk663zMwwKI85baxFmPwPktFRiPLsMqxckMJzujr1B5LFZQcNg/vwQQ7UH7RwqSnrpz
5gBxpDv6DbqjxRkQBfqrqkOjw71LaqrNMCs9m3Yy5Asl0J9AC7ltfs6knnhjOO40yifhTHPnX1E2
C+ubErGSTG7TsjVADNYEDjD9yPSDfNmW1cy73YwTeFOcFAwqEwNCr6ZwfBSG53DE6LHtWvD/CA8k
ZNMBRE/4trHZoqaYIzjqmgVCx+D1OXCXK+THiuaxpPJiYAN4bLm9xSIFeiXC0wylIRKOMs5d2XOK
fj1nUfjW58S57PSmc5wa+etpsPTyjJStQce8RzC/QeNAEMlgMHAbADUlNDJjCO4I4pV/qMvAyHfo
3SJOEUfReHCQvU43czKGJ4k9WHuULJbTAgLZnkpGdes1LrouMGGvvARVMmrGQ3MXMqn3duTg6sLq
i1/Sps4fIzOpNlOAPMLKz7FoJdmlpCRL59yvzacqYzmWY+1euCN4Rc+Ge7RSptHsUm+yt2mV9NdL
mnfmllN5t/Vh8ebMWLf4Ftf9Afx5fd7YRnReDKhWOS0laOAQEdSxPtjEwejfeHWMy9N/cHcmy40j
WZd+lbTaIwyOGYta/ARIipQoiZpS0gYmhRSYJ8eMN+rn6BfrDxFVlZIiM2S5aLOuXuUiMoIg6HBc
v/ec78RV/BI3dYC3EJwAfIsCLbxb72Ew5JspKJgCE+Fr8E87GBiMpLA3A//kzuE89izHEq/xFAUv
tZtm23QUoPInNzE3UaKW1xXegpkQDrXGFK2X4e0wzs4T3hWTo3yX3wyOBnlca9W9gZcnhp+s6GcG
bbqNbJvitUns4EjzENhN1OpwJBj1cJ4RlbjqtSSKN0hulbVo8vaq6Q0aDmwFPvTgbq83cgJdlA+O
F9guNLj7uNewEqBAQCSrGYnAfVG1HHNigMSrXjedV6c1bbJ3AkXucxc5gm+INjmOPXRuk1n9qdm0
ovYCJyqfgERVZ6NtqKeNJZYVGpjLDDXsh/1IOXtQ7ZRQrrxU9nGqE0KHcyx7EQOondU8OwI3KLrC
h6Gqh9daUUa8S2J+QrQM/gfEGfLBeW5YuVFGHhW6Hdn51Tyk497qQkKygLoQoSZsNmKOVF4/6Jm+
Nxw1q/ZyrOVGqzrt1MxATNDpvTOH6Sv27eAcRDmyajiLPq1FFMnhmPewv6dSXxt2W5xXYAYfAClR
k6mMtxEgdykaCPKt49CE8t/pxhOT6XKla1kB0x28m6bm7XEURXpsIgwrXtriwKmjqb6XY5Vrq3rs
IBcLWRHEw/UxcXXoufHgjdHsGaMzXLoacdJeMffJU5JX84ohT35XlHDHqqoXR5chwg7HkgPiSA32
RlwYTw1cqrOEfj/2UhqufCgAjKBTak6kXXhmOQuLPxOp+yQVihrf+Y5aN5OmvgQWBc1Oqy3Lg9Ni
n7SijC5R1aHtGCJ5q5VFte27UWyTqreepB7cDpyTb2eSKBwwCca0Suo8fJ24IduotbtuTRk4XbfS
JUFAGjUT2xSujxr1/c5y02pbU4eSNWE37q1btO6zPlb6TSKD8rmf+/m1Y4H7vV1qBwNhwVblTeGT
7tleU1+S9jMUJEfAWHic1bIAaSAClDm0k8+jSTV4l43sSGoSO/SDzBRyCYMZD1BDsk3NTt6i7dG5
/l7bC7UAGGPpzQN9ufoSqK48EVPmXue5nE9DrFHEdrLlcgzOSRiHn7KXQB4viyaQN9JxjK9Qp9gc
tHrqz40p5+Ghp3Uh9LY7HfHX7GI4wSV9G3LoAgv2IMdjFJa0PdzdrGDyCoJIHmfNiW4dasiHenba
G174IaA2aR9mobQoDq14k7kBaBkIBbrX5m7mO/h0dda7LDZzqJSXKS34S/hgVe2hDFE3ckjqh6rt
jJDD9TyfSdfoyPBhRBwqeXkTwgvCixQCadPt1DkRzPy8vpqNC6cPdTrzUnlRAuAC6tlkGnPselM+
Uuv6dkdL2zlLTb23wYWBsgSpn7lVcDYoVXhJl4V0XWMq7jJChPk7ZAC1sbhrciqYpLOT89FNEAGa
lYj3LpjIx24xOnhZNKgHpD7dbaz1PYGcWqaTgBQJ+9QISulsXJUgFIB1ToX1rSFUuGfe7QMLhXic
zC0cpVwPivNSYd5/Oim1zb221KGVZ7XbM+iBJCqGXWHU+YU+GsoR70BcedYoo3IduZW8gjbc52tG
vlN0mscpdEJFFia6vCAQytbuIbRfTU4BfW+7lB6q72LazMqUu1YOYbpPOZNLMmVtKhfPzLugP9At
gUmkdyK8Gey5nIBOZNYZ2rZA+IOgRDxtOYi3d2bM6Q/ouiKr1sQQr4bYxIOTvrWIRNFGtUhu4KwH
0MmmsVbdbk9oSK3uHIOJwLbOpkL6EeShDpREmOIa0MIMDJaEewFEVDFwhMWwNsjEBSB4LCcBeHzg
oJl4ql1r6tngJmPhaZI+/sHO2E595KyzX9LZ2idaSxKfsNN9q0xjk1xkWCLcWef2F6CQfPo0gAhQ
acGtzy/a1khII5hIDCBHFJ9zyfPgMN70OgHRZ22ILiOTKmI6i+mXNq83tyP4Pj2fGPzYQKJOitgA
tx4yKDykMW1SPxnj8UQPDeH4AIEjm5YYrpRdGkqoeFVnQqLWBqbfkOPac8V0R9vLE8yHK9tIdVpx
9OzuRKXIl96lNNFlNWnbsgzIjA7hUXaaRwlHRonHbB4p2rCyI+tqUozSpjDrnIk8D3bSlv+hhMwx
xl/ZhGqHuBZQ4oSM1WJ012mOdQm6Bw5O0zwIpbe6W4a5eUCAMxizsO8f5zkKb8OoegzdykxWHBPy
a5ClCanvgdyqvDxUNglLMv6y59MMs9G51ONu00fS9SriAKoV0BoVpmtu5teY/C1fSouoH8gL7K89
jPg2DOaNjdNkVYdjcGDCSIYXfJeBxAheNsal20T6tY2ASPpxT6+H9cCCWaGHG15EWaXHqi7g5Ta2
HZ41oGGvu7ppwzW2+j7Y0TUOoSHmo7sjO4a0yaIm7rIOzOsiVcWa2I/yNA1M5aClo3GqVQwty7Bh
eO1yLMJFGvRPRWd323nUsK6oNi9hX3X7ullXwirP0Q8O7a6SS5JDM5ALWafw3KD1EivjijxA8Y0g
sts1Fl9uPdHkvp4DGb9Abs1qDPFR70seymE1TynQBSi+Xh9baebHCfUFlxBc8daJNx0WOK8rqugu
iUPxSOdt3CDacbel6uYbu7KTSyUhy7bPreheLfLbLEEJFnJw29haALx40EDlmXpZPuhqIPedpgc4
nCV5A15Mc5Q0DGLT0lClwx2PvcdhV79IOJbs+0HEX9OIuBEcTOI+Ffpw1jO59c2qLnc6LeM7mu9a
uuxpIxjBRK2J2oQtkzLZBzFrdMZX2Gkchqcip8tAZFHzTBqWEq8zK2YQSjO5tHZQz2IA+DImlYax
Skmz0B4S4ekZ+wiEsDgxD1nVaM9RFLXwezKugYQOG+xByr/r0f5iTUDLNXe51Wm230YIOSW1Vhru
86psf684tS1517quPvLiHSTpO87QnyhtavltlSgncW1qt4tuAGxyD9gvnpTqwsTL+dz1TsXrgZPn
puwC1FBlAIeB0d3iEUNUQpYcJc3ZCH7tOdXaMfYa2owQ8fps/Iq1nmeFh5JzWlfRxXzpmVrhlU36
fl0kvb6nSQ2Qb4jHmWIe2eirgYSUiGA7ak9xjkrOspQjAEKCWsFnXhMl76lzb961TZY92BVmvbQB
BpKpSq2ed4MtrpmuOS6qIGq4lQXJKNsOFFV7dr9iIIAIRg+lnEvpiYpDKc/1aBCKBxIIXdGUq2a1
llWPzh1FCovIMyKAmwZszLC3GKXkqZekFGlyvRxjey+Y6pjAZhOr/3wP46RIL7RSYNvjVAGWjhgl
i2gpT4ouzCaSJ7WkMC6sDl7UKiX+XH/KkI2Sl9ArUCWCDQOzdFQPaVTCMgUsxJMJvIVIhqbD1TWo
5kTmJ+8tMn/wXhBtX/RTkKenkxNoOjjrjgNYdZn1dIdImsKU4XYb2VV1fB+G5OCEgG5VyRgFN46O
obnHBm/B46dWK3Zd1Cn5t6Zuxp70AvRPebE2a2Zt14GqMXvZVgil2sKXE9y35DLpqpTfwVCQS3VE
KnTMAJbAL77+a05YDyGbVZMUk++SMmvem0yZousfzVqlWgYObeYurVHgd2N1Cpl7Gd2jF1jmIDyH
s/0SGgEwyi266pnnrRaNGz901RAReVg4NLoUTrZEHFq8ItiO27suoqHgnLUUlOO5mrgqSZFd2HR1
CtZT1fi1eOUlZfKsO13RLzlAbTcVpFny9WYgjagsGg/Ri54H13prVrG1thCqxvpe7bp6Iv5Rh4nK
v6kbYb2pKux+GjK90k9RIS3wJ+isQeWyY04QRpvWMbZxa+fTVNGF7emkgrmjGslIDQ2L0YizdTWg
uHHpHRSlczZT+jkQvzKLEKIW4l/VrYRRkyltT7NubJn75XcVGI9bBXVNu9JKzGcro+PZWaM2yV8I
i6PKwqsSyXRdWo0b+b1EpzKuZkghRwxD3fTdE7N347AnCcfsT+gDx2cloEQQh1YH/2aa4G/pOWKt
3mUQXCnZdeKOoLprSjh7pRfVBLm1GNJiK1sVFePoVLjhkVCnL9WsBsSvSSOHbMh7FIe4Pk9XWPyH
kQJBydZUoJwQgwSk81ZaRgsykFyQZ2UhOYNjCYdaXEFGTk1/iDGgSsBvcoE0cjQoZoXYMFUmIlpT
TpAk3ZHT17+EmETpuFBRa+RepFG4wafVB0RydMJBnKPV8GwC1SjLtTGpDVHnRNdlPYgPSPmBFpYe
DcXY5IRqT8157lhq52uq2bX3SB+QTaxkhcrOQ9NR9xRIQkNXRHPrPOTkTfhyTR1+GBm4jcASUwAT
qZWRSAMCqUF4jRUKbV0FAt3Tpg5mUWG6jKSUNtriMuKHsQHUr3S0dWRoZXXidTTMnoFAStZG4B67
hejSRXO1sUQ1Xk782L7hBg5x6WgrXhXESzQPASOdKWzDzSOHyyE62kkul6oLa+gJFYy1l4Ztxs9s
kfq01XsjuSoHPTggkwwB+gjuvDPMI3K1gKTzdIaBC7hXHW6d0ewuoUxGfAVsbEyH7bxkN7WhaI6p
uSApY2EDQiqHnaBpQaQf2pjfB93AR2imjXFSGEmCPFGa13UQlhuAE+q9JRvy3m10iKTozSj0G0J7
ceFM53gqAfdqXdNjLcoKBPJu3Lv9LrQk6rSmmJGDhgG0WmcAYYQ0gtOwBxNlAgJhusxZVR1joR/2
es/Wq+B3IDK9spEX6mGzpK4WU3PQu6o7CzVBjpJqhpW9QQhR3Qwj7ubN1BZ8S9QA9qMhI4cIbwrw
C/K+qHgbx3CKFTU1RAwrDVzkKGkdRz4v9ATlFe2SyzmnA7CaraqySMRBYOfrKszTuR75O6GJnA7Z
CCG84KG/gaGAhxc0ZCa05vRgs1v0p2NbSGCede9cNaaEw9AqpkkqNpqevZ5r5UHPAu3UicD3IhMK
JkLuROCeKkqkPU9ZnO5HpWou0eoloFBgS+Fh6wrmDDYMldhsEsAdgwHZohumhPBc6bQBgJgYOAoO
FT07TYQ2mZvWGsw7JYiq8ZzOVarTDChxwZNgLR6AQxHKmCPEOC9RmBDIOJgThwIXEMuqDlQzX+ci
iW5SEyAv5Fjezz31uR/psnaW+2ZdDDrphfRdyuDcyXL9vkZlEa76LnvQm7y8l21ZriKwJVdARmqE
UmHPks/kQ6gAzqK2GhUyNGZxkB1mvIa+y2MRdspOJjzUcApT+6Lt2nLfmjVeD2mnZ/QF7BMlUMmn
nuitsgxC67nSZn09Gmpz1ctJ26UNHHgv6R3QZ1Oh5khnClo8dtM4JwtB2fJnV6FwymN33BYmSMMr
3LKxL2lu+ZKlbpCBYHZryhcBfaeM0AYO4j4KpvGesC2xqppOxcBHxFXuZME3ZMWqb5hGewtWq94K
OMnPJQr0e5W/Ag1/5MYh+QciYDiHkSH/tupbnjqne0Kg3F5WnTqBWmlLVfAczPByFNK8pDDyLe8D
CUXIaXQfEuUpXTTlbKg1+XtCs8N3Rg4qkPwLYrUiUd5BxjGuk0g3cs+gq7+rqkIwCkNpmer61wnq
P9G+JE0atXzmBUUIkM8MHBfTPSfaMq+upNHAxblok6hml28cZ9EmyRr/MyKBcSJfjFkDA8fywgD/
gfxk0PBqaL5eqmMb7dQuypN5h5B7am+DeBzMrybchPQkKZ28NYDSAGZTfKc3jUGyeaWoWZhpoY9I
XBFbqo/wTsyUjY46kd+cWgAedmDo6GKuLG1cyHRwsx6tomjZVGp4jsQTDTageqDpfYFOwSemi1Dv
ujbQWCFHpoxHVTXhheahQcZumEhBo6p8VWuFiFafgSZCvXVTDVMaMbGMwxS1UBUGi4icNVgzBgmT
cFbrY084IkcYklEsKe9KZwj6xGcQ63DuwzIEa/w8ScqmW7BWZPfABqj0rqmfyezoxbTiXyEWj7ku
jG5zNVcRO8NJgE0uIdJEmZZvYlih6mbbKBx7u/69U8IZMHscwFcHfVBCJx9PlbbhwHyaTA2cLG9U
CRTuN5+M594bRBj+YaBewnYYciLTQ/jwfjhHWl0UJGPlflUTXCT/mnprVmoyfpJ6HqL2HJy+yD01
N6Rmr2yZIdIkeELlLdzqxWjfJt8HXb++rvfTZS7LZk6Pg5PAToaHzIreX1ZsTliTwth+Sctq8TbB
P12EH3nqZixEpWRc9smg8v1MfvlEbNzcjcXBysh3QQy8lSXQNHRaFb/Ea/7jE/sfqhodDjOj+caO
DOhJba+OCpaPOGFY+eOn+Fughr+C2Lzj4fw5p+Hd//KXwIf/B2kOi17jP54X/6l9+u21IDhgWmg+
//zH/+SvMv76VPx2/ZSXjPB//Nnu5Z//WP7ev2AO6Mu+CHymjortGd7xslx+wBwUAbMBkoPD2NBa
WDaLkf9fBFFw/V8QFGDXtRaNiEoe039StBRhfDHRu1B8aAazSRQrfwfpsDxFb0bgDPW5OmoYk09C
YvMxRkvCyuwNs7evtVngBscaTFt9atfQr1QMbm3zifFWf29U4XsikGBOyqOD95cnfPnzN7ZFSOAu
04Kyv6GAIOMw7lti5aSInP3sEhnpDIZ2Boku3Kh4SU5K1wi3zaTAIBdGGO2TgIJ9RFcGFsrpjZ0e
69Mr2rSH3DFD2nZCGLw9puwxJAhiy/6pXCiJ3St4U/N4NyWMUUaDxownykL1I87yHjqYYm/ydhXB
nd05IyVfPTOQHuv84c36uPxxV//aE/XjqyOxMTHCm4i5vpt933x1QeYR9VVPax+nJZp4aFjdpN/P
Upj+rz/p/ZaxfJIt0KzZwjCZ4BAh8f4mu62aSb218puCEes5LEmxs+tI+IHd2glzuKo87dBvfrZl
f9Azff9YE9MX2pTvMo5FXfbmC+pY98ciGvMbiYJ6g7zc9jMsBj54CbBHxGP5jOBTz2qjM46QXyey
EG5+/cUXcvi79bx8c6xnqKl4uWFPXv78zSWoajhJQ8shYJNnex7WMt6OTovc18zPS5uvHOopjD/F
CTeROh9RfXQ7l5OLr6Zpuk4bU1u3qTJsrUymD7Q3JBNfss56hG57rf9myJwoj1nKQ0aJd/Lri3//
ajFtMsjADDOIBFaAaU5f3ohvrj2cO13P3Fi5TtTfLQ1tibLXOLb++kM+PvDLh5DCwQeAIMa4/mFp
9JxaCG9KlWuO91srfm3zilO3ux2Tu+8f9LfeGn+52797J/y3we+Fy3b81y+Gq//9vzraq8W7V8Ly
V368E0zzC+AzzC/s4K6LPZSf+ccrgT/ReCtYIGTwMBq4nP94I2jqF5yUsCHZ9jU2D5vfDYFRG/3z
H7SzvuiYakw4sgYnRpb/33kjfF8Bf7wSwPELA5y0BZwBt/dCknm/DDUHx2TCZNMv7DRSzu0hHUpg
UihZ/H4EALdBE83pivhfkkkMDtO0qLRJGU4FAmAmCYU1My8maXTeKj3R5qtgLjAOiFFTBvSBbZLt
baFUw0pr8amS/jPMV0D/M9tHzWsxT5GRdllIWph+F3FkIvtvipqVyG1J/w4NkIfBQb8KILmmvm6M
RKw3mdtYfjx0DRqSQe88jsP3TWeVX0OwzM9GIcuXv7+6/9vWrcW79q+XrV/m0FK/vqtklr/xbyyV
+KIZVCOs2GWluX9gqRRLfDFsII6IEm16NlQu/1m3wvxiscpZ6roJNOq7F/pfy5Y/0ljHvAdBATks
OPdvrVqep7cbP5ZrRLLUS3S/KY4YRr5ftSjL0HnFgpkUIQebeRl7jRkwvBXdTyYIObnF4PyrCDCv
wbDUZeyNUcIUgeVDbLYJXcGa/ZoWCVm0TI5x2VSXohi1LfNA4nNguRbftBLQP5aUikWtdq2h+7aE
FFeLISTwBVMgqUyhcUbDrDtLnB70c6mV2ppObX5n0ea7Leq823ZlOu/dOga+i/JrMbTj7fBqFMlr
ZB/nlWjr7seb+f/GXty/0gSSr78dnqrmN8wtLwR5lMV/AbuS1fmr5X0bPvFd3u7J3//Cj9Wtm184
ZUJ4gkZFj5qs23/vyZr7xVxqZPg5+MBRRv9naRsE3aKWpzNh20wSKGj/2JF5IDi4Ql1jTZocGP9e
1O0PssabLRkdPG8K9H9cB24NwALvF/eQ0VvTLPeqru252MkYTMVKnboI/x1OhMMUyuvagmUAaS1D
j1ZVpnYwS91VVlNWRg9ouuUIOHBQE0pt5oTbVusy04sQSYXQq9zF55mwildNHkJzVJDhlX6ETe5e
zUoTU6+TwG9xQo3pQOvGwQ3d1J6kkZrYrZVQo/wJL1U4rsLQmOuzGkN9FGz1SF2QrSnjv+CIYovK
DaP2UDRig+O5gH+JnEca2wgUpiaw/bX1dD1MYZSdhkxMvLpHKgPdGTs4rBHyy6BAd0l8LQ2at1tV
ahOyi6Hv0To0WhmtR8Jpw20YtzBm1B7T+SrORX4/dIpN5BNRU51Hj1ZxvIgZ7jcVg9B9DTvuHKx8
AWROCyhS+5iGLiqADgKVNiOCR6FbynqDJpFEpglLN8o8yw4Z07DhFOu8qdQTvKRFj7AnSb+iPJSK
j4OVLPohaDOx6QdVf9QTrb6tuoa8VCcsJVmSQQ3fOMTOvxqMKtlmKn5sr3aailgXGuDaFiiJYDal
weU1gyQjdm+G1PF7PAyD+6CpSvWQkA6bko9NweBPUZ/tctzsjCPb3PwdEOH8ZI+L9EmJiokmUh6L
yVMNYrk9BdUCeSQIIQIG2YTT5MUcoBcmr0uCr6Nfj6BHMDKu59BDPFy665rD2cVAm0j6klUf+aky
Mo/IsRyd2YBVDB8tw5ie6MhqRr+vBSiEIhIjw+amIfPPDp0lFcDWR5JPReHMpGfNgjzOPC1NDwKc
FfiV2+sMeRAaYWAmay5D6GI2KmEWUORWGFEGd82oPEDROzXRq8gLgmOYpgDdBzBSZ+Q29CQlOgN5
pys3NNMBqMvgnEsmAPTnXDxZ/iiSNjoUepI+C7qSl2PUZTkKYyV+cZp20FY94q943TdWfxPntnY1
kDE16PBM4fxUmKV4AhrP+ZGNTM+8Dh6mNHSzb9ieINkhQrHmbhfGIasDwOgSsczIxnK8kic8PShL
CnPodORrdOpoNDTZlqBmB170BXGsxDeH8yTNg8LIRl2C7Pp7ifzl4Ja5qLYqAaThphAFUfBMMPvW
K2xamZsBovYeKPP4guaGGOm6a03tLrSXeGmXV152UlCFmrsZJiPjN7KoA7AJN9EcAz6fG7Kqddfu
h5UCZ4EQHEdp0CTZShevp04ZT7RKC7EIdi7ZDLM5njsjmooN2RTJiZGlZOTlUHZuhqEx7EUB5H5T
qxCoKX7J6WAr0AN9qWvWdavFw4OKlIWtq3YZG0rGm3eDmiLxizSUWp5t1GtalSVgq4gJilepUXW2
MBTrZbhUkrSBpMhcI6qpHkyimZmHISF/oJOe/L4YBCgMCdmMPXjxNqCfQLUuB0tj3Zm15CQ6VqDW
G9dMb0mpNoLzhPieYoXjbaGyxk7FjJXlCwrPloaXKXE6efDC83Qr0Bx8I8i4GJszE/lKb21sPS0Z
owfFkF8hR0KOyeh6eGLYVV5gk7ZgT9rRjIl+xunvO22XH+CUh3Tbo4YtT4ePeRG2KSGCQacO9YbR
AFNgzJgNqW2mQwhgUMSIwQojSpqjoUaWspaxMXWr2QkaZJZ4RBosi02enHAW5t/J21T2j6M0USQ1
vTOy1QMuGp5dJzHaDUfu8WvNPn9PlI39jKZFXFlFBNGhydRs7Y4IFy5Ls6JS9hodAH4Js5OwwgzC
tqkOhemX9pwOewckW0caTJORTpwlBUbuoGeonIFMOhHILGATEWgLh2hMmN5wSZa1JoZ4fmTCxyNh
u5E2M0Gnj+xrFomuK7iUdrcmqVkJN1oDZcIPsm7hsZhuMDMiVdrTuUsFAbWlOtxVLsPhlWoiuteX
W0BXQRLWArGKAeDfr/D//zy/OjRF/vocsJGvxdfot6WfhYI8flcyLX/z351N3aDIoWqnKFm6TEu3
4t+dTdP4YmMZgj2KP4my5c05lmwk1zHIVOIEa1nAAN9UTYS4cfJdDrnY0Piv+bf43qBt350IsA5q
tNqEgAugIkPSPnSjYKyINk6G6QA0INgwpmlOiXzs0LYydGXf6g/d2A5rIYjzoE8677uiZH6qohdb
xsCrxKxGX8+aAEdCpG4UMAjoZrJ8X1uAoyFpdrwiLMVPChhZY3dbT/ETnpPuJkg7Y6uaKMEVpYi8
Nz/GnzQRP5oGF/8GNlDaRIwFgHk6Hw46Qx2imLWLEQHX7OzQtaqPVc/zImdl+/1CVXvwwiaOLg0S
B/boysZPLkFfmmh/lKOmw09Dm4/es4M8m9Mbv+HbRpUVW26iV0I9zFG/uXdIoSaKc0zKkz5V1gUI
S4S2gRr5oaGF9yJIospDatj+rs6iPBJ0UMLktSYDdzxKlRNm4ypjUccu7jsgh19pneQXiY5abtAb
W6wK1Ux2gFg1Spk52aGm4Ygla0a6Wek2GqijhCF+TawppujMBZLR0vP1UoqMT2790vn48L0XM6qx
oCNZEe6HMhzYSwdRS46HnAPvVRYuvHFbuNgGSqOpv4k4omzss2zYgP7E0DwOgbEfTXERoRhZwcRq
GOVPefJgq9icPru65a6/vzqeJx5H16S3zkn4w9UlaZy42SC0Q2Lq7lORRYhAbcKEtiiujAfanuTf
QKcLLxgBjvusdznlckAeKdEwnnukoWXk/6J/Ovz6tv181+AG0tFeGgPwI8yla/ymrdnEjWulshkO
Mk4e29QlZpvC6JM1+R2B9/7b21CNNb6/ChHEMZc1++ZTepx30lTq+aAiSfakHMgGNxSeXTO6Tuu6
3dM3m1+BOCnraFY50ecZTiFSYfObPCtD9M0lTlzuBecJdDRB75uAIlZBritbWgf9DSNFBH5USgC1
GtL9dMGYxI4K55gLROKeMN2nySxdOmCoxZJVI2Lj2hidnNmyxL3cz+E6ivOUbhnRsgayDH/AbgWt
LWgTbDkINFdzatUvLDxCrQ1MJJ/cI/HzL8G2wdZLKwEgOCTY9/dIzoNWJhFiQL0r23stnQyHVGYo
tFysjgSCVMpNYPUbg0RYDltzZ9MlrtEnNjYiBX+4IaAFTcTLr9fHB8jpsp2AF2B1WPRFbYuB7/vL
apoGWlHlToeiIqlWwfB/SDlP+ugPu10+qLOnKMOwY2g03M2IWTeQK+yTKUvz+0+u5OdHyOW1YWnA
1zERs829vxIxGyGkA0U9KGNZ+4RAUTEas86PlBDL7hMOAGIpJPWO+ZE6PWqOJTUoS9xAsOUl5wOL
Z2mFVMDyf31lvDHfPdsaS5shoWAMzPCIJtv7C2uhDIVZG/RHOy2eKo3b5ECl8iBWo7Ibtd2vP018
mEQ4fJwOY55+ncowh+fq/ccpnSND3OH9Mdfqe94CeAHlgRwIKuKi58xZu/HisnxRO6M60dX72n1e
oGMrU59T9JqLW5YJyyfL9+Pq5aIYGyKwY3PjBOx++HGUEf2PMVjqsRn1+gGOyCKIIZThk+/+YYjF
d6cnudjxabUglP04blfIoU3hFYkjyj4cDk2mrJfYe8LBVMefekROaq4/IgFLV43rxo8orovtJ9fw
8/3nh4ZCgJ8BGztdn/f3H/43JXbRTUfEt+PWbopqM6ArWtsaz0ZkO+dQ7Q5g3pMT5IbayqTwPhAx
e56jI0BN7do1ujXyyBeD6GevmeU18naj5YRLv9ZckNIuja+PAog5wWOiZUF2dIkCWMxlaN4XyEpq
NPQ8kLZ6BJGl6ypqzSuC/kJPo047a6ij1p/cpZ9/Ka6EtcBImfce/8r7uwQ7YRxzTJ1HkYtsa4Z0
DPSxQY/knxMNiLDKrJJTkx4SWupA/ew3+tP78ObTPzwjhlZ0upao2XEccrnSK4Rro6ojBM+L+jao
h2kVE8iJBhgvZaAMQNBIu3MSN/xswf60N6BCYaHipqRm1uhAvb8NGBcwn48KGs1Koo+iWPersWhP
SKAsj0VSlH4ICQFkNQe6onsgIPShKcBLSKu9JQ4PCh4EooM1k6WFsl1+snP9VK9qXB4URQQzBhR9
8+PUu1NcUDd2Eh918nB9kkflcdDnE3O0wlORoH9rJOyEJGndU6vvzI0Iq/CTa1gel3dLlktgoKaD
yeFwwYHg/R1y4gI1WjnERwyA5/VkqldGOJVr5rAg+oEDYboh3t6p7ery10v0z34aMM3LRNfUmJx8
eLMxfTXDfA744JpQDL1jedBQIMNesWE1wRz7ZC0sPeefv6khNMoQ+sG0pt9/0ylLELjJJDmabtZ4
cB+HXW0hWwvr3NrRGZ0QDRKlmMM7Ww3fLemzA6wRJfQKg6iyH9XhsU6SbjPJGql+P+BoFiGowqQ0
/KEKpscmyi3fHNs7AIxiE5Lu8wmC5k/vGVUsfS3anxSz779CH+P1leQBHLWODpSS6rMfZ8l9Aj+P
GSCiyF//RMsd+WltMI7l9Uq4OOPL9x9HowRr7Jwlx5qWWNCkeBJyJ9rA/38uE/esdPXxsx30p919
GaShkdA4v6Hq+k57flOqmmBgs0h142Ni0pZHfnuv0vfZDXFE6w5fKCypdiPT8sp1iN8oz+Mhbs/K
tkOur1lrbdUo3Plf34WfbzrYG44qDEHQGgKcf38XitDusb+xhwjUr6g27TtN648zdD5/xnn52R34
s49zBCUWMhUXd+CH52LuqxSfRBsfC2U2CfcYEkP3yBfX6DMiNX0xaM3ajrOBJ0jplWmIT+NIofMK
gXzeLlkOeBXMkx5S2q0TmNkTt9ucPlkZ36/i/dLgSbIZ49CgNWHJLQ/bm9+J80Bex8OcHBHu6Bf9
KObblmDUXeTSofKA/s6I9TNwhShjMyp+QjgxSdg8a74AIno9mH13Ltws++qEdVesBkEkIwCCzvC1
ptAPBXris5C54ZEUFO3+17+osTwnH64eoaLDj0m7BTjwh5/UdoKSI0gRHrNiInkU5sY607L5pHBn
qPmd0H1OGBqD0RjdF/hYYJ/6KR3i6d4KYDFMg0a0PaJZiddxpXVJ5KuiJc2QYFcrsu2V5tAPZKRf
eyMk6aYRsxezn7pjEPiGtKCPoq/1OJG/QmZU9qa8cqwC4w+xCz5BraNfZ8p1iIb2MMmUpMR0rE6G
Onc2dWFlHpQPbadlSbulW558sv5+qiQ1NNM2rROaQ4ICd/nzNz+sMqVqiFlAuZxIllhp/4ez8+pt
GwvT8C8iQPKw3qpLlk3ZSZxyQ6Sy985fvw+9F2tRhohZYDAJMAMc8dSvvIUmzibV4bneX4G3Z2W+
AuRZMnANKgb87XoYxLqwFOkT77ky8U7UdAR3VUSUNxFv0aaEELzKo6LeVpIyAvkRYl0VSFZkeffZ
d9PxUVWt7BTbCEYgVfGTCvmXJrKhRujaZ2Pov7td4m9HL9nKVdHtC3Uy76JXs9JalgSP3WLhEf1g
0ri2phQefRRT6LOvQeBoKNlR0gWbB3QQSzW+2KMf/r4/aR+EC28ILoTD0SCz5Pnl6Eo5xS/ZSC5o
/4qV25pEtfQ4t75IHa2qndD1Edhw03xjJfIjFLBk4f2Za2BZXKIkWqhHobnGszD5wb/fHXINRAas
dnIpWhPxl72pP8GLWJm/4DJui9oEchs9KOMWtZldOfRnUdj7rm8ec/+fh1NoH9oLBZSZ/P9kWMMv
AiIhMI2nvDNPx8Yididx7+QyerU4CJeimDIEKigHja4XjM0HKwvkzy0KQ1w6VbpPa2Nc49acbWSr
HrYCae1Nl43hH6mq3NOQSAmtWqgFueKFBFyR9Z/3yvSYkL3QBEeKa35zYrGgFUqkJRcoavp26KoO
n45o6Rm5fUdZH9CNNgNQ7FensO/dMY4xY4CxKJKLBfEdw5AOySAF4qYLxWDhxrh9sAzO8JR1gljl
r7M94UMjluk/hpcRL+YNunQGrKGEDrOphutIyEsr/sGn/d94QDhnDyQCLCGtkyBCDtQ6IrvGHSDq
hyqyD76mQKajh2nlpxiJdynBjxgl0jbdd2JYWW1x8vrd/UM5fd31RUZ9f3pFqPIDrpGnp+bdRHtJ
XU+qk/Elj+CG5TrFLi309x0+GAcQ+cSIgVWvCPP1dSgh5Hl/9A+2v0m5izoE5Q903eblZr1ssb6G
OHwJNG3cG2ZZfoIji0yB6E4+RO1gJanisdOkRgUr1tgHlIWf6A5757StIjRTgnQ4wQhXDp5MaSJ1
1f4g5YP3aNchttmK+/n+D75NNzBmwd0CPBJwEloZ19OV5YYrBLW9Cyw0QfhiJWujDfUNGp3y2ovT
cVeZkpNZyEbcH/iDy5PaBZUbiGlT8UBMd/i7hcISumN/uP6FuuKw65LgpbW08Uvbqn9kmrRfawxj
VlBbxToExbGivrVkmHa7cfkF004ByChsiBnXv0Atekgo7eijM1C9pHmpXtDnAlyVpunCLCtT+DXf
lVTDOI7Uw2iLzM7kgNB6kTcI1NjIpoZm3lHCjsRjA3v4Af2NJ3SpjCe/RRtIonGTuxuvtOM1fYSn
yYxsYeo/WHNQOkTPBBXkXm+45Hczr3YmjX8xBBckVcCc1VH1ZMFVeQZN+Q3F60OJdMInOYnDH/eX
fFrR2STgpYcoKIEeDkwTZPT9imMWAyZIrcKL4sJ/lQyBopva2pv7o9xef6zmVF6gLKYL461e+O7r
EN53x0ik/iVExeuI+jaweT/Kt6OhfaqU4b8JKvLckbzSXjLATnHVWtMeezeaVuDvVKcZIgyF/TlO
ywjENWVVCglLZmS3yR8jTZBZS6dNSaB2PVKpwi+roji8oMvwJ8ODYKu4avnqWfHveKjlPzrdr4Xb
7IMDMn2ewmxClQOHfT1kVgSJ2oVScFFCIZ3RHHr1bEM6oLP+9z+vGYV++qwK5X6D83E9EFD8dgRQ
qzqoCbS7PK6NgxH0fxu1yx8GZAAWDsAH2dJUM2dvEKIwo+bsOCp57FJrUhVn9FPzUVcVYE74ej/R
9KLgoQcbwGLtwY9MZIiQAT+hIS1/s5scfmVhHkvfVQ+lpwPdEaXp/W7qut83ef8PvefoJSzyChfF
KHDuz9EH689VNW0yQghEX2eLofqo3eK7K5yyNDW4e3n4LGXauTYJNtNSqhCfy6r/z0Rhn0rvnJol
9dPZwgzYScGhLVRHh/A+yN6prj5HzT8hqX8JqA61365iiJjgq4Gx2fUKTaKVmZ00d48E8irS2y/W
KNncMcYaiuch7JqFO+V2VrhMqIhAE+AYvtl2vz9/Cc5xIuT5vKiZfGka+wUtFvFUqNZZk8vkpUvh
Pd9fh9tbbMpTOQ5TckFNdbZ38rwapQI694VCWrjK7BTV+Vhp9vdHuWk0kTG9H2ZedkDVREMdxfQu
aNmqECzh7J3Q9A7X9Ki+GfH4Dd2tfeJJ51Lrf5mc4oVrdPEHzPYbwoiegH7uXdgdO6kTkK0CG4fD
LN41uYpXzQQRs78l7sk1vG1ij83C5ru9yAlL2O3w0bi7kFe+vhQ6t4hQZMQaTUGgbNWFjDU0/xQc
ojZJ9fX+dM+IBFPawj+UeKjk0bS56evFtQgDAHPeRRThi6wQhMVAsCblGrVdqyLbaUNY/iNz8VBJ
M+rvilxYD7VmpAet4iqOFKiwhDn2uRo8+V9Y5waeI7FkhKvcKv7mmAggfTQWr9QXOrj5g7eXEMU3
V5rWJw+S7fsRWCITZUjKz9vAU4110sfDY2j59k7F6OwJT4R856Ly80tI4AdrJOm/Icnuni0WaeGq
+WjtOVHWdBkzK1Rnr6ceMZgG5HgQXBokaU9GMv616FefXFXaiVZtTrrZUoAf0XJUTS/b0s9WvuQi
P9xflNs4hSYraTUkKYBV+rzDWcsaBV/odhedbbjuwuifPRZ4VpRddCbLKTZK3fxJEM3895/HJYAA
EmRCBSAxnO6cd2+6qqPGk1atd/FyBKswahPPyOF5L+6gXmSCuGOPOdshDWvz4f7At71MlT6eBoIa
vuFba/d6ZEyHgJPRU7gglANezLL+1W6CljYqjSBuJ6ejPO7ck51Lr7DH7edBRRtM4TJygIr6W70K
gAflmhNa5vPCTxMMfR28UVfkfqUUCkcPnO71T8NispxqRLaDHcHPnFrIOv+KfoP/zaBST183+mTU
0bkxyDY7NTk1ZvS3QuLnEcjpkkHuBzfwVHGh1AkFyTbmHccMddfSgATuBGXU/7Qz+rgyiL+FXXAb
/NA45Gkh+KH2rcx7QVkcUPQdXctJssZp8fI+V6Fd7jvMVIKFJ+WDRwwkI9kqJVwuOn2a+/cbDs/m
wFA710kot20juw13aIOmq8I02k2BJ9Y6BnW+MOgHtSMOOLMn3iJlbb6iaaEGRhn6toNaJCgnZKt0
gIsGbtpa8D0akFBJWsPfx/A+O9QkVRfqvvssRss/2FpRTF6Bpr2u6lw6wQlv1lZuyf+qRntd2HnT
PT/beSD3qM1wElHNlWeX0dhJBR5eieV4nZGglFkY62gYw3Vdqs1XLpCfqSJQcK0H+cSvso5WgRxa
2Pi/F37HNM7177DBGGg0Q4gdaQVM79W7VbIjSYLu4uaXBhj3V0OP4yMJZEgoVnabgQbvxiBZO6iG
+0XShm7bEsdv2qFf51KfbpJ82Kp9qKM6OYSreoyDXZ/72Sodeukhjn3pv76eVB+IFjHIQ7gfksjs
9VTQTRYZl8lFRrgVO7qSyn8dfoHbYK/7EYGm+7Nzs4UnEXvSWxibU8Ywz6WRgknczhUeKXQTgmIc
k10Pnhq18DTeTSbtGx7deOG+vLkIpkHxtOISgOsFLf16RUq2MDQZBkUZTFtTm0aOrU6GhWforTd/
tfBQ+TiVU6EAuqM5tz4gbzUyWc5tJ6rCCXhNWRsdOHQrG/i4gbmxMO1LvH3X/MXaPZPQ0JCdtkWB
NqPPkj9IfbQB6P67DzoctMOdnn9x7WilBS1/ags/9gY3RejCmSbq5fIygCjN08TUlMcCtWKnpnEA
9L59Mccy3E950GdgdNEhDhppM5T2C3pP+qlNoilQceldyejtUeqXzUNgW8bx/v64vW3EpA5AHEfq
glb+PJ4lI48QvRy8S0M3feeVLtpMJEnHsi3R2DWig5bTDSZl8J4sOQz3tsKp0jq/2dfAqLxVbVnQ
2UomrR6Cvx7dyGfQYOP+/s+czvDVUmu8b1z5E26STsgcUAPbvKwVX1FfBlrzuyTFke25EmOKP1CX
LEXYN08qORWBBgeU5pdGLep6+2rRGBEtksdB8TacMsO2BAEYPO2ghqyQZjr5RqU+TPGullnhg+Er
8opGwi/RBMlKot+4u//xt2mxTvIw9Zl4iCZj2NnescbGJgRR7UujVbCsm2r0NyR9FCkBD700Yxc8
lq393QIls+8sq9yaWaFKG5yHWMOiT/aFHkycgKL6bAEJ+p0XEtVg2a0nw+0GocPBtv4BWlbqhdvn
Ztn44ZQQ6cEQxWM4MbuatQipf0V2tcvod1scIMy1pGbPNOh4LmgA3Z+mjwYDuUlDjiBkGvB62cBj
eVpc6toliaLhbOgp+mop3cYawucB1Tl1YbybW46Po/ii6bDzKCHOr586ZQNib8nHpX69grQSb8xW
XrrlPhyFXWiAPMG8Z47GSBLkHS006S64KiBahbLqOsWeeeFVeqtSXR0wbgAqgDyjsj6V6GZbDLh0
GMdSb14SRW3PslQ3XzJs0zZN1ekvlkhlqp4JGUZoom/oU2bfKmEz6htTzSyUa8DN/tRckEDrCiHI
l4wIxVvBW3H/oZZlfrMQ+fnUNWWD3lgqG/VqilqRaqaGM8laTUJ9fWltVQzsnkz4XF8AfQP0Cfqq
Klehm1e71E1FvJaHLGpXRCXJEddLuIK4PrX4cZr5T9tvD7lMGXdtu0gSrkdP9fMVlpeoaIZtrG5o
kLg8gEAwI3TQzAxWyDZHTB+T0hjse+4FSEy3ZuxCiUGBbeEM32xOXiqVG2zCzvIizmNjspbRb3Jb
viCvHmwrcMBIwFUavyqGgE6jYWFzipuoCFy9Cs6f0Ihg2Zq/wRD4ImRR+tFRWvlkmd+VVvyoG+uM
Vysw5RIRp1Nh/cj84QVJrZUyif2G8WHi1rk2/oblVhX1Qe0aqJ1/q+ZfrP2lKUyvWKUvHKxyNHsR
hQV3LG1i9VnQo4hC/yGnkZRStEukL1CXcYo2lOemtHeZkm7lWNrU3UJ//CYZmL6S/h/yhwqFwzk/
oyF472RM15wGLSx0iMvq3HtF/CcY28/3b5cPR4Iq8b+NEVq717dL5wm/xZt0dNrQHL7S5H5gU6fH
sa7j7f2RbrNNPoqCMkku5BMYGrOLDEQgjHK7GJ1M71+CSvuNpuyzZQAEzNrqELSZWGlD/S8o3b2v
o5cXxpeORzlCxjy3KODLxcJmeguhr26H6RfxKBJHqlPANVUE3oXYEexHXNT90fErs15H0F6Pmdr6
K7PWXG8FXA51WhVN1CRWrHPYJvRqjFOVwFoQWD5uTIVqCTq11pMpcnWTdXG50HC/uSXRDVBMcK4y
VdGp73/9AzOZ5A+PcMWRRjs86lZBBBhVl4WFuSl8MApx7bQy9EmgZ1+P0nZ2DQlDlZ2IvG+nqB0i
+IMd60dE0JUVWmPW9yazLyKz1QO0NxRFR6QBOwgqqKT4GGbXeWM+tjh5dP6EiAoCn6WMFByrJS1Z
2EZvCJTrRbPoHMKA4kkEj2zNwpgo1HJF86XGMWHurVuMWPamFug73HbUgsyjik+2Lg2PASIGq1yr
5D0ZvH/p09J/dT1RXjAJlfeJKA1uKbB0MHEnLT/IjiulbIa1n1dYDyhNsm5psGPZY3oYO5iSiaxl
yidBbtyYcozNGzqNe1uMOztNqt8RDD32DHYZxwKXaKyLh3qf2pABNQXp/nEwgx1lBBW9HNFt/TqE
cTuowYnm499kCJp9m4v6UzB01k4K/GdrUGw2Ii4APzpE5LB9zrIdDf1+67b6E6/2uRKhvUdDuFs4
FW8iJrMJhpSCwd1b8kmEdr0d8qgM5EjUvYMlOC+brdfeM4TMVYd+OsD/Qt701fCK4zaKkggHO4Gm
DQ/AB4NLORaWA4tWPzeJGewLv6/2o7Czh7rxoXRUXv+Ugy95GNzI/KspidhQ8JdXBTKaB5vq68LG
vn0raCQQ/PMPyB/KHdcf0hqopg6+3zml3ilbvyMRYfu2+zJV5L/srt9FHUCZroe23kV9qSwhFaZz
M59IUPmKBoMY2ae3t+zd9ZKg8o1mZ9I6ahiar4oEOTUwe+vUd0SkBCDDXgmD4kuje9WPSiJLafpy
UykuJr3I1m/un/K31vrs10DMmkQXuPAA3s4uuwEyfItvjenA4guPslGAc7VG3Twb/fAyWo2MirhZ
B5sobAWl9rD6iZNy8xtHguGFhkP1WbQurgQEh48hSsHPRVRkD4NIzSepShLH1+xoB0MsWWFAlKBr
ZYS7GmndrdEjLZUgBMDzWvl01dEk1I9qUBs/BpS3PqF2kNsLe/gmLJnQmqDxic6ppd20fjPhUfIs
rcYRSo7nEQqtDpibcA8CWFmXKOQuVAZu02B76jFThgRNDe7mTdrt3VJ3AOxxukstR3Glamfm6fiD
BMJ7DOy8cpoIN4wQUfIdu7/da/2If3mstX+wKM1+gsIrt9yoKprFkObur/rNA0IBgQY4fWlwQLeZ
ytCKUEs9apc5lmNwEDMDSxzELO6PMj1DV1uLrsmUbNMrJk1Bsf/6oAkFgzc1GG3HVuvHNlOl11rt
TnAZlV//n4HIFNFqBUkxb6SGia/HLa7aToJn7KNhFhmi0n61zys1XEjNb7NTPgow39RtfyuST1P7
bknhTYvBUmPLkdoh+ZOmoXgmB5W/G2VSOSg4+ed4CL4JPF43k647AWJif/LkARWMMal+SJIUgszN
DZyWUA5WSin8ZmRSe+hIwpGEp6QIE0i3/96foZu3/I0gTGtbtdn4+Otc/+qhia0wa2vLkdM8XfUI
fq6MAE0RELgt5mnWYD9Kejp8GYvIX3iZb2pyDP2mzgazCnLxXL6wzXSfRC+yHasZw63cvZi9KW86
C/uNGtOWaHCXqk8ffazJUZ+KPKjQzK+0ErFREUWS5XA6o83YSsamzVPviWVtKIElkX+26C3VK8Pv
lypMt6kln0sNHQY1KBuZX3E9030Z2n6UVZZTB4PySU7LbiV8HLLG0soeo7ZRdkHl2rvBKut85VnW
iAK+kq1TUaGZ3heEDV7Rnju9pFWHpMcP2EOTa7oxYowwNgkZJEoxk2sCUohRLZ9HXSpXmKS3GyXm
1UK4WCo3OjnrdoTIeajRrXhjJHhIU2A51PlDvGurcnCkul97FHOqdRVKdbvKMETctomkITtuI4cP
SjI4lHIQnPwR8wR9hD2sWe7RTQvMBL22fgztyF1nRaeJFQUOFKMsxHqNRhaf72/eSTJodpHAiZ+Q
QmT98FH0aYu9O3Nh6StB3ETCySSh41PRwmUskuoxSEaEavQa74eaqX0gpv9SICGzDmsj2OR4Ux6J
FT8FtRpuseht4bE24ATcpKseTVfDKE7BbOD+j7299PitYBTAPlJYUyZlr/e/VWmNRqqCmO5XXCk/
XSvdihFOtzcGL/cHun3MaEIoVAmn9hB/nT3c/Rjk4H5q4SjjhWAVkGpn4j+m5p8HQ1kImW7fCwaY
gKO8mYDV5hesmfWZL2JdOKDl2ielqvFBb3tp85+/iMeZRaKUDgRnDvQxelWjiyAJpxhU4q+2kbdx
4v9CDAwXHxfkwf3hPvgosOy09rnKQeDMhS8LJWmwR6BPOUodfU6zcWmpuV2zsE63EEOKtHwX4oDI
R4IOmcWbQ1Z2jUF+4Mie90NvfAD0g6vgTSHXmN4a+UMw9OFu7ONyG1aJ9qz60af7XzqXkKUWQ09v
gokQwYNrkmebMu7rsVOKUTj1iGanSOLuMKaBdal19xk4xfAdRh5PAsogMaZPRrE2qNr3NszvJhzE
I7ozXwN96B5hMDQPxdD1O6mWrb2womyHh1l18RTEZvxRa49u3FG4a6uHIdZWtVfC067UfG21yUMY
Qc3B8kHLtiY4mlUJg3lTegEitamSLcVe00V7HX2A5sTbyeCdJlueJ8klnoEILzWaEySNsRpNsz/H
GSGWiGLV8Uyr+FpK9oWKFDcenQJgDYrZfr8/8TepBtEA/D1CLZJo2Kmzedd9j6I0Li+OBTnp2Oj6
ZCWaaA9ZYjWoNNU/a71OJ5NoxygGsb8/+Ac3kdBp5fMAAiOgZ359E2WKGgadmQsn9vWz2tb4R2Wp
8thoJZDk+0N9cJTIvG0DjBb9L8Cc10MpZjAMElrxTtYNwS/PTn8UrS8v7OKPDhLLSBzJA0thYm5T
LRm5jJsno4jBgGATd0h12bx+dESnFlIVnk3kM9tVlZp7PXH/FhG8nfsf+sFLRFEIPoXAupb08abK
IGFbIxLb6TwTC+PhSR2S5Nmgar0eEOI/Y2HrrpO8XYihPphfSAxTvYd4ehKIuZ7fsa4CjWqj7WRJ
pOwwqFW2Xo7f1P2P+3AUZOO569msYISvR0H6Da2pxrUdCeLpJQ7ks1D6+Pn+IB/kRNDDON8TPX/q
l8ymUG88VKt7w3LyWFzoEnorTNS6k/Dz/JwbWvEiMm141Mz2NfR6+Vn3E33nVma1i/EQOEamV58a
vV544G4PqkpJFSYwUhi6ac7huoUy0DMCl+W02vBDaqv6ISygD7p21obrUMaIVBgd9PCQK+gkuZq1
8Bbd7iteV5vhBfR55n967N9FOKUle0qkkFVobj2curTDjKAugpWInic1MAkLXYqWS9CmaUGvr0g4
AgRWU78FkYT5yxT7gWwNhWI6uCx+i6MWuBl6FlkXvtC6/Smktl24kt6KubMRkdmeGq9o/tEXmC0+
loeKV5XS6BCbNXuE27DUsLHFBr5ZPiqGtzOtUnnQQlyM4SokW6vR8XwEx7Cmcd8sVWI++H7oKeQJ
3FtQzuZZEZKAHQkq13OTp/pWRoCUMkUQJj8iOisPVTrkTp1ayh8ZYw/0C5r1MEYbu++BGkEgF6+a
jMSO6o7JtkBw7JILQSlJ8K7/54OpQlbn9xGocPHNCb5hkJRyoRJTKlpgXAw7fYybxl84Am8FvNna
EEhygU+PFvjn2doAOm5ChW6Z42XJGK98v/LXeI31u2SoH/wowcW5Hodt2sjqDq/lT9WIjFmuufa/
hRvig2XhuUQxl405hYPi+jC40tAQxkqK0+F7dvTCMTvmmk4CRAkpRFhWyrUfrj+0GyNtoj0eFsMl
wBe9gT74Het569HOEbIh5ytJawYUZI8e+uYnu1nKqm9vDUILGY4ZFXIwIPNY36DhW0mhYjgj3mV/
vQr9pKxVNqmrrQZhHvw+/BIr1fgjQ/pqYUu8FU+uV4uxqR8S200N5zmyRmpGEXZ2bzjYpmPkZJ7r
QuSryEZRSzqN4+8y+VO0/e8MuVEAasfUaE4WBYlVOhLnQWexrWMfPpp1tWqth9BAVABnmwrvP6z+
jvcX9DYQYe8itgCEFg0u6ibX64nGPdhAz8dk2NL+pW2QPyWxl2/wIPQXRrrNiabsAQb8FO7Au5zF
IbIXVlKSdwJJ4EHbFRjs7brYzLYVgIvtlLgvhAO3zSvGQtkK7A1Rpg1z4PrTdLmmIVLH4qnsMBO0
MFbZS3EApzeIjd9qausno0gxyZrifT2y+JfrbymJaJ9jw5d+eFZo7soWT7osNJaChhvRMWo9EMWp
RbBBJsjQtC7vHhWJ2z0bRG04nvsEKCAv8y0uvb997ZuEB1GA7lIbGQ/Y75wzPe7X6PGsIvUXXunP
hlc9VNLBsJA8+ixBOpbyfmXLCIM+Btaz0YK49REIDcSmtLv1pALVg8Ltq0Od7VvJXNrsH0R+fAlR
NGLZKiHDXGCd5H5EIz1ls4f+q1/q0UbCUWBVh03+7OGzs6nQ6vjWGPjYIEyV76tcWmDY3N5JZBLI
ZNEweMsVZzsLETDV9kJDdQw8qM95LD0nwt42nfaotAVov6D7cv/QvOUG8wPOrgL4DNgPfYFZSOAp
tVH6vUc2rCcnTS+3LY0KX8fosKq2UfNigfbXJCDpcrDD1Hrd+EAjjeyYFNmrJxvrYnzBFXAt6yff
PWe43Ya4iQ49Zg3+Gv3ZQyzWfVQjT1S/3P/lHzwkzBW8Ka4RBMxJsK/3XSFnZupHQnVIq/snP8mi
F6/tQ8fMK2XNW8YDb7beVsfBcl9Vmr51AxznqhEg+v1fon1wQVPg4RhwQMl9509arwap1fqJhpzc
CO5AewgtaY2N/CUKuq0dvSjhc9KEG0vyD8VQHzlEIAWGraQXW2pGF9vf4S15afPXXjqBnNTL11Da
lzqSddbvQH7SkdXLLwibfjY8vAPt9NCZ6muQHg1Z4n/xHDOstp37hAXLxqsDb+X5ACHq6Ler6vtC
HZ/h1H+K04ICXk0fZJTM17SxHyflAFKXJQ7/mxvGbEeRB79pulBhgWx8vS5GNiWreSs7JeJMmsS1
j4ixEX2V+m7dEPoE5mUIP1Pwq2g2pvJKBE6rnP3+3yi+9kJZe61DNa3v/F3uwZqHSY0lzLGxxA8k
+oyVmcbP6Dk4Y7qr6y94dq9k/XB/QT9IHiaNcLYVFRWVYHm2tdCNQVSubEZH8/Xx7Esqkgdki5cE
e8hdMKrxPqyy7rHJ3HAv4xMPGD3CNQ8+dbORdDl+MNu4Ofpeay2RFW6TJwAMk5w+6hFvkiDXk9u1
kRhyEMFOX2P/XdXBKsDB76BYsbUahSlR3E3qHwSiAw7HRvu7xiZ8p4/o1tp29jlzk/5bW1YLl8hH
FydNX7i1oBhoXLwdkHdPQNerrhbGUNqIhZRTpanfCW/9Y0iX/hkn+GBvGCVWP6UKRo1K88n0xZLK
4u3rT+lDQUcIJjJTMxkkvH+FWskOEVYH3+GJ6KAgEwBGAMbWw+j7S4HGLe95KrNQ1COnQfX9hjGi
u3qGuYY7OJU1tCfkts6jVsSYwfvFoxchkFd00GTKVPa/e4BpsaILEzZs648PvMLJJg1jXsUcB/FH
u1WVn/h8mwdMFY1neRjNRxG48sK7cttWp5TAlga7xDWvouV3PT2Ngl17Udi908jJCVpF7wQ1je+V
L6vUAwN9FXNDr4ze1J4refAf5IDGuWsH/alusZZGHzFYqZY/PFVl0jtKElpPnW5um9ysz2Xkow+t
K3vPq9AvSIvo0tTSL89AmGXhqv0o8kLuH9Em8AEgMWavVdKM+HZXjXgKy2SDSIK7AcbjtCPOInau
LQx2e9aIusiT6WMBecIX5nrOgO5Zvl4U4qmXGmVdSMLcFFX59/5dc7tvYf3QLuZOIevhQbseJAqH
MAeKGjuu5qcOQvMvQ2Drj2OU/+fcfxqIFil1LZ1Hc1ang/nuthp+7I7pSekBd7E/ZWyfwi4I150S
nVNi/1UZofZ9//tuIxr6sjQDIa8AlWX3XX9fm7mRHcpJ5gSm7b2KUf+uDv5nLY8As9hWc8D+2t3d
H/J23aYh4QEIWDPkA7MHyIWVbSZjnTmSZxlnZH/Uc60vgaM++i7SxmlOJ76oqV5/l9yJNkHlg1gH
6AdOy4NFzTULt6aRqKteVfuVFLfRwjG+DTQwqqPPOak9kAzOAY+mlXpuMJq5kw56t+cJll6qXGue
ytD6aZfamfa4Qg1aDOfMpcSxcB5uuQGTT9674aef9+6aD8xQwtqnyp1Rxk88eXbjRwlUVtfaW9E1
G4qKn92kPSBvfsiaX5nVUkxDO6hMPxUhrpn6l4LYPar3WFG0poSfpfhh5eXF9oJs3SgveArt//tO
IN9CzY2mPQSqaae8+8G2nKa5NQQFBWMUpGvXVreWnUUL8/LRVqDjQv7DE8jlOjtZMjauKh6jOTI4
kXeMA5/JidLXwUrS1RA25cUctaU44IMxkS6CPc51bvFxs6VQCzzaRkNPnKm9b4B+1fTqRZeSDb57
27Bw1yXazk37C3EJ9PQ/Jbb1krXSmsf7pHbJRRP+Pu2WzsTt7QwuYUIbsTUnn5XpR7+b7n7MBtT2
ldTBJPprjdY/FRHZOI5agqpGkS+mxbeTAAKP25lwiB4MF9v1eLlaFgHf3Dhxq6Vfozj2djgPj6/B
oAK5UgO46bEWdk9RpbrHWrNfUg70lzQoiIZMdAZLF4wZtiGeeEnqNDiGuTn+THDR+Hx/G36QqkwA
ei5e4iPEk4zZZZEFOkCwMkfinODlUJmqe647YVRrzYi+9XZ9cdNqV2aU+FaKZKRfihEn6Ix8Y+EN
uF0gElteTiJaMGnUIq8nLLRwXY8r0ItyiTqpkDpp11R2sc9ynW6hki0ptd3WmxmPoGMCS9Ojnjem
QBwWYQYlywlaL0LPq8i3em2Fj0mp7WqrV85Zh64ARufhZmHGp3jmOgkBg0JDFAze1EHRZmdSNUch
Wa3ZOFEg69sgrdR9O+jSya1geCR1Jz1j0ANlKK+RSIPS+z3gv4KRCHRnBBq/6RJ7SS7ng91KfggQ
ClAUm+Atb3p3OiJRYghO08ZJatU4EMm6J10vUuy/rOw7YFt728b99/vzcPsU8lbYMoLwVA6RzJq9
vvXgdfg/9y2FcFJSS4nM9aigeXZ/lNsYBqTSG0kEuVP6j7NAKSx0KSzjsnAQy6jADybV3lJy+Xn0
7WCh3/rRB038Idi5AARY4+sdnNdxMViWmzt9QNzggmmhJlSOC+/sW0vievtM1F/gFVyuzNtcwQo+
KOlMKuNFUtGFNoY4PRJAndNEN9ZqFRTbPNN/5YPWP7ToyP21ayjtwiTDxp0y3TZ0EbZSnFRrQx9/
9kRGu0518afnxUNLIEalOjeSLe6p2u//uhLsK9ISCMNgP6kZXk9PadQmpkzCfWr9hjpNBG8vM9Jq
35WUb+8P9UHSRxAyBZQya8+VP1uKKkHSFzhM4UD1+FmT5b0EZetuu8jzdklg2auYm/sgZInmvTVO
Wox1tbDxpiHeL5NQpj4aPhJoJ1BUmH9u3Tdmmep1/US9U9p1VuBtA3uwXlsrDg5dlAWHVq8qp/XF
OWtjb0l87IbnJ+j9TzcMIsecLW2OwsLexwxyqzOfcGA3HjpLLY5B4e16d5J6k8NtGnKqfaGN5ObR
96Ax3KPUQv+ryTdecqlV11Fc+LvBV7/1WNYcskBptveXaX7rIGYKGo6221TN4FGeDtS7W8f2PDgj
gxZcWrv443edTs3FKo+yHmWOKAHMiiBtvt0f86b/Ng1KIZUYlYCTP2aDeila7HDKw0siNO9T59nw
i/QQBZmYlqfVw71GTtU/SEKt130lpWck1BNcx8ZchweVLyUE82fv7eeoE1Ruik7Itq7noAFKACTP
Ci6dZP8K1fpbIvR9bHEi0yJrF/bk9G1Xe3L69neDzY4gOXNAud4MLloTWA8uOtwgBdDKvT/Ft58E
cXFq5RLcEpTfvKxK66lD3wYXtbaTz1bskoOwyuuy742DQka5cNrnVzxlDgXgImEMJw1lntkVr1LP
CVxMiy+dp/8adS066lGdY1QnLT2TH4409W9IUXm55jd8pknkb00fXDAPsfRVinbXKu5bMa5IHsP1
/Wm8uejfvouoF1Tv9KTIs+/qIpicXPGwB5R6nYtwJ6ypexUgIYgj27ge3eYlj0AdUQ6HiWNudW84
yMm4y5PocRgH+BUUxWMSGAKbFbIq+Bj/D3Xn2Rs3lu75r9KY9+zLHBZ35gXJYpVKoUqWnPSGkG2Z
OWd++v1R3TtXxfJVrRdYYBeYxsCttg55eMIT/gHPyUDZ4+V7IehfR1PLsy6Ec3UB5HGfr54VGT3D
j3UrOoblJEMAyc0Pcyvnm7JHh6IQo8EtJs3fqOV4Ke/81Teh0aUh5Ug2Sx/wdAPliVnX+cDIUaap
ttTFynWU+r4diGr+m6Sj5SXpDC/vCRKFK/50KGHWJ62OkOEKIyNzBhwbHMEahgvf/XyTLrsUSB7L
jChx3db0w0Ro4z6IjyW8RpoFCWEYTELv/dX1q03K1UB6xtJCwGT5+ZuzV0fkEIriEB19y79LA78/
1NRk95UwjHcROmpX/yfDLTxdlC4wdlldyAB3MD0p2aPQPBAi1X8SYlYbSzC/yak8bt4f7PxeYQap
j9Mnw3KASOz03ZBblct4FDnmxl6zxzh8qcQKqa4uHrZpZh5jufn+/ojni1BBaoGJfK0wg3o9HbGf
5TLs1IE2uKqDK07H2kP6s7N7pRounK5nlQ4CNAniDsUODtgFZn06VtJrEKpyWQOyoeB+5nsjVVB3
NBvoyEO7F4ZWcM3Q/KYVD3Ig78boNlWPxfgxzI5NDeRQ3UtgmOWQcmg6e5Ewyk5t5B9xXfCxG2o9
M1VQkiouPPZZnsljU9+jVrnI9AHwWZb9mwWHF6c+WqSXhwSjHDvOlMFFp5zYNYxNN6m08nOMYqCt
t61+J4l9v+8lVF5iw2ovrPxffCuSHGi5pB4aocDqW2l1W+O6iTh3G7XS9dKa32HlCKcV8PaFl17e
6fS+NRYHAWAKHE6kIatqHzL+WmVlwnjIwwDFJlQDvVGs88/vL77zrXw6yuqFiqAs9doPJsqYJth0
RcbAwZS2iUJTyw/K7fujvXYM1y+12LBBTTcQS3iNvd98SElAeMesG7wIc8kTGv+xNGXfSRpIhSGe
APtq+CrEwU0n3eTxUR/2cfUhij9N8UHzb+QRJ8uDFh/lJLezyemq3in1IzC5Q1o+N8m3pt5nw4+g
DZxZRIDHk+Uf5vxt7pCyx2PA2lBysTv/64C8+GTtLRM9lxbx7y9teQzGm8j6NlgKJgU1jOtdLMSO
JT0o2r0wP4rihsxWGO5bC72weKtVP63+apA+IZvfU47EfMM2wp+C5RRaZvfxTl90hr7lwedBSOw8
/k4/PQmhsDTPRvSS5z8zGPKmrxJm7KdmL8mfS+vO7EBAyW6OlLAAfttIr/A9sd+f/7PchmAZ1Nii
YkxdnvLBav8jhhCNIbkU6MGOFmVnSZ+Q4de+t9YYXFdyGCAPn0lX0CXUmwJYn43uLlbV7z/Fa5i8
WgWkFQtakMgdhe9ll71ZBVkympC5/OHQ4jg5R+I+LneT1j5jIUGhKExfaAKm7pxq3yUzdkTpOZ6o
9OV2BxAHB81E2ffRfJM2X3AgnaUXS9qlJnwO4a5TnwWQFcVc3ibF9dh6cWF8Vgv5Xsswp6V7jDKG
Q9nuwqlwHsAAESY3pdnBlXtG9dXEMDQGPVUOcgT/WgkfBSqnTgRJx1NzLb9Gs99WrEq7MOxZO1d5
bdOBB13M4QA5rEJyqcqRONPG6dCpfKTYaKrtOCN+mWp+u1VjEHloD/fSl0jxt22Wpw9Jp2i3UZGW
x6To1du263xHBxr72xc2ZRnsAtEbBdN8BowskkTDqzMQDw2CtAXi1Z7a56ZDzczGtvMS4fz8oMTk
hbOEsp9iLQjQ09UkmlkgTlHBaEjeelPZ5RBgx0tgiLPmKJPNLc3Rv0hoIni82joG9FxZKmVo7Zlw
5XMit1dAme00feizjDXYh7TSNCeQhMCJA9CZs/Qt9vPvelEqdl43D2iNbuskdfoRzr0yG/VvRy4L
s45bnboFidM6G4xiftxOyBs0Wjvcw4SNjsS+utObxgcfU6MH2izKz/e38vl9yC9l+pEzBY0MtPt0
7tHdqHTK4+JBFmBnt1bYeH1QjBtFvxQ//2KPwdTnstJoJi4Ul9OR5kydQyEAumAgeeYGEdBGqL+d
7YfzTRBuKaz53wet+/j++51XQvjqxB0giQBcAwJb7s83R5WSFeCLwnQ+4PWsfcoAKl7T/ioQ3Zem
A2ax+iHMqwHjG/J8VRC+F62AflU0lU6rBMApyPW2PazUKx0WvC2mdY9v1JA8vf+Y50GryZ3KaUA9
ZMH2r2KFCIcPLKp19DsUv4Dc1Uj3edXod6U6R84QafFG6btLHdBffHsKIaCQwV6T0az1JXPk3Gp/
kPgiZM3zKJlUvPGEAA7QX1hlZzhB9h5sc1CQ0G9IodZijpMwAdUyLXArcqy7Ui/qx7SeP+IqPoO6
tFr1ZWrQ6bLK9J4ugK1jmfm1tLRxq6Kt+LUek0cl6GuvbxXlt6M0uClYhIMvXioWaxqZnGZ12Ixl
faC9EaCPhCV3OZbZhRvzV8tw6fa93i/Ld14tw7QqAc/gKn2ImhlkURpO1yYifrZUAaFrFUH14rHa
iHIbeQQjuhsZA3LgeX1AL0LZAMzKvaITv0I9m510cWGZknG89JDLdXN6raOCRf5Ox5CZoDZ3ulfM
tgOHrXfFoe2+RIh+7WW/rvdqqg1f8hzYTB5YECH9SbuZMeQ5tjiwbMSsDL904rAfst92n1QW2Tzw
DVQW6KKR4Z8+j9HKyIVrdXkIoaZ9VLWhvJvN+Es2RtYXoYmNh34Cuy9E5o1Qh+nB1EP9WUYzFBPC
4XMc1fRNKjH9/etqEfUBlkjPhBx9fV11LQY4XUNXNQ3C8jFqitDr82TevH8inF+KtEa4gmVyWFwM
1olKB467rYDaHwwzC2+6OUL5V5/MC6t/WXbrL44HLGABqgDIh6zOnTQF6SBWRQUZn5wIQmW1qUxt
dnUhBGg/xr/ZJFk+KGNRjyZ4VACznn7QQTPLeSzl4oDDWHstdiJB4GBc6CWeH2ucMzR6iV0WO5b1
VpNbMSD71kuEOoIAcnlzX4xS+t1ChfH9TyT9Yr9QelraWFzbi/TZ6evI0hwaqWA1By4yhDw6yd/J
RrzV42baFuhC/ChreRe17fTUj1PkAHXtnE5WEtSilcfYyC9plJ1hZpnf5YyFKMw8w2VYhThlCw4j
xlv20ITDrlM124xLyYIx0PkQmrNEdIpsUB5CNrJbWOJGbAfLncWu+4z54sL+VK2Chn2ByXqIdo2F
Au8Nf9e0k6ztN/GAKC53o9Y/mVnc2chLTo99a4lXTRHVjpi29WyHSgSELs2Ub+9P9hIenKxUOjqE
Jwukm74pH/d0rstunFH8nMSD2ABhUcM5Qg6wsPadhFZIlpnRVQ8i87GQyugqEoXZeX/4829NixTJ
NJrl6kJ+WxfmzDSsrTlOpUM6Zsmjb1q7Mp7HnZ8qHmhLEO9942+R/HrKyzhxtKLXXQNLB3keW2gz
Q36hEXi2yHmchbVEqx07gjMnm0DSWxpMmXSggZ/uUzkIbyYogM9V5l/KOc9OomUoeo4Q71hfSOCc
zrzfhe2kWYVEhaGYj4JmNM4o0yd/f4LPwkNGMbFqpS4DWwI2yeko0AvSEIl78bAQhJ1UbrOdUkgD
mmPTeGBr1Q+VpvWbCtH1C9feGU+AZhCFXbJYamtQBdblawDjVW9abXPA1RlruSxpvgg4hbhjNsjX
VStNOyPUPuciYMS4CMBPYvd3mLrQfJgMfGVpKPfYhwT+Q4rg+K7ssfwt6uoJ3PqRTF20pcRq95M1
ZgchbLjHKc38VNOFc4JIorwrkc7ylBFr1qEUvBKUhJvmmvCV1onsTfi2XljKZ7Emr0slFsIq/9Aw
WQXiaRFZPcbXdB+rGmlUaliuMeP5GU8SZgGK1aFtZSSXCkfL0X66fxl1adMAJ8QZ6MxR05jNJOvV
5oDI3xZkh9F80qgCCmUPTHrTEVtXauLIxTarH9HGsYdh30LIEPIvQQw+PLsPmsZdjtlSVal33vsD
ohFyuWig7YQYPyvruRxkL2ljNy3u2lDABcFDwjns6IBI2a70FewsEduJWsdUk00gM/0h2oe38M6D
RHOEtnDDfvBiI/Zg4+2MdNjAxXVRxMuAKIQ1sp95uBvVfNPEqbsEimkyOCl/zdc2ybhr1QDQJ5AV
MMbmRtFqLzfxxOb/g0HECdr01DRyfeEKBPc2NSQnCb6JPM2objtZ3jb+tM2okyAiVfdhzMUIPf79
PXaeAlPkoEdmkFsuteN1WzrXG5F+VS0e/G62S2HGgxejQfTbrBtBmYLDxGxtR2IxV9bTGv4LEo84
L1b7STd+CkpVXKVabrg+bQoHz+pgI8A6cJvaVG5J3y4JC5/pXoAoR/qLchdrhqN/bbZhJaYvCalM
mUlri11eRtUNSq0ShcNBuFbnQLoLxTSyQ2Dd0mCqG7Fu/U2TKtI19tdfgTkccoM2+SIoUzlzEg+e
r1j5UcnmSzfv+RkJzoA2P6VeOg/0Ik9PL31WW6WZwEuVVAzcKRsDb5KN6v797/erURbiAg0bAk/a
16ejWKWo9ZADO+h+JnZiBWK4uohK2/uj/OKqI5oBtYY80lIWWweFdZeHvqg03RErJGNPN+yrjB+C
XWfyyyjC6VPUDO/HfkttzknqBhEbI54x8A6S6Jr5lS7EqOfNA5JTUAK0lUmf4Gevopoiq7U6EJLy
WFu54ihFMhzMHOXuPAo0L6rCZ3yK+80AyM/JC0Ivoc4NJ0rah/fn5Xz2FygH80HNBQr6elq0KBhj
vF/y42wZz5aKSXMZiMWFa/BsEBU4PA4YSDnRZz5rlORWE2D4EQuHGeHNGziJVACbsbhwGp8FU8so
SBuy+CEpkQCcLqQ4Ypkq0iQcBLWYN23al5tOL/qdVYKFMM0w9rpo0K+EyTS2YASFCxH6qx7CyWWA
bxng0EWinPIMtc/T8RV5zpVYG7Q7bYgQZMei1ZZGHGuqIgxcMk8Vlha1QtuKqOKbEwpqUfZjsnrF
jpIUO0nkyho5mRxEcT7HfQ+YKBB6LBZrQz6OVmzsTFrP10nTD/aE6/vm/YVwdoGS/cHrQtwL35lF
C/j06Ysxy9q21ZJDklWSS/Uph1MVUzAa2m0tRVd61ImX9uTZ9YnoDHf1oifLJ+PLnY5Zq2PNNNLm
yXBSclosTY5DjHyIMRbqdyNSoquxoD4tzbN2iycGXpe+Xl41c2RuJyQenfdn4Cz6pD7JJuBhiArp
Ia+qGRY6+34ZzSV8C/SAsWpSPleICv8UJkG9sPvPNwTNMxkrXZp14CXXuy4cNdVPBCALlZAnntEv
kCWkFC+MchZ9MmsgdWGiLF+V1srp9HZwHCZqBfHBN7rci0O8UBMkzDykzoNPVTZEn5PCD72a1teF
kc9PN0TBMA/FeQuu45JFng6djIOvdnpbHrqh1dwxFLtbXBhiPAhjr1DHxAvgdtp1GhZXBj4HPYKN
Tpyr/bf3P+n5kbAIHHHhAqKhEL9GjPnGoNKvabKDpoEVQVak3baa4UjxNNyX8TQhhU6Tp1AHZJb9
Rr4wC+dbiqQKmXwAlK9CH6uYdJBxipjFITtArwntHNLUVu203mUHfoj7xNzkUnzJV+28JgcAgvPH
FMlqqLGsK9JIos4IfZnyHReXuiFALTdEemXmtokafA0EMduF4gzJv0D21KbsE9rF2CHJHujJbV4m
slO0c0kDUhGftLJj0ydlolwrqWj97n5b2NXIYsCwpukKtPx0jcRz3pvlOIp3qiB/pFPeU3FS0e/x
+wvXz9l3AKNBEgTEhTItvO5lN76plgsZmImyYKBZOBhZ9tXAejIvkJ+o6+STn/mX+snL7zu5CJbx
6DwsBahFgX+1+OdazWva/eId9NPWDo0xcvQgTS+81dlxtYyCbDS5DuVnqq+nb5UnqY9g3CDeCUKG
Fjb+cFcyJ7ZNmX2+UOE6D54YS4XO8spn4yBZHY3lGElZNjfiXajLD8oCrsXgJXFUUFEvajf2274R
b/1Sfoj0xpbB2ld2UgfWNsjomOaj+eP9bf2qVL2eYVwEFjQszQVCx9N3VzqzjkarEu/MoJzcXA/9
DXIg8V4qlM5ORd/axmKY7GZfjH+WOu6YNrzk8MmSZwXh9jazNphqNds6MFob+/Hc82lVbHUzrXao
Tf4Y9TTcAaEUtmKivfhJUrpVLU8cU4JyrQ1JdhfNRfhc6f70pUa/fZcWsnbdRap+qPJWcjjPsWBV
++qGi8x6lPLuosPOcnafzgCNTAA6xBuw2PCQP50BwyjiuJNLGIZSp7v6AH186KX7JJYdqxg0lzF1
txlqtPsUM3CqWqguBAzn/XLKCvg1EXWBDlrKraeP4OtGLAc5fBA5F/aKJtx0StBsqtoYrzP0+vZN
mD4Pcx9f5yI6gphMlnAPYgW/jSSLbtKUCVWCWdriTtv/1NtUdf2mxqQ5hYIfl8GuJsjZxlzZm4ro
ZzNIo3jTmFm5ryKldUQB5X1nnmBVzpOi3+Z+pNpmkQk3kiJVeC7mnPUGuk1Rfnx/9f3iiEUchDr5
oumDcPv6PKlGoYy7KoFlMymCp6JG7+tKg9hGJFUcl1Hb3WSCVbt1Mu/SYX5oq9RNFexvxb7RrrKY
PixBYOs/0P+0XIoah84clAun6/mhx0PCAyGtIsbgIjj9OmYAlqo2GwG8uFrtmylENjGFvRSb4FSi
Oh7tplfECzfe+clHpZamEyUvi4tvrb4Xl8JYLpyMQxUE8wO6YfWtGMaXWnzL2j5Z+wsBSQGXuWiC
IIK2ulfRcK54CUQURNa/PKnDphiHZNMOcQWo9KIPwfnpR1EBkS7CKOr7wBqWt35zf5g6J62WTtIh
Tko0vstGpybSjc2XYlCFTeXXuBMo0d3USPJVrISakxRox8vC2LhynI4PQN8uhXZnX3d5JAS9iC04
2GionD5S3qADYkyo6SBB94V/MifNyux7VgBVCVQx+jj5l8TYz77t65Cg2hHwIc951dB9MwuYRI/6
VPjSYYq0wGmRPnXjsRh+twSMEhI9y0XolSYRRfHTFxNFpKsTGqIHtZYCz5xT80uHfPsuEwrl4f19
fBYcEpkxDJ0oJhC22GqHxOUQIz2MlJ5YJ91dlFx3Vo0ZoGUJqYPAkCI6tNg3Morve4jCFwY/R8lg
9PUqIEk1iHbLGhcxJ2ZpRnqbHQYk8LbIL/q7RDNqChKSBHkTiytxM1Tio2iG5aZvUgmngqLfZBTF
7XLQfCcI9OnCkX4eti8PtcAvoC4TW6x562bSC1zsYXaIFLW5oqgtukVRWNsEcxQ7oWl01Yvyh1Ab
nUSMUW6Kkp0vp5fKqud4MB6D6sgicUMaQSJxuggUYJWY/AzpIa+k20mMglv0NpUNUTZgJqkq3BRe
h2t1YuKOOQbfaZJfCK7O9xdRBakDyQPVhDOrjGwOEq6WHp54pz6oqhBctTHKWUJYti56XptUqS5t
6V+8NVgtQNLwdESMctQl4HuzwVIkO9smK9LDVOY1Uqyl9VSHAo50bULpcjBF4B1UDmIqZizSpto0
o0WR4P1Ncb7LTx9iFVdk1IiSuu7Sg5BEglfpQrxJizj4+NujQPCnx0ODFiL+GiKWtZYkJFkcHuQh
BGcnSoI75BCZ3h/llZF6elFQhqFlCHUbIUBqrqczGk2iWrVTHh4Ca3C5zO0s+ZQqkQtfyRu1L5Z8
jLV9q3xSh9wxYtUGSGtbaedOAnbD3Z3hT2gyR3gVinYbPctzcqfke0196QIV0/gHOfzojzhLJMAv
u8ExG6AmVbojMvfMfPgIGerGDPpPZf1U4JO2qctvKB7//veCBMgdCLaBi2DNTIb40wVdJAcHfFWu
zUyQ8YtoLkY8S8aynkgTICFyggtRYB1vozM7EqFU4SFBvH5XapPh+LD0dpNVeKFgBBtsOmpnMGPL
McDT7fJUlmxwF82FL/qL1bkwv8A4g58lmVvdDg3CHlaHxshh6GOF5gaGg+JSIX1/3ZxvfvhlrJvl
BECydn0Klp3VB5GRB4d8rh8HcbYeqsZoHwUOKpxQIoMUhwX84bcHJZwGpUJcD3hrHdCHDSCq0ERe
aBab9GrGLOIacDkeLP7opYnQu0Sil9xOz1+UlJiJJFXFUhuC++n+aNQxpCvc5iirgBHU9Fj7JJpz
65r5KLkso+A6qrJ0+/6LvlpxnC4mRgWcBNAExBxKFaejWhl9tGqq80NrHebCd6QQj0MtRXUsswtY
BvPgdfC088cRHK44PKYC2Zy68Yer0t+V1Kr05K7trhBvsQ3zvo+e1Mpy9GnaJdNOUnCogQIGPysr
PGUI7Vh5kLJbJbwzLMrAgdbc67PkTSK49SZF57GxI65VK8o8v822DXKZvdS6LZKZRpM8Z4CfN1MK
btashcgJWxyDhnrYvT8lS6b0dkYoSVChw3HWWJA3gCRPZ8SY2dviEA0fci6HXSXijVZhCLkTClGh
N4eOQmv0xibr1EtH5GvUdjI0ereAkQjaF08HSgmnQ5tWFs5cSukHxDJlu0WE9qFLtWMtt8EVHi60
0ALm2jczf6PEbG+9G9Rd3IImz/QJyaw+k3Hm1aN9AWjAyZPM8iqOTAMD14c5w3pr9D+9P1ln/T7k
Jcj8zUV6kFV0Zvc4jkESqrUu3JN67xBSKfcFcKlDGabNRii1eid0jZtqYukKAwHMNIrmxlcF6Rib
kbUbW1yOO0rq+iRjOd5LysNk9rXbFkFyzORYvrDczwK9BbEDKR+DEk5Qmh+rTVYIVtUZfa3c+1JA
oiCrjQeZoPgCyvxJ8DuUyBAycETZL26D2dTsSrc6BwVi36uwqnK4ryhDjKN6oV2xPkqB7dHZW9LY
hcVBpfj0wyfFLBRWMcr3fhGEm1gXGrcLQv9C5eiXo0CTweIMHj5d2tNRxjIN82Fe7DSmqPSw4GPb
VVV79f6SeFViebuKKbIBvALerbxmDut7oc+kVGpTQbuPJavy9FqdnBK1VzjR4jPqAPshUZJNYqaP
+qLTMTXdJu/jcjONCP9aZltvimxMdlZuSXsEVz7XOPnYXfgQhlGIXLL5MdbE0e2VvNhTZ9c5HciA
UFepHDmQwk2uGtWN5WfaLgzL3JFmIfEozmqOKmYG6p0tym94VTt5paqPZqKnjpoY1SYWzfTCzXW2
nZkIZoGOAocrcejrYnwTQ0blMFstVoH3xDobzUPz3Zmc/iraUOa/Hp3iNnSh+R3Kp/YlevAvXGHL
kll9hQVhD3BnKUeSJZ5+bMSWWzmsW/kewOcOJqdaG66ubiXShfe/9xlh7PU1QV0gSgUZHaT36Ug4
L5oZu1++L2/Mrb5N7kavvJI82NZ2sJFs0cscZVt+6jfGvbY19qKbbwM3tAXv/edY35/rx5BPH2PU
uy7qxUq+RynY1pCDS7UnpdzWsg6q9MIaX+8kYmVwLUvsRWSCnMjqlVVlqaaEKK6NUq7dGmbwqckt
60L2/etBwE5T1uNiXmvfElBVtZ9mgKcjHBWLKI42oFijC6+yXPAn6wRtEiAQ9PoX+Tqun9Np04YQ
Ode5zA96F+DgDN8aSegiWNj5votgxhOtgexYgZlzhGS+tHjO33HBEv5VzaGsvWbtURye4KIyeiUm
OgzKqVgyrEvmlatRAHstKAM8eJf2OiU85fQds5TKT4b4xIEKbtbZMzDfXUpCff/+CnyVxngzl3+N
Qw0cHRBqYez503GMGnkMsH0ZAo3gj9LW7LZDUd7LufZDnDUJZUo9muxwQjAKPp3vToPe32plVG4w
VNJ36BU2biWFgy32UsQR2brICALoHJTQU8V0S/LnZXHkingsO1ZgPEpGchuLieVaVetNCqX2whK0
C1nNKiD6663oDdHHWsDZaxmFCfa43+a8VWUF95NKybfmW2kQQm3UfCJbDdCqLCXR/L0N/TquSpeI
U5yoihbt6WxOgCENtMwpyjSS9jHN0mhfdqR1rZoFdloZn5vyki30LxYKqBRQyhTVeN01aiFRuUyG
KkoPraGGO3+aTa58KFKv6+Q/vo//I3gpjn+tiOZf/8mfvxflRAM3bFd//NehfMkf2vrlpb19Lv9z
+av//k//dfpH/ubfv9l9bp9P/rDJ4ZBO991LPX14aTAXeh2TZ1j+y//dH/7x8vpbHqfy5Z//+F50
ebv8NnTH8n/8/aOrH//8x0I5/o+3v/7vn909Z/y1u6Juw5c6/+P2uY6e8+c/rpr0Of/RrH/Dy3PT
/vMftK7+XGqlLAkK4oCIWXHDy18/Uf/kXwEXoZxKt3YROcyX3/3Pf8jin6hr4c5A1La4Uyybrym6
5UeS+qcEk52qIfQKWuxEHP/rSU8+xn99nD/yLjsWUd42//zH6T2Cph3pENKnfHxwr9Q8lwPzza1N
LSQvRl8bj4lQK64oSE9GUqk0xEXDrvJ8BqfXZBfu0NN1t4zJMYhExwI+Iv1bJvvtmGVjGrmSS8Nx
7rvei6C5umGVXeLcrYpar8Mg2gL/ghOXc2gdkEhlnA6ZLPUoPoT5TRhnuzmMRzedVdmNhbG3w0YO
bpMhuRpz80FPy2D7ZlX8Pddv53bVreEJ8FJ9RbPT9yFFXjPk0MXrpnme6qNZtKjllVBwh1LTPNHq
B0dvtGSfZaLs+mGA2VXVy1dCkkCMLKx0l0iUPTW9nq67UElupVYKroO+DL4p+kWV89VJvjwnFy4l
V1KxhXi/ZkuJc6jG6B3nx1jJQ0/P49jW8kDYDsgg7WZ57hvM5hrVsZTqDop76NLF/0obM3Ygof1A
iDj8nsstWp1iXe0zPx1vQz+2dqlsdB7yZ8RDCJN7UAnLnSp2x0Gfhi+S0iBwrlncEI3Ucw+K+ZMe
jw8XPsFps3J5NbRi6VEvBRVwCWusW55BleoVNT1qVqLuq1waHWPWohtxCBrHqlPRwb9muFPx8NqE
wOE9vFQvEddPr5TXZyCLpmenyyhQnNUCi0aHqKHFyXHIW/k6TbXPcYCahzLonQfhBlaA5CiIc19a
fmfvDryJ0wMKKB9PRibqdJ+1otX0MECD42BMoTOb0mcg4aMTxgig+XFjQaUIHwxfwyEwSBpXqPtL
ocgKmMaro+FAjkefgXNuwVqdPkIuWUUe67mFcnXRbBEkVd2qmo0PQY5gtukb6VaaHtQgPjTyBLYs
n+lk1r4ndehrFxHOnwmlP8/s0+k+qc0d6rRbWr65m7bSlzaVnVa1a2O2fkua5PWpKRAD6gWZi0j7
OnVMWrUcRkG2UPGwjAcUOPtNO1WX9G9WLQ+G4beTRSxHOIEaUvCnkyOPRREUhjkf0Ny5GoNO2I7Y
h+7NrIHYrcWe1Nbjs1Kq36LO4NjSJzvrzEvo9ZUwzutTMDShPd9nwdsuq/fNDSAkdZj3xSwfcsUX
7/zOvzWU1P8CDwU/L79Ua7tSEulGRgRVt2Ox/4aWnQ65vDRMFk6VFF817ZYaIvjxuR4CwZX93gCI
mD2Jch7Ku7CtlqtErZ/mrlZeLuzvs/uL8iEYHsBsOHvQUVsSwzdPHxRw7+rEEiEhazfUyYKvjcLS
ilHNmJxamnpMCTorvo2rprg1ItXw7XHs/SujJ6OngZ6AlphC6Ukb9OYWL2i/RWZkCujpi5fCrZUP
+DLTFEqpRGgLmQqtgdW9J1tjkjV53x6UOKs+gOJpt0PlQ/8IMGEShADrqT43rrGJGT9mBegCP0Op
0Y5wTo/hiveNk6iwYWygNu1BgCrhhXmO4tbrlP5WvHYbfa+LpvjZngZnp0He/3dRHaUJMlkinP8+
tHOL5Efxx3/88ficvDScJs9vY7p///2/AztF+hNi3AJZXRo8fN1/B3bLTzj2qGuTp/917P0d2CnG
n6ASAU5R+SY1o8f378Bu+dES0nH/EjhQTdJ/J7BbSbOhy09Fn4iORiZtBIKgVUkEeuxcCFpa3AfZ
z1j9iFQKqs+NSz3WGdN8U9SBU1CSMtLaDmns5v4lFeEVeOH8CVb3T+i3sF9qnqAqfTudgX3kgVuY
sTvcTlfsWtes7qPuKdNbp9UlWHU//m+t5Mci43/vLvb/dkucZDP/b6QvpBzvLfKbl6Zow+Lt0n79
G38ta9n6k11C0ZhMdBEUXO70v/IV2fiTjiktsIXTTGi2rN2/l7Ugm38CiZPpHwPQgI++XHZ/JyyC
Iv65QIDBr3CVAt/Qfm9dv2q//1fhAVwR5AWq74v8MJyNs54F/kxmJY6c5G3X926FDaTT5XVkBwPa
R0on3pVZ/YGu4Ead+vQGt4J20xbdnt7GU5XhKKn3u6ohtQYa2221pPfkGpBsIcOTqxBFQeTNcjvL
uodpSgn1s189F37pBGNmV0G8n8rUTjv9cw9h0C7V9q4Xo8fJiDiSm8ozWgWdHOOHWSnfaVCIdj2k
np+1xzpKr/o2fgpUa3YTX25wv+3GT3mbWzZJTO0oSv3Jh6keGnUIS88a6RAMBwJyKHOK6oZqcQNJ
Y0u1/KgnBvlDSNicV/NVbvDwvYwkl5qErl9IsR12zYumzE9TP26SGEh5Ew1eJfQ/q1EfvDQtnSyY
v8UJNaKE1xLKNN2rVetqRvxEnNC5ulJ7Rpj/RAa8cGj0fqnr7NhNUNItkXtJs74TQ6tacBWFeJlU
/VMsQgkyWrOyO0wogIkEspNOPGbfTnEKYqQUHnFD4J1Ge2wrbGYk4wMF6cgpmwU7Necw4av5i57S
AUuhcIkGUZ6iZK4yhtdKg5uo0sE/ioZ7tZcPJH7OjKZkI2GCbEGmyYr861xLKZIH495KAsMhobjV
Cp+ieF1Hm1Eoyo2ZyKInDHh5zEZ2H1KGT5N025v1aAfzvYrKuVJnd4Kl7Js67GxDKB/qLv4QUP10
uJ4LT8e4D+CV8Z3e0lEw9P1omI2Lg3JnI/RV2wphIoZNaub2AI1yG4du4Zq9Yncwg+xZL3ZNlt6l
8ehIStkd81p5EMxIeEhA/3ACB3AbB7TR5W7+JKjBtZoUD1WNh7ZdVd+idBQdbVSknwJwV7ub9GHX
00x2GmXyP0UoPru5EgZeEUXKFdH0vovjeZOOIUDEFEeoqW40J9ZGkPiBik9Hc6xr/2clQTXrys95
koMaBI5ujxAxoggpfUXFrqY3DM+amskTKBI4cWXdRvW0w7kgc7X/yd55LEmuJOv5Xbi+GIMWWwCp
M0vL3sCqqqsDGgiIgHj6++XwGDmnZzjHZsEFzbjpVVehEgmEu//+i8E7pmiJwmEZbxZPH8KhVfq2
wfDlvl7Vg50N61aW+L8b0Di2jUzfioZ7ZPpigapoY5xPkGgxdm/kEzzrWnnxsHHYplLveAXN+cau
q0O5OpAixvx9ItkiTjqpNrrVvhTo60NpNjdTO3mRxvi2EWX2aeWQ/RtPYP3j5pvM0ve0fpiNyBCK
5gSRRmgRKb3wKuzJoPMjlU/LZRX1vbvs7LTBVd1gFezNJeiAX35NRlbhEdmxzhk0JyYfCk1M9uwG
QsXDVO0ribfJlKaxh0sUqq35K6iLsxpG3LsSR9+2vRaZXXX0cNjStFlGRmZ+1srcmX1WRHIscdzK
8MxJEV0SwdHFBbrNQZQb3Bcys8R9mBckHe5r7HWC4EduyJlHIf8S01mNVhBbWXeX2gP63txU0H67
+jwSI2+HY+4J2NKq3dO7y7OrYUHuBG216dap35q6SA/YSh26RKkfpdtO28VIjLcp6B6dcUEUuCSR
PY8ytGvh3LRD4ETL7NTgaSILxyu/d6qs/GBrGGcudRHOASOSjyNVXHu4za7zpVjFURr+vLd7WbDX
rjc8CO3dFGgnyE2nvgx+rp56yvPppawcRMJpE1ez9o1tYrDJKj3Z6CK5FW4bQWg+2mo5oYkvQtdZ
xsh186hZfIsLNdq+Hwo9ZEabdn1jVRdzsSJP88cou4IqDVa7mrpL/fEmbwrOAl2U+3HK0lCI6TQ6
/rEvNDNug9rdr4F+HivtTbqDGZpS6d85Xi+h73N+taaffxa1WR31mkRYY55jf+3ms17W9W6sxBD2
Xj3FeT8jPZYeMuP60fHK96J7gKm7ryfNJAkKMnhpl5tBiSlci3J5SqBbNB3n92io4WVxzf6iCfPI
3nKzjvUR7LzXQwzM+lBzZhwHHBuCQmY61IfKi7Caab/0guNzKVBQFG56S66aiFQ59KE+pummLYlb
1D1xO1UfmMTpsdOMeeQVy0252O6HGtufmRhgo0OEiOzB2XdYh6UNDssD9LukQdTaT8iX3eMk1sgz
shsty17AT9xNqqpjoRUHvHTCCk+RWGk93w9RwP4yfC8e9n9SlCc3udojurUMZ7HmUa3aqFD1ptap
MXK8ZIP/3LlUgzE5ucX0UzcQloogKpwh6hI/vSAJ/O768tnwknXT2J2zTTseJgLmqq2bzkaYpfUY
ZyoptsuQbANErWHfW0YoZzmyFA2yrdWNKoIl9WAr/X3O1u01TgyqevdR6NoQ1QYHwGQV7rbXyuIS
BFQgtU7vmZe05IT3hrGTPW4h+uDzoPtJt1261dnm2kh2Ze/qewCJ9W1e11ffHcvQmgY6i5YZ3tLw
4oTi3+5JwlNRWs/5sWzS/DMj7X5rr1rNf0QJj+YsEYiAMFFKkbp96qlVHdZlKvZaao+vmW0uL86y
NO8LfNB7ZAGbYFFe3Dm3DqpYpvHQCeaIo/cR25vXqi76J8b0KVq917p1hkOTSHubDraiQSprqjmH
rFZ4w8YphzLsp+QHTpJ+6LXk6gg0Q7EN5NIHzXHWdRxy5ffUu9Y5MfwpXhH+xmpxPuBj7JhVoZQb
mv4oxfBqLi61DGMtb9wNk7JebdFkkdNpF6Lu6lCYsj5OxlBHljRU3PZUy7JohwP8ue3C5DsTIwcf
gIDU/JhigTHOZthURtSYRgEaKfdZ4sSdxwDTrlHhNecqn7DhFSF2Oi8eSuYkccPaLAFSA1LX+wDR
uUHIr8qsqPex0yuMpyqwm3CsoOZI0gjaZEYJbZm7dLi+jzCr2+vOfJGRLt1NnnvUzOasj9pmFmlE
XmDYBsmtn46PwrR+LA0TyzJTW7vDlOnbzLafe1IPLWPFUS/XYnZ9oZsvTRgoLyT3Z1Omxo1RjNT5
KXJKLc5dqJa2+U1Uz64xz7Xuk6FIttioiHYUe9u5AyX7Ks32tPZsC92xwimNfknwInhV7GlihznF
PslgoUgTm+s+ou3aQok5asPg74yg4yuvYQRki0Bkbq8PRe3eWI0il7Ga5E7M63MDfYS/ZHIiKx3H
vRynFwLfzdheKGjD4t6OYHJ4KHwKzz0ZOvWsX9ZfSk0X0Ll860xrSKTFvjTEwcrMWx5qWj5MktdV
w3UKvLtxN2Vl73HzuGRj99n1D5o+Pba2S+5gErfWI/7h7wDbr3Vj7DBc2aqgO6xaea6EdvDQ2WD7
EM/EDsRNXprxPM1B2BJRCAXCCqtu+dUU/puDKdH1bChc+d543betJ4hlRswtm3OflbvJHHdaZu+u
cI9DnmPhTD8VccAZjprKVu+r3Ae62DVS0M13WwK5z1ZxE6zTD7WY516cdftBuCvGN8EJjlJkw6QB
lAm7tDu7uuTlVUWYGhxkzdydOpveZhHjZSyyD5detwD4ibrAp2dq609Tmnu31+K2uCB3SyJdQOgN
/ILPVfNr2ED+qgsebLpp+4xRQAzX8CJlc9tY3b3SkGjn4uK6/IfCv3PmarN2D1avzaGO2iwyy9sy
W5AaSfOiZ0s8dHguTBrFhBzFCMJxegiW95lGLXHL1ywrLzaNqtMbJ1I9XjI7fW5rm+xAgcX+glX2
NXihzMa7xtDf0YeXsboKnYZ03C+jdestX8pKY5+NwYofYFz7WtjNwWGsg5cBblYkh/G4dPp2Nq1u
N1ravbKMZ9m+ebN7nt3giycpw3W0eDBFU4cKOVXIMCI2Uzp91umKR2lbbIkqti/AYtaubtnizOZN
nuusEdZNhbok7Ho3CZNxKsLK+3YzJwuxlnvJcB9loiCckjImro+lCt5neqWcUqbX2rlE1b7Oz0Ay
u1YrUk7RjBwHWz3UmYoXvb+VMxmF5ojueQpTbfZDW1ECxtk5JAQdYm/zrtRtULY3i+guluY/BkQx
FJ31Ruh2aHDsUTO6LkIr9Tyun4X7AfD+veKorTl3urtxJZtkjr37ZXH2/TpeGjla912T/5yb7NLo
uOsBIkWOvWxY1eJa10dpol0l3tdl+dG01QZm06/AaO5noTZN+2bm3ndq9fsqr08i0+cbYWCzPyW3
rfSKENENqfZHprU1hCYDM+iaCzknW7IIDkbm4T/k/sQnv4jSvjkgejCjqfQgQkz9pWy1XWauGyHT
fdd1Pwpfe+1aCOJLPm8d8sw3fmdmkUZpKKvpoE3ixuloSVeNw8ZiTA+zfjKiPC1Iz6qnjaYDPxWT
8kMnbX9p+RC2eKPxNekPheb7G8/gNM88ci49FkgHY8JUFrucyCr9p6RN3zFlp9lS41kY5k0r5Yta
yyqarXo6kmufQBF2XuxqxROXqNfYsvLPobUfG81qdvVQfKQmvaTlN3JHZ/qssD2DjikPWrUAvWvd
m0rkO1bhJe0P5pV9OleRN+VfFUNr1K2zfkyaxtuuo49pk+9+iql50Psa6dvo33V5LvltRRsuTX9r
Ij9ehXtT2Hod5mQ7h2uH73zZr8SUJhaIeh/0YSHFu+ZyDGi9Xe09P512CETcuOnndUemernNVNOH
U1vJMA1wIg7cvD6WvZ5zy7Pk1TDEUyq9mlllmq+/jTgcTmJBAdPIG4SBZWYq7DQnCWH7taE/4nJh
2eMJiu8aaZ24L3OMUyaT4KQ2TN2ACNW+DTGq2wSN/MaG5movSApLY0SLl5QgIKJot4QU14DqJsOE
zHG98aUWz6RQbFO3ga8JX/kxU3a64ZbOnA+HxayYIQXdytzMLBcKMBtXJeesqRAPWa1mnuyxrrHc
b2WYB1DjM681DmYBfdaRsvyR+HN1cLWsZ0T7Ehrvto65DCuKrPDeGs0/TxqDUm8eCcz65VNrraX6
gfkGaZRLU3BO55MXzqb6UWXTS5LXB812Gd0x8V97Stsa2Eg4rbOpeMzn2jzRmpahy1kVd1UWFXjr
tJp9dh1OOM9onkasigI4uvjqWJOWHigtlYZVhjCw3paQWv2l8bdebWQfRjkbm7lQ5S5gtt6JAQxm
TqHup6pNk0OWl1610VeFXxI06FDn7eP0SE65SC5Lb1lhJ1c3EqXW0deZL2OSfo5BERuzcVJefWPz
JPp9+oEy56b2tKfM773YaItNgo9C2dVsCjo8gFZj46RD2CWYhs8DZRmqsh0WSdFhQwgz0R5DcxR7
15hOohvxJguWbWtoczxeDckanHsNgzUvrVpl1sduyr7toNhkNtmYmbUnAPRky8/STZ5x+bxTk4pw
v9qOvnn0OuzbxzLqEbuy0Oh/kJ4R9WX12RXTjSzTU7m8C28kAHa5J0nkdl6KN61uz3jl7B2aNrdx
oirIjqDd936TRxbMor7T0rjWprPd5HjQFCBJ451Qr3LOH/LWJ1F2XTc45L2BKtgHj5aYhrHpKbGa
DUTgWmJbisHYlvmSnbWU9jSRN2NihqTVL5eELKXSDO55LePU7Z9skZQcZ982fR8plK9TKtH79s0p
q7OHYjaDGzXn7oscO30zNmvcr2RJZKUVW1r3Xqo61BONc7cxzloOtwIDRiec3OCU9/mz6gVwlpxm
hKvZfWK16cbRJVEUtbwZlJmFxrg+rqUXRNNYRMWsvQ61cSvmxMPgyaS7XO06qjv5JoplEaFpPGCi
19ERlS9mAw9rlUAQZUv7PgbbQplhIQyLDiX91Rddc0j0KbjUQbsA5eTWuM0Lf99lxR3kKMqiz7A7
bvvGf7HF+mwGnJyKDNxTsnoHS6QXgKEg0qrUpTBYumBKzLOdCTVxT25AMZKjIQ7pmjIg2t6jqOfH
PCvflKSl/r+F9v+/xkb6u6v+/3ln9Vg26rvO/rSq+vuP/LGmcv/msHgnzdFg6wgxlxXqH/wj629s
oq78PTz42EpdF5Z/4Plwlq4bYaju/INf1NUe8A8433b+ZptXWS9OkGB1/ymcj0UEK9r/DeezZb9u
nZFzs0mDJgUN6s8r3JW/QLmjw7TV6tWLlYz+p4XkQbF3Dtw6DCANTNFCupFPvFuQt3Fp4EIcOatt
EUGW1dNXryS2VU7QNft0GU1jY9WeeaPbS9XHg2OLr17UKRCut2o3rZGqZa+XiTDZYfecxcgjmNYX
I6MlsQf2CBWP9bHP0WdgLrmzWwrKjgDy7Fn4g9FsWpvtynaqZGLhsdYmHzznQRrCs8fVvF1trw3V
quYmXut5tuIM2nYeJbKxAYkAiRPGgWrq2VQkxe0oAB3C3gHg3qcunVFoETlwo9e5ia0vNS/C52wt
j1bjdKdCWNT/SU6o8wqfeRTqRlZHqimD9TAXs2C49/XlZ2f088gh3+MT39BK5skwnSXROmeK1gLA
qMZuZo6DGsLZkLIv6AxD8zbtMgrtBGyhBztvVFg76K3Tm5u5q4e3XIDrhjhdKEEyeeuxeFnz+c1c
bflg1VdBixx1fUbkbY5vTms71ab3g+6tEo79DrORIV3M049CBvKWw4/OzmAXUYEQWCR6taASNbz2
/MZqgyhTAKgmOFsSrPvWLgGWA7+JBs6gQPQnMBTAFWBTCivOKnooW9w1Enxs7zq7PIGO0/9Bug7s
vV1takl2PUTiPmcNENjxkplbsPQPZPr3OsGEgMPKX1/XtHD3ZrMONwig4kDQwzlaNJiVB+Bcfa4Y
hZAjZUYOypLWkLfOUkVyAW5mi+9CW57H8QmC7zHVjJey/0bieyfFS+lSIuVA06O/ZWN9rhRRVKt/
O5JGWGpzAZB3MJSms1Wwdknav8kC6LnOb+S07Dpb3vP6he4EAMg6YScJeTDMZjN5x2amnREjyxTX
3FadyTmdpLuhaM8r/PQdpqhx7lXnQfdDssseAa8OOTUXifZgPqHLsSC8rc1XrvcHa+YR9Ccgzav7
KjlylvEEhQP3DNvYqEn3HgsaG6IlhhQ/Ug0Ho43C6+oN7xnosHL8ZRbdxfXzOxSX7al2+jxSUz89
9STldl6xHZPxmArV3XiMAbbwQqHkYQjO9KSxb493bg96Qm7WagevgfGhLzcL2x1ovobdRpP+Co15
YyTLa1nYG/Ik97bn0F/fLSb1uMT7GRvsTWYOjy4xfBrGMoGO9T/I1bD+YJq7T9bh0fImlC8u2Als
lhYPwmqOp/ymdJ2tH4D3gJD2gRZxWMZ2MGN6KLf09Sc/ZXC94nlazjwFlbpGl5o7Z7/P8R9kUajX
e8eixtn8LXbb7ZuheRy157T8MgE0LS+PxPJmuvkaBvLLy9NIz05ZUm55ZaNg3meG+Epdjz8r3XjL
oOGO0Kv31CboVSSRlz5OgfEk57rZpXbwqWnBB0/dSRFAbzYpKJE0q1gr7qfABu7u5JMnSxXphLSH
fQUK7rf31ewx59cAXu5kAaO9kQhzVnZBZ+qCss4wrIfWPAwu5bled7Y2zHGiwPj4ZFdgI61xB8TY
w02mbzYDKU3VaJr3WedMqAKByq7SpcxG5TSV57mS++sz7RM7vkucoox5SqutkTnFaS7H+WHmMpNU
755GE+Xn6rLk4FFr8Qpnf9cosr09U9v1xXhwVv/xOr6pftpCqQvX9VbPsmNAxk5TalFj8ySjTL/B
rvAzwNMN45kxbIvr7G9JMPmQQx45GBu6goCV7ZrwFvdvljLYAM97r67yxxoEzF6C2K6se7KUbvXq
7GT6WRT+DvX109x4N17d4flbLB6odSu7Ry9XD6Y2HWx/2Bj9nbZg55iJh8lV544tRz18KEW4etCP
3WPprRel/cKh/nmxugdzOgYThuud9zy0BUjjHFYJhpvDDv8IbNggnJ3EesZbhTGNc5km6nbN5XnN
9XPpLHubvrlhdbPI+7SdyXrUzk61bgK2iea+srrzlEINw42BtrquQCpA/DBJCfV88IAL9RVgaUK6
DRrZmducjN7YaheOmrIagCsx3TWTX2wvDph07LPJS05Qi7oPYjCLWFf+3mtxzibRkBZ4pQVV6tkm
OTVMJbtrJAai2DSFyyJt2s15t1uH9oyrys7JcJIz43UghN4598kXhMuzMXWRXzfbQVWbAmDMyedN
B7iZpeZuLcZPon7P+uLeGSwLTWvd2gRzOizdTfLozEOw1rfefOtrIlz7O70y40k/2T65g1bPxJPu
g6ZKWERodvphrYNFtz91pE4XPQriORzLLsJDdvogM/jcLdqnnbe/qsw4jexQGInXeHHtcME2Xg4D
py3ZU151kBNZn8J9muzSfPUnQ0Smd9bqElfE9rYar8cvu6fnsXPeWQuZvG1f0gPh1YfPtRu3U681
n8WSML/YOMWYRtgngBz9Ym+tks1v0jVvqdZNcZ/pdwtwQbysd4FxqMYgZMbn5WpirUmjlgq2WPMe
w01Owewjc7sPM7H5lvvb1Tcv5jDvJYe5YTCADK7NRp78mkBDXjcFe+HpG00BiukZ1kEeX1JxFpM0
7rWSX7+86PrADEyIqXODZpziL4lJ0Iat0wURtXRG8Ojwdjr0/2u5X6y3PhH+CTjkAHx8mb3ul0OF
K4wVawSJoJOQQmdh/3YtqwV0av/W6F5t8vY4mJ4B8U6iqcLVX4L7Ibnzhfc658VBBsEWBjEkvU/f
YM63m/kk9XaTOwg6ibWQVnbMA/GUjxDhTPDOasVcESVDxL6LGCOwpS7XX/H5+Kq6hnNsYSzpb8aB
TZHG69MMh2IBxVstFnXB+FOgFIqwaLv0/nicWoYeK3UlOMoQT4vx5LiSFzKZloM12E3s985ZWMnB
8qgHVeSuKD7rIL3J+Wzg6Jgs7tjk6Xeio+QDk2bGZs1/ok91qdtuLFwQ2LzizJ0/KtcNS4jV9vJI
MsxWQmKRxQ/kF1ylfm8BD1WwPPiujKzlh4XRbgaByl3Vfdbnm9zGrLd4d2oVzvg95XN2I306wZR8
TUoBBopAHnie/hxdwRhmHgplnNk9HfsKP8icFSDAIpqQyOutrZPVW5yvN0TVhvDi74LR2QxaElkM
f4PvUpebFxdwNs/e1/Y1xYxdYlqOUYdmUKNMplh7K5YlunLXy3LBFEljL1+Nno8b1WDylblH/0ox
s6te7DOiU3MTbazigy6nzPfeOuk8TqaevDqYjwCr7+lK9p1jhIlpRKWrbdJ12Yjka7RBmKtabVvx
88p3WUk76Wgk9bKPrsV1tjDk4A8hf2VDzE+IexWP50Ct09dn5qLNagl763f3E234fZYvbqyAxeTa
Moq3Ds2wtC7Y0L0o+Q39Yrc0t0o/Ve2wCTChJYspnHJ7W7af/jxv3PTsqY+52SyBj3sUK1nN2FUu
o8d34qhDUd32bXrEZ/fU66V4U3WKwhv1wSJBc1PiuipMCDXk1bb9WAY0W6ieXVaxRjmN37D6OHBw
nZTlwK4zt/iaSweHWhI1BLNGMdYsuxSYbV++sVCjHa7vMhZitTSHl2yS8gAjMArMnDXh0CDCwgS7
Ntg/w096rCtQSK4ItjJ5Q8TaPUolf1+TOx9ev3O0IMxY1c5LFEzez97tcKXQn5yRyoZ0DhQtHajc
AFimRzLoWDM9rV7/CXUiAub/CStruq8rAFaIK0tibxeRHG3v2/aXH7I7WgvtOSv7Sp1gJl0Ww9ln
y+jc1/OIowLguPldeXQwDVhih5FpQitUB0wTOgAzrqpRkqx702YdrROugLnFtd8xMc0l7mU7puZ2
kvlTNvNFOdUhnT+nct6XuXXJ027ntcGuL52d6r6FXm/w2Yzd5CtJr3vAiUDPKcpLxC8AVWwjTsJD
ItgFYZ7WW0M99N6+qh74Wwk8xgylSp0Xl0ozlt69CR3GHK/LyvqSV5BzfG9vi2K7ql9WxnxhLk8s
KS5K6Gefw/LGriCekW02Tt2dAcMqr8CMfQvDk5RAlh4CzeKmH8aohVKfrNjpDBZXlsLcumO1veAm
Ga6J9khOath6ztmbnR8zdvV7gVXrDNvyULhiiC1MBwNvpN2BRGDkb6X3UPoqLlM9MgrWzpom8Qov
uw+rxoTS8+/qK2WiOBp5d5ckurdRKwqlsKxEfazLLvZFfbHaLmzSUUSGu2z5j78QL4TaUlGpcVJg
5ZkWkMjFy1ITrZ5BwSnbsJc5+nItsthVSWn3O5Vi4ZOZnoHVyfQj9TnPzbrbr7SHFVOy0D/Is+YY
wPlxg6J1DLWRnseqn0zedIJJN0uHe9mE4ipMM4VbPwMh083Z7HgHhyzbZ87Y7wOnB/N2ysdqyYnH
dDVeYJ95FWaLEa9VV26Na93Qg+UnyQJoTokIPRrTOpzQrVhRKRrtWwv8bpMZpNUV8kuSSGCZKA6Z
3HYBMsWN66cLggZxyq3Ehn+j+ai/Cw4aX85nzZcbryvrnRq3rAYVmyMs/Fb9YI8By0//gvLktcY8
gk1DuPgNSzeZiivRLDIJxquE2hHtxJ5wmc3NlKtoAfecAiQS1XrIhaUepJW7oclSNCNuz9uXWG3W
nbtb/POQsO4neiYy6U/tWncPWXvf9rsxbd2NSlhKNwd3GX+t2eH6/Y1bzDr5Jbmd0b2YXY7BBf3O
/JIGQdJHA7vl90xKRXzAmAy/EtNOzP0yTaz9YIQi2IDu7GPwVrASgf/f6m6ozaNG27UidaLzJK8W
E6fFvh2binnqGkfAPaiNKg7sbE1uatSyUMOkMV9YOvMyQyrtj8iGoBFW9K1vSWLMYi+cOdF3buMa
WTRI2d6qam61uFlL45zUkmIERQsoaDKMlrW9sXh3BHwwGtj5CMXTHAcTEhVkrUM/QE1mhIDktmOZ
w3DEksi4p2liDl5WxehZBGv6Rhoyv88X2DoXbht05/9aq0ZPYA0JWqW5Wze1KfgXcyz+hQYl/wiu
+f98/P8B7PjvaMpPY531v8Ga15/4A9Y0/oZbGyxKy3ZR1/09P/h/wpre35xrYu1VUQv3HRHl/0I1
Ydg7sPIxkgIIxe3tKjL/A9WEo4w2C7kSP2q5uoUo8T9QVf5ZZo7SCi+Eq3gT1byJti74jXufzzZL
QtiyIbqf6keZT+lxtWEVp8moHietLGM4RPMdB/N0Il6m/wvl12+IKpd3cRzGqMS8Kq/gav8ZUR3d
dqmd1G7pnlP9rqnX8TPrk/kx6Kw2/oev5F9oHP/pUvCwAxBanB+IW7R+lw5WWmLP/cTm0YLd+zQP
gCxNyRpcGmXwF5/qn26qfRXtO3g4wiXH3/Y3nNjq6rmDW1BSs/osHAwt06Bnq4oV9+o025VLPrnK
r7DYEWnw3U/9Yh3+/af9LXeNL5ZPCZEdMelV3kAH/ec722dMUnj2MbckCrOpKZhSiJV1OTrwATM7
YNcNH6r3lvLdEXiyICYq2pdgHIFUppryKKx6fEFLL6DHTBJwtZ66v0xH46X4R0Sdv9K7PslXkRHB
Y55+vZNfHw9ZLVAAG/+VLX5pUExJWvXW/tJquTpqFTugf38zfrPCuN4MnFx0HuFrDjXk/t8eM4lV
aoCAvwjZNWdsPP2ZU95Sa8Mt6Uz93ZtFxnQMLzCCyjutu0Elzjcdu/trqpIuvSeeJr3LvJGETopL
o22WZB0JXl6N4FEUBIZEImHQJzJjSHdFUNY3VUADG3bC8tRuCJSzbJfUUjgP56399e8/3lU59g9r
CTwNEOdd7alIpr8GrHCM/ONNRFpTkW8JymyOBYb5BYp/yTsXTgtSUYIEprt/f73rtuX3C+IiiDQI
naqFQeNvFxQBzRBclWvgq76zHVww2MDEKhmpqMUPiIePje/sELJRvO33SXePup/AuBl2tVtfhIJQ
3GvqL554TsR//qPQKbLy4dgkafDPd8FzNN3RoBSHaedkjy3H2aZKlu+1x3luthUkf9n/lZXM748v
mdaI0rnk9TXnlf/tJSMvsZ6RSRBfWPjNITX1YluXvbr8+/v9r66C8QEXQsB13X79+ZONGZ4OuZnw
7JQ450DbtPDS7d2/uH//6iqUApsvFgNwvNj/fJWF8JdE1derqFIcWBZA6gi88j8SrHr4mXgUOpB3
3G9xcPvd8kNCDNXmruFNzORHxV7shyE7++df3LB/euGR2mBn75PahVoVGf/1w/7DuTIbbt8Yyvnq
gpETX08np9i72Rq0364BK061unjFuavU94Je2IzLYvWcjTAUqlA5teUEDmM15g2O+MCZeGh6zY1V
OUO/72FK0lCtQ8NqwB5Yh+dzR3Nuzn3mg4p7pXNfqVmWJ9MtfessTMHP2qNc2iNM+5b6s+gG4Tp9
ko/73srrglY4HSDwprVN+IdACLqWrV7F5G/le4HiItjJOmMkVnwhIEeVo4q4E/n8OThGweA8TODI
zAk5hks9zMrbVgk80RbMoV81x8KIcMD9qz+XaTWuD6MlV/05IXDDpOHvhnUDeN99BTPCzm3XVZhr
6IOLCQH+NixniqxLVYzgfLIZvUzyEYbGpJXtVL9UW9k6PviDvXavequpKh71RAwAY62DMWlX6ExA
PoBVsrbQm4raaQxUMyQeXey2l2k8oS1eYge5ax/biZE+sS3ETn9w0gCl6cLCNzTsBR6qzE1f7sxh
vKYQNR38D1RSGH82Ro/V6GSUTHo9RmV73eghRoq1bKyDb9jcn6J31oNfeMSL6r3QfzRL1RSbNrNH
KHyFo8mtMQ9pFYv2egfhawNlLK4j7od5puJlFO6bxcyu2htuKZINyJ89X8ZCQviar+p9Xv6bvfPq
beT8s/RXGczV7kUZlcNtBSaRFNnKuilIaumtnPOnn4dt/8fdsqd7vcACO8AANix3YDEUq973/M55
TpW+N6M2tIElktQJSp79XTM0nAQYAr8o3axI1zwY6Zw0VEzCDSn7gbVK3+gcxPAiH1IVEOdhKpMI
wX4qZIcsy1TgGMoLXOktF+Gdil19dO1GowhFGtq6WbHXTmPfwKuGdYI9+KPSOOUM361m+lplTf5k
a0P+GsbRgN0bHTY+zPWEly9ROmQ1rtzq5A5WgzrFKrB4lyolqYNuirOrWDQ4wZvYTlQf0Ff9ddDq
PnUd3FkMg0gE+KI2l9Ib6X/flktUEHRQjAJXcb3MyjeUXORRX4z5n5E3ptdBy5uOxaShQcCLJ+3V
KEsbwazrHNmdcinqV5FFW+NVpaRsxKxkTHaj1Kev9cxtzCvZvWO9M/W2cCerJt3EprfkQli03LRj
kjQvs1UzRzXrjDwdMAUV8SudWq+Vy3JyG7Qj3Rdy3h1z5lTWttJE0ezYbs/DycicC6tMHmlXVVMV
kKGoG3vyZFr/MItRxBauhhnLeyCKSsUTbaQYxdWlkrojWFV9Whdzv1infmjVJ1Oqq+oUtmhJd0rX
GvGuxpO0W+R6MNy+GuLay1tENq/Fi2N6dN6YlctwfXpKUN9JTg8TgmM4WcqAt70tnmeHKJkWZZGK
YSa0mOjYY20wok+Zqq/0FvdqUA2VwvC4nNMF63AFZzROly5bq1FqlD42rxYlVB4sbWMXPUIji9Po
Rqpn0oKWVeBaWAy8/S7IY6QxaoBa3SVBg+lvovKoRyps7Ku6ajHkqBnhGW/ph+KYtVST+A1Ld1Tw
EcDGSbV7FGtbrfWvMkKDstZpv4ygVariYbLrQfFYWdZfY62zDmqpxWWgVTK3557qnkChAknyioTR
rKnU5i1PKTxAf8AfVZSFigiZZq3mT1mNxZ42Zr7NSYPzcTAK8ybWGn0r2Q0MW1PO9ENakXLB7Wzl
o2vS2IGYnCUDdtq4cnZqlJUMglkpWkhmWkMKTa7CG91aeMUDpoqvjuiVo6QvVr3N7UsLhm7jYfRJ
lfbLOsXFUPmaUY31aQi7xdwaZqWDrjNGOrtNExSmm5tt/dIY6MZyrjDq0svUovNgiLJ7Zcrp2qy4
iK2pslQw8hURCfkYnHPPiCnPPYR70+1YXF5TE4i7uZKMFv/dwu2OIRUu86jXlZ0dMzvdm44kXdFj
rS68EU51zvJaTVfAkZkNiHwcs4sLLxtdNVFE7Cd20pn4nlXpg29E+zhDxHgpqxKZblxqBmQW9ii+
uFPXkfCLKpxhlh3WgztOYsZum0psFStTOHC/nRzvw4Sq9+zoqaJ6UTTYLZEVsqO4tCMCFJLIpdM8
UP7ArFfCO7BwzDe9GFu4jXoZo+csBJ68Ns7xoo04EVCZNU08Jtyzip0u1EjxDKmsDbdhjngtwtxx
/BwaGa0AmDm5jsURJ07Wx7dpN9l3zlSFH8yiEubrNWv2PTst3NBaOsfFGmeX+GjtIdK3Rqrl9zML
O8dVRUtuLwKRTQgiDjUIEJKwbTcMm+bQ92FLDSqnwcW3WZ3MyhxZSIaDepeFUWd7XFDsp6Wrq7Mh
ZcVdmbYUVKVqpBoeLKOqpg60kAffCEGvBt9A2mcL2s+0UfpJT9czuDppfXlDgCZb5biL2toZ/Mhu
cM+Rlxnf8gFNzGVkU6fcVKmo4TOo0XUpQlpIFTBWCc0O71E+5IPNMR0uJqrSy9JGYzPA3avn9NXc
ULLSHo/I5WvlxJdPdSjq/KgvShH7ppNiIaV3oiENkDFqVFZThdPgxBACFxxNfwmzSKpCiVGW/Fof
40ESs+0mhcUYi0uCKebMR2Tq7S30CgPVoFQ1ssTg/rWPPtJRz6Za2AXaeBqbZu5/W+/9j/D074rN
Yv8nhrq+iQtIXz8E5C9/5XflibXdb4hLMsEAVttsUCBw/eGokwz7N2CjCtl4E90H3hBb7z8sdVDA
2ClfOr7YKeOC+058ghahKRedyKGU14KK9U+0J/qlWIb/uXNlx4ouYV46mIBIsFK3L3u675bpQlUb
E6e57S5VrNg46xerW9lqwjw9y5CsV7aSVbQ5y2Hp5f00PuRmMV0ZIhwZuyC8hxvK+MQ9Xn2MI23c
kgBK9Yx6JtzGDC/z/PIjIOWCqSyD8mSAvULMIJNWeFBRZnNjTJ4TaaF1Jc+Q0te21TJn060clGk4
GvkV8UD1hYApXzQIUEAKtcWKejdVm9Ly2zAEv6jNKUslJwkRdVmmV9fObBNgmSuQL0FCzGZd9Ez2
IUW2AvVf5XLByBuLkbdIOYyLzG70V3vgmuuPrKSUFbmotNqK1mKqwlg4q70OvllK7JsdDKFbrDWB
bRNMBcCF95xxjIlposwi623k3n2P03hcVnLT4WFXosk56xhwP/S+F3ehMbZ3jVbychzM5A9Yp6Mv
6qQSTyT/kgc9DsOOdZs0RIGUhsV1UtjU47SsZXPX7nJqXNQpDu1tJazppXGS5KHUdfM5jouq94Yk
mkxP4hpU+4T7496vHJXFTKotmocRq6FXelRPZSbCLyz8rYdS9IgHEfH+25xgbe7L6Fa3hdyGja+p
mn1kzNAwjuls5zHO5OGccQlr8LwN+bqqZCXeMCEUK+oZCUD2pdrvmiHDcEMfhaT4IVfKKVhkxawP
ui3ZWGC0Rq281hG65E661tzYLIywHElD8RLiB2z3akLDni8ywQNiRdA/yP0Okc+S0dZ8nJEYiCD2
gP9Gwahn32olsoj9wpWTgKMozpoSlpuBDxO4KrouS+0B44JLL6WVerZWxe90lMePDNJFsp7nOK88
8nyEO9Us6hyXhp+kB5tflCbhUApYvUXTL8OvrDDDFd+jNsGDoSBbFuxy2Ch2rJKuoqbsbXcSShK9
MDuV4h0YwekjZ2UqbSvQ8w1mR3ChZ5FVFA0PZuac57rpJnQbVfF7nSDJRMRS7BQ9k5OtGTbhDd7L
MmRTNskThkJdGPUrUUszuZrBrN0oFZGYhwI1YfItLumM2QwivZuaarKbPk9F5/VSoSGB6plVYi9H
u/gimUsOAYGMl42Vjf34uIkMlSRbWLOzAflGOllvMytaU/qmJftRHUdS8gy5sM7QVeW2osMoq/al
kgYO8cLuFMpSReTQUCFgMIwfqP/Wzcma8eFHtApjQUiKVVcnS80aPVH63SAMrdzIUmmCzMgL7nix
gvHbG1Ix7FssW5UXSnVfe0VEe1RgqFVl8BG1GkkO3ZTPShnVN4kjp1FQpzqhVfLO7a3ZCsmiKK5z
vha4DDQ/cVLpJRuL9NqJcTYREOWz4M1MtBcdc9bzWMFNdsUkxqOlDkbiTWE03VbcnGlAqksqyuQQ
E7BbiWSQWJ6UFT+rdfXEWHUBqWy35lNYThfckmHML5kKCAv/snivFb38yCaz176tEXRPRWOPA/x+
o7ymQ1ub3Naxor2RVU1zZWPt/WrIGl4wGAzjtUIdX8+ZZObmESsq5AE0eXYWlrTYr6jHGvw3YTE7
LNosS7bC1vpz7ZjsOpxEyWVPM+K6oE4q6vAZEeizPWgW1W2FKSAMkHuu0o4suD8MVrrAb4Astaap
MtODLhZ4NOfIavFNUS8R1GWVHw21rJrXrM4BmCCVq3rgCJs6ssiy4ChQG21Bre4bK4iicpACLm7s
pwBZuspC9GvUMA24tt7UkjfLk4QlyRgJn5tgBxKEgM3UGwIHDX5U4fVTWBEWa4fnviwmGQNLM9Fm
X8/xazggi/tyQngZZ1sW1cFks97ynELVyE4l9Vyv7aaZU1apSf2gtmX5Ds5u+VrgRrjWcu1yzUka
c/bnTMXqJE8t5lWwvpeZ/BC3yKSzNRWMHStBtX3cKh80pPaRRwDYMPyQj+vcObPxHGchnam2tsus
As9EnWLRhhZ58ZJM5uC2wzzcMiieIR+0pn6j8oDDRp6MCeCFXDJa6U0VBYLerdd47JCiKL9UgcDE
oB8vdlm+m4vJKhMjbm1v1SFkczIsZno/dBauJo25AdFjbuOHMI9E5o9N3t+okkawI0x00a91Fn2P
Zsjr27aO4cCGnNHDpWiIDa+VaC9hVzMkBuvZIboFdyg/DJSndKxjWQZ4pPoi+3wZgLrk26ovosgp
CA8NJSLuPZjYucoyr2bCTwsR1P9nS8jhven65h2matX+26ovvr50QFk/I5n+f4QtXeYe//Vi8lAW
L28/spYuf+H3paT1m64xqXSQbkE0ygQ0/rWS5HcY4VEzZtmcIajvfy4kde03egguNWcKMx5cWqxM
/5hiXn5L1Sk/pcvHuiC7/9FK0vlG9v5zJWmxuAVERkaLG5Yj64xEflxJWpFszCHnP6iVM8h54fdX
Z8PnXFlFHtWpm8NsIU2S7r9B3dyNATiTdby2rpd5tbBbHGf36l4wJCCusdbWXTA07vw4Ne4OWSr3
k9X4OG+MHXRF+BIbg4FG77OxbI/3bdC64FU2VmCvlmY/NyhvWpBjJczvsfSxDKg6N3bJmbNJOwzG
F7APhHYhzk+rwbeJ2q1CwiHPht97555nce49ihr9bB1tYVesY5/T/io64/gx531/FYPgcO97N9rL
R/WcbdmI7wwXMtSu2ptrdV35xtOV5FO3F0i+/KBvmh39XK/xKgz6zf3o4cVx2Q9yhJB17nVquRAT
VhoGGMuVvwxP6gGwtXsOvTZQYC65hnu/O9/fO+7h6vI/oAr32bYNnnUPi5bb7Jt96c67NONZXeVu
7j6ubm+F+zr5+Gr9Psi/lPxiel9jgrQKr7XcK3mNB52PI15oaHL7+4g6b9/isS33OXZvea/cZAtb
iV9jbfHmuAwgPbAPr82T5qdfOh89aE884Dg7iRffKWrxJUZHWycsARh6+jAzXO1cv5FH3Vab7kpH
AUbO0lYKB+Hv7Y1zfBJetW43vatcdwvsgTaI8kC9jnnt7Y5/TPt6tE7N47LKfGAHe7HlPLifgtk1
fPM5A89KCHSlZD6UB8srSFD4WXaKY/ci4J2rVxQ14or9e3WtMFJ8p2Tg3K/7deZ3b1iHmtS9KrDY
upqxfebCT3xDqf2Zzxrm1PIOe9yV0rXGTWqN5AobA/nUle80Xg1v3GHwQjVonsV2yvw02nJTiran
Ito+NdM2+iBpwRISa3CyEkF3JW8J9u2bp/l5RK1h2wQHCFNNvYGk6w7C74SvjOta9q19KwfD8LBc
JPCjc6aH2K/W9kN1iPbqQbvBuL3u70zrJL06r+Ui+7Ide4PjctPnB3mXHiOftkf+P5EO4xjIXpPu
GfTIxgqHHR4/fsayg53crNbj3toWk78YbFAC3fHnIlCVg9Zue8LUptt/FLSnNq7iQJJZVbf9C74p
Y99dY34iBjjOO27IZbTR/HAXnZJtsjdAKHyEZx7Sf0UJc0+n/Y7nz832pvYlLgFowKxJokeJ5NMt
2x9kaJTY9sN8Ng/5VbR26G9ZsdWSAm2XriROMPJVMWuKt5a/bfvK2if6QJwU9sdKnEnqdzi5R5+h
wvTIWYdGFT8op5SJ8hMeZTe8kd+SlUt1qjus+41+GDRv8C8W3jdemOMSdF31q9O8UR0XrOaVzOcC
5wmnjy+O2nV4J61S//INlrW7+SFKUeHd9pXnFXoMAatHg+sG2vpjeE5O4mr6atoBXtBXNHr2ymrt
Ypetp42xLsRDjQl8vsX2pmzmQ7HSvdUczAH5nm67+NfVyrh6ldz2wNcmvkq+pkeoHLFrvhS+4qbv
YMmkQKa46yl7zUEmbNSnkzg4LxptpcR/TuoX7RQ7dzCWBvVpmbedp5y1g/pk76sGg1wJMMd9k7fK
crCvA6yQa/sxdKVDvidy61av6mmrfVnTNn2MPrQjUVxPC+YbbXfEe7spVwpbH/HFSrcVa5V7veEF
NccKZtUm9bksBy8v0SZpPGcruzfRpjztkkDzHgKS4e5x9gPjrEbBm+qrPsOhr+qen1zZ1x+LlycI
A0HJht2dV13A/mIVvfR+4dr8iuJNwRRkG9b9wbg/qivFOxZuc99GPgO6HS+BmZCXb8t97yPGX5db
mT9CVt0lT+eZILZchz/jrDOM00djN/o8If552GMSdrNyg9HS0bYkYdOD+ZRu9XDXfRiGy4/Zx5O1
/vYsjlCW6Lq/ytak2++tANGNmFnOKm9f72Er4bp20d2Hj0TdtT4yuILT0ptXJuk2/tMFxM9dGlfW
l9GPwa2q2+EHDK+z3Celpqz7edX7/B3TNdYZnSCZz9xv4vSUD/qbwOKGw1kLxMlYP0kHhddAIC1i
Ee6ynvO5WqyVANy99nKHpLG78TYf0ha8kXpFFml1d0SIISYZAk14oelz23DftA7KkXqE+RTzFvWr
2q99bX35twskRFFPeuYey9O31thSxW3xQuCixQS750nZj6yLj+OeLiIMwTAuDk79DPlL+jrocBd8
ECOxfh0GZ8c3Rm5f2XqOr4n/6RX3OeMp4ylLlUu1emuvKqTRYUNmq5NR5Xfo5/8XS8n/A0zn+r28
QPrb/wYLRw0U8E85nTcvMPsvJQNdXPzb/1o1L8Xb+//+XpT84xH+kCVN9Tfn4gLAwoa5m/+yLvzd
ESeZ2m80EYKipaLnX3UCf8iSiv3bBdtJt51CVRSbUhaaf6wm+S1cXaT2qPjD54OS+E90yR+dYmie
5mUtS5KLyCKutG9Uz+9USRg4bTehquKuVNRNWee6F2mLzBQsnn4/V6iN+PtSg2/r0j/Xrb8fy+FI
2LXoFNURVH9QQDVjcZQpcRAMWtQQqyU32Ka+SnmXp5WTJwCiY58XideYMOtYSkbzRHMizd4ui2p9
3X3EsjA2Xbo4RBS73JXBpVzoelbKjfe77QCq24xV/PuWAP3i6/n0ZElRmxc/Iqhexf7ka1PtzgLN
cvF9l9Y95Z9QxgY726M5Hkp0yAmyF6FF+87M4LZb9UaW52KdoGy4eQtV0pA0spl9itao2a8YQG6t
JiZT2IE6tGqmwEav+eDraj9ZJD8tU201Eb9dazSOEZ8+ZX1OX9NY0Kl7VLsWkICoAmE3tTcuPI6R
l/EKAWMHagMeRgJzMP6KEUG4PLnKs+twZ4SlEfzzjeNPY/o/VIhc/7fdPH6D1/5089i9F++4Ar7/
2n/7S79/6ekJwarK2ACz2qWEU/3PDSRfXh0+Lmktm9+zv/lj/xXu1ygXwYzE8EJm/4ma+J9feZ1R
hEHz7TeTj6lSPvJPvvL8+R/O7cvZDCIAcxKXGC5AnOM/fhElQ1I5/bKUYhkwuYQ6GhkJc+h0FhvR
BBVz6qrpGXWlU4Me1hZnZDJwg5+KrBNQxdSEKfw8tcGQV6ocFMI2923btUuQALmKfUgd8q1OParC
bLixvqaaPTpem+dOtke9HP2RFEju1yprUL3Tm3dLR5Zf65JjrfK5w7VpwRT1wKlkC3TfcbjWCxKB
7kSJdeHqSjLfZZMhgw+tQT71dBdEa7vX7VU5LIQ/9bHS7vJcGi6JMcBQBFgWPPHz1DyTazEPuiaA
75at1d5peg3yROcdIGccYsohMFwSI6Hy6uJoVRiCSIqBPl4JSSb6IGnnElviO86Lko2M3pQQeiVy
OVJUxjnLith+6qaOXJajdWWHVGRZlV+MEulh9K1qjys55UtbVT2wx061CRNc1vZNxl7BWQxV3uiz
Km4zQlG7WO5JlyE+IqdbTHGPqblAp4t4u5+krDMeWrwy7JKYEV9ZyzTMbtXj//A6cAxAShm8K6OK
hlQnc9V5uKwuQbdRHU6yXbGEL/V6uMNWlKmgxi+EEmHgxHCJFgD2ISfGi6j0Of1Ie0M/IKyl12LQ
8bIUvdav89zGlmGXvYN1rs+d5jCLXNlhmSHdNGa9snHo4PO5H07nEkIXGJsFShAyXQOUAR+IxIaj
aU/03Kxqp3e4Tooo3duSHj/USuXcm2qHINaHsraz+p4tHvxnidcC8pXGBcNhoSwBUtGVDJFgQIcL
bAmQTyCFBdnNFveZ43dN2jRHBr7Naema5UqtFgCYzISH3tc5+eytBMnoPlcz8tSDoYggG0dTBOj/
dUK2rRUApiXxIpthn0CBGpU73ZSGl1h2iKS2NEcmbKPEBLmPTB3NeoYgBV+RBCJxU1nNkywvmc7g
op8OIpXIpotCa5jblWn3hbFBeBiTWeYYxC24wtsR5h+1BEmNRsgUOrYSkzBvv+A+hZ2anlqnYPFo
o5+SmZGrUvfsJULI7FRmMt6ISwhqvNRyBEPCL+jm3N+OdiFZ+AZqvbvWk4udt5pG6i3rSY7fI3WJ
yu0iV8PBkVqxY62gbEh7g4Q2y67IAfPPgHJLXau23Afz+hJJTMBNFzimwbZe9M2l1w6Y1mRfOPV0
tkbSmK4z1jQmz7EORDaPWvmcx7Jc4EOSpj2IWqLGUSGzaFZrR9Fvu9zqGper6PBHn+3/DMv/XVEB
wP/Xt6jdS/XyQ3fWtz//+92JSz6Tch1P879Wovzmb7ipVQbh1P+aF4fpv25KBrEN8gOsEYkRsNb8
U9XkJof2eFE1qVnQSG3+o8YrTf1ktObxHYrmuWteurUoYfk0Hy9mwHHzkBYn1sTqlS2VIckl8lsm
yLxVOWEjtaaucPtuvLOd8ZjEbgiM40mPaX83SFKNbFHlFxP7nWwhRk396DpsGltgA3m8Wi3ZcoRE
99wS2g3js6OGmxESuo+PGdvQJOXQT+FPCNkI4VwD/6V7qHAtI3mhhUlymU/FwSiYDAP1Udwq58xu
lyz2bAdILwqkgJ+0zNHiA4n5yuUU7cRuTDJK1wzyruKkfOsWiIuY9QBkaDRki+oGHlNLQloHhNuw
LHZG9QEHy5uuwgBzUis6SlmUBW05ZA9tUlBa3Co9EkC3Tk/JiaXHpnPEfsn3QicGmMpMk64Y7X2R
soX7ysigv4C9Th35JAWLEI81XlygLWi5+ZtTRq417rRsbanbWXdokVolEZhfuPez/tanRbUiS6nj
Ih1RCLS5IFDBECUMAEeNhcQm0+LLP8bAEsHjl4ydTPWNPmAScRiVNTy6E3vQeCJ+jE1G2RRKpgFv
77SPSmqaa7GQSQslTX+UGukl13R46BYoEb2VFQ8MfrJ2tPxr0rZ0NwskwI5Bvov1VqxVGQCkHg7N
BVssrUJ4KUM/2f4iSieo46TdEYXGoWPW2AB1iBiVTXJNLuT4AOBnDMZSJzasNORdMZbedlmTXPeA
2dbLpE8+xdrRPh4aRLAufRQ1SCBLyl6HTEbZTbILHyGMPHVICOeFQwZuxVHACSv5sWw5bfuqfs4G
OG7FXCS+Qtn8XhsnmprD8hV6E7eZ2XoqMjRYIWDnGDVVztR7UX/V9XDdM+OGDy9m4ijErtMHIuG1
OW3gyZ9ng01AVjFaxE0me4QsMIalllhPqXNnaLjx9bwjhpvAMRB9ofv2OLa7ZYzDE8Q6e9WCW7vC
/SietNGwgo7bsV8XCizRxqD7gE7K+IVcuhXMw+Uk71P9yqpRIOQsw1RWwDvoxVzukhY/aQsLgPeg
xf8AaYIkac5McZz1fZjkuMkm3MMRLkP4GbiO2xHoYinBrZOENQRxUhdY3Jp6+IB8MxxyUxtR5zDu
BekYsmRpZVweFvjL1Qo2HFTvdAl9VZ3AaPNB4iBuIJti38ZVbzPgW8rEVx3JWrUS7ndLYQ2bWUTt
W8Z2Kx18ySYLUXs6VjLIRmkNdw6hzVEWx+tBK6xVqlauQDM1gZnYRuaSJFZxmUeI2mUDJgdEJELM
kgVDNIEPMDKOHmc9AQi19WSJvenUh4jPAgv25DQoiEMFjlFDu5yFBsZvSAQq2XBXTFUFQ0m7xzX/
PjNeXucyA3KbC1kzmQ9ppyrrqVQAFVrxh6ULIFnD2HujwSuS+vm6aCrJ0yUBLqnJ9WNk8WUGBD/6
MNMzr14urlLEBDeOTZuQvGT7Q1PWh6zMtC3mldk3+okvJI7M4DLtDFAsmKyENFriOOWrYo3IwAKM
MRZkZrU1X2Gy6AMyGEtDM49fRslw3JR0wE7wiokXNfPKlptio4bZABVjeaKet/AS3RHASRYU8qmh
ZHlshE+kpwyaiqz2gIEOWg9+xu9ub3+zX78kXv7crhP74u6BUmKqJIMon7r0CX3vroJKmNYjYbST
5WhXOV0ZBOw9GZ6KI+V3IblrLNvh9ufHvEgAPxwTxQQbCnRemwgJ+7wfj9mrOotKs+1PwDVLj/WT
ffzm3gLMaf0iSnJ5qB8OhQ5hA3y7NKtQX2R+CvzMkuXw+VvaqUmT57pA81wGjC8hjHXHnzpt/fNX
9pd78afDfXo3wfYIShlt7cTW5lFP5kcpCn0jnXYVh/7Hh2KPjCakEpYxWUb8+CZqZZem2VQ7vInH
Fh5Ae0z0cyn9onb8Lx8VzTnfH+XTRxUqRVjWeOZPSf8wFbsQyFh0/fMX8jcfEVt3TkEW/+ywv61v
vlPSylLvozDS7dPU2N6s73T4UpN+lvWPqXv6+aH+5tU4l5NAZw9/yf582r+bJjlsAdjh1NNKUnqx
4kfLL2KEl9DQjycctkjSujrnG57Fz68G7m6TUwEjnSQFNJrPQuDnL+FvHh9TBLqowkEuX54fP3aa
QMi+iCE5N3FyZnnxUFjtl58f4q/vkvL9IT6/S8bUx1Jn9slZSZSHPnG2Tjw/UeDwi1fy+XPnCoA3
lCweuoph4xP98ZXgX1/KsZmzU1QdsuwarIAFZ5yZsvSLaNzn18OBuNbgL1BJj9rmZQPw/SVuNqRW
mW20QQuospq9SPFNqv/ikvZZGkKRIjhMyJITy+Y0/ha1/e4sHvRGhJwV4lQkjGHxR83yKaF0KYOE
P+xyYLB0ZnpJeP/zz+rz6UDP7mV/wWWH85nc36c3MSrGakpNPTldVJ/3QvrV7UG5vDnfn88cQOcA
uDB0HUPv5961BExHpCCzIDg4q8lZ7iMh4COcEyfxe5uJvrodWT07p+hSuAvS6+evT/tRTobYyfHZ
1kDtJNmIhPfpwyNbNM8U3SYnsgVMZ4ehPBBuwiw5saOHsoN7YC50bE0l4YDKwZdKHP5Z7cl+dVL5
qAIcYSZmXMadCaG7gsYskPTvkzDiU1w6kLCdjmmaBh+ELCAigcQdvyVGwSaqHoVrxyxpUY9SUmC2
FuBYojRhUOhV1NtlhRHK2JSqMf7itvXXU/byqknpqkQ5uU9+Cs+m4SwhNVnxqaTzp945JVULp5+/
s39z5nAILhfE6i3V+TxUyEri82g27IfOTsWSw/+nD8/N2iZKjbOXOYz86cRs82SKUDOox2UKbt9a
5a/KWP/6/H88wKf7n26rUqZcDoAPr0HB637xArjm/fXc5/otG9TckozmAS9P4bvvdGJqiSyk2rq2
UpVSogJ6oGql8aZTk2lTTlXrZ6yOH9UEgarjbrAe20SRXTVywB0CG3ILRVDBovlioOhpSobQXQYq
XKo4ejNazTw5oQNMMkvCcEVmBNUrgQk0oUL7NZnSbVNCE7fY9bFJH9WjHNO01fZQMxt7rH0yKfaV
qBPsi33fliqMpAzPEm/KcSi7/JaymIrwyJQJJlPiY6qnfE0vWTLurAuSuTEGNsuJPcE972VvojPG
F1Jzt0zNELktcCtMCSyJTbpllnGXLnq20tq8YhEcMUy1q6dqcmAPVWqORErWByXaOcYyTqhUNLFX
TmY0IwVL8ODHLnzQojyDgo4NkqB/dGizGolCG8prm8Y1REkZylXR2s9m2rezZ1VhtDftpb7Tqb45
AJE0d5YpmqBviwtqhRo6sj36a8w1Y2cjrfrmOKRrI7NBPAGI9abWQlmrRpm6kyb3ZgrFAjrD5a1t
s66XBICkxp7f8jhl4FsAcYxKaJlpDx0rI3GXzVG9bmIc0yrmd1I6jyKiGUprJ3OVVAQZRzsBcYij
1+/qAfyQqk0DpWAZ71SoVwe5lYqgM4eacTlNp+xyCGvlkXMoM3051vGA4dgAxtYTavJFM9ebGjf5
uo+tjp0erAskk35TDjiIlQpbVwRQq8eDXiLOdLJ1wNaabetMZUduZ/aZ2SwHSCY12SxFd8/YuvFq
KUlX1MeCfpVkcl613W2VPHGuiELpe6UZ5X1jjoBsMmPZAb101kYYxStzAIVF0tNml4seu5Laytbf
k944sEmbSRADO8rktPxiElXilOn1d4utnx5cAknvwHweCzsLt5PdjLsZO95+CQEiZIOzfCk1p77q
82L8EL39OuRK48kpPMvW4TqsRRXlTirsW0iFyzklje3Zwow2RP7oYygn7do2QR0JVvPXCBXmNrHw
r0Sl2bqJBV7cFLXmF8QuPScX9w4lEqu5NQev7KZoxew5/6AxWMWyMEK76i0KssPJvJr4um0Xpcl2
qcw8VeAp3RYgeb0xAUVndrqxahN92Bacvl/IIBLTi/SWYothMD25Jy+gSAbsvHAIPbbzdPAtRrfC
IilRCISTrZ0xxSpCfWl0ip4K0HdsqStcZfJMXEoQK+dNztdoZuLdGmgv1UqN8g4bKmrVQZclrOts
C0M+l+ZSUHglum0k+vIoTWBnQa9RVCYo3EjZ5cF11OZ9gxWbxLWibRWzgFUuIPkpZQeQtjFx7Mz9
COVoIYpVaBb2ZFsfr5zawsmo9HQ0i0Z2y/8g7cx2K0eubftFBII9+br7RtpqU6nUC5Fqkj0Z7CJI
fv0drHMPXKkyUigcG64HwxYlNhEr1ppzzLZY6VrSBZB1uc48Yov8fsKi2hFzM0TTKTJo1oH8+0bf
4WKgygZiltZXHkXWVW7jJyPYF/0TTw8sKsqo6jHQZMKAk8OEsRyRQWlBEnmnZHrobY/Rrg8D4sWK
iYxjePxNe+QMVVVkHgmxK3ZJF2Q3c5pEByyAqPG6qTu5OLW3ns6SIx5PFJREWu6B0fXXw0SgUqHt
mmEKQJ2VgXdvZfSFumvl8DaVZrrRUU+uRYMqBNk3OZMYTTdp59GNN8bsyPhJrBx7yA5DYYRbDThr
kdkTzlC10MY8F2DdmI7EL2ofS0CLaHpr9ob4aXhud2ZO0m0lq+oeuz4SUxv9VZZMfJYqTI6115Tb
oijlzirjeidoTa1IhKlvTU0/i+y84gD8ArKactGkNs37DJPkKswM42Sn2IVEGiL0NOvwhO3ieXDD
l6kQP3SFx9pLJS74Ik13rjJJXxyrN0sJspsWtpwm7Ito0CJ/HYGIkwVR1ndmo9XHjGEiWduDY62F
N6hHJZuMnMahOUIAc8+8aR4o0U5gpOYko3NY+DiN783Bl1s5kw9FofLgalMdqjj2d/XgpkdaLWLd
LY1P0AThPpnx1xgVY/fBnjJYnHButMH9HBoj/JFOVbslT7E8TuEkD9gy4h8Y7f2tV+caYuKQ3WrP
AJUuowUdiQUJOiv5jBpp/SgdchMaKzHWsYQ4VxnSf9QYT9cFppRDZy1bX8Qat3YDTXPaKPtnc8pd
a5UGhmaJZ0+AjTq+2R63rRCtdxCDnT+EdUZh6xZTSjMtEqeZkc+lL25rujgZvVAfRHvpi0fkFMOm
zRpnT8v0njyieWdbk9ohRZ/xxeqPqgbpDnYhPLUkU6xH+rvXzsAMLZYNDmrsXes+Sz4ktrBD6s0I
oaJKEJNWWZvSKGEfu0Z6O/r26+IKe7eUNjZ2F3U3AfHzr2hByKpjHphuSGaTFz+DwEeLsNiXMAaO
U2KZa8PU2XkMBLduoHYY6uwNS2lpb9vOtN1N6XX5XRJ4E/dOZ/E+V9DESVNom43ohxSNVRbfTqFy
AOt2AlYxdcWlpjzY+rh21l0fQE8MW39PcES2E2XyRhtsWjnwUk+Z4XyHVGtekwr/SrwtPL0BRgBO
iGKBb0a4AlYhgXOrPrLrB8ehOdykIHLGStY4YjGs3lX+QBpS74qLmfbFOSDmcQsBBU9pNwPrFc4g
zZVf9s7JSPyYsaJv3NYRQV+8+N0diGYSeKJGXrqKvTwI8o7UWRHvukF0axsTwtavVfqsqfiP5dII
rduEH+1aL2Lq47Pw6mDd0LDfpoTQAgcENY81GxGnGtqt6jJiqKP2Z+KaH3r5j3aXTC+SjJKuD4d1
awThtRvrn5nHQMVMfARngVUcxrYpPhgNmdQSAV+sLd4cHFkg24yfihMz9FdmvkYurMeJtMH14IIN
WBHq0V9kbjAliZTeFKEdH5SDAcjvA71OQxiIGgTwOg0mIs1IEoUvqVAltxUlBpaP26EQP+O6hqmJ
We7VtOcPx63wfQ0mAkzHGKe1wFsD17pKt17JjEB76tUuEBYpmB7zuk8Mzs79wDZpKH3xihhqeVt1
24rzEiNeWQf7UHk3Op5goDiHXjjb1nlq4+cgJgHThGhssF6utHLGGwdMAuASkpLK+aM1jJ7GKAHG
GAq8tcUw6ayUUe3KheshcKOQPKSHTZcLhEGezwTXa9GFhn2z7QqN+lhG0LPpN2M18ctD3VX5dc3y
c2EiBQdiaTECsRC7tpFgZlseBF15xKo8OTK82ljvVRhhcBZuvCmzaNoNoUX8m+1iK8/FSwXI4jBl
eK2H1GtONpHMeyzW4anpPZI68TivGfTBs4RTtUNdAXZ8xrMzFokCzO+92RkMW1ugVQ4yVtMax+ie
KITkmxGiMJYAZI55nw/HvCURSzBKwlUUhleJ4V9aAOFkyMzGU0zA5XZgEPKUmgsoo2Ii2LDN0nrO
qiw5DYFn0/CfPH61cTyhKGhgUDnB/RTQBbcYH9NiIUuT1Ia3CqrMlR5m5xpP1U/PpOxKS3NcBeVM
gUBsBNrToEAq7cNpnqUjN/3g59uxGtxDTLr5K8yR6DJCWrlKJsngvZTmfetQzJqs/2y4yTEb6zve
OgerZhjcZIHKb4uO+tUb628j6CXefXTMOjPaI6HB32XQO9soKQFnR9X7RJG09UL4jUnIIhRYzJxW
bZcg5i6d6aZoyJ/wcQCuhEzVlr7+4g1qej2to7EisroRaLiZkLR0kuronKCTG/nOhm6X28zvmeFH
t16hNPxSN75moZsO0EeMA6CMdoe0Y1HJMq8yZTrw/hIWx6of9dedJh1XZhB9yFREjy1a3MCrxI27
e+Qk7htJldm2lE6ymXIfi1Um7Zu4bhSJG3HxDdREusWW6iwvoxxWXctj4jCk1gbHpBN8E0xuHZ9h
A8XzBAr0HRCjt20qxqU1iIM9FtQEe9kY70ZLu9tqdA3UzgE5pwuJb5qtQzS3ELxT/MS08BHkx22x
KTkdMCxrCBhsJpjdMziETE4H0LsfzDb0Nbkg+rGcsbomqZtciMUlxEGBXPdb6kbbUQbWFoS6Y24h
EJedtWEolMD4xqL8AHeC9ItIMRcq07ba41ILD8xyaz4xu5d75EVMP2WUHYrJVK9pZc/XnoD6a+WC
cMaimm4DO5mesiq1Ts2spo1DQjcRKVNDDo/hHtvJac5w3cPnAnL1N8MwEaT7/ag3iYH5weKAtWdI
7W/T0L53k6mOGV+OpF+C67+3TXloKcMl3SKwWSB6W1HvqdfgGAegHTLRUMp1VfSsmBrtWC+rvWt3
GtdsZK/RcdJf0mhmwnmAnJNM0U6K+YEjF6zidgkXInkU+TJ13WGKmOvNqal/Vl3lbQc7hmBeIWOy
zSk7piZnYkE4QtyED8xCsRUHQIYjnXuHws7ca+U32b3Hu4Opton3Tsd+RUGaXRzXGS/N7Do70x5/
lBbTdRnCSkkGa9qHXiu388yZX5nEwZSauSiHZ3Iu3YKE23ToCGuhGhWTb1+3vfnLy2SJLUJqUtfn
AJ4t9veW5XHDgfyO8AZ9TAL8pkWh27MnxnynyCOHr6usK5/h+ZrTbnKpK6+9I5jUPplV5YJAGiqk
N565AfRSHVrJ82uysXcWlO3MAHCY4cD6pCzNdfhDJumHUYsOOK3rHkojID3GCF/6ku+gMJ3vHkP+
QzNV5krkYXe2bHSq8RAS0Qv1uVFUTqpPwq3VKYfH0uDeVhWmqch2ttZMdU5ABsh/C3uuYw0dpnmM
rGbKfSED0tzUGNPQFZhikyQeg/z50Ugt6jCXLQHcqb7OQpIRkOGEJ2hO3jcn1Wrvxra7T8PZWjsN
8cvR4Ml1lqM5H8FRr6LZ4CAwGO438sesTZVijNHafGdAT4AXpDZyXYvXKXLbo8onfAtzNN70KJ/2
Itcfgz+El0kaaFnhH7Ie1uMxLisbOh0Le2KQe1jbfngorVZvCbEGBzT5bHhRxrmJiclJDb7zrCfb
h5lruT+sELbGlEflPTcu5paP+Vszwq318vLFUfbI+mRf+E68q7oAACMM0W8tKE8roukXb7xnE5rO
GRSmiwMJmzyOoe763RBwYHMMtiBwj+QrFKSnxT60INXn0TpW5AQbQ0JYp+bIPPYG41ZIjbiVyX71
VP8BxYamkCRnuxO8GXNFgZuQ73yINPFsoVlhAou97FTHOt8FaUZkb7UiVKM7iqayDnwiOHYdQMO5
e2OTsfCITd9DEiyf8rCNtk6FfFdGs4duJc12jQX/eTAL2vBurbcwzZyjzMxnJ4mJDi0jvW18fDKz
zGkQVJhlh1AMzwjesLBkJUmowtZ7WvwWweLE4K38GoklPa8Q/ii5SauZY/FRi7xfT5FR7W1QVIhr
kFooi+XOBH0ES45MkqwgfJicZ15BLdxL2vWs2LXFlVVFqW8tgbD18MvuXOKaYLls2gJpN9EfYpUH
JYGyBJvc1ySfr/ymq/aJnoh01FNHMLiuDuVQk2zXKBJmnbDdlqHqr/kTqm0zOoSgJtq8GqOxJ9rY
/MFgvV8H0Ey3rlMB5dKl2GXQ5tZN4jsgGMFQZ1E8HWhVcUyHlgOdPy6vyISRj3Wc1TfCNH/VpDKu
zAZCDL5c3CEa+UfoZNWB3zOEs21RldAnJWKnbi+WZFzk+mF3myJVP2tnePX5F+sbbZKCuMobDi4Y
xFUQX9Jpzql+eL2ODdD9HWQKTMGSLLoYHeJK9wiPkojbXUDePgGX85/DWFg/+9metmyjcMk63MwE
6PoHmfFlZkgIWbH9xriCto6JD834qmFlXjlSfQtMAmCqJlObru2tQwyg7uhzl26YFPAhBOR9iIwY
CfhtCEvmTlBMRulee1m9NUzh7eKI2Dm10N0YmvDXNI7cZzNpw15cqF2DkLVxLCiWNL9ucYaP2zBt
EKlbvLLktSY3mZuqfR2N5j42l72Kw9zOT1usMhwZON4uks3Ge1Yt+V+4/hFtclhZl9WU3MWOWR+J
ZvWuEaR0m8jWzZHoCQ9lhULw34+ofBIkApFM82NU5PQesgBXWIZ/sLfV65jgl4nj1INoyDSlLgeJ
1JXGQtXDmSUxb96RmNm+Ex0I+ctvK3jy+J8YArOlpkvLmIMi9tDW3qEcbsn1TAwJ5G1JP+zYSIbS
XulucA61XVhXqEohJPgmx38ZR9RwcVWdS1dYO8BZz3nS0FbIsP/QtiFbQs/1qs4NzOoLjz2BzrHy
EElcWcIaT35il3sSB9ut9Gt5hckAP3zhVPu6g8rvOl59TXiS3vS+BzfUy81bxL4AbZd0AUKcP+Y4
L48sucOurmjPzeChTpmT08HtIyoK8iv3PNHooOLllOh24UbOrvFsFyrYlL5BKWp74wlhUH1KO8N6
bBJW6dmAie8sqUq6JC+A5jINGHAMsa85GJSSUO7ZysiAoBsG6CLHTwVpcN1rIAatRdBuk7ZPQDuy
zTQ1ONrGDNMbk7hjDAjnHuoTOUAOuHFDkrlMLQXkEFFyGYQkGQiLxLGagztpOsH3crbGK0Sij55P
Q7DzI0EIEyiHIEKTEwu/pOLo6EvNzRv54lg6jc7fagFzpMrm9nbp6C/JbEuSrj99aPwbL5ayhocx
7CYY6cR35yUk2wbJ9veIYwJoepqRaU7SCnU1oVWjcHYtzbn7LL8V1TnPHOM1KMclm7ILt6QvcmtN
6V3oXCIgN3m2jm1M14kJi9ZQQbbvYHAex9IfHt0kQtGHhPs8psLZdzakSAp7tc7bBhOfKJZJQz8R
lJXKTWhbzVp1Pi+HN6RnDcFys7DZQL977XOaI91qC7N9GJoKoPvQweuTRU42sQuJ3spze20YNfmj
o0mkr09FCEWuiZklkH5b2WW6jUpUOyE65R7r7mh039uF/tnDQVvn4CR4wLq98kM6JlWg2/dchuom
ApB4Q6SVPvulpfeQlJ+yOerPCOAA/ABpwXkYjSRZcnQh1oiuLdR1ah5niOtvjlNZvxwyXnteFATZ
Y2SgZQrot/VuLS7VGP6coCHvyX416UgV1Iei7TbuOAVnaP/zxmLh22dWpnaaE/2aPiueUGMiNr2N
nRO4F7kZ65D8ks61iWeHdoS2bC5iLLdhLG/aoYp/DHltXAaXeqsfofKICGU0H050a3NQ3BVxaT24
kTmEiJ/olNE+iDdxoup14IzuuU89fUFr1O3aupu/d7y6N72QJRR8KwiQ9cnvjarQNpmtfHQY3Tnm
8BZJ02M6wa4DHaT4GWTCOppLkoVH6bUCQKIOUYLhB1a2+RKEpfjF4fCHm0f6wrRNvITjnD1lXj1A
Q6Jb9l0VQXxsaMDtDS0eHTON8RNxUABMsTPDzr7w0j3ZXR3ojamH8lEMeBWcRBb77i/ZeC3ncl80
kH039VTIYDtLCf5i4D0pM0zK8ETcG46W76yFw01kp1ALx/6eYWFCPAeI/kBSOiiL0bSq6Yl5NqDn
yc28Tdi3gL77vGWpdbI7wL2vQgPTFBUHi4zo9ZtWpJxBFzN80tE2RBsDgrTRr2iqMPu7ZbIfbFNh
rShM42piwLAJEKduOl6Q20zTMlCdqzg3c9430ccT99baV6WY1E/0SRBEwPS8+l4kJppnarxJWzJp
pJ1YJ4AONDMKgnBKg0Z1RyO0RYbOam9Oofg1ExhNdJJV3Ft5kT2kTdJ886DbXNt5Oe8pKtTG7ML+
R8+c3OK4W7wY5jgfYHeoYyIa2NOk8nWEsUQJm1M6vPZm4RzpKevbQgS8jIG2wxPrULHO/Tb5Tjar
PNnz0J812yNujLneZElgXNcTU9/O7A+WNxO6x0xry2EM/cFkYFeBpjeta2nZZ4CX3V5CM1xLW4Cb
83N8o1WbrYfYmvAzFHr6NpjQSxmO0ZBt/UQeEVqj9SUZc1+nlGn1YPebuW6DD0gk/c6ro2WL5sxl
Lf+o0togAbnm77WZjclcvkR2bx4w+rwbSWre+YagHT0kIHCYARoCVWZitY/BED5gOBH9njcT46mB
dlePfQdNtBPOUwNN7z1rrCnFeW8FV1Ge2FQM9Kfq1CvZ5/P4qgNdezcVc8ncqvFP4GwmPVyngSX3
Qs7GNb8HFiBQQvA9yyZfG36Q7O0cQXE3L2Q0jjkKjQPBG/1qzsdp3/NY9l4Uk9i3YJWmRjaXHNbR
rjJROaalV2xsZn+X2oxnSXqEiqttwHRxkxNRxiwuNL6DX/TXNJUd4ABs/VZctzssH2KnzIr5YCJm
8L19guEkSc4RyryTQE1ySGBH7ochaDjF4NipNcmcdFN4Cxl83Dlzog6ymTi8OGV+zyEMWWjjKMQo
nj64JoUz8R3hNnMcTFB9FO/qEopwrPjkhwIGp7MwCPqpng+lsiPkvRaFfuwUaxUHf/mD7NWQR6DJ
Nelsox2QvvQelXeZ8UM1cmLPTuit2Q2JTLh1fqUGXM9VFjsWXWxLMItfSjS7isFVFPNPp2nFO41s
0fPzpvZBtVWwHYZ4JMyuIEkctBGHhRIfo0ja654I8pWYtLUxAl3t/M53zz6IxLXj9WBG2IuYY6fv
nK/JhZszRKFLOdaFZQuulXaFzRxmLSTjJdFPPwNI63BG5pH6grUc0nSOsHNNg+tVm1aHdlgATlDx
A1uc8xQtUnt6rPl37rr5FjYlbbS2QYmQ2+k50lnOoJImE4v4W+H5+a3NOGlbjoR/5aFZ3E9D6D7n
4OOejM6FVqdGctTDuAAFrDpQeVJ1qwYO3crPvWe3q23QHpyYQy+GlEZ1cSZ+MsechGkMdRiDRs5A
hLzA/qFelSnIEoY2P42pbpJdVhu+telFXm3A9b7oiI8aqjLpZ2HnKZJTNaGDI/XGZbAhY+fUCNIy
6RCaXruzAt0fDHIz+QUGdShjHZ8Qnztrr/Kt56nAfgzg1aEuCX19MwCr3tjelJy92BYvRuFQG7kd
PAfAxRZJ9QQYjbY1HH2OLI8+JyZ8ZWVwJvMJJUFg1t/Dljc5cydITp6DSjwS0YZzA/G7CbjiUkji
bwrE6eR96XVv2P6ud2xza+i63/PbjPvJGIKdJyLxva0aWuAick7Z5MiHAlT1Y1wmFPjZ0DPwZv4I
o+kVlhIdRa8qyXQXhA6Fgzonsqt2IJxL9OdpcjJmh+eRWdRHPhNpYGtD60JPkVPxaExF9s4IMHhN
Iidjtx/VLynTeseRXe/L0cwfsikKD6Zo0tcxz+nUtxxhaLIRMAXAcztHMn/0y2m4Z5rIuFQZSO3B
+psWCHclbghjZO0XCr06eKjpjt2PMazoBniiETwUSR+AF7PFHjL4JQXhFOzx/DW7cLAFFEP+2q1p
2NOZdiBcsMRnMDc40861iwtsdHUzGvDXcDq8l2SQUBTSn9bgys72XGbHme4to6Z6EdUY7psYStqZ
0he0At3XKTcExA49wzIoxUdChU8kAiENtlX7ZCXWqxkgUKL0GjzVwv21INEYI4243qDhU8dR9pDw
4tznhc7e6cYNw86Vc3rL4BAhO58LuEhryZlF3F3wiifr0LQmSDNtcikY3NFmJ0OpKGiDmyQfH7jb
3V3VKAuU4mDdpsJmCCm9G0WBc+dyRCOkdCzUPhr4VGcLAQj1rtgSPtAc67xotyb0DcMl0A8XTq4n
PpQEHtbGs0W3nYsePIf0TXiGgpnEVVpZrNhNUp7sIarfHZ9W+TgZ9tmrLe9HQgY8YnyCpuCEU6dR
mOxo9DOU82NCbAc/PPVm72yGKfjp2O5IBTUQoipblhMZEsKVEYteoUtMYz51p7atG2YP1o+SA5a7
abFqrrqRnglzDGQBBYD3du0FenqSsu8OBHbQZ/BEGu3LxKYt35rGJU8HBFZ+0m4NsNlMqXCi1LXL
vYjsqd+7bV/8UqYTPUedNd9lWeo9hTkBjEZGREluEH7nkRum7czp1hSZ3erPqrf/IgNFJ7/gUG3T
YTDxWbjXCCcWPcA4ckCsa5/J7zCmW3coz24z3Th29a2PoxeBwqCWavvna/9TELeIjpfIhBDvNKK7
39VqKmzEnLK43Sbrud2H+vBvf3yICwI7G9pWJnHOJwgB1QzzeldFNybLz0Dj918KpxFNI7MTC57B
Quv5OX6lgGevh8KKbsRYXBOEs+kN9YWY9B93KFhSP0JQZIh0Qy71+x1qKVPBrOv5lnZWn3dsG188
fmu5CX9Xyy4qXNwGEHkxiS+Tqd+vkA8TVlavbS6WGZv0qgygIxI52rloe6wvS6YzQrp5G3d0xIfK
UNeREOTnVhy9jawrPgbCuzn+EikHhJLkSrrM1bHoJ2tliXi4rdG5vFBxMFrwa0qkL37/RTz+j18/
9NF6LelHtv9J7V9YopUjbtULc8iVqm7Iv00Bc/bBk2AlqGHLd0n3hc7y80NZbhkQYcJfXBJqsHL9
fsuiQqAXmJrmEtHsG+WDU30h//6fu/77n7WIs2maeHDffNtdfoW/6TiFEccuXen+Entdi4fJp8sL
dRBhahrM+pVXJlkRwSDhyqMYsbJkeQTI4laUTfQKZ84dswzHR7pkpDsyUFgqAP0EBxxfmsTONFhL
z7sghjmh2bNrorw6+DY9qxVIeMg/o+/uzNSar6Z0Vmu3pwJlgjsQ22cyFQu74xJwtKksI1wzH3+i
9VJtcHpKDFomqe1Z6x9qY6LVWtKyMWIGFFVbfcN07lJlCnNVL9jLtWOijqKUZQnH/7f3hiUFQGXW
oRiS/uynfb1L/TK/9HziD9MwtBdf8535zfRYo6i8pKbozvisSe87mpJc7x5bG6ZEq9lLCZh01PKN
eggcm9V0T74mnaeKARK3CEwIB86DoxW0J8p8Th5JCqjccIoPPobgDug7KgNPzdd+UDZH3wz1c8oU
hca58vzdNJmS150z7ARRAF5RhoEM79CvqXALWPnCIALELnYdAdMwtLruoU7xto69IvQcPcqdlHHu
7sYyn49Ty8m4wru1tUevPIXhFAP1ac30EROku3UGY1xTw75ZXuMd50WPNeHWPZUkbpB4UPk4OaPR
XuX8b64TcAwUsRYOuDwdCWbIi+JoGFN239USHJRvqq1dSzSUZRd9BF6RbHV7YzbONoAvbMfJeUrB
emZpia1S6Pp2ohv6YXkVTfSRgaBc5R6d62hGCtt1nn9EUDQRBmM1u6IqoAgYIR0vI3TWlBz0iwKO
GefQG95TWsJ3YeZjLieOgCmjkV3MuS6OM5jNDYDZck+bgXpqyjtshvBv19rqirusI/lDdA1D+6CZ
UPAodwk0DegXr0y3HM49PdaNSdwijBZv9JD3BxPDD29+Uwb/XcX7B4pZ50xxfEs6u2GuqekTmUoG
GsnwjKKc/d+f832fA1dwq/6lG8L0W1wrmlI5UizcIPGl6cW4ybI2vW58l5GFocRmJrLopBNyBlYk
xApi10V9J40fU/e9X6eWNe8RuuL0a5PkG4zkW6Otr1IOcKqMyut0HhAuJtBG6dc8VUlnvxDTkj/E
TdfsZ7pdR2mW+jSYQ3KB8xJcUf3QiQxAVGBNTBYJee17ZyAccuswtf9eo5j8VtlUcHN3aE3dMrPM
KnOb4kJgsOWPd8JnCBlX0Y92Gt+izpavRhtE68xcRqC0VYOLgfQFgatrM6uMzQ20DbXGaFAc6Wvr
k/CTiXHbQLOiI25jj4Q+2LfNAErD6jaZtSWi1MuU9T1QqF5FHyCfHmeTqXQbpkzkQ8NltBpG9o5Z
lHWdqCk+xZ7xDk2bmU4HhgUZ1KYrkN/wK0S/kPvI3WjExDQYLUmaEx5s0lB+TYrDs5f4NOPjRS1b
iCV6EwiEci19stjCeNSph4TPtB5J7cgpusafgB2ad7ONrRPJZim24Mq5NpKwPRsemD541M1VVGu1
lZ0Or+oOBsoUEvWlXSySk2XkTCxwbJaOpLfdz1l89edi5ZOrESm/5TmBEFYI8ROT1CdzwNzqqI29
3ry1ksQftyjA5hsRVelD7Ej/tQ88AOcBWkoiSziU/Pnav3s32PnZ9z3X8h1mhE74j01UGFEezCNa
+AZFBIhD1tH8i1Jv+fX/s6Etl7BhmS7mGKKyTOsv08zfNrRqYLmaehVecJ2P7+1MYvN2+Kpa+uoi
n3bNuSxqJ7K5iDMx5NowQAfn52ZfbP9fXeVT1Uo3p8jyUocXDiKzvhCrYyFBHL6wMf5eZHDDwgCy
rMMdI5nAtj5nsGU2imdHJSkbRzqAgtfNJZtUvP/zk//8t4SAr7AW2g6mSUqNz+VTl5udFKKZb5ny
Apedp3xPMFa1EwgUToYFxf7fXA/KrsCn57FILf908TP+XtfkPUEA01RZDH4BjYMzgbeZbvi81n++
zu9375/X+VQ3ayyVHMxr69qZVXCTEnK/Ja4levnzVX6/e/+8yidnI2ayGuUwf42El5DQ5nozkG8P
07+7aZyOfNvE7My/lxfhL9PP374dzCGRnYgiemAoTE+Ttt7k0/z84gv9ZG7kDGiTvIrb0EPByf35
9FpbDb4uhjzNfcRWmZJTGiWndgSEJNmi/C/+pE/PZ7kYcKzFpotlzOHP+v09sJuhcAIQRvfWC9PZ
9tufn8t/+em8zfgaKcsAMX82ihna7sM5EuV9KY7UreLfnSv55bFNAu7iqeBldJb0kb8X5647OsAA
XONeaYLa75D9f3F3llv9n8VyOY77Ft+I5+BVIu7U/fSVNKkuFIAq93435U8isdFuVF9YmP9xCbab
ZUkO+RTZej4H5IKw4uMc+/bOVxPyiK3CDkVt+Ofn8On7YJSJGxC/7HI2tvncP32FY1NGqbC0vBOu
BoW/bZRA6v1UInj+84XM5X357Y5Zi7wlZJ4k8Ae64adHUsnK6gD32XceWVrUXuapdXGZuf1CVx/K
m0XzRX/33HWYreaRXUg/YUX5dw0B/l4QAR5QcPoBPtjGTwdDAsrcsmtGdR8fImNfGf/2vVt+PEBw
XujFsf25U2MaTYKGxVX3lph/utJ9BuLy5/v4jw/HAsfjsj+btBu4lZ/c5tlAAqlCDHc/kQtOhRnv
/m8//9MNUkMWNDa4gfuGYw9zINS7f77A8kb99h789UmyzdA3cZa65vdPc9Qj4lRWlodCwkfu4Q/H
SHoThklDfOzyehsbDFn+fM3PN82hUchyCSYeZRuf1fKp/W15NkmGGqosp/RH8QcvPfqXD+Xzz1++
sr/9fMeSdcdgsb4riruQ4ar8ogb4fM+WypPmD7wJlgKqjU8PJYUCF2U00W7dOTr3Sbx3neFUKH8R
yMAHLghl4YD+53v2e9smIISJnQYPL0RCrkrv5ve/ydSxG6A3KO/q5Du+r1k/hx0TwVure45SIPbY
KP58wU9tzn9c8fOrjYg3S7RFWExotTj2neyqDSEJT8l7rjs0gJJhEhKyk1F351IOd19cfrmJ/3kx
//fy2MIDlkL4kZ9ekslOezSJMUO6pj2xyz4PMxp7BC8qTdONUhF0cIWHbJLeCZDBo8Hc54tf4b/d
c7ZDSn12rhC39u/3PM1b2+yZMd0RbXEZjf5aEdcDO33+RejxM/XS2guTn+PYXteju3GhNayYjqJL
yX5mhndos0U3CkS6DAifaomQsr/YLv7rL0heFtsGda/4jAUbVIxdEyE/YX8s5DORpA0k/R6Ouqzw
EXkkqrZe/5b5+Re19n99OZifEclFO5rm3qen08nOzEmDK+9yHFTdROO+4phCH7x0v7HO2uolIDBv
/GK7+LRr/c9L8ffLfvqyJ0YvSSt5Kchwp2FyaNC76ZcpviMmdpOOzxGxxUV3g2YG+2fyxbIS/v7d
//Pqn6oMUac1LrOyvDNyRp24Us+FDysyKTEzeeWr8vDK9jH8QSLWCxwZ1Ruz149CeQ9u4RP6JHbN
7F9JfFTsRUfQuulqNCWWheZNJ0A2h0TcurSeduZQbaXmGu1c3rIBlDSYGTKFyZqlKdhNavhVl3iV
3CpeL+JuTZ/RrHDnGN42qzB+o6K7JCPEsHl+xnNyDnK0P4GW2Cm7TVknu6mvNrbNCwNYkr7ReBgi
SRvULsgzjB+9StxGuSSflP+bQljYudPGlNUpaMytMzUP2gt3YY3QgziseaVLjxhdlYBwYnTm4N5d
R7AQMc5kRGVZ+9azPlTj/MRuhetU99u2tNctvaMUpShaFHTQcfzYpMReZp313ezisx985Mzg6UQ+
eQ49RHNQeznzuWukkNCQTZRP6mqqncfR0FcVabX1RHtUYa2WXXz/xULwe1n2/x884xbqWAp+9vrf
F4L/R9l5LEeOLFn0i2AGEQAC2xRIRZXU5AbGIqugZQTk18/JN4t5xWrrslmWdZPJBBABD/d7z2Uf
oPFGq+xsevKOCS9MLhImURUZx4nw5GRut26Jvchbdk62nKwpekrSkSSsmcac/UHsG4lb6d92SPuP
HRLxKcOg/1S9wDO+bU9Ozbw4FXVzztsvlzcB90kgLzGspzYLA9QOxvyhh0fyH9Ee/+UVaP25FlAi
MftyOW4Tfv79koDYyQZvzqlU8XGdFlRZoWPY3TbVguRZYzJ/daiTfiyBxo/hd82tLpYfaB+S42KZ
5tYoHO/Yj4G+7QjeXVFj6KOgsR6a5Dh9/fvtcy5F2O+vEv5WwbEDLgyHG+/b+1pikUAq6dbnLjik
w1dav8gFZgNx7XVwJxCSZP01cdCISFd1e+P45o8OfJ+7VFfddBsBCMH/snHkR5Wjtat+kd+8KqCJ
ThYO5oLRH0SH2LmCGUrHN78Lsv8XKOTy9DE3s2xy37nXdIO+7bVpFjcMpObmvAh9iub8DmJ2CjzA
yP+ywf3Drk61bFEFMgWEifG9HAdYaHU24r0zLGP7MolIvhDWFHtt+F9TNZW3aSCma5gZ8wmROHr/
dBJ/KXj/4bmS7GEcdH3IfdTVvy81z0/LMepVc07b53l076tyQSTTrhB+B8WnMIu/vOT/fIXylXl/
0slxmRrJb4vIIIXPdHMublwF3qcYlwJJDES72NfJ3q0n+6nMO0JeJgvrgUZ58O/P5j9+XYfTD+NK
Bk3fAUmG2SPka6vmjPIGMzWTQaIyyLHRJX7H2TyIuNr0gfeX1ft7Af6fJ0ragqQm/7IiSEr6/SIr
M4kYAlwuMjmOkSrgVU7//wqBC/t/n/GfRflfRXjqR42xDLo5C3sXoHTQs1g37jOCYjxt02YItpWV
Hua++ssDdFkN3xY7bVPCTANA4S69gN+/W+NYGJ8jyRW1gsdBWojBhqcFidy/3zjrz8/hzAQ3iTMM
8QB/tIDbFJ2zXfndWVnurYqqJ4Pwzwn3b5wwu0IiBe/oEczFAYZ3yECaCrqDFYpJNiib+zG3/vIk
Xd5Bv3/v3/+ey5P2X9cbl2w5L1J2VGS3rmJ34slB+EwQUReO+eO/f/s/X4iXD/OZz9FwwTr27SJP
wICWVLm4xNL0YNYIzXsyZGS5R/j+l3PIP3yUBVeH1uelEWp+74MTYpfFM0IzVLTZg+fWwZk0uyCM
M/tXHJEe9e9f7B/uKp92ybVlOH6h1f5+FYHe9lY26MunUWw1KjT9alvaf9l0/lz1NCRoTtKyNhFC
/KGzCHDu6WRS58bttqrsP3w8/ATIswvk20yrK0wjf1kWfy75y0dKmqIseprX35a8MXd+MVl8ZL6M
9gGroHEyW2N8+ffL94+fAuKPQ5N56Yd8ey6cAFYwjl11dprqXA3iwXGSv1y7/5yuvz3otOBtBx0J
2Cyce7/fIiTeAmPWos6y/NVB+GvHGW3v1yQ5AjYM8aeNqM4LJq4sSP7ydPzT1/vvj/62xhw8M7GU
l/ummn1rkW8uB/w8/34N/+ERvPTDePtdguzoy/z+/aoGZxOCc/eOZOAW7pHjXWMWL0/EYy5/qSz+
XFtUbmDlLJ9n0fvjdhnZgPnDy9Jz7/rkE2iU1okDrGhmRktmFmme//7Vvu1RCNQEkhxiHDzTtv/c
NvKYpn1fD/N5sIChGlXZ7JbeBG5bzAT0IH7hUKGcv8wJ//hQxL/M0QKXXAf7Qpr7/XpGRKJiPur9
s4xUH0ZWwIEnmfPT4I5+OHF9j/lo5H97Si+/9b+eUkCkJr2aS08aKg+T5u8roaV1UkymcbaRYh/M
zspDraExEFmLu1zF1q3hp+MLB0pwRZTKRxkrjFvdkOevi5/jj7SThUjOfizOKZSgU1ko+26JUyqV
qU6ONXPyf7853x5uG0EbbUDK5EvsBX/9t+s0ZWnQxW7J74fu4yW7wX749w/49rR9+wCq/N9vhMAP
LIlD5QM8sunJggNPvo5EByDrbwTNb2vofz8KcRatX/qb3IPfP4pXLXKU1qqJZ8NT8Amyv5z+1jn9
x6/zf5/hf1ung8ohpCAGPuOeEeIFEgKikMhx/rIdQC79y7f5XqP65uQR7uHUZ9Mqa+TQgbwpspLg
yZZxisLdcxh53G5yvOqnbEATCl4Kn4aPnMVtu2zTwLqiK8VPgK2Th661kACX6qLYLYwi3QtHx/gm
AQRgIBXwcuJK/kqtytvXo/+WsOtt0mb5mRuGf87Qvm0ytFzkVJK++6VSx9UgP+yACO4CFGAX5/SM
yyisHWI72EMuovnEWpHE7pOiMepVh1ML899TgURhBqe3wQTb7BASf0rdJVg5rXodt+k7spOvEe3/
NptaYsxSBX5KCUxcy+j9RODF97RzaADMOHZlDlDO5UwDPSdLzss0H6ul3I+KcC8JNIDIZRM/v6dI
Iq6TilJ0tOXDiNCux6K3XMWtDzUunO2OItU3nGu4ASlQqQ5FDD4SWAmpIL7Txh9t5wRPBFZbbXwX
dAK7eACnBXxMbk/R3nOz5s6ui0+njMUW3b7/5mMc3TkgoHZVm/S3WESQ79qokJhYYWUzyXxRsrS3
KmUvMnOy0ZLUy7aGp9175QzqZDb4K3FlqysQNs0hh+2+stNW7C1Cxt98HaudO/bt1rcxNQY1WneZ
OP6RBPCAuJnC2HYYRjc+YsBN1A3vSsTeunJ70oWLZF4nPfv8bI4C4ppn41qepx7GFYCnWXS8UJeL
GrxrIiwv0sm36dATYtPGFgDfeWxXiK3cXdyCHQqCSj/V2hMb8rQj8HYgtK6KMbGv7Lj81VpmjDS8
loehH+oVOmkv7Ba4Hn2F8xzXiQ3ikY1hTOX0DrkZsA+u5a0pI287V6mzbwSGPSTj3XWaS3ksx07v
3WBmjsyol5vsWbCs2h88MX5Y2LPzFi8eJhYb/tDQx/6hRSy6ivVcbLNu/rLH0wioe6jmx9aPYDwl
9NPI4h5uoqiJdm4WZcQXLC7Z0PMX4m8Dl6vkpsiq3XhQFYpNUsA+a5Dx7XzLyrZSVfqgPMRFY4OA
Nr0a8mPariCeY//oS3+FY9XeIYCO95UaxT6qe2hbICjQxhcObqmRmHIn7391o/Hezi6nwc6PdpHf
2TdKlDQEVZOwZc7+K5SXmVj4osS7mzJIz6du2amiI7jVUfCOoWdthjQx7qqxlgS71DrUbjatKhvn
Qd+n02kEPRN6Ddg6nbTxtfLFTyMwEapLTRJni5tqKHBKk6v9PlkZ7WvK4HWFbjssjIhsIW1NByst
yVVJnPS6y5PhoCIruo/iJT2opgZqP7X1bTBjdw0WeJVYC0EkVpDSiVfCVS3go+R4CrdlkVp4YB15
k+oEKj5+mJ1M3E8PliVmOsRfeSt/QDMEeIf9Zy1zG/dJGXH0IBL8hDec96EZExYz6UMVkSePpKmj
O5LcSXOYNkktq+e49Ii35Z+hI3p3M4GSC4ds8bF51QudS8ioQFJwQBmjHTb1jF2lqZpN2xPGmZLV
A4fy4isk02ZVFhe6XEnPCnVpfOXxT8LlIRYlfZ0CQuuaz9jALguWC+Ch8A36Fn07r7Xr/0w8j+Bh
dQHrE5VGMkJcrB0t8W1n+YRw3wP8KCVZAENcbxJterhmtDp5UUqEbAcaaYzb/iGmdxbqiz22b5b6
mEiU4EMFmsGrF+I+24Wmf95GK/6P6M5aYOyYSfOW9amzzucY3INKBX8y4a+GA+oKsoQG8YbiO0mA
vmQBMRaw8YNtnaJdW+B/haWRt3RgK/GjjCaTmCETtV7rv3cYNdcizb/GSv1ssOYwdsi+Btd4cZoe
IuLkfFYRbwJYKTixmC+vuD+frks7x7ejZm31PRBVJ8s2S89Mp9RN8sCBk+RSHwZMpY3HLic/yGi9
As1dgryuNAkIYljNOi5ZN2WH4VJWzs6D9LAaW2qKJE4iAEzJdF0NM+ovmAPqif+RlVikEwbctOPI
wI7xlPoK14/bEqpZlk8eKsWXvjfK04jZ7jgvdXyKUQO0WFeBPvUXfad/gSJgKDM+RSyDTVlhOMQY
iOAxiNE1BgZGJDoBGysJvGMV+z+FRLe14LS9Un4AF2xUBgG4jkl7XE34wDn9xR15sKnXZDt7FGI7
ZCR7mqyTEKyBd5/1ZPIiRlLXoMmggzUiO3Yle++l1r2iiM43+ZSM+E/dX2xCzWZAzst2R2LL4Ol2
hUwtC5shmHeAWKYwYYbEoz329JXweGH5wnwpnHnNW3g52kM/bhal7IcmS4iRJ8ejh3ENTHKXIkhe
jWaQPYtI8b63a7f6rLNpuLANKjzg5hifs+nCyLUHbHYBo6+glh9BVukVoEoQHcEibrDC5bCHyKBY
2Rgg4XSK/Ar4/auv3De3759nF3xL5xTpPbDJHAMClaE7gBn0vDlYAcPpTkVvxHduChIgwIS71srh
oD7lGFbGaCpWFSRY/EOpJZx9VGRc/zl2u2PVCCYy0nVxbcXxrc0NYwIRJKGfV0S4UPiGusAvVF0w
O1XBuuf0Fa0KZk1r3+8BlCREqxYkgxwnAtlCuyPoVmGouxlywQAyFuBhI/GzbJmBKZyER1NrvR2t
gphbayCDIi3rfeEyI0F774QSIMKGCbP9qqCcYdRGcoZRZnEfl1kSadWLDNNLbA33JSAhHnezurYE
ZoDRKH41C3tjkqFqVKbXAT810tulRmVcukO+Z16y3DZoOPjPjoqvhDcigMW3eZovzVSE+PGGl130
oHQhdrGrCI804XIVGMixEPXNc0X43L4vW4ltyLFCAz3cTlfYHte1oTtIyUNwi1WcR3hug0/ZYR+Q
nWFtgKcFd0Bt5VaYIxrhSbNQC4onCMoJ7tTm2a4M/eFhGcRQlc8lMMSldPFJLuzzdt5DGBCjebba
NnqM+hgmSN9Ou7yyIgK0qnnrxYzagmphQ44kGSWuUfa7Rc/xowlv5F4kvP2Q98IRkNOwaeIh2nK+
bB7FxVIJ2ltutcG+AzyJMeHkZCHiW7lLyYncZO2APzeg4Z318sGrFGSoiJoyGeVIwPnS/nRw/UDG
LEY0BTjiC8v7aQpmYm1Fiavg5LHP8mytiiGvf0BMdUNGW+YKragI02whQ2leultTD6hts4Dvipa5
Lk9ZaunHNpg/PGUqCp/+a55gls2T010PnW1uctP6mtzLTZtouHmNjd1tlKS2AJ8AtTEn+2li9MOE
Ct+AZEdv2oQUZSY0K6NiH5U6XcKmcxkZ4GsNxWxND9E0E7SbsBiTongaUXxvaHP/knZGiDlj3CPI
2Nu+tDY2+tYy/GzM5NFEXAt+mIM7Tox5N7ZE3IzgIlbmNJJoHgfpfsrmnPmOZ4VtF09b4SwF8vio
2PqC59RTMQAZSQ18ml1yztOs0Mc0Ldp7ty2zfTt5zhpw1HgNT1p/cOHnnT3kWNFG8PDbzP/PEbpV
XIKpOBEOlOFQzqNHrOA407EX7irOtzAOJcBYqg8LLX3SnezM6l90LWGvognZBE0lr1Fxx6G7UDU5
jafvIFpxQDBBwb+rjMNImHfzeG5gTHTUqUP7RgzO1TS572izGjymMqmwRrmtTskdbxj/XEo4QMe4
Yy/PYz4AEFAOGTaVO2xbTw8r1xyCcpXqyLK2Nqt0ZsVDLrr2Rt7Kgyf8VYkP/+Bq3J42zBEAU0yQ
08XDU1wJbxvIpt7nS0pIs2W8FUpjpeva+iAbr33JW4ujjSwTsMWdWBhWIFEtOeZQXEcFcPt1oZ38
QBdhJpQyS+6shtwdyEad/5CkAbTdTjwMI/aNOGEmxlYv77wU30nkA/BsuxZHEyhvX7+htESryRRE
HhsKv4MzGGnYAn84ZAUDeYOKelPw6SSvjF8AQ9z1nChk7CqHviUgg9LuAk5TUvKYXh5gTW2cQ9b4
LwHqsNCUXQzirMMYy462qpLorYh0tRa5sCG5kp2Yj5e9ECPoqvGyhFOTJGJvmpPrVs38YuhZ1WMJ
RirbBNDhKOqlwV9qFZQwQEXYMt1svobSQpSRlbkkkVvNXd4Wbz0M3/3oYaJc9Q72SKMIOmAHAHL8
yew2CdCALfrMMiTChtcDGFycjDya+F+TZ6oAWkpQQ7+8JJ4+fTMa7mam+Ht+wQTQRic3QBMRDcYL
mZnrwB8idgarftUlFlO7ks7BzyZ/T9ygszIi0FxUHMPBTnv/No86Vnt1ISEO5BNA32rLTadmGDky
Cm7paAE6c9Vb7Ps/jYJWpM0B5DiRQfYS2NLYdbNRfwRzBJGB+dYG4VSzTjSYCqNMNN7FyGAg6uD4
ZGdYu0Zr7DGe0RVjDLgyocNv2ijurrwRR4DpSIf4M15TYjaoDkbH5STVzMZOjCOJUx78tTtTTYSf
L669tSLQP25MzkuZgyYkQ4wGmOMva5o9Nk4i52cQw/poaljeVhWLVSVEvEmFC6MkiSyKK6KRVIBL
y5wFDEHTmcKSc0XT9aHRtidjKacHbdPiaFM97DuX6Ypwm/iqUy6m+dKVwPrS/jYv3Z64NLt/B2Au
T96UGTe4kmCpjq4KS/D7rwlbzQm8QL7JphyQK0+VfUdpCzGjTmDVBXX/AJ3t5zBC6U/0EKwYmS1X
dvLQFyFBdmQy55hVG/I73yhhB/YYyp/GcPV67BVDZN342wRl+saObXdl6YaDH0bXfJMmSc73k8Gr
qD2s5S5shB9L5H/gKRqfYruqD9o1gPSb5VynB2YeEIVcIkABxCXa+5Xk7nTIu4ltaMqKbWEygm6a
CEGFhUOV1AxV3yhtf3mOYxxB402rYhlsZGr42VheKayBgeW/EKwAH8J7rzxf752ipoHiC4sCsMMg
XjuMIKuMlgnO4ufAnF98rDiUWDOAPtVQ6BmFsfN7UurycgJxV1GzItQCXpTX9bojQSD08Hev/E4r
EAfLmS7GgM4QLQmzaO/WGfCbpT6TwKyF5Z+WZrJPRRTvZVt194kt/Qe+lLPyfJ7OVCIrUuM7FDHc
agKbtUkttaLJC9xDD/12zEvx0qdNup114bzrxLZvgiy301VLCNWvRReEh7GVngaBKKfQCsqPGb1g
nUI+kRjkyNkAY7QAk1YVnb1XwRBvsMv+WLp82AKpwY0tHbZPFLFhFvgRfrDmxwTK64nWE+QZIsEA
lHYA1gS3eJ5ncV/5ydOSjSQoGiY4JUfWuMpRjNKUZDl5/c+RpLV1Y+XNPuk7wf7D3TMTclfq2VX3
7lAZp86t/ROs4+TGF8USlrnMtwuEYhq6DV/Dupz7jbegdurb3J8oWHXV0fQTNC/iiNXpfvJy+Um0
CZwqVBJrMWN618aE3Wp0g4130RLFKfHZZnwhvnuyv01xIF75FW+8Cv4Hf5+XkGtht9vYDD6YLLeh
0VcsS8NVH8tAexJRMWWWGkNb1OUNxeFAoBSMK6cj+ptjYw1/0O12UdnnF7wIZ4Ol8fK3BRN5WFUD
5cbsllsONIQJmDOW9EYX2V7XwNBj3/4FqgP5XbMs66Z1Yc8J+atpzBY2cpEf2XLda8RF1UboEcVU
HDvdfVv2Eyf4grj0hrzDlYMVJZS4bkkki1TY4OlbOVn5A2VvwrLtvpIJQgyIAss5ehVPf79Ynxdb
/ioxG9p0wJ6pqsll+JlH5M3UyrVuSaprt2Cu6cmJwdn0+gIAzeSVvwDtdZDSHgPJpkBfqyedKJfw
JQBTMB4fVo6RGM8F7PXz4FjJuVNOdR3k0n/FJEh/inPpiovbEAgJqADki7sXvpo3OEadrSbEbys8
GIymnemNEfc2CKtalW9ae9EJgGC3T4jz20eWSu7AKqpNRbDfbuK2rPtstE/OwK2JvdheAcVyt/UI
A6uMsmVXZ4F9ssEXbLvJwlnpgGkPAqve/Sfjo4tVuFTLh5H0Pg3ZZvIOehRJiDgVThRVW2gpCAuq
McY9YzoQWGT3cg4YSRRJhXcYJ7GXTfrYYhZGRKf6bSE05zIzyQ7MzdubAGT50aZ1e1qAlfJm6Szx
ayj85s2T+jVqiuRkAe7a5QqK0ZRmX7GaRv78S/z1conmi3SPUzRVEQwYb9owFaVR1XIsEH5u3gKH
Z3270ArmODC3Ze3oPYvTCQkhEVjg7OZodFP1YJNP/Tot8gcHXJ4Xk/0GD6UOax9002RU8iDctmYv
aatHZUi1IbkJHElFPpGVG+nbYPv6ishN4LypMWyTfmrXxkKyZNYUuPFKo3laUk0cAn0JAO+ejqIH
bobF4a9oAmIuoSv4VgMw2UMbaCnPfZsXdzi6bBhgBicbXnNnjk+86sSluWsfUGOYt0lDa8L2o2E/
D/6FvJgDhCmxdGYCgkvZcA5w6cV/YVVKAvBkbfmZxNBTqr4of9F3RTAmOzbkuZ+8a0n40X1C/szZ
LAWAQ4GWPoNCsnErVVKDYN/HCge3QfBg33aTUWxif6ppXuhuLaN5oiTVg3vde7TiFhv2IEmgr5hC
UQ1M7U+chuOe+B0gKdOokU+YaJ9D5hbQe8amCh3LSa7trh7ha/oLii1o6B22mxdvFq8M10zKtebd
zRMFUaDl9A+CRh9EixDUIJnVjqL+yykDK6aVO3MMyXSjjzKAJVXhJcFLpbtXu7QB23Sl2gwYke3q
9cLeG9WDTQT4OteV+0uy51/55fiGorM5ErGzqlS+ogFovKUlouQpJnWH5oFeT93AwZIEly0YY7Zf
qt+3zAduZZdYe3vtZw+DVXcMCeBMg170wyirkv3YWDblOloRclPKo/IYwLLi3ARxZO/VK9vug1MT
WM2buzRdBBxd2eEs0qc+SDihOONb0lwg3YLrt+YFIB4k/QKwx32RbjBtLMOuLEuhQ6d0opWZRfdN
Mo7XCeGc2ZZmdKueUpTWfZjpTj85tujXpkoDgEiKgII2ccwj1FF5mGC2vkSdqTasWiaUnooO8UzH
2A6S54hZNjHdMTklRMHtIuzye4430QEnibVxs5ho4prQnqUnb9KIVbHL+pH2XTDUF1Ktu2ll86M0
qx95XVproKG40V2f9tpp4CzZbYuovysk2MhegqkmXiXjzJTYW9LIE3q7+Y/eYlccmrK4xBAzTjF7
P3ppzbmmlJ6Cdk8CxTbI3mme1dFVVfW+cw12+hKiOug03XWMiG8WrK0IokS6Q3JHfjHUHII+SWU3
SwtCv2d4X0sOt7fCMIX1vf6MivjSknzuXsrs5LWh9XD5AiiiN3Udet5JQDwDzw8kS5DwvvASWWWL
+9C2ACLqiIQWy2mtnWcBsdWMkyBIBSO1bxOxKbJLzE2vjz5S9yUejNWc5U+4OJjV4fsOs0K696RJ
/Zht6zTn+ePCet+ZiB1JI6EhX0B/J/zsWoyzRWIQJa8i1Ry2MsYe/+QPdyVmRRcSJZ1Ou/Qo3Msi
el0oxq7tkiHP2p+N5Fcjxv4x86R6t2DIbYIZsgDWZ2vh9S4zsc1KPZx901mO0k7fpaOe48YE417A
W9DWQB/MNwC0TzWp6rJK14Fo2GFq0AsrAWLutm/M8SRqQGv0hcdVnRqEaRp0o6uU7kRf1TGtX92R
v8zRFJISMxIH6KYzgKuHiDCuioqYn8KirU/HqGC8wSY8c7XWYgQRNTT2QHJBn4bwtdAwq5LclLlK
AK5ecuKtmJea8PtHNTFMadPEPxHD8MZ2bu985h1rh3iAW7eU2SZCPLOu0Ch7LHyc0SsTeQa6QHpA
K+Gwng14n/SBePesinJQP0ufs5KTy3pbK2o14ANkRI3xz8mfki1JWUu1Zcjx2rIBrRmvQKSKpg/c
RNnKoVPEKMakJAHmHNqG4GSYNpP5ZRlKnRoNDiIjHWcV08tZdQPBtjSiRurSpj47c63vszRBDj7A
eLn37bKiNF6adj1X47vDPrUpoISvYRt9kCTOPNb22pl2bS+AZWfiw46ldc3Upr522Uv4Q9wfNSfi
UxZ7M0xYF7qzSzeDZluC0cViYltGOQf04s2M43aPHSo40nj+oZN+5NdmdAezqr3Y5lU0bwo96Ic2
MOnYRnkHpwzuZFoQkuz6cUI4TdzfVmX3UcrF3oo2QJuY8aqmjitWOfzZAdSu382MYPoXUWKHgptZ
Xht9Vzan0s7La5M5ko/0XE+QeYcszAdukIFXf1vFZnnjTIV929DJB8ZXUSuavX4acSRtnMyYYMw3
l5QH+7kG6oGJHXd777rZcfGD/OiZl3K7414wU+UIbcdt2MZ5sukCrcNu8Ls94xpSrtoqCak54EjU
gc3WV5mrgOb6JsrcV6sqngnNk6xqlWyXNLL3pG+5+2Cyqd8iPcmQQeV8PzhIwLQ/OgfwEdN2VKq8
qqcOUKeSC1Yz/LkQ2rkmThwQYubxKApvujaWQJ78mJ8gBvi9VrASp9xiGmDapKqrjggXssnXnHvZ
NGkynROrS7qNGXkdpE8zj687sOhMZnx7xZh9CAsV3bGbCNKrIuvoWUW+H7RI9xdaL4cbMhStLOCA
QFrINp+ATiOWb9bjTCMLGBQ6TxcBAlL+jukjyR2A9AzGHQj5J5q5oY5pjZuYxd5tSiGmGnG+nqxW
nSZMLyfTTe2PnGyqFWB1GjIdHDKoqfVeiqE4W1RkuzjrzzlRqbvMa8mjEIV1rbOLjls4wybxiuWE
olocPc9tDsLA/FDLiGixLu3ekzRttjFhOmtB7Um4e2nzRmHrJ5wiJ7LGHB6cgUEMABV1IougA7Wr
1datFraPxELpbbkEstEQ7FbBTKxTkC/LPghibzsMItmNxchoeXlZ2qHbkxxSb/1B9PfszzNjIqyj
GZ7evWNF6VVjd80JQAoESGdoz7QUJdOsuaesW5jCtnF2q7rxQVBq7o3JoRumDUHQ32UqLcwPN+jU
9SxwW1S+9g5qtueHZuhpM1FTrH3qmAqOGTbC8rZLPLk1gvErBdTxGo8V8e/zBefg5ewEzRh/lcPs
hblMI87LY84w2+QHhgu+sBrFmSNE/KFdp9oRNUcW0gWxJOI2W+eZP9wgJwbBb7Ymr7CoRdYVB0fS
poIjb2H7EOdZg7qihEvT5EQW8CZeVD7vaKp2G6r6lgDnZryurDLf+1L2l8rQWJPfQ3HcG/PeMpoK
PYNHRTzXYK9Huqhe5j4VTR/smO90x8ZTl4y31uS8O+DL8DR0zyiAoFJHayMdp5tmimvo3Bc8uBPU
BAgFv4iY/Ow4hTCX/nSRWxw8aRQvoyPy8zDP49rs4n6LCVDcEvsqtvnASNd24+qYBbl7BBGX7rIy
f8qEX3D0tMyTcu2JC6Bhr1Q5EBXGNcyakLl5Iyo7RlfzwXaj+CWP569Kt2+4bJK1xUt/XdYqDRmd
mqFvUj4JgxiVS7AAGhffvI0jVMyBn6uwdhd7RUCNvUnZe66rQiWrfJ4ZjHvT01AXamcESQGEmUHA
6EUlpGzLeIaZe0CceTPXVhoyC7gh51KGy+C+D7ZONu7My1VaPOJA6pKrgLu642Rm3QSwB8/IWfO1
mOjH+QFs9Kgv5Bc1mgWJ1K8ZFuUggwzZHWYFXcaZ3feOem6P5BQZSRBBgO4nZ1VxGg4TckpZCs67
zJjuoYBtAc5eTmOt+bqIMb0Kqqg/cozB5MAQPOVFa4yI0ugHpMjw15aoeFyazDkT3pZfWw3ozyXB
M7QkSbsFnkJ6Y91Zt/ZlYBBUnAcFgrmV65F5iEu8PHuxJ+E1jC8jPdKQhyzZ0OkCXmQpd79EAWN3
zxC/IozTl4XAz3PKWEdBBg7cN75cz/QhYTZvwQTSJRn7/jpns95nBl8nduj5NEo8IyBILj6lZb+Q
Z7v2lvIsx0W/ePxpG/pR3HHTjk4GeYybXCdv6HcgNQv30R5Sf2PFyfgoa9/nW8AYdnPaSdCX9KHR
/hIqWD1SD891xCQxG0ltsro+XQ0ILzdMO6K17IZyGySWPth9oe96M9I7lafVI9AxZ0Pojb22YpcA
REh/1TpqR+/dtU21H+TsvMZgR56MRsbQOWvSDRmWSCxiBV085EFrxXFqKxPag3NLFQRZGHB84/Xn
zqmW+2EY8BzRfiIeoV8lyB6vHa9VH4SWVVd0ogSzfT96BJLE2m1HSJdxRSs2hYhDVonmwNmZn7mS
nHJwU/1YdNS+FpZc9lOS+aGTODQUmTvWhljX+K1t+CvU6D91Pb4kRvxIMhhRGhdhzlTQAQTWI5Gl
eeOzjPkEmIr1tlWMDzkS9ZsLsOzWzcbuh6nb4dkyOe1knHAhd8/9lsNJTq+WF6uShnnDATEG5t/7
6z4f4dnCM9kEfm9t4wDVwRRVMYQuz360euen6QYZkn8yhyfbydaW1UbnACfUSrm1dc6ox1baY3RB
2gNZOzaFDnpUKMwMKvaW0zDFN4bs1onGYU04IJSMssv61QCP/RX9kx2mg/8klWffO6Kx95y2kOV4
ecsO3/BqkW50FWXtEs5jmRHtEj2kgEZPTAvLJ+2ip6hmWVxZ3hE5VAdI1cheCO/w103tkzRac+IR
EikZownz3snfUc/SwTlH+pYKYN2xWk36zSk4opyR//iclaGFjogR4nVbfQ5WdhMtM/ziO2KxoSWY
9onODPHMlCrxF6h43pV0ewvYc5eJvrzu5yfEjaHrdfv/Iem8mhtVujX8i6giNnArQFmWnO19Q3kc
iE1u0q8/j75zt2vXlEdjQfdab7TFC827WvaSd3B7znNjnBwHAPKapEdvvtJqx/t1bbMYW+1vayMN
aBnvztRdxPSO+LJi8bGpKfqwaWmyNH7J+7XcC/nju48sXJtMZ2fozyCQxsoSpJ8GMM9KRVnH3UK0
Ed/ZV+U+1vqrxTZVXdNs17vAes5hqenyKX/ltC9Bn3otMHsIqvq8ACdlB2O+3UlnBb1YjkOQo/gq
uOG64Y/sLEaF314Lyfbu1HmWPwp3pBk/rMm3ITs6q2i/8YtblXbbpH5J7A+tPRtNfnBgrIX96Lb+
lsvvXMd3cU0dNfz+iXYOaQo96Wo79z8LyIVToG9ko9KntwVIqk+iaURiwEpE0lsFpF1OeyM/2svJ
SyFa7ZLO+r1ePlbNS8UL1LFiX7wBhJ9kz3Eow8ai0dwLvMEL6/Hn/t2J9I/1kkpQPM8rbRmR413r
7l3n2Eya4liYu8k4UeFzkCUZp6zPnA9K/85TiiCRpxoELi8E303PcYKpSZHsO/9wDm0kCYoKEM5u
jt3E9UNEfkHegF691eIgwCDottxk8bRprWOK0Ijnhusk5FMX6bY1bhoFt/ZnUt9K4zCkP/cMeGxH
weTwC7xoJi1QF1/e2a9P0JXJffSJ0Okdutq/beNlmd8wR23gN3r7Enu7BhoL4buGFmfY5chnpBMN
xk8Jjyq5XEklz1aN2rFLHT9kNoVXSLWKi8d1Liicsnu93dYsukTkI/2StdbB2472azo61QFY98ss
zOKBcMzIXVmristEgbNHcx4z2NDNKKHsm+dogbSoUy7p1OXoIfpcnGOzPaWkRxrlvnSrzURjGnFs
tC1QvUPuEKpdWCVZhO58seiGsjn4/Nex5fz14dVKENR4Y4+vRIyHMMNBy1CYF7sMNnnCb4aSdb8k
GQbH5xmiTV4ENTgzq73Tf+QEfhNqA7/rWZeCMCW/IMpsuDrzq+4/tfEuR3+5Nn8Akzute9PXJ9N/
TbrdWv5NtETAXNWtcTek7/UxR4y2u9ePmA4R88tn1r5mVDCO+j5O5oOY9KAgH6qt8dL6hOmD1jMz
QB0cFpQ3Nuo3n3qBrnrujbfeYsrU9oy4h9q8d17Q75H92pQVlLAqNZ8JhGHTjNVGin+z4OvLzyvf
lsoOTQKYs8SBU5UgSdoNYVFIzuPskN/h/9CixyV8c8UP2r8gQR17N2kbIO2ruVOEZOUcugtM/OEu
grRpq0sv/mIwmHAs8gywLYVaWUVZr72NqM/I39148WPh3Khl2RfWfyZy96UiPxhZQ9L8V48J8qwX
EgXvF+J83/1tKyw1lADNxqc0Ji8ZTKWBRuWF9lidFZGmiWq52JQ+Wpgm5vjd8ZFlpPExJhXZjTdD
9uNqdJ5YkZafWrq+PAfz3XgzCOYbO5hwmCImV07/NqS3/dRRe7XQWZg6YWK9VTUN5fxGZvYeBAG1
IDZpC9vJF/Yikh6844F0YRtTb+L9N5h3Fer8UCxDKLX4Xz82IaAyrVIXsRw0+a6mb0ffL3JnMDsV
JFr6X7VzwyIcZIQBFxaxo+LYsSBWzq6izGmiWqsw8AU/crtmBAw6QTlpwex+r5y5U/vdFS+uc2bL
2DjNZ6I+kZNFDqoBFAwoLh/WHHH7ftIu3rzHcz54vA83RZGW/NDqT/CqsLFZbt0vrX9O7i1q2VbK
nZm/9eO3WzW7BYUtYgPkbUSUsgAhL6w0dST1myObZA/5ZSc3tydEtD5AzODzf+6b98U7SXoY/udj
pomHLZAfjIhx/Nc4t3u9oa/tHfFUzn+wHnX/g7x2T9g4i7Pc6OaPXOhy9HdLe85brlBO8YEsaxeV
opXvVvmiPGSx61U4N263LWN1QOpB/NeClfyRREwr8O9Adk7ylo+P+vIh0YYYw0lj1Epcf6B/yy6Q
Z2ScSIII5RwFU0Q71XAsaVna8e0PhIrWFLNbIj21Vnmb8E3xxadbpphATI/jhHBQgQ7KB8MHe8xx
qb1lE22dzrc7//bITnICwZ2ZDOeVQg6+Eh6GYMl/NQgHjxKmAWn1lNohAtLF0XbAilSJvCMri0S8
PlAPtFtncY2pzYbQjowC9zpyp1Koz8Wwtn1ykN4HTAEbdbmVznsa/4qHgWAXXe77L+/QDlfR8D9O
rMybUe4GqLh1TA5TehD0HzQkMafr+S7mGZdXi1O1kJwZ9wPC/pHcU1SEE911cyWuMbrh6iePjo2m
4Ev+5BDzqQckF68qylBQsMzZ4hn4ctbPxHnu1Tn3f+lHKMdjMp/pGdyI4XJ/06CieYkOPnO3+ZA1
T7EJE++4ES1p/LTfuowWZj1Akqn/5wOFQZ9w9XRBd4+wzr7y4tIgOiAQYRWR8t4158E0r4tx6Ho2
Wn1vz+525NqwvKOhwUT0Wzt/ELAj0/qINhVZ+sPSPS3Tl2vwxHyW2X9aSgu8h56eUp9Gu6g2hPaP
CNAM9PFzck9rfSNYsoYRbNLzlNGK+QXoo1XznshR2b7oFsrLL909Cfspnl5pGaqTw+psu/QkiQ1b
d7jYA1s++ECy9XQt85uN0DYb/iuzgYfg5Hivo7ObucWyBAvLq2O+JPlNjWc9oUIemdTwkYsjYRFq
9ZhXogzrKk8o6alPvkkTKVlBWzE6vI8fq3H1VcQ+FzrDN/cRJDexhYJb7ncWxdaqzh71xU5JQ4Je
Rh05qaz79vCYFmR7msT+5vbG0LeixTyDLirmctbv5WEXSV9WUh+U+5Tr03k0/0tUvCtNH5CahrHu
gb0mEG7H9lNtRriLWd9hN6RWsYkY1hmbQa3ZAzShU5TMcpI+UESycbmAveoJLzQC1Ff6sTnt8uNM
yn3Zf2eIpmVFAnt1kMZvOrqb1nzPOQBMPccZmgeg0ZIxfoZGTKZftaShli2Ye5dr3kvyQYBvDa45
/vlG/0bEXd9MB+Xf8FMwEiTblU61hYljdiOXANhGPJui3GZT/6QS0v5Xm1MmCbv4c3bQ7E+vcXMp
YyfQWoq6QKxW52/sZbimWGW+4pTsEmSdOedBDXbZaWGmX3vfua1+cR6aZDvZ3FiJ3MQaOml+6RMt
wb6JQFFw4inztS15muuSIPrk27bgqvLfdqxgIVDso6PhRqQcXh1H7G5w2py5ZPSDNFf8yApRS0xB
rwuGlHfP4/hBJZsYriTao7rgxI63XfVjwawTnQrX+Vd7kVD2zohjQpRz9vH2QEHzdjR+2rbbxD4F
gvcEHyW7QwP2qePN2SCt7H3tQ8vnQ12pAxqTO8Kf/HUx3dJ7A3Wb5mWbZeYiS18WkxjduovA/84D
xuSduzqo6f8aj97N7m0Q1ptZtF+rLjYlbdS29dPKv9RxTw4VFwmhHLL8mLqMPR29G/wfJPM6Uvd3
azQu3vQt819T04hUh653/TcjCIlfquXPb2kKw2xjfCoSYhWfON3b6+Fes72wK5biv4QG1i7MV30/
uuNZiZep3YqMWYVgmlzbGHDBbDx690P3pGq/HOuxre+eMViaU1tvS+OqXPKAD45r0EkRYsKIkE0E
AzOiqLKdokBzQtVn6o9Dd1L2qYMPF+mPtJxgBjsetIMJR9qA5+bGq+teRs3Yofrc6OxSZE+Qlcw3
j1kFSUCQ3Tcy8Bv1Nlu0XSjqVMvH2fuhFuzfSjGGLW0SZB9q6wXF6iarZ+CfX854O37otJPhHmS+
UwUFn3w2+HJnffKdP0UbM/B/2W1l+j65MaGjnEa4kI4aTxFUAX0lZ5hny/mtkgaZ6As8SYbODX0Z
ES55+afPF719cRCqVmcj5+HEQZjoD6JB77Xv7q0n3qnp2X2c8yj/LCHChHaSDtgqexEKnoliiKa9
xeK1mJxgXB6GNobnZyx7N5B8LSSGuCDsLH08AH18cQlXrqtnOb5p7bPXPU3Lbuwe6ZAMAIEBz49O
yR9obl3/abLB2P6pz/RDDaZRLExAOBBl+Uab7nXOHhrthFeQ/vSn0j1J8ZET674uQ+AKulpp20rJ
JabybjVg5PHlWWCsEvFkylyn538j4tNG7ZPmklNymdWsudzeVfXj049Bu/kuM3ZUIFomXe4EUidL
2OYUMSbNXmVvY01/lt5BW39n05c/8C9EbqBZH5X5r+3GXWotoaUfqHpAzMVzvHrqUWnUBBPYKmqU
GqRrD10VpegKVjqARIv9wqbdqpj+2Sj6Fr0ge0mdMXUdAR3iDR6/N7pCgpWTGlF1cYx9IH7Ne8BJ
GKxFdS7rBaYc+yOoDy0u2RKZY3/sCfXi9+F2LD3FvS2ru1nEwChD+4vtNpIxnv/WDopE//M6tEjm
HBGN/ekneIeAZCu630dZ7VBUHN1h2Q8Uy+h3QRNFYOjjB4LZC1NHIb1+G7F57Ug5Ig6cFczfWf1A
U/q9AmQM28retwsvu7tMB69OPtRcf9i2tvfXMfKEfq5rqlKbNQAU24ilvAFrRtY4H4H6Px0GROGP
x8nKHyk5DKdp2WYNzeKmWxP5JEjV0w+Dp51lkZxSS9tW8P4bSI3fThNbJeenZNGh8GGqJjNYnf7Q
89Zkvsclbn0ieWGWoKKG27jbZIUWkOPznFpWaHT6pbLa/+bCE5FZkyXgl/7R4MJF7B3oytq0mhWt
JJoH5EDj7vtb5OPQPwt7ZERGnGz6922u/IAXuk1ZsTVm7ALuclzXZI8M7lb6EESWv6s6A4qSzhuj
v1QSXq+Cnlfdfo7jm5mNpLGQxabW/kGt8kTLQlhA58U6JUpgzHQcnzwO6E2yxjekhJeZiJ8qcd7N
ZtiMXJpDYWL0Q5BjJifcSdSb5K8GgVmzub72ax/5/BkdWaRaksCfc5px5aalcnFdVpQ5FOwkPsqK
dac5xrmv5d7qeU/RUk6pCDrPjeAsP1vN2xf1dOmMOaid6bWnwg46k77l5R6mqRt70c1PgJLv06iO
dhGHFKHRAEmrL8kprD33vXaqme160Hn6fLylRsJrX3X1o2KHVBVtn3GfpLoTOXDNlNaBFelb5OyP
msMVLHh7h2U9pSXTe4EFbhDGzdLHSPyvgIkwP7sPkZUFadrt236gcGrYKX2mcAihLdQefbQH16xD
gfvPKu7vD5+dixk9869PY91kuMfeWEMynB5EzcQ2mtPzCIg0uM020cDkdJCf2ZnDEiweaOpXX/yn
jCyjwBnpOmeG++1qvm8PMZHDFYW2tjVRm1mMkNQuU8BtU95LfCyyGlQf05AfiqkM/a486HqFuTPf
tXP1CZ1cUlqeJvxrtG3XwcjcxYZmRdI+ZTuhO81kBMZb+GI7Uvjx0zwh6b6m7izmNhDspabIToU3
0SSU7OJxpqbc15ATtVE5N6c64Sz31lcbyes4MBC3pPZTSgcLNt4riX3QQF3vTiiLDsVCgC5OvthP
WUjooq/XA5ohxVpHZ66wnqm9Qz41X+l4Kjc5HgTZJe8tDy8VCWTiqMfKcgnws2Wz1Yz82RreipEt
r8csbwiMgfw6OTLa5tkZis98EYgAqZR3qv0sE6oimKxUw1iHHxTlY4XaTIYz3FJslOcOUqwZOJKZ
fng8cu6PVjXXBblkn/JSGFXgoX9AuYqbGwn4yikfZ7SU8SY0LQMGC47TpccqHjZ53IRVDamNvYFK
ObSQpNbXXESEnqG3BqJvorTz9iYAK0GOUT7OUTG4G7OwdjREhKZTPTBmHjH5smkxFA9akJCo5ZmY
2juBXwijpYsHMqvAw2yKQKEJUBnkdeCUmLKG9ujn46a+72wptcXS6Pc2U2+n5B/1EdTLWeuHMcG6
jctlZDNcgWUbF7mzR34vEmNvIL+74sQU+IcqVYDsmZj8SJO/mL6HwLYFXalPPQthX5eBoU1bToaD
hZ5u6bvQRJTnT+Vbo/KjmnM9QCh7XdOYMjZbPtUO+kTkE2yGuNdyu/rocaSxr0G3WIhhc0O/tCOQ
uccHpZOFPzLA0jKS3Xuw0x3WrGjKIYBXvkWAUTxKYRzPAaFkWyt2N0p4yAgoUSwFNjL6eSc04S7A
fNFYYCbYUfk+F8RN2ZRPGyRefDn33vU1jhqCu8p1koHQHHCNXIbUf+yaTufaxT2UeiFarSCZ7/t6
G1hVddY9TMYGJ0vdV8iUTDq4xY+FtSRYCjtIbZh/3UMyzVWqU+lXClz8ff9bM4g3fF5tnfhCm9Ms
uihe9cgC3msM62JAALR4NjbJSJ5o0pmnyl5frNzaI+ve0bnyTNLnI+TwpeGXM85ip7Ro9msw0Xza
p3RJJ4PY4ZgK8ZJF8HOP+sCoCh3p4Q4knuPRldpnMyEO9SAADX1l4cCGIVIIZD+kLTewmeFSpT35
FuvbVB0GJnbKKymOdGYiXamb7zuczqa78+d/d2vN2PBPw/3QI86l6XuU4SAwO/B/DXIXsoFR2E5W
RO/290J8F0r7L549Dliswzay48EdPko0jlaZXycAumFO4YYrTF7JKevaHV5+iJ4hEHNxte36YCgs
cfW4M0X+hPUbPBSSFv7+oAvzYNj+XysyunkLzDdp9VyTOnpn2i3dB5PhpZj94aBgzWVs32pjCHHP
8yl7SbsoOkOLA8lxPxYNIH7o3Qdmj88JEWEQa+1jqeYZcogfWJnQS/570cTnVWFRmwb0lGny4lfz
ZSgV7kFU/05D9K1a7u6jsd4BMUNrZFgF6ZjNcigGLgcbcyKK6zuhohEjgMtxnmoqX5dPM6fG2htR
85C9wLStY1LISsUIPehHmj6gAuKGNAYHIXcHzxqlw0wZGJK1mCXV9Nf9XbS5uP2FTukdsUYnVy1q
D9H2483W1sny8wzKiPMkahLxrifjVsWd/TBNNfChR7pF7bPTeKELtRwLKn9GsjLd1guT++ooF3Z5
fKk664To+oe2jNnAjbPVZH+15f363nrpyP5sqLOz7Z65sDpOXRFRCUoiWHp0knJ/l8Ew84aLhxTt
DgKBKQmAGMPswEzmdWM5CQ2jAPC1xo3tAeQCUCb3y1AzTXzxqMy6BdURrdhtkTLK0aeXCyI0ZJtE
aBu2s0lFd0NjJOz9diyhX3u85NXc1Qc7tQOTMIV2dhi6beAV0hJWC0x8GHduWaGuVGjN88qWkSIb
5klbsObnWOke6kaQM0pYM2uS/ujzgjal7Cis9e400Wg+Gl7deFtKSoedzFIsndTyfue990/vdP9B
d1o4CINwsrfVgsYynXPf5273WiP/eCdFp9xNWLfCyVFoogUyIYu8033sUkOzaeuCbnurvNYC/RcC
InJod3GaVGdbERKIhUFj23E+1Gi3J0pjvteiVzv8hRl+8UrQkdQVlBKm8ZXwazyeyZryTFupiRIP
IM8kqEL33pqmMz+MJfFupr3IIlBzZ+5sMO1A86hLNSoQh2KM8+NoOsfGJwzD7vBSr+Zk/K/aco/B
RV5askB2/QpFaeK/3MPHDlFbuEiXetR6s8BWPOCHRENUYYN3iv4izV/S+NHX5tTDWJ5rftEXilxr
RAyfNANcX57Exz5jqZeFmvGj+ibUE0bqJyRp6YHGX2RLZpy1oLFt/lJLYDqBJzwNMx/omO4CYl1M
LDqPOQEcHuklyXSbmsz9FtIhpGRRIJ4eFbPFSNGx4dgxJUS9hgB7Wp7h/rdJQk+mu7iEO/S0FA2U
lABIjZP89ox13ZJNLkO9JLgDR9KXmrUpQR3Vg+uMxAxgnwzz0kH0zjTVc3Iu6aO7DvVfsQ6st1ld
sYDapvBRX7tEjGAXNpeXArVENCn9Wc7TT6N3+bFyjIt0ynhneyMcOZkj70TccNUOHh5jh2yVm581
7s4xBn+7dpPxAf/svyBLnt9IfiHSnhoL3odlPHV9N24TOo1Oui/U69CbsMC+XA+skHh5EGY98pjY
t4r8gajWzfZHRyS5a9d53FewpmQliozXJI9hdrrEYjqfLO3HFVV5MAqMuCpjpcBK8L8nviKJghOt
yFs8y63O39dM34VOCoo/E11sLdZz5rXmzpmQkDC2NIV2RK6ig0v3YNVOIjmfDPBgoMDyDe/sXfC5
Vs7Wz2R2RhhjhjT3qGODGZVRrBrmw2hKdB9CqddxHnFj+B7wn+7Xr7QRMpmOGsdzgZ1F35S53e3s
HM876sXeRhPiDLv6zvA0k+/+87OujO6mL1IAxhYzYkEgquiZyMrGmcEwEobpLPUCg7JUsFpOnooo
q2f+Ck4mE/K71qV6MJWecHbOdxpaJDjrwBR2/Zj9kkidoWmeQISqwseg0EJ9pa3kv9aGAsiy5tMY
Vu8RCkvbaSkXbtuejIclRWnrgYTmuVquGvVmGdj5UWXTNTMol7MzQrhzl6HC9Zt9UxffVry+yGLG
u3IZM3HzUpLhcGMSxOHPC1o/tDX7pKs5xc3mOWeEoqwo5RSlRX26OrFTPRaz5XEXUZnAMmrHB6pO
72kShvOqzQpAkwLSrRPzmy5iHz9IL5bb4Ep6u+rRQ6gLuhDOJk3DPturYvT9KBajxmNpjofplfCA
dNzy0btD1q8tbz7QK8OgqkNJ+Re1smXyY/nJf4wm68WYq/qjBBOyl9ekbMC6401KnEZMnAHu8iTA
bcrZJuP4r9Pb8klXXvw7LMJI4MPj7ODG3jXm+nueJrs72RrCQqnRIUbqm89Rcj8vytWIZicL+ni3
WEyztof5tOz68eDYBqR+QrV4yMCTO4GeTr5BCLMSKuq7khgDfK7N3sJEFBCQC7q6JAvkSN7qHeZb
UNZ8NlE7glnRuJekW77W5KBRMk5VFHeylRs8gKtmOKeJNAd0TywJ57L7kN3HFtNIOMUVXl8b/bDJ
aLZ6MdzsSBqzJmj3KgaNeVm064e2wnTbk2bxTDj/LTNPy2Bm0UiCEmpY9hUSnNGQpBpK9g50q7H6
/6Z7IIkUdR+0nR3veq2zwX3ydquWntiQ1ouZNiZDMnUjvBoyA8uKLJnqME4wn+PpI3JcJ8cqjQU2
XCQ/vPl6sUUXyzukJA4iaO5NZ2bcQzTiooam8JnkeQSa96ylRHO/VuwOYakrOsALajgY4HwAqhgf
iBrKKmiyhXSiuzAw9olXQW3XBn3aJegWxGOCXSQJ0ga5hOqGeAOuldcUU8VxF45rc2mm4Vcnr3d8
EgxkKBDi/NZNVnnoOxuOCIeSDYhOc1rWz8TIa378mmjm9Ce5yokBs8x/tBn+AGP5UTNJ1ium/SLw
Y5g/PxmPo/sPFS/6AtmaDZkHpobIloBibnT5XrWO+Yi7QX0QAoTz9i6Znzzzv2GocyvKyslg8BtI
I0tIOjtAGgwHb0VxYxPdemvv+sfcBKRy2W0idyjktky4hXFlYVK2e//WliZaxt44lcXcX/EINKgs
sxbQRmg4bJryw1vL70Tzmi82V4U6KSka3n8mk7GjRDaAHMDD7+VpcSGooIOVbTy89H1xbVbxF6vs
Pts68zcy359mQQY1t+7VF9p8idMYNy99pG3g6u04RKTc2QnZDKLnAcFjBUwFsD/P4s6Y+5q+t+rc
+IrnmDZEkRArvfjyhoHSOUtFeMNm8qcUDhRj85tEDhvh9wc7oMFYu5gpEkhvojZ7cFwoYrwSQa6T
V3Cuhcj9xyzx4attyg+XRADya/AkglyWZPY/2wHlJkEVYus42TUB2W6VESTmRzywSgC0xHUKPUAV
6S+lmE+dMz21tgIgbMabNWnnqivatzh2cmQPLaCAGq0XC/E1LEg//kiz1+GN7ddpoLi6cuUb3QPp
xU4T9eqwg7DHz4C1FgZ1SqYfl6Z+wlj1Unq4p2wMk9zjHKebtW3fh3wWDzJn+rOFRpJRRqhOYdfT
Z2shUP3GjPOy4g+UV70p39rkbhJbXCitatIMqkQYjO4pSTJo1Qo54HFleKATGzkOf2Ulf3U7rwCk
kAgJBxq6JYOKFyZP1Bg0lkYOg85jGu+MjPpbSmBt1Px0PG2mAe/0yEwatK1W7USm/jNHSbJ5X3iX
ZUjuRQs+AgY7J7itSwEPFzakgKAuUtN6y9wrq0a7n41+bYRzLi0DntU2CNTP+z/qwWVUFkw35Yr2
ulzd7ww0blvV2WfTVNhJFpafptTWTU5GS6AWtwVAWOE7PCIvompJ5XcjdflFRNpdz12ATEZ2B2vm
Ji4afGE3HNzmAgNpKbd5MszcYLPX03YlXy1/AdJg6+QaQ5LQ02ab1enY7rXJd5at6gqb5k9vNg6U
I068/bGB3rBbYgJ1ErTib+wf4tA1DeESg4F6UEyFt3VIGAec0HUSHinDvRnJpL5LXu0i0jztfVrE
P1nA9pIbV23J2iYtyh2d39EqVR1U5nSdxn5846cggBY9GqksvScJkL/Kiti/QOG+6BgkwzLWXOxI
5rBtS6h8xu4Uh4P+ZqUUlewRj9h0f3q/o8ctwbLjRqNke9625DEdLGfF/lt6i7z2C/hb6/o9f8hh
e7Lgxil3yS9p0T+uHeY+hjmTyaxo7UdJfiCU66LDlTI8bYpK4f7HjQEFxXdCS6MMs35wwVDa10VM
3qNGOcl2TEd5ioUyIyabFqyTYHnPIUJ/49qpT6Gs3/0W91w2pCdMjKOr3RSRUj9kY83nwbbHk2X2
3SGZvTgE+gGm9Ad3L+zVDjWpD+wiujrzitVBafOsEYs17QXCpMvoi/aQeZl3KDtKVz07x7o6DTWw
mWFDdMzVtZs4WuQIwAZUad1BYwxHHZEkwHkaMs/7wRGPyfhBoo0IClc5D3Vltp+F3vfHtvOLx37O
44tpjfm77tJda06aCqYiW7bjUsA7EWl1dOEzmA6VneI/6Zaj7ejflDUj3LG8jV6TrS5zXzuMmM33
dmKqyAEdC3LXavZAJAgWTJ3j3OOjxallHqcqE19Kb41gcbIpNAk6CHUtfy3+X9qFRBATA9Y9+jBU
NGcaGJtvxFtjNH5XNXyIBcu9nuvLfx7Qzcma8W7DxNdH8u+L51VHU6eX83xG0C2GAGcKvHMvX1Yn
IwBGgFHaGjIyTeT/GrtjTGLy2vT+YP+5g8M7ySwd0Gi+PGHhMoMZomqDz8zYQOaDscpj5i/3DCGt
CeYiuyvWx5LDf53SqEf/T9YP89kQ4xzqk8bYerNPP6gOtar6pSEdAQzLQdcinSHi7SftI27cU+ca
5t9kYm/uZ8VyNGTaus0Ywn8KAplui6+jWEtbdgCye85qNm4UM/8SVtZvunSAoWLQ9ZkcCkHU2ljF
29lNbGiIVntu3MIJCzHjlomtijoy5Awvhd/FH0I16RsTh//R1/YKbDuuvHN4mrfOYrgpv5jRfeuk
ne9qDDYY/3AWAwy19XvaDj3MXVEEPdGlWzUa4k/oNweZ44q39KktCZDcygS2sPETMjdJozrWDVCu
5nYTHkwmcBLWyg97aomNqPFSgDcu2TuFPgtLCd5I2p4VHfUrsI5DlOtJaBXgSorciRmc3RsA5Vhp
1SeBe0VIfe5L2Wvvhk/9Chrr8Ux4VfeKJLp/gJm2cCMmQFlGEZ98zH14CNvkGyyHinody4rXxB09
Lk1ykVL3XtqyR+ZWTmAta+ecedIa8i2s37LtHMwESu5Taa/myTGTeviZXU1kUZ17/Vm5iQHibman
DhHXkUiQaSdHMaFryom3GbCUuiUNtV2+gDnpizky/OJoigOfndvaV6Ts4vaWBYoOkJax3HaS8zZy
7Nl7SPp8Apw2rFNrY4BcZLzsV7TxzzasKRL8vtwyk1LpggHhbBQrxGYu6tD0NYM2BJ/00zJLo3Jt
tHB13ckFY9KRv3dLY21cTxDTVOgOktvFex8y0PjCtJIirKz1zVotSCRCpCwg0zhB+7kgSWriptgP
hvFVpFxUS7PAPvTtskJ+5k33sRaZQlhv1sgH5JxSHNooMpxcw7p5RjcCvJv2Q0qV8GOsE8Y0j8hk
ZgUfR7rXGsm073b5lNz/Bv/VHcrhn2mAufU9BgET3VkIaSCDQdl+JNei/KFqtzsXTR6TIxeXkwh6
Cy6wc4VxXe3Gw9rdOdtmyL2oZI87yiYdYP8gpXpRMSmkhvNAn47/2OqOYrYfyMTXwOwmBHtLRg7q
vJbrK5G89X6tJ+NmWJoIfC8fbji1q21jrmQY9QYVkmylQSPs+F85Mn2AVTI7rJa+wwmLgKPntM/y
jPitCs1cTJjhrvRqgyR00HUc5Gi2qNqj0sdhgOunrynvm2teSeebFAFC3BzgfEnO48pHhu1b51bb
pT3vqmB8CHHxj6GYDXlZmwXxglXwOBFpSJP1SL5MQaj9tlqMDCt7EoeDK5JXK4eR4/7QrDe90yQ2
9kE709bKmM8tsQO2q3dzr8ttNlfGjbfgzkCBbMoUVJQUNNoKRumTHqT+U23sbTRMaDsg3TIy9Cx9
n91FP0pddS//R9qZ7ciNY+v6VQ729REgiRRFXeybmHPOSNuZtm8EO21rnmc9/flUB9g7MzqQgarq
ajQKXd1BS6TIxbX+/1tZxwpBdZEhsVR02DYM6qSpNA0UnGEJAxUWsoZxAmiWoliS19+tMKp+DROw
IPLxHZ3daXFXBVl5n/fjq6lUcE9UkbGuUDV7NS3qBzXnB0+Vw+Nc5uoGXzDgPMqQG9U6cGZEkGMk
xCvXa3b4sqbmUfQV7Z8D6nNeRPIramkEnRYNPp0KEDCyvnlAkwxIGUgxjZBzfD5wHXZBw8dmkbZf
auqEmEmwLGD2sGkiqdFit5m/JkEnvzQhgdsQYtHI+1YBfNTeLnVkdjDJYK3iaHqB6UZOnBsyYA5l
ksCgg8rGlXb5ZRwTDinCFgpCYGCw0497CTzxT4iUbJUWg38wM2ykToYOrwfyQSGA+40VAdWXKhlI
gHvRjuqY2HfsbQsbqXhY9q2Vi/1ylXPybnOaKeBCLsBVdfX3yUSdGzn+va8wtftTHm9qYFOoV8I/
EaHrSlnj16lHYFzXvjiEQ/qFqKlda9P4lAoCuFU2yOqlUymyH2uwbruk/i3pwwExAbP9nWvjltWT
kd3bAj9oS1/RBxeO/deqTMlUS4FQrrQod4XR72zWFIlpJPdc4onc2DTJuAInZVwFvmywLYdUgkwJ
Rc91s2vgfQhJwjmwlyOOs8oZtfmTqyxpJWGgVhlbYW8N1sc6VARwlbTUXhdciAdh9c9BnPv3uunq
2yLK+y0XJJR9QxZ9oriBj7xGIRzBLQ5XM/6o1VxHP70sKm76ok5vkGbwR4ejNICtQSpddK11myYl
+RbdgpESASxDogOZfoJCJg7dnFtHqkFovJscRVqPWQHVzjIPgRUTiMyt05B3rcR3ZzDze9Yc4IUw
/A1JA/FaJIoH1xfII6KCZnZR1IpNI8ihkvmAttdmnJalYa+0zInUYUr7OhPbETf2vq/oMBVUNbVW
tyDBbufVmtmlmVjXCPiMtn0zm6hsRIj+GA0ncrC2wHaBRGk1QtLa23P7lJJTIUWSfRo7+Zh2Qbk1
i2DYA/s0f7iLqLxYLIZ8PYSQ0qkR6TrmneqNn1Y61LuokWO16mVZb+PY6q+9xB3g5Mc/cFv7a85e
1Ly2xtAbVObO86rpJpwlaYYecBG8uX5XdbbJ7Qs6rtuFP0DcZLsAiQXAs2S8LfKCi0brIWoyuAps
QlkS15uoKTxlZ/tobtxtMKV1u0OaRoF69sa1UAaXSBsNl65Hyplje+Nhlp1u9ZRD9fKlFy5bf/IY
kvf/GTjzFzJXGMGawVY3ZVHYtNFLWxjnlFAR+FN5aw5229a/raYNj5HS+tEPURPXtFt6oGfawqfy
a/bJNIlJl8dTUSBdR7eLAwlnTbiIy1v0Hr+oHDv3fj6GD5bGG5iTWAZpAo/LLtPfZkiVlSw25j5q
25TJA/yW2SyfK1q/HUL4JXs8slj8VWBCH6Hd7VCCRFXBEt8RpO8NG0dQY5HDRT+rNlIEPwbu7AfZ
l8MxhJW0iWu8EUZXReuBXXmdjJ666XN6Rrlj/hLQeHYXeDh+k6kYcAuFettak/hcF7Q8bwfiKsto
0509DYsck2nNZPEtDjTCYG2wnns+KWE1v7jdUlidbXw18YzTFF7JJ7tvPb5tczEmoMXn+wBaNDQ9
Pg7CHkeSRU59oKdZK1rAHk7jXTkk11GOZi5gp4ACyWeBQb7fNnM0fcXb0ay9BsdzlHv9ylcLuNya
uM7UGl2FKAlyhjQhbGyH+NoT47SWefcpr0hAdalprNzBoBoMNOpgu72+HSS+gJUsKupxVdGwaOLA
Hily16aabrLIBh3bj/Fnv8x+sQEDNM/VUhoq4qdu8sdPTtYV7EoxRk7tohJXof11gr52K8cpIcZH
7+MRuPfky6MveRUD65/Rc/juGO5Ck6y+VL6JzmMWxR49AkG+9n4Hbvaj5bbJS7Gi/Uz7hJtyrGhp
OLjEeWU9sT5A4HH0RQgESDyaXwKoFMjXkPmasLNx28zBRowUoVYxxYZNUM0RyWVDtGRVq8xam4JX
1s6u/QmLp/Ukshjxh+B34ug7uQOPW3XWb9LBJyIYcQCRKfIPM7YCdL+o6MaSDJ7hU/iIe8q6ps+G
nUbGIevq8HtqKMoHZMsOtjHW117qFhs0F2ipc8CO12lmtRyrRjsyNYS0tCxIbmnqiUqlb5wdLync
TY73m3a4iMGrwLtJRc2dm28GiHg5cwWPDDK5XkqLgNoHDx74WFZJaffTTdpXIPWjIthb3MF209ST
vhyDBQgCb4KSclyB5w6arRRNsY917HwahEo/TVEAWcEt4wVYIVZOg+UyGCj5dEQoru02u7C2v/X0
zXuYYMtC0rbwHvuSc0vI3SCvfPs3pNB+Y/adAr2nAutTMIbNs6UTVJmYekiiNy0ppIanagxkEGbb
1de1NOLPUhMj261QZEy6blvnSMyKKG2/jWAln4o2AN/J+f1DR1hXk55bIsBwgKQDCoFENjZs3Qm8
tUbql/dK7CkKEBjXkCRB/IwUAePxCD3aujaU0/7wK8dZ+GJj/dhbgEEMnTRrKy1/kWUQv/vOYjun
DLdVdsz1WcNwmI0ECQf+AdwwUq38inuy1YXZD5UmYtsNY/s177hUQCMhxh70qyU4MbrQFztCCFQu
2qnJ1TdjdwwrN7opOrKmFnK1UfSLrUUMIbuOlXzTFPW5u6NXaKfKeKxCnT2kWlVHm4QWGVUywsKS
uHzUjBJznBQC+SSiCQPwfKwgg5vvtIh6EHZtR1eLwd2Epj3few6hBI5B8j3UVZA1bUegM9sqLqNN
R6OJNB5/ozDPD9po3R224mkPhbA+9BXtBEwUWj9SexhmxNeyORTsGBs5N+ynckxuJ9zJyGEtGvPG
oOn9ih5caUouU6DwuLMnwvFowIUDn4rdr7B+E/oQpDnpcgzX9XVjEFDMtJrbwoykm2ZDs8YnX6O/
hbMWPloYzsHyw2y76kSs9507ZBjZVbX3q7mFxOFOP2oaQ+ywy7NfAAVk+8fOSrWgfaapBCAtmSmq
AYu/hPDgYFFv+jy2yMfNwZzvxqqlWSjdUfeAX2ECmxy/g2Ub97aW/Y6rl30Y6jb8mZeWcSX8OFnP
xfizd2jC1xZZ9CcHuofmcWx2VjyUu4FmtDuHZBc0q0DsrBnBLpVi7oz0AthJenKgTEWXFhZWI/fp
RLoxjuz9CJl7NQl82n3gUP2J/XY7i8ZFY0rTjKLt1de6HEjVLZvthK/vqheGjxWZHPgqGuvviSH1
dznVlBQLVRZXAIDrjbId5gOIQBB8yzrUhyjn8i1lCP/gxvhufHqnbHO6KwOKcI1DEgbxNgo6g801
yLdiQppc2fpPS+JknSwgMBI9sHvCBKCJBUynnStyhoA3+FtSC5Q8G+MpMAt5s/QCfhqhV4FcAEqC
+QStQudYV35CIW9Qtj6KtqffjlbfiCzsW1oBGDcKriBBCoSptYCsvMEs/Jsy3SKhUq67jkwX8lJT
0LgjSToAkIkXX6UOCu4UgpryIDGTAQC1nn51cwMOY+GXtP7CfRN6s3VjJGX54nQwZxSms23HcnoQ
hEDXMTSAda1QpaRxHNy5lKVuB5Y+h1Q7oH3AEZAn8ybrC7iBofOT+pB4xH7+iuCP1BzNjvf9oNpN
FQi197j+XdOAwrrR9tTsOH/LfTqz+cV17uH5zAZgUTLaRUnjfaMkN664R5qrKkP66yl6VuRT3Kyj
mpQJC3ANu4x8SYaesgQdsqIEE/8k+QoQCSPAHSEi61GYOM/ofb0eiwLdpdGT2Ne5XCI59zOIANwR
QIMAz4E/xNgSLsb0KdyHaqCzY5wX61gZrxzykQQuxsY0xLPcxb4b3KJ0RQs4kyY16Ca7qa1C7mwz
eyHXFWwrcorrqbcNAk4juiGJF24nwyVgykrzzxx6X2psL19UavBJ+bnjHd1uNO/wF9c7L42IqbC7
YagX9OgFXAzRAk0frcj0pp4R1oTZ6BwCG3lJAFKhBvLhUoi9pwqpX6wAdjS3kv7GNlkdczGXmzCe
YXqFOAZzM3gCSXKY6aGHa6uiXkfHUGKwKSX5hYfRNvJ0n2S4qwkNyOE1hrltUojAoWsO68LMzSty
veAp0qi8MV32obW39NsRw+Q+GCaqoJaMEBgwTDxJ4e6zspwfmln5T1bamLewt+d1ZJEe8FRUHDwq
GQekthAOLMKZXWYDCxij/LnJqZez4YZXAoaii8h/ImguoVquRt26m4HuNFuRV9GLzCd6gJAnRLNJ
Kv9aG454QeLk7Jolquj7vty3NvlnMmHyZsZKfoiBce2yER1tFPWANwbEw2ALiuckcvMnw8Fzy5V5
QrNF/jtJy8/eNNo7dglAcBRgDm1iusc0NIodcg73GVEnRI9UU5BCoUDFs7CwrlKnGdMOsnzRdTsz
AemxGimXbvRSHFKzJ2ZArgny5dyqkHo0Hmln3XI2ICZdmhqaxheZZFAr0rD+YmQjeCxKhfewonnF
bZkdwbhD55AgJJu5bDa+M5SwwE0y8Emd3vppOX8uCMBuaUr9OECt2MR595tNhSuyF3TEg+DhfXqa
QBYhynWQ+6wUgSK9Mkg0A2AjJ0HPjDbtr0owgbd+RtamrshJ8jIRHY/CQkncmnvo2l9DzbGwyrsQ
2DEaMD/tS3PjOskfoJ8FyxVEAUbRCoUSAl74HNZxDIYfGEu+N3AuroY5nJ5b0uUbyrL9bgqg10V5
6xERhOqOwlqxb/yeqwlOaaAKdMoJ6H/0lygLhzRQNo+cxRq6jLdKEmqLWamKtWhUBWeYI6imt/sr
vbWz20pHlBB74lnTnMM77nQVtxN0b0+lTrK97j258SfSQ4smB7NvT5utNEsfkPsN64G9jYgZ6U9f
6BE+J7nMJo+QhBe+ezvaJYbZ5Haujo0J/ASUv/nNKTvnZ2QvIC0Xb5CCvrKOYZ7eWf7grlWXTLt8
9tVOm179Eg8N+QSX6zEtm02yM+F4i+LcemUHwHQapy7tZxLacHA3uAPhyGFqBw1WHUrRae5lt+hH
MyKrguijKo3XelEOFxUYnRyR357u3e4Nxb5ka4+iefXDLvxlFLAo48SPdlYV9TRoXJCXSY8iGvEb
WGtBOqsvu+cIjdeLSdCGDhezqduTsVp5Pr2I4rILv1AX9gnL0+RpoLPI0QNJj9J+akFXDbQYcypK
BhLpDf8RPw+ukAcHhcRV1ZGvXCcka1DCpyly2Ahe/m2V5BUpkyq7Yreav9iiNK5tSvj7tOrYYghW
rI7ICXEMt8PYxXfnmz8A1rw0ZnDsQLmD9Ce/lHpfyuFL4ZLXs0jiPFSjq28C9OboNBDUUYANWS5F
8RpbY7pNgqSgZ7K7GMjpAPjkzYV5ZWcdfRTI1e6FnUSf7cURZrpWeEu+LPmdCerRJkKye7NAa1pb
3bj12jG94a5RPM5jJncGXdB2UFroTaCS58gQVbFuDnFBWxd4cR5pWk12ncYoGyeAoHzI9Fagd5RX
YXaHfRUuSedTEClbG4tHTB5Cg/1ZCCntc9QvlA0N47QeMtQlSD2pAiDnG0U0r223LrbsJtG2pVME
Q9DoYuDeuplov8l6EDVS+8KfX/0ilayARduRR9V10AQxSlcDQrvJfwchWR6deRbUZ8di48nW22vB
dKkaIIHpA/gC9vNMetn8QU8j56Di4smsmmpHuvf/a+jwatN3fGWNHi2OkvGbHnR5h80pfOV0G+9Q
hSDcgQqKedTBUdXRKADQU5c9khOeXvqC/YBCbHEYUvdLVY31qnb5kd7yX8Vs2RX9brjewZ1GRyCn
l4lr+Epkc7SH2acXeBseOmEvNZ6WJcPHdhN3vAvY8HRewYzScSmREA2XViukosqbAE39KlLEWV4b
bjvwxDn+2cFeusO0EH89LxzWrfvYJ2H1pZCAeZZuRsGNNybyGlVfuVHTRAXUFNNdFWeaA7zV91ZO
rozmfuk+6DxWTe96SIOow1MWpPHG5NW3FZnnR4oaEXDY/CfanmALODp4VGFlHcYelFxMIRF9kZ1d
6yDAg5vZxb4XgOb8rg4exkq9gqfPr62ix+ArBg1l359XE1e3ezpMsT+jKWfP4MZujYX/pBRaycAt
yazkkB0TKprkQmqqR9x7HkcXj0FkkX8QAziiNi71fd03nKOeXOI0vB/xaCZkDpm6ycTElCS0U2DF
G1v6R0aHSCOx4vpmL7zn/NDxTQK7ZcMaWo8OphFuFPgZzZMzaZpPcWreGQHtlxA1GthxQGZycY04
UnX5M1gi6Lyq+t/a7rvXTHXBLqXjF5w5iCyh4fd7Epj5J7OfAlrDyJYCF+TZOEaq4wpzImUNhdBH
bHLTuviuaS9KbwkbwICceEi7bm8aF7+A48npuXErmwSjL6+R5eAPV9Y3DVMijkk5wT5sHUhudB0H
qentHaQT98C8IoxZaDpobzds6OPVocIoSael6IkNHNWWj8lMpyXNFXJ/hAAFyaf1UpOeiZa8LlHl
75Tovasqm8u9YSGm6WajPvD1EVU3JNvb2I02gZ3pmxRl7Ibwji2p7b6WyAsPDQKap0rPDWuLRoqQ
FOId+ejhCuAn36zbELdPpv7iW+aTmzrDJi4meTu7zle7d8DJpxyvbU6RAuWlfuow1d0mLYde0bI+
KgeFdmp04YHqSgy4gW4Zk0ez7LpCjkVxlY+ErCnBlyEA2FJ3uvtL3DwkAgcOwG3uNriym6mZ2PSb
4sbycAuIDs8oX2hHhTrPD9C1TNTfXUxZ1Kl+ELgS7qBKhQmTpB37oDTbK2hbLFwYQQbSJe6w2U8p
axNyYFgdnNiI7lhX4ooebTMwqdnFTBg2tOcr8l/EQrhk3bb8RlMk3MO90bkrixsq0kUbu0mNFIS8
Hrd0V1hsmEiOxqTGk5RgnjHQoD8JPi72QUtu1IxzpZc1VqvIb17qum6OZkNvx6DSyT6YRlqZh9LZ
oNT9gQiAsiDQzduCw2er2gDqeknBWeLSXqPvcQ9pDExAdB47/mR/70a3um2o4mM0ogTUWEiYU6Td
q57ORZvBGn6MfWLucdzrnc5k95uuRera8mKqR575Cq4v29VwV5+8wfsRuhpxW00GgQLaL4S+1pbq
DRfVKKVhtgHtTZcDshDZ0UqrV+T+zGLvSEI1Cy84sBrH37kTrkBJB6+NDAy88x5duYrRLvjiS5Ed
OkMEj7bTZk+SeyPq8XYkcU+K+ppF9Vq11CnKrOACoUNOI783t4NtIi1tLHPluka+GTHy0qkkB1VI
HLceZ4yZKAOLbRdw/LU+FSca9IVY5KJxPxqhjRGIhAzZnKmlZRY8RM9x2+uYnhcbpoKreGhOW53m
f2w6KG7gPKU/24lEt+N2xo+KRl8kG0SLC1E+VUSY9xTY4FCZ/vidsO8bajNF0hVbDG1Qx03dkTga
emQKcVz84uH4pIsRq8fScKSIqUbpMmyux1TKVVNX9TFk2zmEJbxMdH9UKKir2jk2dtQ4dFahkGFj
iUuc+N6hTfTGyjDRyogblDt6HVZ9f/KvbLqbEGS5E/JiDjZzBj/T0fYD0RTKpsat52vP66Edhzp5
aX0y19qm6NAkHA2OOfAOyYSt28IwyL3VNaT8ukGiM3yj3SSp5SR1AYyYcPxxkoxjcaBMY6yTBAtk
b4lpi6aaU9PETGEO9Byac9yTHi2fNm3fir2dNDjU64nuCNQab/CfPMRJor+gCIrXVV65e2Qu4J0g
e6xJ94f4BzrOfwT3mGZMhMeu0dw6raooOqC1oUwguWh0Uxlsde/+CbyuD6iQjuNy3TdAWeGYwkXj
bIphkiR/fSTLMHF76qlq6q4VgvWAKDAOEiT8VVLTZ5aOGIR1bWO9oDx6qW7pHNlR9KeRTwMcHNmC
5/SUWh1ojMaS8Yu8Jvk2dGi0bGVAOwdliHYtcK6bMiCjgmDjlxrG7k+g4BdKQL9GWv7WJGb3yHBo
jD3pafnTZX8aK5ObXlDMD22+bkARMAUXhKnJBryONAjvLIT7Y36uYGiuipoKpU7lsKmUmexrZLlX
ksiKBomEbquG4xbfm5scato9QTcFchZpfCudZ0MHTlR9SxFrflY0RvjE/5bOBW1obLMuMrayCyes
fGiRUCSav4wOJSYJuepXokTETSGxuaNWvBqx8A9kj5NfCc05nwvnxlVI+Bo8LFfcSnt8BnFzhYYD
jhXGlWubkh3MEOECCImda9tKIjqCjjtRYUUuqY4CrO97w36mhI01UtokJZWrrqVPRMkJga/JEsG2
zKb6Dny4s63nrAIQQX8At46wtbHNZaOADOTwI35NIFkWC/+DBDUKtChay7oDXaMcpJyBY+y11Ud7
1DMUEbC6U+wR/bdGyu6zDaYLtiqZpWMl0JfR59hZz6UPclmw/OoIlgtdJp81hfCd6z94GBoI65aW
JOaMyrUyUNA43D9vSQ5CIMYdhvBzqZTmnfweEB58rXIKYnOfmrdDmDuPYUYy1kB3/2SWJSa10fNw
2KNqRQ9Zk493qOlS98Z6hfDbdSzrRg04JqGUf5u7RTFpQ6U1I9zk3B+7bdtG3yQn4SrtSVSQVpd7
1jvJODlIQDTI1SI44Ht4dggkTJBsC53VMAg7YtOj1GphOyJ88+4cWpAghxnrZ27A1r7HGo4ZWvv+
dWVZfCpxTyBsxePB5sxCDGuM9y6ZbfMwVsiQ6TSWuOWxGHHx+iio2ILIj9l2rVc6TfneSs20ZTTu
iTwHAr6TZy9Iyp/dVrHL9BkdjSMaCSsPfQDIXsROXHobWLIq2czZBFGMNsQrr8IYO4Vs4MYIpqzl
D7qOK8N5mtFEIcmL6hdaw9h7XabDpyR0FAcJy66xqaFSPJspI0OS0ZEtb2wbQTvHtYVQRXRUU8li
SelW0N7yYj+3QtMSs6XBpqY0EPiIpT7un362QbvQWuI3lS7/+q//U77+eIqIbP/7v6z/i9KNpskR
1GLgaGAK1cvf/XlH2MKzHUHhx7HNk37mnQwkF+2pOOKC/hzM5bqwpu8fD/EfLdP5o5vak1LbpI6R
Tb1/gtJMbUpDhQFo60cybWjtTTUomW7+3Sj2+1Fk5czJYrE6Dp7+xBdTfFIh+VYkbcYtUbXYfTzc
uWlhQsAJ29oTUor3wyUmd28RudWRM4DTdPIvNIC/9PvLP38z7Rj5M6syvepYfadoQqOdf/fHX5rP
v/n5ktQhNmn++HLauum+8Dcf/761PH8B+7LIr379939p23SY7jfvZ1kUbwbA7OviAvMrELiP+tmz
jkEPYAw5H47SNYwxqBUNatqX2Xj6eORLL+7ke2kRPLLDy+poOCBaN2V34cku/b5+/2BlmQ2hMh0m
Btkjvu/wX0689/73J1gjhjkzM/mMNfuJpMe/ej+O+f73XY/YpGj5/YDCryWx0u4/HmBZOv858y7N
s+BaWGQa3w/QUAUuO4WXXOtPFQpAaFzN68dDLHP4wRDWyTOQ/aYxVBHASpLjFjnEquuIbvSLgfYw
5zLx8WgXHsg62b80KiGk8XyK+FYQqQ/NVS0vLKpLQ9jv31khUk9My9eOtiHHtY3+bb4wxPl1+z/T
8tcH++aDhGcVWGj2qiMCxqJfUSj4+C1d+v3ln7/5fR+0eI7KqDoOxJgYyj99/POX3tDyz9/8vGVw
e0lmphzeUNRRIESx9i+f4GTLooVgqqJUV8eaaI/d6cIELP/3/1i0WjquR+ClHXny8yWHMJXHpj6O
GaR+guQ4XvdcI/zp+PGrOjsTbwY62QF1Y2TI6er66FFBo/c8iKWPBzg7F5qu4ajnJXH/ydmXudRN
rSYG873gh4nlVfWQuXf/bpCT9UTryFEp+nofVQQtd3ZwGbvU5fLrj4c5u5V4UmvU47ZQzsnH3WVz
T09EwW61Rz2I+PtRTBAuHz8e5ezce5oRLBAdpnUyJU7fGJrGQhy3wPX8G0FDyo36+vEY56Zd2LZw
pcfl1/FOxqChWdv6oq+PBvA9vStxIf67AU5OPkX5s54VA3jNuqu+R1V9YYBzb0maljRtYVs8wukT
wPTlDc7lMfvR0Npv3JO0LYvbj5/i3OKVlna0beF80aevyU9bH0xsWx5Vd2ukX8f6vrUuhKLLizj9
0qXtSKzRQltKnOxV2kt10GcJgoiRzg5edWuY+t6BNZ0EwTVOipkmWGN+4eWdm/63g55sLySJ+4qc
Wklq6nVlez8/fmtnp+bNI51MzUSda8j6tDyS31bBlR+RKNu03cM/GEUSNlDMoWrnnmwseaBjItOg
OpI4ih50+CqTr7N94SQ5+6IUNRqPxuBC6ZMv3jZJdJdoxY8qucZLry5M/tn19ebn7fcH1aybfsKL
yORTFI/tI4cVDKWP39PZBaaUWlYxd3Z5EmLNWVnEthzLY0C5b5zpUWQBQlxqyAk5tYMj/tEr+5/x
TmNGVKAqnRLGSwlLsvnThPzh4yf6K2T7j2/GY9ZdJZc98uSbcdsMJnXnF8faRfGxD1Hm6h2ANarI
+Cyzn2CMPh7x7Dy9GfDke4nCIlNZzYDwKum7EZrrrDh8PMTZj8ajVuk5nC/i9OLrODWNs3OGoGWl
NUJprX5Vjrtyrz4e5uxqeDPMyYrjs3dmN2MYOAn0Z9tD4gcwMol401O0Chj44/GWb/10qhzTMqXj
ME+ufbL6KngJmC3D8tjkj4n/K/O3iXtbAbDvL7y/c1/qm4HESZhPBQ17jGYg/ScqboW8//g5zq0A
xyQtYTkkQk1vea9vQkoTqZdFK0B+XtC4DTkxfUYuPMHJENIUVHg8tjLlSI415+RVNRk8hmys8uOE
kiJtD3V6CMLswrdzbhDbcnEiwAsypTp5jjRDnNxhhDySEsvK7/5w75cvH7+q5SfeTPlfz/F2iJPn
0ImFjkQxRBn9IOl7lVK299Ga46Cz0Sdjev8H49lkpKTgGLDNkyWNIUHnCN3yY48Fo4VXLcFe4w/b
1P1DGb4a8YVP6GSl/fV8gr6y0qP7j+KDfb8U6DVvCIWX7Dghmkb85AIY+/iJzo7gKSWEaSuaRZ2c
Ogb2DYU9vThSBQuM34N7IY699Psnbywu0cNQ8y7AwgrYO78RUf79B5AKA79ybE863rIK33wtXRvb
RYfT+uiKNTTci9HluVUsteMpJp28gXvysUeJaRl5M8dHuM5+f0W9Ce3fx49waYiTOagDnNUebLfj
MFQ0ExqOVlc9RFSZ/v4wjqkcUrakBsVpxpZWZKhniy45trSeTXcD+iF54fs49yRvhzj55EOqNiO6
keSYQnnBjvYXezhmI26EeWHeLw118mlUaHzBeU0JuyQtUobwXo1Xc//08Ss7OSn/+v4cyzS5Gi1z
f3o3rnrtzXUP5xlZKiRI6KrwpP2fHw9y7hN5O8hJDFuOHAWBZyfHSXm/ZqOZKFMMF+b+3Bgc+FyL
yagj5RDvvxKQfhbosjg92g7AqnXWX/j9M7PBicJxJWzTdCz7dAmTGvQ8PyqPRvPVGEGswFShJPS3
X9S7QU72Eph6Go5kXB49aHYAdY0Lq/fMS3r3+ycvKTQAtmmHh1DEKPQWT2p14QnOviZy0GQoON71
6U0yyrIeHbemaIJe6RscleTCWjo/gLscuAR3WE3ezzMFRnoO9XNx7Hp160zltW6L28rPP308E2fO
XVfY/zvM8ibfbLpYrxEKJmNxNIWJ9Hg/K6gSY0er43tpfYvCbx8Pd3ZikLCTP1Aef51MPM1gVGFa
PNUQUZd3abDQ/JMHejPCyXvzCwc1X2MWRyvXB2/2gBs/wLqg2c+jpGV2lH39+InOzpPgXsxdXzgc
vu9fYBPQghzSUXGc7fjgYnudhqpaz75xIYBY9o6TAAmV+v+Oc/JdRmNVlE7VFUfA2RPU6l5trQYk
Nrgqserd1qBZypD9vavmsmsyqKs8gmSuF6epDKdP0MYoVseAu6Dad/510F0IK86/v/8d4uSgiaoC
dELLEB56P3UdfI7Lf/StepQGyVlpLAfLH+HNGndG1QsAB8Uxdp7y/rdX0Tln+/EqODs7b4Y4ueuV
2ZwhUyW8Q0SzTpxj1NIrVv2itRzdc//+UBKVLdAfKRV/8/5pcl9ZMsUoeEQ2sgYEcOdnaOYsq1nR
mf3Fyhz5D7Y64ia5BBs2FdyTlSdyw0zl5OZHu6DRTRhtY+x+AKrWHz/XuYXwdpiTrYEkw2CFqJmP
hv0rRqcgqlfHvlAoPjdNb8c42RyyuZiQj2nGIPHXoEt00mPU42g0g62anz5+oDMhh/t2sJOt1Qjm
rAhSHshjbmT97Ez9preLLYi2jwc6t6mSX9bslwoPrD4JoEw7c7RlBlTYc+cGgdutCMMLQ5ybHFxw
pK/5S2tx8uLcQE1xgNeE2BlJ6QRE/xl58N9/jLdjnLyv2sJYKOhpeMwoqqKTsv7BOn77+ycfjjMp
mYNSYfIjiJtzs/F6gNvywj59btYdh9KkI7jqQbx5/3n2Aom3UmN2JB+zN+RD3ZYbkb0W9vYfvC3y
v0SAyjPhY7wfp/EhPdtukh194ylyrpBNf/z7Z59DscN4tvfXvvn+90U2NDAbVXY0Z6jxiFvDYlWn
+18fj3Iu/EAG6Dq2i8bBO73JyHAMRhdUwRGELJRJCBTfRXUN0mzj0j9KNpcCz7/qIKfHKMtY2dKV
Fqbpk+kphAusTKW06I6d+cY1nHkdG7XYmKNlYKCu5EH1/RffrOAk2860xQUYb3vIwau6KID8V/Bf
sNvUKxsKxTqyveLa18LafPxazn1uisSXpEe9tCjnvX/5Llgm9KIeW27+nFByntVXu/sHZ/vbMU72
W3T/pmGZRk4r3aNRPdRoxY3ywid9dnrfPMfJ2569iR5bHjsTTL1r1x6eaDz/pbDFNWblDR2FkdLG
yd8rv/wVs7x9rpNtJLMwPoCFyI/wXd37Otv01T8ZAdIRdySpXft0M0SMNLsW0JHjXACE7K/C/mc+
9Re+v7NL4M0gJ4+BAWx2sXgUx54mG9JALerUiCw//4OFRnQn+AiVICI/WWiG1SsgYExQcRMO837G
uWhxpfl4lHPHLsEXIqYlxQeo7/0ocVmJDrclMV5fbObos1/sM4+GpdXnMP318VDLazn9vt8OtWxr
b2I9ihaWpTpivXF8Hvp7ceHnz80KW7unTCSKtHE/+Wjc3EndxBfk9IP0NtD2zhogDYf6QjX37FNo
V/OqAKiw/75/ChfxZKn6mW9TwnAoTOPR0Prnx2/q3KQsFfblAsu95XTrLeEEWxCNiyO7V9buaBdn
hnsa0g/W9uOBzrwzcm7Mu0U2Ydl13z9MXaA9hUWaHJP2NY23lbVL3AvTsizTk1n3tE0ApChV8e/l
Wd/MulfEhuM6RnJU5R/QU9jH1x4Nx+i8Qe8qzHQP1XRhDzhzPL4b8eTaAgpVOAmLgHVGOwtxVwVQ
AWZFB5jpwsdz7vUhnFTS/X+kndeO3FbTta+IAHM47TgzmtSiRsEnhG1JzDnz6r+H8v+/7t5NNDGy
4RNjYFbvVLt21aq1HMe89jZB2KUybbck+9CKGiI4lRGQtlfiu8Xh6I7mzDG+zAG6nECg0sFEVzNZ
Jf+rkRbH2LyDcgEdwv43NgNvFyqwtga9hj7v/LOVaqsy6yDMiE+69GVWjlPsr025EuUvzpglU+G1
QK9foUd81SyQZGBtMrp+JZqXXuT+x+09vTRf84PfBDGrkasWLjYzL0PbrvSEtImxpfN2I4MEhKab
1oCVY2ou+ALHAeZmQOuvU0gSXLQUNd1U0T6KSEZYv5Zm+0eJkBxqRVpEx7aXSq9e5r2ESXiQTrQn
HKTEOEDcTI9dUEh3zaSkXy2FHlqnmZD4KCJ4VlH7+QpDY3jXT2r8M6FqcHAm1XkCpK89dJ0PSR7d
XHujMChUSGpzJxvGcIIon1bTvh+O8FNEOzZSd6qSCPx8L4W7Su7V73nSzMQPNCpsplpz/pbBSQ5b
NbNbiLxadTdNZf+z0eF/1eC7/lHB6fUGJ1L0t5/nzh1M8sqDkafSzm6T7mjr9lvUZWgx+QCMQgkJ
RTlHqhicNoxGUkDPKH2DqGjr8V0Sh9kPSFvCPcyp5cY3EWxVYXo+/saycw6ptjo8tsRlryM9Bl3R
cBbLI+xLz4O0KaIVG4vrbVOkIMdrGOB/L09IPiWWVibYSIt6/ywjovLeMdikwUkfm4YBgYAIgTBN
mKbnPo0TGjc/JoP2sSr50gfKY6paK67reii2TC55LrNxYQIxvxyKkQ9d2BUxpmhlpOCy8tRSVP7/
S7fP96HAN4EozIAk4RTmuTKViUIdhC4SOlACqvlliWhllc86j82Dnw/ot8h/jJ4N7d10VLX8qxzF
Kz/j2hfMv4KuTHJkpu2IRXgZOkiYNsj6UwE+DWF0J3c8+I28vrONdnt78a4D6ktb84ycuU+DLljN
CLX4BO/WYVZeMqd7hE8ORfXRruynaM1dL64gmR9LVeiyvUoA9m1lIftG2STtvEOBNlGnmu/e7wyJ
7BK7UqeuIdYt4X5wGptM4ymGM1T1f9RpsTJpi4OgrY73HrAvVXxNdYGUwZ+mRacJEtoHGDJur8nS
+uvg7nALdBNRvbxcE1+q1NyAVQ0C7/YlSZy9Aj/BJrSiTyg2rgSGi7Y0brX56qT8I9jqZdWJndKL
oM6OaJet9IH2yXpA6mbIYO8ui9Ptsc3fE08Yt5zDS0eZgWbCCYs7ePWdPmJvq8fY3ktoPE6H2yaW
Vod2ljlVwgMEeM7l9EGyQQu+lWNi8C0429VijxJKv/Lanb9yOZA5fFItwlAV5yoCmhI1zWonnktz
46eoQ3QYgZhoxd1d27CBrFiGQSJYAbgqBLp5oujwCmfUTDN1L6efjfIvezoo1J58+oJvz9qiLctW
aLuS8X4iqrRuKnhjmyAmp512n0zymluD1za1NM3zjlEkW39NXmCsuLrF7XBmVXA/DoGH4qVshyYY
7uYIYmtq6D3INsLAt8e3aAn4nE4sqvASEja6DxqMhng/Phn5t2yoN9BLq+b7AMBkCuYt7fAuZb0I
5oTN3Q+2BseWE55C3nFTt3My6MbWKgML2/vCyPz3M4/tz6iMKMJI+qcOTU9E4uPdM4XPoYYHyojR
iKG7POZyUtD3e5opxZpG/lKMyZPqtysPnqVxWFQ7VfK/AE9FTBbdf7B6JSrj+KzWb1Lo3h7F4ucB
zIIyAyajihAjWBIagmo+783qLndq7KxsqKVggdfnXDHX6RC7inuGMa0nVR7CE4jNETIsyXUUg+5z
4k/UNwjfrSH/CwYaA0pY+DmzvEFGA96TR9h3UD35jeGCoAa9ofP4FtOQmTSWdg/ZyQkFpx2iWk9B
773dNrEQKijzA0ib04jXdaKxrxRUoNl4ifbZhKgITn7YuB/LyNkpgYrI3soKLpxY7BEicMfq1MWF
0xQUZtLBc8DV5FUfUwP5wTK8a3r/6+1hLdyAiLnLxFJUOhaqUd4wtk2hhafKQ2Crk/8Icu/emQZg
sPq326YWR+TMby4cGOU2YUR2HWZGjsDFCX1FC3ao/Lmvt7dNLG77MxPz38+8QznH+nLBInX9rN8M
RmxrRtCn/TcrgjOFo82XfagqT2F8p2rPRn/3374/r9nZKFLI//La5vugRGF3Gl6N3F8JfJYmilUH
HwYqRZUd59JEbWidx7sX94OGOsJNK3HOwnWK5gtJFjjjgVGKJTRfq/Gvuk2eraGt/oNqu074RR4+
WO/s6vx155DQ4zVElHCdcCVJGjVDEwenbpIOEKPvNS1ZwbgvTRWxDpVuhnKdyzFKmqTmZ+op+JQ7
m/Cv96/1+deFtU6cEaohZHOA7mzz7LFeyxb+SgdeRmo218C/P39eqrPNVBX1CG/y/PMVKDLhG0aB
aytF4z5PhhczkMYNop0/xq558vXhjcb1lQEuXRRAnywFuJmpGFfthfj8pBnpbz/5sfpidK9F81cm
tZ9heYeUYJYA1egBb5S9pkSHmRg3pif93XN8/gvE7sMBBmJkNPgFtam/yrn31oXO+yM5oHDUl9gj
9GaLeDjf1Mu+r1T/JDuwFT+l1Wl0Vs7UgvvEBM1C9KggL6kIvi2wzdJKNNM/wV5Vpw+T9iB5+9sT
tbxWKi8U0gCyZYp9A2ZoxC29Hv5JSp3sGxzY5W4Yle5OslGKMHXHP+oGOaLc8iR4WUhLBaUOsc7o
S/exBtnI7Z+zOGKCSqq/8wtAfGj2Ra5WCPwEpwYJnPSrUf7w85XHptjGMDsQ+jFIcTu8ZomLheOR
p3JHZJyFJ/ztd4qWf8OID/n6j6ZsD4qZfmiz6k2L4SkKZjKb2+Nb8Cwkh4lZbIfBEVlcHs3Ghi5G
i+3gZHfhdvgyhcHKdbg4gWcG5pjm7OxL1TjBn28FJ3ixlfgxLChLrmDyF8dA4zjQDFB1V+FyK/ew
StUFgeYE2WKDclL56TdmyaZ6Qg8mNQIxwWbHbdbUUhee/AjJi1hDRidP0jVUzvI4/rUy//1sqhr4
lrKix0oEuYwOhqUt19owFiLImVbBBPCvUTIX37NOYeeOVaUhSe4SfsgQQW83mrrqwzQF8d1YKOOL
I/vqDla8tczhQpTHJU+zJE8/8gJicarUp8jpdYJ1qYQ1Z2ge0PT7pPbdmz++s0njnwN1ZkrYc94A
3jWrMQWIztt0bVA8q0irIBwCL+dv7AzqeYbO3XwNQp6MXJMQwyagbI+ZGzcrYdjSpNHZNJNgEMIA
S73cEl4Y+wW0TOFp1I5JPjzb2qOC2jlEb4fb41gzpF4a0uRJhzcWQ1Xyhu7aB6lGd3GgZ2MNrrG0
yZHQVklWW3NzmACu9IaogdJYCk5ecqzUuzVGj8XPkzwhx+AQdIhPltFPYvjr+HztPPdvUEncnqYl
b0ZxFQwHqW8qBsLOomxUKNFYBCe4sn0kPXx0c3yjf4SKcg2uv3gRIqXtaKSigWiJuYwC4iQ6G9Xg
NNZSs6VPi96ZOEbH2IMsAUUH5BLC4DiY4Y4UVbczogKVIWi+fmh966ykCuZYXIjgVANI0ly0JEGl
CeMeArOAnyoFoZgATaTM0cC5ORUHaPZgGbK6dJv5sLa2GeJZsJatXFKLsz7HviZYgxk+c7k56YeC
z92z/ZM52B8U+MKTDmHD5Hh7bRePgMWazvcgCTjhPYLyQxbABBic5Lz5244QSpmcH3FJwa2pV6Zz
cUA0YgL2oieOzpjLAeXcyEaPiOxJiR1EzMuxeGmNMnvoy75dmbt5ZcSVm/PYRBe4fRbv0hRUq105
huyiwGyHlzoBpGOUr0Ztjgg2KepT5Zf6TqvKceXJsrh9Vbqw5lDRmWtTl4YdKTRLORoCYFnZaxE4
u4QOoAbhJfRndg1lyMSCztRCTGHrqc2up/oB/d37gcJQz0GBNPeIgIwQ0TBRkNvFVCQpD35UyTSI
w76Vay/+pY1zZkPsQkLMz4LnFRtDe8x7GDxNWJbHe62PfuOyAaAizwBBG45UYYeqtB8pMeqhJzm+
s/StlbrvPwGq4wCogRGAJgXBN5NiHqvRjFJ4xbtjXX6lLAol+me1WQnYlrb/3NJmUYPCwxmCN/HV
WBo7b0xPGm3tUNNuAW9LoIfePxoeKXhQhYe5IuZ6DPTXfCfu0lM1HiAKDu17RL1hr/tvVoSgLRry
KtPocz/1sBlXCFAnw59RAMm99P03DJErARRsMnPi26uT9QyGXDk5RdrOgl3RQYj5z7H5HV9LxmR+
R5Ihu0qbeCAgKhMmqVOrtO3GqdLnXGv+aI145dWztAewYXGhqASiIr4nCgfNGawWRMeEPEWu+eVG
Q/RrSuu32/O26IjOLQm7DbhEVznQa5+gcD5kMFtGMrJKErzbiXEfhibcBPJhmmx3MuHBTsI3PVdW
DtZSVDKnNzlalERtscbn11GtSMmUnCy7+UM2zNccGd+VYWoLjp6Ch/oLkQcuT7gkFRi8UfXI0pNT
Gp/0ctrFU7jrS4YXw2hm0zSV6DXqUujUAgNCYOshzaP7oVZ3t3/I4sLytqDsS4vCda4lmtQU/uT0
lEMusqulcjchV76rARv/hiFCkV/APSIkwVvFaRyGbYu36oc4+oRYgn+gHdRP0Q2238ms9utFQR0Q
RKU8hwbiLRpPld+YDZOr1EfnuUlWSpmL++Ps88IWTT3LM9qBG6RDtqb37U375fZczbe8GAVQiieR
L1OP53xfXsZV1MKNq/rpyS+m71YBR/hWSrMHbTL2fd3sbxtb3AE2DS3kNSBLEdETigObl+IAdbTs
FxpbUMt7SSxjZfWVZSszIwsyogxMuAwbJ7fwhnV2qnU1hep2ejE8+HjC6DDLN+hhvC824wYqdB0R
MIhc80B5QboeuY+gW7mXl2aXMhq8fmQX6RoTZjf1PPR4FDr2bdr1nVH5VuZosCERVuyH0vrZBmgE
vX+KKcjAlwaaFEDR7AzOUgWR3HexRzHjNEqPM6jICb/q6p+3bSyFNbP4OrBHqEmucgUFvO9Nh6jp
SbMhCNkrwUF1jlp3f9vK0jLOGVm4QMmecxVcjsTyHSlISj09UUA8lk167GXlGam2Fa+0FAYbpLhI
D80BqaVemgk9hVDbcdJTqnxzoI33/B9y3W0C62uLRHWrjCvbc+lEn9sTFkhH3jxQbRuHAWWr8VNV
1+7pJQNzRh3aE3RNAFlcDijvOH+lEc/39H3of1gjn1r8PBgRi/CZHSY+htIUGRJTt2Pi5n5jStWm
KKeVU7NiQkyJk2ufYOoA4ZsFTXo/DmXyrAbIBd7eX4vZVaIlWusoAOCMhAdQ2zdjJVfARIwwtb4h
iRiiDyClW0Pv+jv0ZeIjBLHKfdkkHjCfEIrndkzW8EpLu5y0OaVbUsn4KuFH+F3ZJo3ZEe1IE0zb
2dd4Gu6yZFgZ7NKUElGpMKxwpsgbXG4KawpCZUrnDjjP28JovYWm9/Z0rlmY/37meEa/ziA/xwLx
J2IfaA//zvfhvCAVDt5GFr4PO78dWLmUnCb7Kdm1w8rLY74UxHuQgvbcp0yN3hA9NRIMXVQXRLed
/oia9gZNuS1KMxvuBihfHZiyDWVlREtu9Nyk4OB8Qu0wR/Sa/oJ0Y+fDNq3uVap42hrzzS+Ewa3B
CZts0hvgfGnD8zC07rIqvst0E+Lx6IDYyEMPEws8/v6DDYeBIzVfsszcIZ74qfWilaf/4h4BQ00g
y5XI3Xy5Ryzf6pAEI7TXh/rNSfoHkOh3798mtFJQHiLw4x/BhFFKZl6kwERp/Qo+2V7qfbARBPp8
28rSpQETwBw20bNPB9LlQLoczMxoT/FpMIdd4L/pEdnXp9x4bIxuY62R0M5fE5ePgIlskDrTmInv
VSi//XpIQc1pSMRvis65SxPnPoiTJx+eeyfp1h7IS3VZ0gn/WhQOmyPV1M8j0G1I2j11iFxvM7l6
GJEX2wxp+2Eo/YPUoaBRIUFlW6gkoLe3uz3FS3vl/CcIoZOajtMUTikkHshlarsgXXlmLn+fSHSm
kzaueKSNDj06Rym5x/yPavL3BPn37QEseXb6VP5nQAgsjCZukERj1cIUPmcDquNWTv7W9DVWB8GN
kNIGEEZOG4Q6GNGrCxnROauNyg4ShOlxtD/HDcogHfpc/v72eIRd+MsOWcJ/kkAzCPpyz4dBNRkj
lddTEb2g36UX/g4Wwm0bfiuLtQ0oeOMrW8Kzpxo8LZRl2qnH4Vvm/3Q0JCtQgFaQoEzSp7r+oKyV
CpdmkeiPQi79F2S5hB2vt8g5lOGQnRQdPfh9kz+TcURw/PYcCn5jHhfBBrA3YlquGvEkt0pRjUZI
H6auPRicpXBffx2du0S9K/vvt02JTv/KljAiv+FZP8uYnHL4iZKUouF00nnoR9aPqUS0QEJ5Eb3P
/rvjuEOM4mC9MljhhP3zA+gFA6cIEpti1eWG8T0AHW2eQpvyYKGtkq14+oUV0+Wzzwv70dGKutJG
etrk4pE2KTk6Sv5DYa5gkYRTfDUIYSdSFACa1mOlTB/8YDfp963+vufUbAKiBTYfqRmNpnXhvZoM
KM0h4p2d/kryPzofLSkynv5uZTvM7ubsEvnHCq3XgLuptF6BoiM0CfVa40jFf1qbH+j6hNarnTzA
6ddKD3r7jNx44Hy+bXTBZdAW/z+bYiIGiXMt7TIoGCy/3Y/2l7hw9j5yZ0nues5KpmRhoS5sCVmu
yHPUSQtwTzblpj62EO4pt8r49TdGNHOz8CSk+1BMUGeTBTOawaFSnc91ukO9T+qcbWugoT79ddvU
L5LKqxXj9MD9peF2xdxgHWVWL8+N4ci/WB+SU3zQDuZPo9kl20+l/snQvH3XvoH7Jr2HlDCamPo+
TF6c/Anli9BDjOslGV+i4b4MD7d/2tXJhkTvF1abTghj/vfyZA9J2UhS4KgfoSL+WqlvWmb+/G8W
BOfV/M8C7beZ8/ofvz7vpbO3SldR4Qgifn+lNIhw7iSwebd/vymeNmGG5r+fWaggbkEyFwsWopn5
xqcyaXyI1870opW5i3OGhsAGKDinTikR/qkT7SPyYPYmNbI71aNro9Pusrb/W1KdA9pfJ3VI/lBQ
vB2M0oXm7dWPkqNpo05Fsyn6vt47m9rYGib9xHMCiosORgnBMce5NwDsLAK3db6Y5lv0vsDt6vPC
oPUpbuIeOVO3Mvdmelgri17vbSZzvq6oQxFWibiuMg4LFOoNBAinu3Y4RsPKzlj+Pi2FVDaodIlP
hzBD88yTFO8jUpDZxrTfe+laPPIpA3Gh8FxANeNy46lZqRSWXFsfq/qp+pAHK1526dfrCtBcuBAg
1hafyXRCw+U2Dt7H1n8YD9Xw/rUlQ4HPo6KvXyNmlSI3ikhKfNfk6a1ycN598GHSm4Nycpfwkon9
tVqg10Mi8UAL6Rj380+ltNJmsjQ/ZwZ0ofQwtKYyZpWNmDoSaf4xy1fSFFe3HMtLBmQuoFDsuyo3
DD7vaq3Jfddp4eTdjEjdGb+xQclumDL3tsJczUM8c12FXNBvVqAHX/vfnSeV7qn3ukbocSkg0iiK
3A2NlJffN6SmkUYkX1080OgfYsp7052jvn+jXlgRzoEijVVTaVrohtm+GZF/WxnFwkJffF+4AtGu
SfK64/tNdd+E9ygX3p6lte8Lq8AvJ7QN9dAdP1vBwS6Ptz9/fXPM14Vj09fOK5/S8eUihIbtNdOg
JW6e7VRzk3zghSWF29tGrsI/tijZirlEQAIfQ5dG6rJKoM/BiNw2Gw+Jz+wxlD5UCDCsdeMtHAtO
xIwCAs9xDfRMw7awrKit3dR+5p2IjLfurOSurp6kpOrOTQg3epkHETdxWbuxmfuHIUOs1vbH8glN
NPnViVu3ro3wk6l3MVKJKZqLt+dyyTzvA1oJVLhorgrFDcp3FQiPCrFY39pWU5VvTck3ngvVal6i
wmiP8kQ7shPJxn1N1L2CS1rYjjDQ/WteGH0WyJOsS0rlHsrhayytRNXzbruIdJlbelx1nt8OSXAx
O22UgzGqjVa5g/K5mtyy2Y5Ku6m7e8du95J/f3sqlzYLNZAZp0576BVlhB1QslU7u3LbxN+o6AiX
xg+tWIN/LGx+hEAoxJEhhIRK3PxJk+W2nRuV61WPXhfuhvQHRMEbp90jm3h7QEuLQ38/sDGOmnMF
oEUZu5w7zCq3D4qPlek/9Ia2cq8tzdlMS0JQBJ+uIvawVVk4THZUVW7u+N1HzwnU11hpJEiKJHnl
ilvaDGDqGQ5lGVo1hfvBR95TjrS8cTsNDL+lfZU89a43axRXUx9smPIyeNnKnfcLIyPuQBSm6Bf/
xyEKrgpEUNvoEkZTtLDRlTQPAdK1yc9JDQ4+9ru2+9JH7Ws/HcKOru8ivEsd/VA21sfba7k00Wc/
RKx9NWUPM8vED2nCdmN2pxF1pbz8ctvIkjM5NyJMcdkWdVxEVeO2zW6SXuLxwbBQdtaAXLlR8FCv
ne+lDcqjmfMGhox+zHnQZyFFGMdGXIwMSkYVvmroGvRWrpo1C4J/sjKvU/Q0a9yqRDZ1Mox4M3gr
x0wsGM4vD8J2APKwIkJQLxYMgRvIvW6MtVtLr0i15zN2THl1ym+Klt3p3l0dFhsFzNJvLNaZ1fm8
nE2eZ9Vplo1T7SZDht7vfaZ/9voHGS6IHunYNtmUqJbfNinm//8ZKT0f/wB7KU4KNqHpdmjLatws
qXeycp/23wLvtfCOpb9Pg/suHDaR9KPO18a6uIxndue/n43VD8dRKfwQu4H+gp7vFy9bSy0vHjAk
9Sje0OlAy8OliSBv6l4qvNrVeL+YT2lwbNTDyvTN03PlTebJmxUUAJuL02dnEhw1LYc47dDadbaR
czLrV7V9BLOyVeqfufWX4r9I3RsNCOm71RjZpmCsKGxA6HhdyvRTyZlKjbMwQlPUbptyZUMuLdL5
94WzZkdjH/o639e0LdLq+hpL8NIFcP79+WY92wSIoMdJrER4J+iV916ETHypgwIsLaXZpsOsQJ2M
gStNyM/eXri1kQlHTQ/6MkpsRpZPE06k26T5Suwxz424M1gY3j1kxQGoCbtPGW2Oc1qwM8w7x/xs
14Q4p1D5/t5xWHTOguqa+815xgnjiOBE08ZIr13lIGndLlHXinPXh2g24MBH8c8lLTj0yfJ1fyg7
DAzIfB9VudoQ994exKKN+ZUCGQ3hmsgepvfJEAP7qN0+O5bxPlGP/ZpO0PVqMAweKQSdvKuv0Pao
N3idLmEiR4eq2ck+t+E+jldip+tddWlFOC+pOmhVq0uVm+pfI+3FSfe3J+r6Nuf7zkwe/89MCYvR
Dhrhc2FwQZRfqdIRvRwHNd8MyWNa343ls62shUtLSzNHZvRrMXlXJMSUQ9BXUu3aHftiJ2kHC8bw
eg07t2JExJwrnTbQHWzVblC8TMbR6Xa18vH2zF17Gp6Lc7qSlBY89WIuzouiEiFuzntIHr/ZG9WW
ojZ0Z32wC9eIm5eH868t4UzKgx0ASUiJUJqjBTuafojs3e3hXD85LocjOBdQ+sNkQifmZmOzjRoI
6iwKSYa6UcHkVNXak3QhSriwZ4rJrrBT/Ull+gL/o4e3DKUHufA3tbJr7DuLnSglH8rhYVBWDtTS
sT1bNhFGGnklRIwD4aQGR1X8okIe7BybNWneNSvq5TXUGW01WQZWiPaG6JsfPQbVR+6i22u2si1M
IVQoGjVsIc1lDqUHx9lp9tZeow9a8j/n0zX//ew+HczSsMuRbWHrB7WHCn1lCGvfn4d49v2qHZrJ
q0uGMHwZvK0sr5RgF78/Aw/obyE3IC53nuuw3vScnB6kYZA/T/X322uwaIA+HRJhFCZksWAhRYEm
96VG9ij6Ehyi4vNvfF7DU3JhQhonZjeqQY5aKD9qVx8gut+qK05s8deffX7++9n065Q97Wng87Iq
7clEtunh9u9fPAi/6M5ADhLQCq/F0FO1sVO8yrWi/CGbPlfknsg27NtqLTZfdGBzht4hATAzy1wO
pbXlUqoAO7lKH+1l06fJPU82lTqkm6bNeD2uocUWnnRzwpBhwa0F97n4GoibiHS3qVduR8vHqPfb
COJ+HzSz9RBbT33KjHYSiK6735hSACDkXuenyK/S79maWW3o+a1HNq+Pqw3lepq6n7P0m/1ODi/e
cQQFlAZJws5MZeLO9vsoHMGMkbSMeenr3j6M1ft4WOPBX9qCKqxucyKZyrhYM5PgPpQyS2tc00KE
xZj6YxJOa0QZS5vj3Ijgjwtd6hop0Ru3JCnYqofRjDd1+Q36x6La3l6ea+zMPG9nAxK8cmWVXltF
Fray18D71NfJxggPo5xtJNmVrUfSPw3/nSCjM3m7MF254JbnE6ogKlUU88S4RO2orXbUpl1DDrZT
3T7pXvft9hCXTKCNNWPfoGOkmH951LQ6V2KtTluXtN7m1TOCze3vLzmN8+/Pfz/b4UEfenqt831L
C7aJOW2k8tlq95l2vG1n6f4Ei8YjgQAYqgphpZLSsls1zVuXZrK7KUIkC07QpO1/wwdqNBjDF0Qa
iwfc5XDksbaNSMoYjqnC8Hdwxq2qbmpydLeHsxCR4oeoy4AqpYFFTLx0/aD5fiAPbq4XW7Pp95Ny
35f3VvisVrtyLSZd2AQwtvI+JFFNz4FItCRFQx8VaTO6pv+92VbZn7cHs7AH4HNAxoiWL56jVxdf
ZI6dEVgDjnvX9YcpvW+mI+70tpVfabfLNzU1z1m4aCb6oI1OcAyp3FqJ1E3MGd0Imv8WFcMuMz7S
P6BbzwhKGnmwBXUHe6+1zcd8B4XrVvd3Zv1szg3OaxX4xVHrEKjCc4kDFkvAuS7nZtmEo9umx3za
xz0Qi4foj9uDXly5MyPifoz1TunlaMRBpZu3fPqNxzfcef8OQpjTsCPtYvjZ6Eb1fQ97QLrR3tlV
P99NFyaEk0sTAmBpLWUI0d9OtLUfJWMbgif+bxM1T+SZH4oGaZxKk9UI6ruBfG19uv39tdUW/KhO
QxsNgAkT1T4E+c7rnibn0bH2/83K/CvORmGOsWZFYTy6ofEBWqyt0aWb1HnQ12ovy9uK00rIQJOS
eCvkKs3XcpCPbm3vFGurvh84Nq/5v98XxgGmQQntnm2lTIdBu4uSlafCwm1w8f05hjibJy+xU0AH
1ej6095TDmW3KdZkThZN0JpBI+tcDRD1LTTbT5Og9QbXHDdase/DjblGi7a4CmcmhFkqtWpI69Qf
3bR6NvvtVH68vZvWvi/MUlBpsQEH5QCIZGt1O87d7e8vTdEv8SWwpqgMiEhxeaBW2DXq5Brmx0j+
eyy6TRSt4DsWokG6HPH73FpwNookEuNIU/MQFrILqHUjqa6PWnWEKJ/1EHbD4fZ4lubLYKmBbM3l
YjGdr9RFkOZ9I/Ms+VDL0rbu1poCl94hPBAtYE8UIa97Vit5GnKfN4rr69CLcMqzWJE3RqNtIyt8
saLpKKn1X3O7zhStAeqWYg7GRQvBzC5y1aTaGEbjl6AbXKeeUdp29KD6D4l+cLy9+s526V9OH+EO
IkMaSOZ+hcsDmoY9rF+Sr7qtLu9asIrVmmTefDjEaODcgnB46qnpvMLCQt/v/OfoMPz03ymR/f8G
ocF2w86DPkS4ufoxQ/0j1xVXTneWt83iu8hfeSAubTmbByklOIpUPIkv58nyPH2YjGByc1XaoPu9
aayVQ7pogb0MLAeijSvddSmSigDRuslt7BD+uGjz/fahWXICVJ8MEgeEQYzicgSjkmiNLhNbGk20
V9InL5KgFP+NaTo3Mg/yzN/TvEu6oilGd/I2HkrV7xRe+7XS598XlgFSmikqHQah+cdG3g7G7vYk
LW3W8+8LmzUZVc+IMu4rh+eRUgwbQz01RrovtBV3ubTalAjI1fOooHtSiBc11fPKHoZ3N46mfaTW
nOz3D4XkHLhBNJeAT4uZFGKsweq1vicNFR+UXH7Smn6TDMYeaMrK83jpeU6HDqT49NGAehFPBwI2
WmJoZe8OXp3tZGdQNnne6xs9s+V9pqbhVuvUemtJVXMo9cI5tfVQflLNTLqDlEvdjp08rGl4LSzl
xW8SlnI0ZLAwwDeIyMNtk37vpI+l+mzLK2+qpZviwo5weYeDlJayUvWulmabIT7J0RsUrZuheC1t
BO6hOXzTaVy/vU9FqpT5IMD8A+oBPOisECscBEMh91rFfufGmr6xoGxSq82EYHS5L4aj5ScbOPy2
cvZJn14rba2TbuGuVykDUlGC4ogfIbgSiU5RR7Kt1lWcP2d6blB3mQ1p9wfPWMEfLy7i3BCObAD0
5GI2oabrm26HrHMn9Wdi15sZE1OM1iYq3o2ng6kbqm4wpFxWPPkvHVeU1BNEcW3n9tUBqadg2t9e
sAXvC8CW62nW27hOi1haKdFRPPRuW7VbQubjpFTbSlsrZy+ZQQCTpwL968BfhG0ha2Oal3o5uGG6
S8O7Wv+ovJNq/NfOOzchnKuqCmO6hzAxwG8sbyXlwVrLIKyNQjhSWqSO9TBhQpMOY/iBRjhlbQsv
+F/SIHjFOeGLeoyw3sGsRutgxdWPkbyz36mB/s8k/fv5X07j7B4MVCsrZI3P959t/bmJ3/+sOv/1
vwqBZ5/XzSYdPHwod/k+kj5k1jbrV27ypZN3NkG/HNCZCTn3Oxo+WQP/c9VspnwDx1S21jCzsgri
8Z6mJnPqoBrc1tr1UYTT+nH72K0ZmP9+NopQCerOms+DPvwh/ZVkP3/j8zNonpQd+B7x9wdNodt1
zqmW6NhvaeX0fiNdQhn8XwvCAFS99OU6w0JYbNV7Ld7/zgDmdwZUF3PS8XJ+0lHVsymoe7eYyq0c
ptu1WtXSVQES9v8bsIRzVtpJZ+set6NtPSfJdgD9gjTzTho2ub0CCP8128JLY2aqI8v3i25HzAnn
QzQ5E+zhblK5irH3u3stenOKY6c+Npa2b9SjH5b0SO97mm8j6/PtqVx4tc0BEM4X1imIeISRFr6W
5ZUalq4Kc6IDJ3A/07/iJqGYKyBLmdbWbmFqyWjiwWxwP+g+CF4SUeiGPziFq6Tob3l3evAkVcOm
KoNNbK41Ss+/XpjbC2Pz6M8OUmlrnp9qduEi47zJs4euPUj1yU++x8GbFWsbc9BW3kNL83k+PGE+
E0KcNgi9wvWy5Gvd4IAC9dDU4wPM8ZsSJnp16t3bS7jgLcgfzWh+tEp4SApBeVg7pTPISuGiXTh+
z1e+vuBRL74unDWtk9Sstfh695IMn0frXomPTvZ2ewhLGJALK0JsVvdOplcaVsbxrkdlSQ+/1H64
a52fFRhqx9lIw9GrH2rYvm5bXps8wVMZ1WCn5oDhgl52Un2/caVeDGwOGs52oFTXZTrRTOcCOmjS
jb9W6Zn/f3GH2/TFAAIkcoKs5PL7XpB2DVX13DXsb2H5qNoPVfzX+6eILkAiZ4hBkYcR8DlJ01mh
FiSFmzxK0854J6fQHHTo558Xtq9sRTQpjWnhIoPadV+7dq0IsbTE3BGUyQmY6Dmcd/jZErQ9ogaS
pOUuPOBO/epVaxywSy7NptuQ4IYkCG/jSwPZWKNBz1PGDfP8A2p+hyaqN7FRbPza3qvFmi7Z0omc
sQboHukANkQPSm46axDTAmxgf5Ryb5vmEBnJrrXytljYWQZQQJ16GC+Lq1ahJJQKv6iz0g1/QiZQ
/01r1+19teAq6frmIjDR/lGvZO/JsE1SMyWlm0RxvKkk/SHv433UtofeUXZV0dCA9W4yCRAa5zaF
4x7P/P6enZZumf7wJAnSnd9ITV5YEA5kqlhepvaMqoCuxU4Psb3WM7iw3S4sCPs57e0cphbGEFc1
FN2HttvI1ZGGAcv8cnuFlrYA2dW5I4jrGiKfy41d25I19J5fusbg2s1T6W1a43jbxFIiAuKZ/9kQ
yR0GqSv7SOfCrGr4c4OtIb0lDsSw5qvuvaTda1S+GuraLb3gEqDg5tUM8b1N8kcYmJx3ZjxZKnGB
vYPUUWt2t0e18n0RdBo2Kg6t4vuJ/aRru3r4cfv7Cy7g/Pc7gscJurBSTF8v3KCZC1SqvYvjRybr
v1kRrn4/6PLeDzWspNs6uIfn0oMn3lxJlqzNlXD1x6pUJq3NWLqu+Vpq+aNXRHe3B7JmYv772Q1A
9fb/SPuyHblxZdsvEqB5eJVyqtmlzHLZ9SK027ZEiRqoWfr6u1j7nuNMSieJ9N7oDTRQaEWSDAZj
WLGC/We7qmTboDzcBte/LzsO4c5jznBjlgY2am5QN9oq7D5W/Fl2G2WrEO59FEWtylRIceJ9TgNd
NhVQ9n1ud852qSs7XS1i7goh9ESHIeYBjnjJvl7fq1Xr9efqiRMO6qaa7T7HKjIW9OqjjiZ6dZem
X1IZpEckcOWOxcUlES55CTyJYeS4hB6qQyRO98NMqe9iAq5uEHObuVG1nTN9H6nZnat0vu4175So
B6aUj0Mf60GfON+vL/66ogAlernFaamBJ6PAFpf5NikC8P5n39H+eF3IWpb1bOGYAHApZWY5UWmG
GxV1mraB80P9qIq7TdaQwU8qOvvwx8IMh70lyVz7LnFHv/MsDMFGL7LEwK9rFcqeJmjf0RshaJWW
2B4bGOK9qN5l5U6R4avX4mes9o8AIcbzqkqb4cNXx9SoQwe8ZcRUQNPr+AyDxkw9PSimt+tHMBRi
lTp4sZHD3NdMfb2+6+tH++dnCNo2q9mMajLesbJ7dPrEzyvDB6IZAbQjOd/1G/S/kkS8fJEYg23V
kDSbX+fkoVS/FMmhjB+kHVqrz/+fnRUDS8+J6q7rsbO9vgG/AkZl41Jc37X15/9MhvDGgB51KKIC
ETorJ0Ag3uzymeXPRH0yq8da3Q/xjymZtteFytYlPAex7rYVEjx4/T1wlT/nLoLzv3o6/5yR8CI4
LbP1motQDG2r1d2rZcd3U9ns6sHZXV/N/3Hd/8jimnlmt+d4AlSCWXimk+dW/5mbb47zdYhqX8V4
Ba/6t9ffvOmDWntQyUhUUaL0tnC5nSbuaW9AQxpt37Q71Xsrom3WSVa4el4W8JIAISMrJ4I0FGpU
c9HOOC+nCTC9quuCzfU95JdTiKJRhf8jQViHG1l6msd4Kqz6zusOZhlY1SlTdizZxtrD1Egqj6s2
8UycYLIMzAvobGfAGwjyy8pH1u36cmTfF2xRRTHVidjYMJbt31uZRZdslpgPAPgiUycNm5VoGyS1
6i8k/hUR3ykf4+BvkB7nJ2MIbxl1SI9hJViKpSfoRYv9RGK3JcplCAaIYQJ3Y3cTbirddTGg0i+j
jIJcchwihiGj/ZikHTasxAiPsE9lVN3rSzD57EnOhi8Ciyo9T8fJw3tv1Ieo7/3O3cezDFu0vog/
Qvjfz6yMNZaeQVvu49aHKf0yWH/jo1t/vi9YzF7Lm64o8f3J2lnkLv+LJk0o0p/vC1ayQbch3mhs
kta8Zsq9k3zX472Tz5KrJzsLwZI4HmoFbsa3Kd6mGPqJQe4yZPDq+285MIQADQFbK2hshDoaKECQ
snfHrTL8zoq9laIfyPko4bZfNySr9v1MlBCb9ajMksFCAiBOD5P53vbfOjTrN44kBFzftD8rEnSr
cLRkcHJ4NE38zS4DxX7IMskbIts0Qb30rkizwoYbOrSPzN0C2u+byX3UuIF94xDT/8QdZ5smaNrE
ClBufWZNPJ9iYGQeSGmdVs8FQxYx3wv/WzTk5EOljAhvYOBZtomNR7d4KtmT3Uk4VNbuPBoeLBQV
gPVZNOSMTl5WXTrC+CZbkNipsnNf9f7OBQiq7HizR9MID2FXP2b5j67cU6fzSR+2zqvV/IsBXpuy
lyxqbe/OZQo6zUxDH4nbV0fb2hWFH2U73cF86PfrN2dN386lCCqNKk+SaR1WpivvbNqnOTDdO6Jt
ZhlLhGw5gmLnrZ3WDW0QtXvRMW+He8bqHdUS08+KSeLVcr9EdJPOFyVotuN0Vl62WJQFRvssiLL7
edzq42ZQv7j62/UNlK2Lb/DZe6ONICufe6xL0zcTAYD5MI9P2fgXSe7zFQmeWNGpjTFRaDhas5xq
Y0xIokpCnPWFgKSZN20v54RrTB29zMWL0Nn2o1VVoeYOewLPEtxSf4Ees0w0/vx/WWLesewizNzj
3lJ9Fx9UIJoxJeZ2COCFCMEhU8Aho+cdUhhuvtfaZ9f8Cz/gfAmCSehiQucp5SkSkPyo7J+mjiUH
sm7V/mySYADmsR27NIEE52jMvvb9ut7Kvi5c/A4oKSAf4E/m5d5utsXfPMnn+yPc9y6Ps9iOuTqp
B4wYt7MvdfWDJBJUAv/K8qb/2SPhpluJ3aW6rVbHuPySZ19VEir99r/bKOGCk8lxAFnF1RunXWwE
sqr4avrvfKOEq42B6FnvRTjmLss2LCWbOPuaAOJYVA9K/sUc8x1gxxg78MMc73v9KfF+GcYut2Qh
skwfhFisbEB/4cS4kh0QFS1GiNXH6/t43b4AFHZpKOOq6oyYBzC69jqaB5LvxuRFS79el3J9GcCr
X0qJ4J7NZQ4pBiI942BMEhdQ9n3h2ms2GWhdIUbSGRoj7qgMKbmq0AaQxcAxOi7Gv1z+fnQq2S6t
aoR5eQ+wq+G7Y/0jqnSJw7y6jDMxwjJKoumTbeDVauovNXmPwM7/F+dwJkAwXmTSUwYGEPixFd6q
9pddfvvvBPAVnr27s9sObT9iBfm40Wawukus76q6gvoMgzNRulZF0HWvpQBDgfAF+J8grX1q7zVl
SwdJVC+Twv9+tgpdcZHrbvhDiLaEUdsO1vcSLj91ZJVEmSDBinl9QfokwnbF8eg38cksTj1YO6fh
618cC9wHE2M68I/YYzsNbebMKcz+rABHbEJ/AZ+6LmL1ivyvCIAlLveszFRKohk2X/WQ2vHn6L2W
JetXr8eZCOEW5k4fgXkRt9z6FzNg2l/XFyD7unD5Ikdxx3FCiN/GIaBymcTQyj4vXL1aqU2mFzgC
xdkXBjjSJfu/qkpnmyPcvKg19Jo40NnC3ru78vurIasMyU6Y//3sVsRVnzObl6UtGkzpM6q5pew1
Wt8kMG4C1AN0n5gcVKcWECILi0BlOhuCTFowWF0DLgCGxgGWDlt+uQYGBzSnGUOeKE99jFrx7eGB
2M9Dou00gqlXpN9oZei0P2brPoseK/T1pd4jsI+S05L9DuFdN4aW0aav8DuiL1O7szGBRaYQa3vp
gkiUM+BjyLT45hZp1BZWP+QA+mgHjxYbs/l1/casLeJcgnBjymjOR6/r8+Ns/I7LZ5PdGSCnuFGG
i6QbSDB0zBLkg3+Ea2PRSB/6qSnfskohh6SM7Qdke5y7arI9ydui8cO/cFs/ZVke8mJA7y6gkGMG
ijNazuVb3uhBmqKpZwzAW7Lp8kPXPHbU8EslC5qpCso2CzHWgtDqoJHi0cwqP3L0oCEZ0OmqZAsW
yQD8LBteB9BFBieYELagpt08KVXP3uLG8Q273SrpqQSwV0t/ta4kol1YEUGWYEUwxctlTj6yN9d9
T7zMx0i6IEl1n8xEsqqF8giS+N/PrMmk2hljqO2+2XG0nZLUh6puB2nT0OrmuegARDwMBKLY8wCT
nltdydhbav5UKhbk2guJY3+alU1RyubbLK4c1oR2bKipjX8DSfblmpgTpQQ8RdUb6Lm/Wi156LNE
oqQyEcKdA2WxbSoo/rxFbfkjU9xDF0WSPM2KCJC+YHQd/o8e2c/Q6OxkzKlnFsbvVm9tpgbVu1vc
OJEedC9g8T4TwJXwTAAKDrqmpGX1pqeRnw33sBq7cfC2luzNXRY3BUmCfxWj6IDOnQwHgvm7WgLm
09YH34hP62Yzl3cYI7FL23Zj0GTfeamf1beW6kBq4qoYhQteE/wjdlgxq3T6MhnKN2Mu7hIstlMl
kc+KfnPAuwvyQOBHwY19uZdOXmnWVCfV2zhG+z7FINdomP0ek3H8vLEiv2xko9FX1IM3u2NmKXrx
gMgQ9tRV3DhJI0gsFB0v9I9R5n2vCcDgBwOstbz5WOzncnoUYlLLKt+69mNK2Lb3ZIxUK1YOo7LR
TY/ONGBTxU1rs74t0dxcvlkId9VXf6ORr9efrUWVExRUMDbgksCgtSVdGcX41mws1fKNYDqdyYfU
kn8Lq3loMVRVG+xAc7ejbCzU+qr+yBRMQza2BkXjF57KEc2fZtiqJ6IVgTXur69tVQ5nnoDGYRCk
y/9+dn3zvurArNBBqQF9Gsa53sYpoHFD5fRBDjLL2x8KD921HK2Mvk/0uVyKS5qOUjAHZm/zwFBu
odsBiCSm3kxQiBODz4m7Ci5OFYXQSzFKlxWKF3kpn2U1bUpZk+KaUp9/XjgcPU7mDiT96VtF6+Kl
tszq3rGl6b3lo/oJusZoGQ7mXzBE1VOuK0D7J2/tkOyUpNhiAsq21mSsqEtHCe2iNvpwMYEZY2DE
G1obY4nhP2P7hv6vTWocpuzDSe4t60H1dgX9cV3dljsHY2ABbMupL0BLIdibxs672Y7hAU5THHTA
XN88IcTFqCiQ/CMv4gJNLjZB9E7ZdQNGbwLnYu6s4WtJH1MTXEPzhzPcmt4VRAlXZxxI1daVU73l
tu/lPpP1c6zslQZcIkbrAXMN6i7hNYgNCj41oGHf0jwafFexqd/UhcQFWd5/aA0oVWCaXTgIIj0Y
1CqdWrXt3jA7R612do1+9sCV0d+tLAVtCtzrRWcvvBohQmoALdTIMCdvGF+vP9djkW8tl1SSTPVS
ioNUEsDccHZAGCCi4SwEYXMdsegU1621wUyFujE3t+rvpQjBsLhqogwayHpOVhLm47E5/HefFwxL
pGQTa8HjeKo+tZZmN/c4IX5Eu4jHK7i8YizYX7Ow8n5smXuKeradnuPG3N68ggsBwqWwDTCT1nHt
nmaM7G5cjBC8tWYrrECwIDXmXZqINtzTWDYboHX8f70cftJ8M40ufD2dxxqYIKNh8LOQAiPZoE5F
5eZvxfQwFUnmGxPy3frtOnspRlCoaRzKCXxH+Zu+Z8m4waDrmzUWKDm07SDBioATmZLLp9CYdHWu
By97Q/Ov7x56dbj5SecCeCYSNxyOnnjiVhRlRqdkbxZ9QdNWqn2Q7nhdqZZGCu8FKLXBXMmbNMTn
vGi0Ms/cPsNZtGh/DUozaJNt5WUSY7g0IJdyhOuXahGdMI0me4ssz6/+IamMcVQmQDgMN3Oaqpkg
oBoRJ49moJFba7KgkjSR8+CTqzBKXOxwy2JmTFpvDycwiSFU3rizjEts4ZZAgqXyXnH+YCzGEOWu
V44uHcaT2W3aeBM726GWOKWLbboUId49RFppYacQoaEw9+LJyAcW6iR8XrhzaRs5sTvg85F23/2O
UnQCVPflzT0UXAosLDxRcBwvButRK8ttDLYYT+ReUTFAFt31N94KCOBhKCqbsFSLrrxRnZuGGHN/
ml57+66P3qLpvZONZ1y24+KlgIlCXylv+Vz0RxUQH9nuoIOAAC/GYD3kPQswsvbL3GEuOPiNFSXa
mZP5u0SrlqrIHtxl7fZTvoV8GXhHOK/Upf0q2BynLst1sHVQv7K0jWEc6DQFKOEFg3lfJU/99Eja
GJN59xE4OUdysNuwk9nppc7wbcBuW5+TEcTAhbIEAWDa60enjIMWlM5NQjcO+u2K8VYfgC9YQ8CJ
ueHYbhEiytCToCZs0o/Wu9ofVOvWLIbweX73zgK+edAwB6PC541h3AJWn7SySYDrKgN9ATuUinSv
yBFtMaVxXWZhBQMCvKH0S7RxR2RreuhN2AIqXNm7YnD8StoPsbRN2LszyTzWOVtcNA+ZQWdTPzbq
fT0/DfGDS16v37qlbYIIxMlYns6p+wR9RLMl68pE14+k8XsnyObN9e+vKJqu4krjtQMJIeLYyyWA
tCSKK7jsKGpsW3agDw3D5APJQ7eyTzxxB7Zm+DZouRQWYUaKkRCjMI9KPdwRpX8kxvjE2Ly7vpZF
4oQz7KPP2kVsgdlIotuf1YnaamptAiT2vTPvLON3i3aYyHtp9B1lACSpskbildMB5klDnzKuKbqM
hIWxdi4KrzCsY0mSoNZfRybJp64cD3JZOkwB4kxUMAQNm2unHlmU2McmeR362S8/akA6K+t0fedW
1gF7y5mOTbAoaqawDsuYHaekinXsvZ2uBIZkFbLPC6vIdI8haYvPN+qrhexLNktKD2sCMGIcBWqw
iYCdVXhia+aRWo0i62jXpf/TyWTYhxUF5hk/FRPTeTFFPOfMi/q66Kh9zMa3mkTga9A2nnOzL4XB
ARpUGHOP0dEvDg/w8hl1qnK0jyqQ9F4Z0PjnzafswDuAQqmYfQyuzsu7PukF0caBOUdT23XJxpQR
Iq+cAnIg2H3V46MBxHpJoauDkSCVd8zRi4Oy4jbd3roAMH2jVwhGBEJwGpcLsDuP0REMoEcj2jRF
wOjNj9XF9xeOYISHiiKdcFS1h/YXLSX2aXmZMTML4BN+jzFP1hD2v/CGxmltLToOOfGZNz97Y/Ps
9B+ObLDNUl0vBfG/n71LZu0mPdjZo2Mab8t7ZdzKxtWurYSTu2NSt24sGVdH3Un6mFGATrwi0NLv
tvkW977WqJKHY6lRSEVBBkIMkFssKHtaNE9rqVnFp9kMiughMY83KxS+j4qbjqks4JUUNopWo86a
ro1PSAxm/SGVkYKt/X54VUjiIA+Ciy0orDtgk0qDxCdlKEKrHe8zEEtK/HKJDFFpC3DkxA0G2p0m
9NMO6s5zZHq7lABkOuJ517Fwq+EWX6qTl6eeUniae2w3wF63Mm3l1v+idI4swfnnubKdaauhkyJB
UsQ9Ttl20MfAyNXA6J5bwwkiQwvi28M9yIM3ghnq8HcX5JttTCrW68QD5bK7s1tvJ7Hjy9t3+X1h
PbY306aoIqxnxricTdQ9qbe/d5cixPd6ormhZRCh2zul9Sv97vq94P+9eCSclpoTkRn24j2N5rGJ
ZydTjvo8YuQA/M7y4MaHIXr2ovhmDxd5ojNZQhZkJBmtxwmy3CZEVtgrZGiBFfUFgkVHGR/BI8qO
gnMQOb3jVYoVHd2vKej51eRmbkT4nJ/RGqCcK/Seamxi3onTRsfmvjS97WwM2+vHsXJDLgTwFZ7d
kBqgiqaOmuiopdk+7px7zIyx8k2tb2y9PUSGu7sub0WDL+QJF95WRkrtDAuilvozyboDSfLDROmv
62LWDsYE5kDjg7kd8CRdLqsbWVGTHMtK6SvYN2xJ6nb185hDgrgGmrwgiE5zkwArUEWYnPC9QPN9
cXPZD+cOcBGYlzCsFF6VoFgD0Rpmu0V0rHsApXZMv9mrxURxDNpEHQO0O4vUFzG7qbMbzzoa9abX
Ako31/d/7ZgRKfGEMwZ8L/KcfQncQVzZ5pHGxXNm0kfd6PYx8yQwg7VzOBcjXvCkLocO4SF4djbq
v6qsKZFriWCrAPj7swohyWmBZBwMh555LEDJyEgWzE4axBYeKhmB4Op+gTEA1spFgVQs9rVgi0rL
NLXQkzj/UDPvqUFjUJum++vHsrpfNvKqfNAEUBmCce+rtnPAdW0ftb4NmnI3UOdvDt5DhosXZjg8
7PLigbeCVKBXgmLNM4byMHCJbieZEVldxpkQYRmmmlNz6CEEfMwozbzm5Nb6Gw/1zwQIUWWVFm4W
xxDQTTm6KVL/LxyFCwGC96Y2JZo3+DaBSWzjPTne7fEM5x8DLzWvTiNrK9hZtaSpmUSOcTTK+W4g
ynauJJH3ispeSBBOWjf7LuIDlI6R8j4125oeblclGFcDVgo0fRpgRIIqlbTS1ZbYxzga7xQMEyhH
5uv97uYrgWkLJpoogGMEt46gS3pDOKd3ZB+r5NF8way52z+PDChGOoCRC9UGofiW20009nphH4f0
q/uiGO9/8XlACJHH4eBh8Z1ISq0shg56hHSx8UGmH9c/v2IAHQ3QTo/DhbwFxjM2vJzOlaIc7Q/b
6gON2kFlTUHpycrqy6ZZgMR0Dc81p+AHfkvYp1Jz6DxbnXJUybxVh21RPKjsmYx7omWBY2xUJMTd
UvJ8rKjwJ2s6ktQeBog4gtBZr1WFZbN3HOJ3Zltbs6oONL45EARgDL7b/wgRnvLYUDF6jQsprJdy
R2+GxoIrGBsHRCTnZF/o72SoSjKDbffoZJiF19VPWaJumz5/AqGrJGTmV0F4DoF9AJQHEBsHbdrC
VcmGOptJF3nHGf3yjvfDtsOI3hlfU00GiF85GK7OYFbSLFTnxFKJapO2xuMCx72f9jXiKK1GG1uj
76+r9/IdATuxzUlAwXCJjjXBSIIUPKnNaGpPid344aDKZnaufd/UMD0byBcgE8Ws1ahY1lz2eXsq
jJ/53qr+vf3n89mjMO8Y0w3W60sD2WEqzjgWbnPyxi9uEmjlf/l9wQBH1VwadYPvx27gvN08+tWz
HRhe7Dt+P2In4f0YvHmcx8iL3yb1rrZ2zc1PODj3sfUI/zkQVdx7L4+AaHJIfeoPjp1vvVpGuLQ8
3E/3HF66qSGrKpbyFX2KkO7O2QkIey/ZqtHNGcPL7wu+bavGdmRalIGyJ3vKfVIwiYDlJcPOg1AB
6Tpkt3WxPOdmWjy7RVudSq/6p+2mwOt5r4D5cV1Ll28IDDo3UKjxooQioloTdBGoRU+bUzN8z0wj
mIABjgAYyJms4LQ8kc+nw3bADucBAcb/fhbLenWdDFbV4jr3e+b5TMaIKPu+YC5I0yvEaPF9I96M
jk9+Xt8o2eeFCzFaLoY1Dk17UlADtj4wxcu/WQAAiyaiPQup+sWsLntoKha5anvKQRxe32mYTH+7
ADzeaOz5vBFiraQsepPMU0NPaf6t3RY3z2WFB4LbhlIsehj42N7L851td7LzqkpPnbtpMG1B8hqs
3IeLzwv7T2IF8kt8fkOtD3ZXdN9v3p2L7wvPJ80bI1IGfF8HEcw/lZvsrn9/7fdbHhwNmw/FQvL5
cnumSdPnWcnSE0225rTXou2oS/KPy2wRMGsasI8cXYs4UngROi9341lNU0DWTi4pg7ZOgjYFz7Hr
AARU+IOssXblTgA3Cpg1rBQmwohxsdmXtJ7dJD2pg+oXyV3dn65v2lKAB7IZVI4RqqA4KaJGhyZC
d6piocE1e418s705SLr8PBd/ZpImkqVI9ODzczrurHHyS63FqBZbcvSyVQg3Aze+KZFYKE7ML9MN
hg9d3ySu+ZeO3+UqhJsxg88QgQw+T83Jt8yvynbqvgHre7P5QBYVFXbESvDGUQu93Cxg/0BhQeh4
qsvKdyjxa8lTtLJNvMaHFk5kBJc4o5JiymCnj93JDszuleo3e/p8gg1KoJhsi4hCjLkbBdPm+1wd
Thp5LHMvSOLi9nPmwQQQGyofiCj6xahm1NPUeNOJkPt4n3g3ZwV5MPHn84JDmaRjnMQ9Pq/b711+
srfX1WhpoOCHgWADPRoYqgeP+PJ862piimWX6gnk9cp9qWq5j1SXCxRSW0t5PsWzRhEXM48RUdoW
jOFiqpBJEXflzJhPTLv7QrXD9aWIN+Lz63DvMCAcWTt4N5dLsbVpmNOKzSc3n9wXENdXoabQZm8z
FUOcaRax4LrA5XKwFBc8K7y+DtiOsHed68zo0yBDmHwr3W3MJJHwcj2XnxfejgTI+TSt8Xljwiip
9ptuouF4l8iKP7JVCNuWqUmtxRbE9GZQuf7sSTRM9n3+9zNzi4Aj9hqC7xceyuDTQ0MlUYWowvAs
Ad3F3QMKGd1zYtVVixBd9+PQhxo7ad7GVXHJX28+6XMRYiYkNhIlq5HeDDXdr1mQSLyclS3iUyPQ
buPxayj2YqSe0bHMyPuwU/du8ejJSq5r3weOAUULDhQAqvPyCDql1sqWJH2IDCeY4lL/9u0BQuOz
x8/AbdAEF0QHlZJrYEhAyJsKCXqB83+v7z93w84fOxwxyjoI1vHwmwBgCTrakr4hFuAToVXdKRG6
QP3IvcNblymn64JWdgpdhJyHDt4sn1d0uVMABlPc6KgNie1H8UaTuB6yz/O/n92FzHExVa3C5wf6
rgwf5q2kCJ/7dPbz+VU5//5E+mIY8H1V/a7VYRpe350ViwR4A3KyyIDz7mXBW1Zsq3GnrOhCELd8
sKrZOYPiK52zwwwCid+xcqkvRAnPXm7kBooJeRcSttP6n5Ruyy6WyJAtR1Db0upL2x6xHC3ZROlG
oVuP+QqRXG7RP/88kz+bJtoOTOkgNRrlu3CsB5+Uig/WHn+2miAlvzV21xLZstYuCxw9flDoalh0
9k12hWGNcZ2GVexEH5o7YiBkUmXmXUKj6WFM2XRPtYHK6BcWWGoslNNlAJT3H1Y4YTuVKgX+onLS
sK4z8wVTze0Ir0nhgDhjwFwXx/s9tEm3i6jNHitsfeIXSjs1/ujaw06pO8zRi9K5wCCTJt/VlhNL
3onlcUNnAX52eMsjWlb4388vR28Q0jLsi8cOzbht+yfbSjd1KZvSszxwyEHWFy0r3IqI4Uvdzq6V
NWka2u1jOiZ3hVJtBlBnEvAw5CGwvxI1/oQjCtYRfriKJD1cXWD1BT/EoyynaZJnIWsrtnfQA4sh
761m31fFYGwnHdyzrWuCrJGN3YG5aDOmmhbvMEDmOzCi6q+ezhi1pVTKU4FUhJ9SLwP6NGe/rluP
lSt98TP1y/3X0O4UMbTahM2UPHdm8UvBoA+9d+6ui1mxsZgdhdcI3FuY++YKYtK0Hb1Jh/XTXx1t
e/OcLWi5gzk1vPUXoBxPdJhn0lr2WOt12O6U6ORV4e2/Hp2fwEihH2JZdE50LWdmw+qQ9oFFN9YQ
3P59VILhKcEZQDwnmPB86B2V9VkTmuQhPXT5X2z++ecFsx2ljVUaDT4/WScrf2eSXMfK2XIWGV7v
AABj0ek55URpiaI2YW1s3HQbO5L0q+T7YvGJNUpBkgjfH7KNGfmDxE9auQHnP98RLmrRkqocQFET
mk1zRzvMYPTaYJqdw/UzXho6DV6w6iCeRq7d/qzrnRm6lNVTW6pWHRbWYSaWP9chserAS39cl/OZ
vRIMD5owbBMkJjY6I8U6bWFENou1tgjxa4zAbV0j0Ao7C7yS6rtEIV5QgWZqS2G5HhKvqDc2HXvY
JnDx/gR6vz46yfjdiKb89zyR9AUzNIZTyRKy1/rYfWGpM+6aFC+lGo+57o+14cgerZUTQZWGd/Lz
+B2V8UubNCi5qcZuQcO+G+5MzDc/MErmTR0Z367v1Zog9Hqi4gzgkLF4FMy8zB2PNDRsqqL/gj4C
9cEBu/3rrFWyvoiV48epA78JXglgUcX6s+GOlOSVUoTZeOiyu7h67MnrVEmi05WrwsEkSAPyJg+M
Fb3cOVQpMLUzd4qwIo+au8tkzcprG3b+fcGSMIyDtN0S30/Zq+49sfTZzSTXUbYEwWExWDei6xYi
VG0/vdj15vqRL/0wdMEgHAJFBFwxS4TdeHmnJ61tjCExfd38joqpqm/j5Mf887qc5TJ4t43KR9Qa
Bs+aXp5EO5PcsUBVE5bpgWyzWmJNVj4PrBifmQ1wKIpTwkE0OiNuYzZzOHa/k0N9a5cCZm1wlwUP
KbDf0CVBj8be6jM19vqwwcwF4724GQ/6HwHgJwK0FXmnhT/QgybRtugQDs1P3flJb35QgexHdhGB
L3wlpOoud7+eZtQblQlJoDgKsj149CUClhcBArgrDyAaahWGoKWDk8WAtLIxtDLLj+vQVY9Rfmvr
MDbJBF0e0EmAruNdFVAXFH1hqcOIFbaY6wn710qyvEubhKF+ILlB2g/0LCh0Xe7S3NEE/Ua5HVqP
jfrVreg288qtpb1fvwoLyApfBwJT3AZsGfdwBDmRGbUJI05YJ6H2L5ijFXNX/+6nn2AfOsSlJKJY
uRqQxqmNkClYYgmGIkFydoK0LgFHalgWf3EsWAzq8SgQ4pEVEytz7LmlOhZtSDXbf/LYrZzB2C58
H9UcHqlwMNHldvWYdVInSduGwFIH+haDmCTKy43DpYfAi4NQKldHZz1QuZcCwGvkELRDt6GdDEBr
vrTkpSkf3Dfla5XN2+uHv3IaF7IEHStyJfG6CLKUEkk6EijsVuwp3y7wWgDW4fFQVyRtM0fFtKdm
bkNLfe4a4+BmvT86GohTZJOI1taCpDyYeYDM5m2Uwr7VNEcIUyNj909r72Nnf/tWITyC4fLQu4UC
wOXnYwTiSpxmPPPhd87Wbm720wFGOvu+cBSllgA3FqVdWMwPShpQR4LgW1MruLfoFEIksEyYVpWB
cVd91oep+aucvjfJz6r+QdWPfPxtabIhRwuyR37sQPQDjwSHBOw/3EKf+dNWrwwz+Ba70Bs9vzC3
anpoXifwV7bqu00Dj94V9L76wVhQTcEQbdL8iPZgxG/oEr1+bovmZ/GnCHpRlp7X6YrRhZNTYcr3
c698TOQjVZ4zymdMWG04Jy86OV0Xu/IE4QKDHQPIVbiVIhUqSOCNOs8SmKFvzQdQFsBCXBewdp6g
QUTdBkrDC2mXOzxWqqGYoNcLHafdMnKovfqun+tANw+5R3al+/26vNUFWRxEDq4J3vZyKU91GaGN
5jVhZFkvtRJtxmp6629m/OCnhfAC2QgwNXAreClmGNOC6RXCL5AXKNVekQGK+X8vWle0jsIzg4eJ
ZIfgGpgzGBGUOKpDtX5sEnszTF8699GuXlrW7m7fMYD/PJvXCDmq8XIpRWVGXazrCOwTZmxns9T9
ZBoY5lo6MnJVftjCqkCEyPugkWqBwymIsiKrtMk4dOEAjqpvRTY2Wy15L6PB2OgsltGQr+whB7vp
KOABzwCn4XJhNsAfTg7isFBhgGkS8JDfu/ohmUFSd3PEhL2DOnw2p+A5FBzpJHUSs595Ijje0rYN
etfyrx/SyqvhfpbRUV5F5CHSSDRaRPJkctowKiM8TJukljVXcY0Szwa4OugBFHo5gdxLaTqWSjGE
bZzvwLTnO+n4rPbpoZ+8l8wpn2yDMV+NVYn6ra0MuEQkVT85EsWVUbTexL3udmHmjIfvii2jxVgx
CAiVMYQcQQ4Q+qpwU3U1njCuY+7DMTJ8p/uGccRBPGm3nw+PcZCaBPac9yld6lo9tlFvVMgdkq/a
j/mfWw8fGWe058JMo/dtATvn3ZxuhRpr2PfZA5yuByTKJM/ucpcuRQhuQ1c2btTAIIMvcgjm0j1g
bvcTRitJIA86N7+XWgY5iEZwKxHPLmCcHRvNyaANCWnUlJgHNvYgiY/MwJm7Z8cr70ztW8yaTaPH
W7e240cWZdM/MUmLHy4mL+y8zB78EVQk+9o2Y07r0vtlWZibrnDjnUdNGcpr+XyBZxTHyZHYqI2J
DkKs08Gc5piEJM33sVkHrrYv5umud8c7G2410JXXz3ql1gKJsMKckY4n+gRN6npGPZB4pmFGVS0w
tcwv9Ud/01beJlWrYevQePB1xTM2qWsD4RQb/9bMHOEjZP12aEknecBXHBP8IE6e5QAIiPZq4Sma
G4aaKlqxwjR9mygKTuqWZQ9ldO8OT0lr+FRTt239w7NlhcKl/UaHMozRJ7ukvei5TmZ9mJmTZaEF
Ctu5Gt9Bztn6yeDWftYar4XRbCR7v3LaSK0huYZ5ZSvuoK5XVY7ZymmI8Xv+1DzMVRYk3qFPrI05
vnfuzlSeMFNqY+j3FCTVhfbN80BHam1QgiNToOff/h9pX9bkts10/YtYxQXcbklqmxmPJY23+IZl
OzZBANx3/vrvwHm/WIJYYilPUpVcTBVbABqNXk6fvv+Dbm2jRONj7DHiN3R4qVlYnoHKYo57jpnE
2ybZJ2tB6MKtv/q+8m5V4HD0dd7xc1udeJMHTVcFfJW7dW0VigKV3PY5Gtv5OUntTVl9M1bJ0VfW
QRSnb8wmJ7Gnhp8nL6yLw2ju3DVQ3uIiwPImXUo4FWrqNbEQDWb1xM/938zb+sZKWLW4govPK/a3
gTPrC7AQnRFz9kB2gkZujeLmhgcbXJ2ycIwqKVQKVk05h8F2ROJohJ/T6Wnwy6C1t1n/gv+6ZJ9n
POJ56HYnMn8Z4zWCvIWrDEIR2W0Jo4/4UTFquW2Odu2V/Gz6LzbfpnMWunDF9PfoSFjxJxZFySdY
hhvIlSuiiNmj2EAqHFQZJXHU8SCO9zwOyv7hipIF7rQ/gqSzexE7dqZd5aSEIGKcvPJdc3j87jt4
2JH8RfLOVQtW41D3ldmK33e/49thReEWt8mxcBxox0GAIf9+8evroUVPqV3zs2aFmOusvVrfMOkt
X5tct6TXiC2RRDWQQkW+/FqMk5KqFASPxzRGro+acICO9/sbtbiSPyJuamKFkZm947Bzkm9w2oV5
8tKwjzdi1UWWJ6o4L+AJ/3cxv1/Kiz1j8RQPmEUPmIERtGwr+u2EoZaPTsyU1/RSimIK6rKpvLz3
2LlNg2EIirXC2OIqEIYhYAEwzXeVI+G6N2i6Q/k5nkMLGa4xyLODXZzvn8riwQNKhDQOoMVog7g+
eHATF6hf2jgVzCp2kk/ueABl2H0ZSzYZfGeSFBwQCYi6lgHfqLMmu8zPGMlkpNt+Dd+4tFOX31fW
kNdoZJuNJj/P/kcbDKIpkoIJUOXcX5uq8zvIVlQLZIxIRCHvBSCLul1llsWp6yXFmQnaBO5A/hLU
w/wNM9RL4My7Yu8AX8QtusvLNmgrEjQW2zTuo21QUD60z2EqMEwOcjZquiYVhHsOQ+HMjDe1u/XY
ije5oBY+PBo4NPBsEZYpW8r52FWVnWVnU5SvZRz/4H57yMZ0JZxZ0AzZdeMiUpYVWTX0N7MG2FfW
QAz98c1eq46vfV3+/cIOpHNdo5euzs7UPHL3vAbcXvu8otbWCChEjbTc2Z8/+xtHfLx/a5aO4BIs
pfz6AfOhkqlt2Nnu4Gp80OwPj/YaSiW6lKAsYEazjdlUUgLZZGQzfL6/gAUvHYUgGxQtgKSh31B5
upoevPmjlbJzldEADKJPLv9sjkfN2cTlwRzWIrKl48CNwPQhTIpAtk9JI7GJZ/Y4U4Df2DYOUOi9
v5ql40D1T06KQcH9xlAmht5nYy/wQmZllHvPTX6azbf7MhYMGSqMqJqBhASPsAoja5qS1BQcBefS
bcMS01Dj/gMgnyHnWnRf0u1qJLkeKnSyy1Qiqa6vRk9qH+4+zL7J652Zf+xMA2T9v+4LuT2RayGK
AkxO3WI8Kl58YDxDYX0gxVo6Z20ZSmAUj7HWkBESRD9gEN973w+donzYFl4vQ3mInabJnTyBb2TV
e1oe5uJZX+MSXlwHSuNou/5NqKgUTY0pmcF9geNwte08G8GAvn7ffDhKxTouhCgOy5j4JbK9EDKw
zyn9u45XkkbLi0D8IK+gdcOeMzNiV/qIfdJMHtZZBWYClAHbNb9oIdEh1/GvHBXOC3++A+c53Lv2
C+sCwqO82o3t1tsObth8xthXcw3Pu1DUvhapnI9t9nOKrmp2TvMmYBMFhP/QZy8a80NUBgtjK8CC
y9uHzcG1VOXArHGY22GE1F6SmkXltHdFQB4vdAIgg7ZFMM1hatvNiKCpbt2kLTRs5wA2//jVoD8e
NwMYEegjCJPAQbVwoZG66GiqCYQwNDDiY0xXjNmSnUE6F48M6rTAQymnM8cDRi6xKjtr5VPsa5GX
d7v7S5CW6trtI7CRcFUM8H7AOisSRncyZwxKFueujQQRocdeyvZpZmnop48vRuaOPZlahKOp4kCy
DLhwpxySc2IUG4s+u7OzspiF7bqSoCzGT+ZJtBokFK+1tSnd7f29Wvg8qjhysAnBC3NTAtFYxaay
1+k5bw5FWPKHgwkUIUCCiWYa6BRwOdcvV07m1NCpKM/V8E2Ai+/7/V+/YMSuPq88jJjMWdKmxOd5
Gsa43swZIufRmWrAL4DEE1RKCLokQZ7yMCKB3cde0xdvOomKvIwwfyKy2b41H3avr+UozyMZeZlp
HeS49dtQ4oH8+/5m3R41EkUoD/ooFgBTpFZXfScTgNjx9K394TjPQGXc/7zc6+tbh6ynxN3gMkgu
DEVRO+YOeo+uI8DqvL8cfdqyo0brHQpcf90XdHvoEIS4FKyk0FiMQr/WqaTi3pRmXXxutGPebZN5
66wFVAtbhRlPiKkAf4O9VddiFpY/loB8vCXjpvxerHUqrn1eeSpITqrC9PF5rfrsfS/bFZjVrf1D
8QoAK9S45YAfFXKf101u1mYj3jByy7LeaPbFF29OGsWPGw9wwiDilHBH3A2irMMGet0d7DZ7K7Us
sB0tcN3N/bNe2CkwTqEHBQ8G6iW2csF7YqVOR7z87T34t4MRY6r+t+8rd7v0e6KJMs7fyLwhwz4f
Vo5i7fcrdxro/gGlEfx+c9zzceutbM/CVQCSAc+OhWZtTFdVnN3KqHS8pIV4Y963SqsDmwFMnq5N
fVhYxKUUNWna5GNeZ0Yp3jQ/KH44nx8+gquvK3aDk8YrMicXb2DEmMdNQx5+gkArBqonyeWH5JgK
vO6rAefrp+INc1YrFk1rjC2LZ3DxfeWILSNuubCpeHMxD65HQBBma4n+NRHKMY+zhhIksARvJtn6
NEq9nbE2qW3Bel/ukorwYb0YCxeg0zfuuf3fEwaZn0mFwR52U8YbuFjz/v6py11RXgvQZ4LABf12
mK2hupkjCCu0GY1Tb/Y4YjY0i5JxV9g/G5sHufWlnh8loQXkB0MIgA+EMLjN6qPBzThjmAYv3mrt
W9oM6ywZt5fkWoD8+0X6quuosMyygprVJ6c6VMP2/oatfV/qyMX3bXtMimnEVY/nPSaerkIcb3Xs
+vcrlrZIWDV3PjYoyaLSinr/VTw6ZB5nABsufQTbgm9uKsY2j+3BmtBdckaCHOC7InvYmOP7yL8D
VYDWEfib11vk0qTIkixxzmb9Wu6dtb7522f16vOqrz+XZU1yrtnnoi5fPaL99F32BEqqCCmNndez
6P6B395IxGDg+QCLPOJ82Pfr1YhKdKPRxdNZRPR7Sbd9Hk7+iowFpUInkuznQQ0W4Z7ygGcgl/Yb
u9fPvDyO48Zag6atfV9x1ao6dU2h4fvUOpft0bRWTlzuwbUV8REIS/oK9P7BT5PyLy8FkyGZcPpz
XpwsPakPY1q/ghL4J7oFf1Vj/dSRlj759O3Bo0FXErgkgYGDqoHlRTkaavTaNFOzO+stCwoS2DUN
dPdT0v/9H+QAB4nsjJzXqC6vtrpR83Q0XKdotG76KKuikpTB6b6Um5uPVYAG2pTOLshW1RgtHju3
ylgBrFi+Q3mXupFVPmq8IEL2v0t2Igl7Ud5IdGl21ABL9xljtecw7aKJ+tOKLtzompSBMgv4azAQ
AXnsa11gvScwGYsAdBvvsnb/6f4mLXwd3aWYYyrBYrds2V4Dzi5tyqYzmsH7bVJt/qfPW8qP1/q+
b8SMzw/ei7Hr2KNuKLpwL3692ubB8thy6h6fb7VtsrHJ48eLz6O8CiZx2fuk/HohSvQROOZ07l+M
Yt8nh/ubs6CgV59XPERhOnEfu/g8JiB43jvC3qWPcnQBpY7QHrRBgGqiJ0yddOFoKRoqi0o/p00c
ZE+Tv4ZEX1gDBACDhtuMi6DWO9piNMthojp6TOMg0axgzKqwH9ZyFQtqijGZeCwAzSSSUvX6Etg+
Egi4z/o5c6JyjLy1BpilZVx+X8q/MLhjr/slHfH9Rn+fpce82M7pimf4m13lyqjjLFCrl+eAMuNN
HyAoxD00FVvzmSfdfND0styajSmiuOkTClvbnGjj7YjXfcHbMvxdmTODMzHoFQ84N41zqqV5SAg3
yAbsohRd/h4P/KZhB0YTEQJPmr/ShqZ/I2r1x4ATfdC2Jrg8o84dnCdvdvttT818h9wexm1MhfiK
BnbxPs2HcgSKe25f3dFvAkNzk5B7g33mltm0T5ldRr5bRa01VXbo6IOXRW4+Ndu40acNmxLthFjZ
2nbCoDsMYRdRqQ+UBhZgQlvMXk6+myMdTvFof9WafgxsgBIDpvfdvCkbFwBrMwl1YxT72a9nFlgm
M17QU6oFbT23ZVhrxP1MCyo2hKb0ueasDWsqmlNZTPPfCbH654KiT5tncxd6qUFDT2v0bQ2O0RD4
1Oot81gS1qJoAi8z+i0GBDRBi7aaH/rggrKkcMh5tMp5CEB/FIfTVDjvMczD+ME9b2RhKabqBNuv
J4Ck2L0daHHsHwc2sm3lJt9bEntr4OpbZcSjj5uLrBwUHsHEtTLWsyBt2afkbBFwY2DuYbqJnR/3
bc/thbqWoSr80FV1DcDN2Ugj/5VWD1tOfF4mmZDkAH2s2k/tWaVVFKNrnZ1Re2rCAhjQ//D7gU+T
DeeYxaYaNo0Udd4mOLoEjoNnnju2sgIHm3x9W7GCCwHy7xcWoUeTV2KMNjnP9k+wGgU1S4KKo9dn
LRW0KAi5S7RqI1y8Qbv1BJh2EVfkzL23YdxZMaaWf/HMtdlNS0qFCcOA10gzegNycHphDgPiX3Qn
NgGtnxjAuKz+eP9UbkIJSTMj562gERJul4rcqzimhtT1aJ3n0YpmNwuK8bUiB6P7yPjP+6KWFBjw
SgBvgXVFxV15m5tCH1q9G4yzVX0YtWO/u//538UU9fwxJQieHfL7CFiUoE6YY2oYcW+cOzEG/vSL
V8MONaSQ8iff+9tsnlj1MuhJqDXupiyfx/Yj2lSCyqk3c3428tehfc2rH9aMgcsrTs/SSf75ZeCv
v9bMuek8K/Gx8pQdqzmYgI7sV1znpc2Vzaxo0MVzCyasaxHCGVnGhtpER/xen57n4/3N/R3jqZsL
dwEXzHHQE6qCMnS90008adB5Sw/dwgtyU4QjaNvYXogmNCcRVdo71wPLXRL1w1aU3tZIf8ZgkkiK
r0W+N+u9tuaO3S4avc9g6wZHq5ztrqZSXGf2nAbB2ElndRjw1fH0txf9+vuKyS2NPmUNw/en6tdg
uRtitptJHLy2fzhiuBaknl4VW6QcIMjC0wTeaJ7Owf0DXFwK9glQPcA3bkA1VNb3E/RKnggpjiCS
emvL8jBU7dd6XMM9LImSrYawjiBTuiEe7RB8xWlXOGAiGl6dNtk1NQq4jS9C00w+3l/W7c0yJUXy
v7KUtEERc9tlArJo+8XCbcZk13Itxl7SMmRsAWnE8BrJUnl9tbg/DCROY/tUuRj32LbB2mC4pUWA
yhtVdFwgVN4U7yGnDHMh8N6cKBkDHVa+jIcNLs/9rVpcBlChcgYSnFoVmqdp4zRzsOeefNAM64GG
YS/3BSwuQz4jmFCE2RxqVsphpIntdsYyOoGZCXrEWfOh08aVu3KL48DEHeS//pWjBGGu2XuAbur2
KfXiMJNQ88zYWNVbh+5Tsen7Lpz0ImiyL5b36f4KF7ZQ9i5D3ZA7QCeYclC+wSg6khz9VCWInALf
2N7//sIOXn1fsTc0aUenGvF9rQstPyI8TD/fl7BwN68kyF9w4SO5KffTpIWEod4a3l8pAK8/2Fqz
w9I2WWDExGuBKa9IslwL6WOw0nrdoJ9c972g79c6Cpd2yQI1AQqu6GuGt3r9eS1xKtpZvX7yLcyR
6jcs9gK2Vs+6qQogKXwpREmsxUOptXqMNaRzjgDiu5iK0HWORrVl6b6pVo7ldkm/2d9kPz+E3lhn
NCYllc7jGZjwTTocEiuospV2hkURKHTgCQCnsqfW3KmdU2JU8wwo0g7hW8/3abdiAG6VCyUNdP7J
CT3ISaq+ZAJShNLi9gxcqBMa9ZZrr7Z5ysdHx7nJFMmlHPk7LpS4hn7NnDvz2QAv1d9zs7KMW/WV
w7wsMN6BhA74cEV904KBblCrwQpShbOI0Ah2/w6ufd+8/vnV6LVIXTTumWcb2wY7liBrJnLhJOCn
oV4t+VAlNPBaxNhSk3KHxefRmJNvDY/jU+a53wQICD5nPWaDcqswQXwCFGeQddq8le3Ngc/M55jm
h97Uw77SftY25kpO3of7y79VxKubpT4Tde32hl6MMEFp9d7NnW/eUD15Nd3cFyN96muH9VqMcopT
DZzsMOECz/2zFe/S5qyn70yfAl24lupaFAUkHBrRgcACH/r1bs+mZiRWy/WTw39N2efZzKJh7Hdp
cs5LsZKTuj1ZLMsBVhJ4X/Rxq684WhUbkDDm+gmcDFGuf4ulCw7vyvh2f/uW5cCzBqYCHZq+YmTd
DCxhutPqJ5HsDDcNC7ah5M1if98Xs6gM0oH/PzGKmZ3IZHZm2+inLqFhpqVNkNtaMBjJynKW5Ego
niNpv4EAk3fywmTglWJOUqXGyfX2iRmVc+D/B7W+lCB/waUEdDkbyOUZp9YFBjffNzGAlyurkL9S
1elLGYrhwwj7Oc9myOAkcKcoWyN/WdwlWFcJv5dT4pQIPZmQUTViYZxm8g1TJuGx+/2K/i4uASSW
0rQiz6TWX7JkKPye5sapFH3Q7z1k9u5r1JoARaPMXOd21jbGabA/d9u2WaHDuu1wl50zfxbw++8X
50yEU1dmV+Gcm/y5Qv247fCcWu7wxa36veOhX3jOd/HYfs46N2IaBuUSd6ODUKZ0+IYTdH3xHNMM
2BhRDB1umzQSvFyBVC9uAtIBkigFe6zWn0Gnn9Z26Runnm68JEIfxX/Y5D/fV214ggmeU8wd45Qa
O5YeqjWLuvj7gZFB+wdS7zcTYVGVEEkfm/j9zkev/fDx/q9fsm3Ew/uIf+Bwqa+jM/tiqvPElA7k
YR79cHJ23UA3w9BH9yUteZFoN//N1IT+evVCmV1jW0mjw1pP7OD62cbI7cNEvHAwtC6YRjRLe2uU
8Yuru5CpvEZ25jXpxCETBbJA8w9z/mxaVeDWP++vbdFYXMhR3BgWO9kkqlk/Tfkn8FXY9tck+Q9Z
CxCD/dk/JeDqjaaFokEGsk/vumF61xkoipWoucRr+OnfBakb43ohS+rkxcXOeOfGUz/pJ31MIzld
kL+41SZ1MJdgKjczhqgkIJrM6y/F+KnUEQO83d/PpXPDREv4D0jDIHupvLitns8WGHqwnzZ8svfg
4scE3n5tLNOSRmIgDJwVFPHxP0UKKRobVSmscqDvOHtft++0/kNDP4AcZqM3K2HNLb81jOWlNMUY
s8qKx3GANHR4PtkYUJGCbGYkVQgfZmPo5aGy+32RlpFX16HuzV/HUURtlex1y4i6bP4rqb2wraoV
83jbl3H9u1QjPpVJSy151i4vAt//acUH7iLL1wW62FPuB7rBNvFaT/biCf/Ze9VPpJ6ZpnGFm2mS
KSop+eQMWlSmzSZha8Ml10Qpl7MFINYRHBennbb5cCyHqKj21lpb6+JjeHG+KoHpkE9zhSk9+inG
VD1mjNvYEUGZFS9GHQdTgu7jBF1o6XS2c7FtRX5sRudpqsB2wbItS+p9jVYIRnlkJSJgbKzDKkv2
9+/VUr4IM8sR9YKdGwQJKpvrkJZ+w3yp8uKpKDC/UNsa5NDVL1ONjvgsfqEVfM+8CkaUQO/LXnrH
LkXLyOHCpni8Sx2ov36qmw1/Ytrm/ucXLzOIyn5n5YGaUUy9g3qthnAAJkv88uGkZ1kXpAwV/far
NX6jdA0bsiBPjpMCZS2CAmATpNZdLIfz3m80nyEpEm94sdV/leNusra28SFZAxlKy6BYYwRTkq/R
AqkcuMuuRVHBdd+hGXbOmX7V3hww8M/kXnr2Yh2dWn0WAaq5HbVpe39LF141yMXyYCFQx1XnUKKD
htZxRvVTn+wcFtk0tNamky8oxZUI5W4icdrbHcHStCEPjeozkHWPq92VBOXZTPW+dnmGc3LBIAQG
GHAo9f+jCOW1FLk2DOYEETF/a5qn9GGULOZbyrlA0GpcIFfFCZlJkoiMCcTUzIz6eQNMTPT4SYPV
DQBQ2Uh+U49ue5t23LfmU16Rr3wQEdCBP/NVhN6SQnkGwnVUKTD+Rs0Zs5qyNuPufNL8J9/ZVVoa
zGj6u7+WBXMPJuY/QpTT0HJYYRRF55PnloFWYBwHJlgbLzxdMThri5F/vzAAIh9y5nOCxZANbUI/
Qw/jioiFZIocgYKaNxDSsu59LWJEAaZoiT+fEuMwjU9wufpPg/1wMhTM1YBrok4hARs3ydC6dajb
6/NpMnZ1vavzHaA9949kyZ8ENTZ6vl1AGcEIq+wV060Gz9E0nZhp7mM9CVLeve+A1umZu+kL4M0N
c5c13a/Wap5dRsK+zsLWWjuyBWuDnwGcAvJSYKJWoSm632seqazp5IRM8JDMRXh/oQu6dyVA0T1q
kB6QY3c6EWCQxaYk3xuhB1n9KAcj1BvYQbSWoGET0AtlO+MmKXtU4sC7D/7FwOcr1mDJSwBTN2JO
UHSAXVftDkYhuQUBoDbBlelBe8v2lZWFhfvMLW2LVtdgMl6dWAS1fdTdH4/vIHpcgYoBAAPvqqLy
XWxyJC1069Q429b74ZYU6f+ttVLCX7hYqJqhvgiSAJRMVUagHsjFueKGdWLiJWvrqJ5SkMP8ygs/
RNX0P6xIUpphNpqDLI/i95vgQLamziInb3g/x9+c7r0wgA5jaxCZJd0DyhO4H6BKFvIEtUmoECPk
sGZD7KemCKwuQDPHio4vXaILOSootplM4fZooDoN3qubVkH38EADaPelAMWTQ7EJ+CgLAnT+hA5b
sQbhvyUHkwJAECFRwwRYIsUTTQcKsr1CJ6fCFPqusbs6KI0uDVDxzl6sBHmieG6qXeUU38xmMAKE
jmXYAEsQ+LRfKxTJu6o4d7jGBq6xnEWGlOy1jc/s2CqoNtinon2pMLgjfzHalRBvWQTeXFm0R2u3
YpW6tk2AOijtk9OU3wRJXjy/ADmxvbmv6IuKASzt/xejWKWBJ3RudYhJCbhuvSEa/0M+E3v1R4K8
AhdPbpZ6beo4hX0SmBO8Gc23+wtYcOlBhyh521DYvg2OUmOmaV4a5OS0kR0/kxROypbxZ8xiXIXT
LJ7JhSxFB6dmxFOBR+qUd2YgzNArgXNdSxktnsiFEEW3uq6eWPNbSBv+1B9HZ+MaodPDBvMcnFPV
cXAYitt9SmFwcNZWob2Y7nS4fyKLNu1ChLIAdzD1XKtS3FRaeM/orW1CRwMNdYNpZEFJ8nH7uDwX
KX8HEGe8frry+gCv1TidnkNeSyIMcAss0oUYFRg1j2P/sWEGZrjJwj2GVihGzp3KUfPLkpy0al+y
/f7+OpYOHk8bXgLEPmAHV64itxyRZUYCEyoC7Vu2Rh+ypLyXn1fuYV50zpTKY+nJxuaY1f3ikRWY
4ELMC2fxzwqU++ElWYzhbVhBku+Aly9yVAj2ubZBY3YRjGvD7tYWpOgZZnpkCbiCgDkrPWTAXwfD
ALBvd/9Q5EdUS4/ZM5Yry5WS0enaeoEijLS5xcgp5W+9hvGiaA1O7O+m9an0jhxm4L64pbuD0j0Q
s4jg5YCPa3Ho9699EKoRIE9MQPA/Ob0WpQPDoMLNfUHyQ7fr+iNI2bwY3O6iMiFoQi/eU8PG9x0F
axyn4lOGbEbkVdaar7Oo36AAAIuoIf9V7mnhN0PJR05O43j06CbtVny25e8TxKhIfqDJS7mdBR8l
idVMTjbdlSLwh5UtW9I30BLCAphSx9X7ieJ55YmyNE/WsO3yLUoSXKyEdUvHfylCuaOCDoNAC5B5
ohjhMEej+VRQ9EWsKNnSRoHxwQCnAQbyosh2rWTdnIC62jTNE2+rOkgNaw79tloDBSprQXCKaQrg
okU5FjR6CCCvpfAsHYvJ1dxjS1rnQNlUBzOd44i4wyd/ZM7Kq/M7oXah0f/IkwMAsSaUDFWAb4Ki
ptuh7H9E7E0/2DZN3guzM85uZhm/0tlvIzwf9ue2QmZ+LkyzDvQiTt8BCZTxoG+M+lB2qffOS60h
YiAxP1RU78JSQ4czulW7EACnEf0h3A1pUw8v1J6N00jqJOhRrQ1dP/a/VLndB5luiKDR07W8gqJ+
v9cnS9sWknswsmr8iORIkjkt945pH3VNhV+/4e6H+1ZhWQaQiXJkPSo5N1eUODHIPb2j17lh4o/b
rHqPwbsr+qfYnv9bCXiKMdIERP4qqUatx91QVcw7WnMdDJTs44S8Ise1pTzVAsPVVh5WNTT+RyA6
GYF7RMIEzC3Xqjh7cG7NpPOOeqF97VMLDB6Az/PsNM1mE4iMvkPXXaDXGrJ05Cz8fOVaKxfuRr5i
bHkecz21B+84tt1Tz5Pn1nZXsgtLtw0jd+V4UNT2b7ruhqSdawNafozBWPKk+Wb9Nhadh3iIeweL
jmRlTxeXJNkykIXCbGx1dlpq9ugiocQ/Gqic8jlkgPzd18U1CcqmiRJ8IhVwdEdr3JrORn/stfjn
TBAwgAsSZChILFzrBB3H0c9p4R/7rA+0qQt+3f/5avrsHwGYnCUpU0Ezq05cmDStLgZvRONWvnOS
p+6Xmz+jjy71gnraDN/jaVMWyNNE2l/3BStO2G+5wKxi5py0Euh0uF6Y6c1mW1SedxT6axZ/Mu0P
pC+CCpR0U/FlmL93a6onD0I1vAhQkYqGy4L+d8VoUM3HoLCM+cccNbGExS+mlj0VmQcyinrqg5bH
9kaL2/D+MpfU41Kqcn5+ndOs0RL/OGbGh2zqvnRlvZaVXtxKIBgll6fM2SkeRR4TlmbIvB8J+vx4
jBnaGQu0+a+sPXXk3DWgQBl/3F/WkgVGyRmVPtQObhNCg5v2bkVtWOD8mfCdUx8wf/x/EqHmgqq2
GbISKbZjwth3vzPeat2fAxq7j+Xr/lFE1PaQIfHQnKGGmnaWkpKjn+qIAuYPyy4Pec9piATPT4P5
fRCXRN/dX9miJnrAF8qphUiOK6pfAisD9e+9Y+zG48bv2yny0SsJNjmWhXrb6ptkrMA6RuK1wuLS
k2Yhr4uLh+k3gFJeX7pYVPFkjoSe4vlQm+FIo9be1fzgiv9gtpCRxIwzmfwHtOha0NwD1N2XNT2Z
wOBYz8ReSTstXSt0cqAHDd3bIElVLnPu2U0tppSeSPGsichfC9oW3in4/qB0x+BdIJdUOjCmD8jV
VYl77Ptxl/Q6qjz2Jh9P7fj4g4hA2kaoDkOIXJ2iC32r1UbVD84xLpOgMNhBH+dDR16EiO4r3cKO
oUACdwmHgWZKdcdSuyJ6obf2sWNOAO5rf1rLCC3YBPDvSro82bthWMpLWCegvpqZaR+JPRwri38Y
tPpDK4rHvRTJIYnuXxC1LWCuCe/aGdCeIxuea+tgPsgpI+2BdExQIkD8ZOC/16qbVkaWN2NqH3sr
4tOuWGMNXbj9V99XVJclvDRtDJ0+6sOm+Jo1fNPUDCwHQIgj++StYU2Xzl0OYgSlmnxl1Tofii18
9phPjmQXJ/ucr9iy3wqqPKvADwA94CH7cOuLa3ORlehJJ0djzvTXMZ79vzAtGn3kpOqfkgImBi32
SOLkCAmsLNdDNI/6u6KY053XeXjxayvfVb4zvvhDrq8o/ZJKoocJhUG0hSIvLzfnIqmLsaSVPrst
OSaDB+o9fW8nRRG5Wrw2gnbBsAL7goYsZDyBpFNj1UzorIydnBwtcNtDSIC0RVgjBDLSnWuuVRmW
rBPo/nCVUVfHiHrFjINFayqzKSNHUzuC2wAJ0iTwyMdVvuslVQVEDmUswDQwvUmx4p6XNyShlX00
/TeKnmVTfzfrHzl5KbTnbs0hXDorG3bpd1+/fYMIKSkvnMoX9tFOhj7UdFDf2GnnRE7l6o87Ze6l
KOWKA9rimEXGYULGN1KefWfNI1tUB3TxSm5M7JzqU4A3pfeGGpduEF61IWCvjESpTwfmAu/W97b7
QmntrVzFRaEgwULACnaBW7htJjpvRPL5CNanKBYJQNCblHgvbX6mbMX/W9IMYBsxuZsg0r+Zs2Cb
ZZPzxrOPuZn/IrQMcxf9LLXxiXjtt2nIP8QV0Nr3X7AlBUFc7MHIeKD3U2M5zWynwc+gjSC1AH7t
aJh7jLtfsRhL5tIBXxnUHQEqOnuuLUYeZ3kyVDY5NvkrmCYCZ23G4eIqCGAwjkST3eAuOuTrrTFx
ybE0I73YVmaQ+tv7G7UQD7ggkPpXhGL1mJHW7owS9bFDJWPKtEBL3ahvfvXua59/6+dk549f7otU
EYq/X015eZFKM+EEqARZZdo1XebjGQA8pn0/jz19StEatUMvHInsssDwEicZg5nNejj3GKdbe13z
WheTCd4A9rN0y/HIk6hx6LaoQRHPktjdlUPDUaI3PRH0ntc+OBjt/34z2g9B6OtYN7N7iN1btYum
46M3bjREgNbeR9bMDfoH6TT/EYTMEJxVNLvdlExIz/KBU9jrpGIBWFayAHRWa3Oplq4/MAB46X0s
yFMdPFMvTM2tOnKc9c+TCavj+kFffTfrMmDGGgnE4jX5h2NT3hLVP0aZvnP1YSZHfX7vuQcwOt7X
p6XvgyYDUQoKgLJr6foaNoJmiWbCSdLK9GPNh1ehryHrlh7RSxHSxF34BpSOeqs1MTny2kSbUq9t
qQNjCRd2kwD2eH89KhL6twrgZgPVKbstbmZPWpYm4gTZ4GPSJE5YgMbB0tpnyvLN0FlfNWG9S7Nq
Y+bpp27OV+pdiyuF2URYCfcE53W90nLONGOodcguJB6lxrhYrYUDXRBj2Npg8Vl5HJZMHNKlmF4C
FkMYa+XwSpu0rShn96jpRtAl1m6YzID54+7+ni7pCC6V/ztzjyKx/PvFAaZFbhmN07hHpzrG2jtx
+g+flzN8kKi3EAvIXb34/FhZLhUYen0k066K8jVOjd+YbdVxBi/ev99XdsmYG5cThu+LzBZ2QGqW
gbRkct57zCAsKNPY2oFGasqClLJq18Q6Q5ybxcHgUi2s9EzshJnRrcvdIeQGaGVAa9V/ceqanfxi
YmFT5+OhmAp/n1RIHlp+6f1VCBof7u+T/J3qOjBABnwNkg/upgcqcbMCDRu1d+z8LOQz+IDEqaQC
tcDkibA1/solXZZtjIhmMLEK3sD1qYACS6+bZPKOZbEn/qfpORUn09rfX9KCAqMiJIkPZO3pxn3z
y/9H2nX2yI0r218kgApU+KoO0xNst8aeYH8RvF5bVKZy+PXv0Pe+u91svuZrXyx2scAAqmYqFqtO
ndOaJrdQXyiLz8BihhbIrRxdlV5nRBoJSfIBcjV4FVmsvHPWu2VEHSPQjERxRnzwSOJKhsYVNrII
FU42MViWfavjgXcEGPplCbotLZhOfUNjQ07Uxclqzu3qe8e5ij8n/fLk5+vL9QVRrDqGAQANuGJR
VZK7ZN2UJoPTYq4K9mJVr733ua9e08/XjSjHAXGfAElUQb8jFuxkrgy3HTIAujCOMQRv6Y1k/+IG
QDUTb2VcAygry1naBIW51R9b97hAKW7Z1q4mk6SI+s6+Lz1qGrOeOFIX7nHk9b7yysexm57nqtyO
tvsBJJzffSv/CuC0xqzYpvLxx9bC4xevadFtej5rQLVYQcoa/9hNu7Lakvvy3WhC0BzGsSb+V2wC
hBr/sSTvs8zIfGYWnX8MGiNisfs5pvyQrPanzFr+vr4VdKakB7ZnxwbL0f92hHMLi4JuV5+HKYjw
0uWv65YUm+5sUNKqmZU1G3UG77nQLcD9oIm8/n3lSICGF8q3EFeXN/VSjY3dxHBlQ0YfGq8Ga+1u
6OmHOTH+ZCOcWBK/5OT4zG5qk1k4za7/XlWQXw1++M68bega2t3fma48oJy4E3PS9enHrE4rp4BL
cAFy88SLQeM7FQ4arSn/TJ3koCmJyyVY4HTq/LC44It8K3RBgG4Q0uFJsiVr8cbBRTM9e/1fjqMJ
kTRDkHn8cSOMHmOYJB68gGSSpOhnL3Q8GzLm9XdsezJRMt6sbFq/7ZYa+b1uxuuNvzgQvwVE6Gms
zc/E7z87fvOTx8adTdOd03kfamvcXd/m6oGKoga4B9wLREAxJVXvW7N35EnwMWu8uyRIvvJJBxbR
mRHrebLHk5zZTmcsAIsEw1MeWD8AyUbV19IcJaUZNJX/Rh6gfVjaFiakSCzfGLxjmrzV6Tee/CpS
TYFG6RcAJBFYAwAFZaq8jIERhI2Jf2TGB1o3oUuz0M++WMWX6wujAjUg7fyPIekU5XzoJ4cDXxMv
7bbp5o0PNqlu/CQadKzlLSmjfvDCrq7uF53st3IagSBFegpFL9TbzlfLZRA25WnqH6v4w1rep84m
0zWBKw/wiQlpQ1i56aZ1DxMdpDjGO9bcphD0r6OFBz3EVhCXXMjS2AWYbhPwyR3T2PvKs/HNsuPd
n6wQYhJhBTw2MuCNdoybNiiXjwn5miRsDg3e9JuuSovQRdNsD/pi5i2fytq4H9d+P6/56/VfoNyL
CLgxPhFGyC0hhZXieUEz7zg0YUO37nsBxIGufUYRHuFx8o8R6UqPOak8w4GRySKcbcnI/0IvQPVW
9970bARk+F6tyQTS3q5Hb2e8at7gyjoJ/BPUKJAWFq1255uxACLLykruHU205rI6v/NGc9vHw8a0
2i9AWN4tbPnBk+xve+7uXS9F+8j44JdjNFrjQzn4v67PuerVBpKq4DcwBqdDnJ0TTzZNyQrhqdg9
rsYAzmHWj09JnZZHknXLc8cC5y6xwH38B0YBxgGxB4BbF2AWY0lzMpPcO/rFQ2o/+s0WlXbHOaw6
9h7VYsOnoQUDoBaAYqWTn+VVVeBHuEcL4VWYunxfUGcIs2p8XseV7Bar3ifmcAANy/PtQwRYBx4V
Syz0f8/nNQn8lLRrghui+tY7P3j3wR2avRscFl3grXI9p5akyDFb48ZtFsM95iWocTert70+ElN1
LNGqhe2KtjYQzEm3EImLdS0G0z16BS85IMWpvzWXttm1KXo9Vta84s7PQ6sh3W5ipHjgJSueJtrx
aJjG8b7P2HJoUptvFmNxd03hajI0Kv9+8gPlB4HLMsO1BqzyYmcPfV1vKAh8ufsHLvjUirSiLDdz
AzBnVOjRhdlvbV3eVjkKXPLw8C6KDvJlX3QOiZmNyx78et86J34A7dp73OsykKoDDw8P2jswrAPV
IA2jAFTSNVxESAGtwWjEN4wvH1s3/mFW07vd8hv7aX7fXKf2pO3p9QHtjdlE0nEl27isP4KRQRPd
qp6eGAyyw8Bqg3BT8mF4Zffgr/NdgJA2Wbztmv3kol8+tNpHW/eOUq7SiS1xWE785bjY6UIr+EsO
nDOat1yz2Vi6cF154pDUErLeCGTlui40w+MySZHRNPh9HbMQKlyHJjNCeyzurx9u5XAAK8TcIZuG
It75cEoIly4lnbxjbc8/+IIS8up9BqhDs0IaM/LNjj6obG5amDGd5dg4KfhG/B0aSL5cH43SFXog
hRdYQkhLi7+fLE5a5XOb2gBUmfH8MynqJ6twNKgT5fE5MSHttaav0ELfCBNIDtGNn+8M46mdoS2g
yUIp9gAWHyV3oClwf8mUTyNb5gm1MffoZmm4YO27PWrGjfNyfcoU44EZB6QWQnfhAoaemnncdDxz
8fIk98geOKGLHLq5DHub9Qd75RqUneo2EZvaQ6e2aIKTC6sNy8lg+LVwo9azY71x9iN5cot123gu
e0bfNnvoC2aHazCQTVaaxxIaCbGb1eDDK8j3ISflPRiXdclLxQ5FkRd7BslkTHggbR2rHRoumDaP
lvtoxF9Bbb+xUQL8g8kGJZ7A7yKBGUinjWV2ZgGFAlpTCvnjxC7uVlK8rJX3ilV4oCg8Xrcnvifl
5Hzc2v+258nqLLzx6zXjcIxJjhBy6w99yPNN5m0WPwvTcdOuGneiOIB4X/lobUN5CXy90iOvRBI9
7b0ZsQikhMAtqAmqdJ+X5m/uc68iBJ+nw/v8QLw/+TwKF4KNVHTMSb7dr+qxJQY+X3qPQf0R5dnr
y6H8+SffF2fxxD1NCJeWLsb3i3vL3Dfp/vrnVattI9JFGwuqvxdt7ZAeMTIEtfTYFWUfdq6/Tdfu
K2g/dtU07qra+Gn6Od0Yoy4yUrmqU8PS2QmmAAkfawEIhGebKR82I+Ubx/ox+fH2+hBVMwjkiuCR
gHTGxXWVV5PjAt1CcdO/ggsl0FxTms/L19TUlNVkNfh8RqCMnrohuR2uireWSPTC8cG1S+8Rt7P6
cRkm++h4INrqAC29o0uu68VWrQf8K3rKAAsjF/mOniV4eXDDPlrlXbHup+ZgdQcUAq+vhdIKcPuA
fwMie7HdTDBOm8VYW0eOxMBse/d+CUH32ei2KGbp3LMixEPiGi1auAlB2CbjiDMgosE91FvHbrET
dAZMD6XtvTVD/bUFaDss3CAJWzycrw9RdaJQmiUAUYD0AMiQ8wNb5k4yO/lsA3rOHxvgNH2OlgE7
+76MxrQZ0vrdDpCpH4rgxubD30UioO1ENxpUE7Hdzy2j8yxf3C6xj2QYvrAyeMzXUnMTq248JOTA
Sgemrksx5Sqdm4L5zD5W3cFYljA2tgP7en0CVcsmsKaonYNu4YJXckwD4AKCGiCnBFmF0JzKH2XQ
xKFVudUvq5/zQzGxZBvXNtldt6wcHa5y7Bfcexel2wq8ezYnOANmN4/fuN/Orz53IbxkTavmIChN
/QZaoR4NAQbpVipWd7E8o3GOcV5/SP3ykJvsIa4zTaZW5ZyAtAGe67cZOYePAv7cctbCTHnXVJtc
xwClHgZg9GjGAZOIfMTMzOvq2cX31/ZDszwM8XfffPmDRYFWDN5p6DoAWvh8V/tGlXY1aqvHsW5f
KVSXgzT+uxn8/86MzAK6os4VT61r4x4H42ttsWC/4MZH0oK5mueActL+GdHvrPfJlc5cMqys8u0j
7zeMMqSYQPHhajaYKkYXEjv/nrbfdZcTIx3S1ylZEkCrUxc4QbxAjUPp1c5u6YZ8Q0rgeCZbC71S
DQ05OjwLoYkEXVXJ+a1dXAh8unMk5c5wDiz5kOWalIrSBLBIsIALHaCo8/3AhyV15pIAv7wW71Pc
fLQLULRnum4XnRlxk53Mn2smJaO17RwXo2y+5KmTbtGMb3ydVnPYaXa4hW/JITcaepHBgUslFxSB
s0lK22YJPXro+AkhUTaCezHtNo1HC5AFJln9VK7Lsq+rpgb7Q+xuOIdkRxePOQ72AsBz3ueH3jPK
3ZyYdAgnQoq7bpjrjVWT7sFfzAbcfP0Urt6QPrh1E2UcemxQ5Mn3PZheDgnajfYkt9HtVQ9hmaOf
ZHFNuPfW/RF3dl2FdO3jzTTVboiARHSeT8NmAi/FT6O0AEOtyTdqEOMdL0ZrZ7Cle+qWGcEwiojO
PnbQKYwEuhkKBqXPNAbpZJaydOtUY3/f0jrdkzHWJa0Uvg/ofUwrihNAF8kPeyO3kjzxAAPk5m7Z
JlyzaopQBp9H74IQ0YD/k/xSO/ECCLyZHpvuibCorh+79pCWukZi5SgQvQj+dYQVMpgxh0a0h8ZT
eizsjTuHILXVbL7LvQd6PYEnxgMA8Ftpn49Nl0GDq6PHkn/0+pd1Dfv09ghZZNqAVhP1GfATnB+l
pkftqesAzi+dz9bTmN0ek4C2AqCYQBC4XXQ+LwkvrTku6bFnfzUTpBTBkmOumjEoVhveFK0MQEJi
quTYqm7SuXP6wAEWKtjadgk5xxYttUaYgIj25hU5MyWtCEuY0wQTo8ck2BTuhxZJDGt/3YTqckDK
E/BBG8O5QHYVWbBmhYdrux77J5Ge5nWcgO+OfqpG39lX1NdUsBS72McGRpGQWD7kraQtAF3lpBsM
xz4CN/fd85Y9kGS3J/TPTEjTBsmceBwLG6GpaW4Xkz4Hs3kQKMbrU6eKTgMY8l3QPgimnPPNvIKC
w6gGzz7OU/nam/xhbdc7t3SA9md82ydDHoIqXlPTV04fXCcSrmDaduSM62okVj6meFO45TMY4eig
mTvF9yEZDS+AkeHZIhf0ioXSfIAuzHFx0XIJebMW3JTX501xgPAyETViCDuAW0gqIdRzPBj1jKDH
9YMfidWTz4Nd8l3JwVLpTKZ7+6MZVTRU8KiHB+CFLuPUdxC2HdG85dkgibbothk1bkc5oBMLYk5P
AoTJgBzYVMDCwGLI9AaHwYCM6rBuvKHShdnK9XHQhSZIxwVh37mtwKiHVYTfR4ibNZ6xi+mNqlbi
7YjY4j8W5IdC7i7Iw0B55rhk8ffEBaZ4nvibP8PLXd8H4qRLsQ6Q3Tg9gi4NHBzS+YG60tQWcWwf
p57/NGITWi+gVA9Lq9VZEpNyzZK0QBwNrSuUceyj8d5nO+e1yzB3myHb8mq3LpoTqhwWti58G1wc
8pjnK+R7NZpzVoTbTte/OhmUp0soAi++5rb2FKEibIDaWXhtYPKkY+RYawuquck69jMotBZSAsTs
lBQtoN1wTHtKtyDBItAvXu1nO+2GL5TMS2gj6O9Dt83mMHa9RshJJ+3fJfB9QGnE496i/fxe+LO7
mbPOf7J52927vlF/gQ58vjGTmH/GuuWP5Qrf6qQd3Sx2ww79GIMHJl7Kcm/FTvUItYnZCz1eeRuP
Oe6hbPv2EzXa4jFIYrZd8sPaD/ctGjyhd+EXW9AN3CUgk5/NDSS65yTeVq7/mCWN8wHxIJLcJW+3
BNw6z8wO0PhgkPbR9Eca0c5PfiEO9nc0yLp9m03rPmumZUvoQF/5hMB3cJt0g6jK+7XUQuylzqzQ
4oOxdZxu3tmxX+wBmk6f59S2H4LYarc9uGY1y6XyEVAJQDkGqUdoXIrL5MRHOM2aNehcQrcEIO3P
TbKtst32+nlSmkAbAyh3RYf279LJiYkubpljQ/jw6MY7r2wAMk3DMvsx8u/X7ahOE5hE/mNH2uAe
WMgY2jLokWUvjINYeLfyXZ5Nm3Tmocl7FAp0+TvVmTo1Kc0e4BdQOwYDwjGY9gAfuus+GffXR6We
PdBRicZ20ap6vkANRUZrDkbEjgRPnrRB2ht0buuUfTUcHfGVFHThySpKs+g+EHopQpT43BZJuQ14
TmpFCJB26ereBwVCSTwvNz1r97bXbK6PTbo0/mXvXzQRSAgiB3Rub4oTw63NxIpouWFvo46MV5q6
f38eLg/JJTxdZUwS/HWwLmZuRd6SxK9eOdu7tm5LRCeLY2wCOlHNYVKOR1zmSFAjDS4HKdNq1KZj
dxaEj548/hGYw+vzJW23fw0IRxXauagxXrwXW2jVV31JrKgwy23DjjEDiceN3BD/MgLnDX4LQAsv
Oupbb7CManIxa5yGZHW3dkz2Tv7J7jQBkGp50HgNPQVxs6N163z1u9ENFj/F6g+jWWxymr9YE4ig
LBNCjHZu6qhqVJv71JyY3BM3hIvHzcpBmKNfmf9SlPu42Ffjix28375KItQRBNOCE1W6AE0wxuZI
oEN1aHj3pm/xum9TTYZJPXX/mBB38MlYGgtif+sIE157nwY7vt473T168a8PRHKov3fC6UAkd2BW
nZ+h+8mKoL68zvvkkXF0Z92lcWj/inU1MKUxbGpkKtCecgEgRLrI6m1kRKKy6Zd7gvjuc0Y6D2yy
pXlPwRIF8GQzuVuQ4GckjONZBwhTzinAzOAdEBkA+fCCqymPGYo9kZkMH5o2/2vuYoh5gOI9HLW8
SaqTjFrsf4yJH3OygIgfPLoYBTxfu2v/rrID8lfXF0/lixCAAS6OyjXAiNJ2R9PdWgfCt470OU0/
uvX99e+rR/DP96URFLlV1iXJrAgPqrCz/m6rw/IHYnh4h/1jQ7rRyyVbu2CEjS5e581M1zfsfJHK
G9/+u8FI9/g4JENmujhPAF3dgdM/dIxxmxrb61Z0SyJddw2bs5k7sAL/jgds5x3QufInThUN3wKA
ihKRnIwrgeTio++Z2Fjb5INBNu2HedCMQ7n0Jzak2fLilhsGmDsgq/aNzfvePAzjr+tTpTSBIi8y
cuIfGWcK8r8kN2tMlVU8VPHXGskLMsWaI6IzInlR3luF2dsxxkE/kTYIs3nnpLoqh3LRT0YiOdFs
aEBeRmEEZCYepA1up5K2hdoX4kPBgE7k3sG4I2M2T9SOOkTw7feJ6IKOywHYBJgEtDoj62ICAnPu
qlZiQQPKAOH//LhyN6x6XcVdZQBN8NDpAFgPWWrpWMTmMrdGTp2IZmTnz/mG6dDpl64d4j/iLY/k
NJLtPjkfQjPPeJPOYK23+ZI8JZP5AhQGhPqK+jloU00QeBln4PELLaUAeRATPenSgifxlLv5UDpR
02/X/Gu7wpFsSPLNtrfXz4hq3nCSYQOAbKQqxPY+uUO6dmFB2vZOFH8A5j6uNA5e/XkoeAJjaqNB
QRrH3FvdSDMQ+ZL8cUSXdvf5D34+WgYIckZYfTlf3VZjTI3UdaJu2RTjXW9F179/eboFugEqBVCq
F5QxUhjGvGIGMRSjEVIqWXEA7CW//Y6FCVA4CDIS+zLpSWsoMDfQfo7Mcja/8DSYvhkzmFSvD+T3
s+skTYQ4DCTxoK4USjbA11DpgASVCXaQfjEjYw7CHpILSJR+n5HHGONXcLmE/lzetelDN39aVsgC
8b+L4bbk+O9fAF4HZMXx6rh8hJqjwRPqGCRCoYzc1amliTQVBxTIrv98X0YorfWaDMRiJoR0ln3S
dbu5YsA5I40Y3wY3+D0SELsDGeqgXoX2ifNDQ/naGnWFu8vplt3HoZl31xdLcWpAUYKvQ5YCgHcq
3SmmU2V1OuV2ZPhfx2jQqTsqP49Djy0NxN0F8gSsJKUJKJEd+RCCnV6d2yMukGj8832556BLispz
W9+GriOyUk+QcwxvJbYQSwDqOQfpJrySQbEuLUGLjAaj5mRHOc5kip4A3Qv28uQD6oimDiQz4Fdw
/M/XmPSz3YuKXmQUe7BKA6GTJttblxkmwN0CCgUUcH05tZCwuBi5wybIabzEDGQUvSYAujwRMIAZ
Qjc9ip8gJzsfgzdQ5syeMUZ2Ue9xSW1QV++MfeFrzoPOjvj7ySXCIXJsol40RgnC+NZA4ZDvY3oo
Uby/PmPKRUFhBQpSIIa/KHf0plUWMzpjoThebdue/BjRF2m77Md/Z0YcoJPxWKC2XygIgaKqd/Y2
uD8LXv/l28X362ZU0wYcG/LbaDYBIFHaYiawMXTlwxBlWeTZKZTxyjCjy7Zrb9f+xVMQwRHCebgr
nPnzAdF+7d3es/uIuncVWBuDg5v0oQ/6yeT7kr1fH5ZqkQSAG5c+dW1kAs+NdbTPkRw0+qhZD8yL
ivxgd5qrRGlCIJGRISGXcF7AIKxiaPIhYuhW5eRZKDr5OuSD2oggaEXJCDg5yQt3wDDmxHH6CIkl
NOkD1kF9jQdQmQCTBti1RJ3jAvRFmDEyw8F+LvgXtEuHFfmk5VBR7TIftKZ4AKFP/yI/mrWDWYCx
Y4I3zh887nwMarrnY7vl1NdEe5dRqyh2Ufwj8gUXudI09zhSM8Uc+esQeuX9lKJwYW3t6QvYG25+
d53bkt6PcRv0E0Q558iZXnz/tQW9Y5N+ub6T1VMnNhkSv9AYlXZyy3IgLhpMXTJ/M9P9nD3wdePr
GuZ1VsTfT7wNNZPKzNBhGznGfGcm428tds/6SDpNKVe4rfMQEFOGfYbGUtRWLzA2UzIErAUcPYJE
RIjWyLBYNCGYaj+fWpAWhc48yLOgnaPW/jHXD3F231Bd05wikgUtGyIjFDPEsXSl+arivvWLBUTD
7fzGltfSelhzd+cEqBMmWTiU7335ntTVxrAeWusJzSuaQf4GLsrzCKA9HktQw0A1WfLbfuKzbPSs
CRp5/H307IesMj8DwfRp9e2dvbqbpbEfqcgwupAhXt326/Vt+X/8AODk0UMLiIacHOYUSoqThR3j
t8+V9cscx21b7hvjngxvfrYb+KE3nxz75qwQ5h2YoP+1KvnDaumXrnRhdaE8bBAYNdsl/SuhGiei
Og6nZqTIrsmKgWaLO0WN/+5WX0HUw6FD5+2vz6HqLJxaEX8/OXTWUlNGhJXAy0LG05B9u25A5QuB
6wY+VLBWX6Si23KtQV0yYZO0Gd+Qudsma3FnBP4uJclXw0vertsTR+tiU+JxJ+4RwCdkX2XDTy0s
XqcobkS/8b0JVp5hvjcna2sBu1XUu+v2lBMIKBoYkwV7q3w7BqWd+XaSzBF/z+IXx9WEYOI5ejGc
k89Lu6BIY8sfa3ye8GM1gCA52TLoKKGkFPaCBXrcEkODV77ceECd4GWKpjDkEi5eXXbLUqRvkxp8
6S/BZIHNbJcm9oanr7fOnEiHgNsUeSoHhT5p6xnDWA1Q3KiiOnSXZBPg3+sGLreeIE5FTsdCqdy+
aJFdmVXN2bpUEdsH5s79FSyoh+0KjRu89PXCClI7SHMp+o0Mu2BrOsJK3rIwBE4i1FWSL7fYmQX5
QV/nY0F9YcH09wUIGHSE1MrvO4FoN0KZEhjBcx/AOrsbeLBinrLncmPrkHrKZcA9i3Y/E70qcu5o
Lek6MXvC570lLFOggsevhrE1g22NN9L1JVcthg22dyEljP5R+fTPUwFeTZZX0PH+7OE1Ue18XYPm
pYOhCB7BhIOOZJTXZKqDdqRezsapjkiab83hoVvfqcfxiBh2abU3wNN7fUiq6TuxJ2cRMneY+Vx0
ddRYY2gWQVjT9LNTBmZIeHlIqlIXWKjmED0/SMYJL3DZGuZmAa0cUkUZSd+sOUOYlG2WQsc8rNp1
IgMm5EYBr3Ska9TJKr8cUg/Hf63C+4Xp8onKYeA9gSgclVC095zvamNcSr+cjCpCpx3w695Ps8qq
cI4nnbK7IhATfcp4jYN9Cf8jg8Hs2YILYFmNK64Ie35vNPfVuoTEBfDIOLjufVd+WQcTPwJ8A/On
otrdvkNO7cvRppMOQ7XCvpvz761jPpVx1oeAPuyTtjo6VXAb+A05J1zmDnY+HAaSqb64QE5jhizO
/G5JuogV4PJuEWSBuyPTbHvV9jg1Io7FiZF1yIcunWEERP8gCYyfr8+Z4vPYEyb62iA+gdtB/P3k
891iDyhEl21EwxSVKp0fUn4eH7dEUotclBNYULRrXC0cwpdJ2I1vtSb0VX4fhLailACIUSAdntaI
szlr8f2Yv5Z3JHu5PjuKs4O0KK5/G5x2zoXqTBybXjKUGY+Cge1d0u5y99Ooc2yqMeBCEBh+cUnL
IqfFxLsGyTIeZcn3HvTp/awJZHQGxN9P1piMHR0RPfHIct8a51dgfr4+S2Kfn8dmoir1zwDELJ58
P+tGNtF+4tECpt2R3s0x9PgeCX+/bkZxAYjmWTAvgJcZIHQpBKyncqz7ldZRSdo0nFunQW8ki1Be
fItH/91Ies3ZUK6+DyFNsCLBpck3HMg766L3zTqiY70gZY1SD+RtHo2g1fHZqFYIFVc0BoN3FvRB
kudaat6gp8ZqonTYLl/Annt95lSfd2xsLRC7IOEi532DOC9K38UpSTiQ+/NSzs/1wPLdf2dFcocV
W0YoMmGb1cR4yCcHyns6fIhiIBBhRikEUSzaqGUGPkgYmiDgs/qIfJu7h7m6OSGC2sHJ56VlWBs4
GJbi85DQYOCEv7t5gqBsgeYTEBeJbLV0DkHBiLROg88n35zhq20wzTIr9ivucIRioMwF0k52hhn3
jYYtxRARwNcJavYFdFt0+C3VEkDnBzpmcImogEtlby8lxthM5RCVIC7IdzH69a7PksKboH6LXD4y
CyI3LS1CDUY1NtC4jxb3ceYP6fy4QNJYJy+gmivgbkR3FsjdLxikgr5rkszAXC1rGSbVz876aUED
+PpQVHN1YsSXPNYIQEvtjpirjr43m6HSXH6KMQDuhSe3oHnGikv7CTBh1g7E7CIjvsssMJRE13++
7vvi7yd+3eTEL2uK7/MespNfJnuzco2LVfh00b6GdndsJfdiGUDjHZizn/dRhxVuzWXrWO9dBQrm
52R4uz4axWIEAYraQJ8KZk0ZxES61hzmirfRuxlExaKZq8uvA2wAJSNgZYALuEjBDR2ou6yUOBEg
zd0h7jWhpuLzCM9wBVmIdQTeRFqK1aKcVbMNDw7yhjYL3d2ts4N8Nq4GqPmCBuCCoWIghjej1gSA
SfLzYWR/3/51dI1ik1qoMqPIfP7zi7HpTTNDB8Pyoeg+oq3i5s8LnBLaUvHUFS3/55937MKbGkCM
o6Cw9na1vpqeTv/80iuBSBSvXfS9YhwXpYysol3qgM8Kb5uQ0U0bbOP2QAdNpHZ54vD+QwIZNXjY
uOzpTFlPSnCFRH6f7Ap3l3lkj96Qmz0srOACxVRBU9mTuxIbp5n92GgsgFimsPbuDeiVLhFxNBlP
1ZRZeHMKBitIuMjAfygceEuQrFZUm9WBULwE16T4iBwrCUsoN968BZCOQDYCcY6J54B0a/h+wgoj
7ozIC6v2jcWv1z+vWBiog6NLHa9aSHT8zsCfuMJ0Yn5jNtyP0rF/GfIYRuwwMI2X62YUx/zMjHW+
kVMwbi6l1/hRadWhuYbjrFkThQEouhHkAH8Ld8vNEYPbB2lh4iA67Q/ri5Vrfr+Y5fOXAE4IQH1o
6LdwscqBZgzOLreqLRqVxY+k3/N3Uj/N1p6s+3T+dfNUYb1/S4WhenxRVTb9rkvzxgYSa0eSh2w6
3P55cCfB50KjAxl7KcxZqc3WkRhuVEGGBfUTXbZUtRCn35drRinJFmKmXmR+buMcjWGDJvZQnD6E
NUK6Eocd51zs6JMdOwZdUHl1YkYV2B2nug9zhkZAXm4MHXGsYijoIEJMKzq9QOYgTVWWG2W38IZE
3UM2grJaU2bSfV6aqdFqstTIOxLloReHWatxhrrPS0eO22krWEFIlNJtxjapTktS4TnQ1g7QgND5
vCQNbLKBrlmSrVE5PIOh0Mm/zdntzglXN7LKiPxFkl9a6sXgY2PULSDHmR92aKjylgdn1iyDchx4
UyDahNjkBb86c0i+ukVmRj2Yq/I5mjs79MYv10+d0giaPHH/ASyCosj5puW2PxhZG5OIl59W+jMe
qw3VwQ7VNkD2hWUBDYAnNsTJwRiyDilCClggKOiTvAfDx6fJ6m8/fSJPgZAKpRAcDGkgc9nEWZyD
do1Uv2rrKWb3sQHE1cv16VLs3TMrwgecDIUsntPWDSORTX/W5JjH++vfV7hzKAWboH0QfJdI8p9/
nxUZwOFFRQCifnayV6O7D8p7GyK4PW3CStd/pBqNg8AHUEc8Ky/K6BMoJbx8KEgUj3TnTcHbMug2
saJSLjK2ALZ7qF3jLSAFovGI8m5TtiSyyPJXO1m7oQQT0RrzQ4EiNqPNwZ+dnVu7OwvdaS1uM83G
UOw+NDEA3wfYOOJJGSuAZt2MGE6wRq3xQpcPNrsvxvvrq6aaR1QTkO5Ho5hYu/NV69OYG1VirZGb
eU/22H+Mg1HzllJcLgA8IGMl6hWXMGszNt2kLYQJiOWVdsiDKpyW/4fgk9IQ8sfAKYnIW2YA6LEK
lDcTnD+p1xAd1k5IlnkL3ZR0w/n8en3mVIuD0rx4piAvACmr85nz0wqvjMbFTVanGzoigZJ+jlO2
vW7l8s2LgOLEinTj+HVq0NaiJCoN+qEE71BfDbD23Uj7O5doXMTlkH6H3kB9WkDgeXI/ZN+2SZvO
bI2ygaNSbm5Mp9xZxvv1ISmtgEZH8A7hnrs4VgyaWWXhLZEZG0kYsPW4TpUbGnWiuYVkTUCRrSFI
ZP6vpYsaMEkh45sLS6YVluXn2HsLyl80/dJ1ZUgG9POx/0ea4nIbos0Dcm1wGfjvRVvBkBvEKSZr
iaYiHPJdM4RBHq66+rNqFkXvgnC1eGPIj/zYcmf0vs04VWkLLNaCh/4x0KnQXnoHDOXEiOQd6NB0
vC2XNTIGAhKX6YnanWaDK8chLlckdACbkHdDOmXD6nZ0ibzgrlw/Gcun4UYtTbENUAsA2SRwE4ht
5dLbmqPLqsu6+vmT3zohHiIaN62YJdBiI8+MYyNeF9IsBZ0BvHHA6mcaV6Fv5uHt/UkoKptAkuJ+
FRhJ6SKyWpqVeAVXz0OxXao9e7l+IFW//+TzcpYWFMnwph4+z6yXZN277MsffB/NzUIEVnCnSp4y
BXe4mflm+byCXc1CTbfWQMhVAxBkeqJ/C+k0T56fpCzaJSnL5zzs4ve6vvkdDIAH2F8C5B6RsJOL
4iupuOfPpHm2KmeD/nBS6foZL2MnWBDstUgZ4a0t38KVM5u9WZvNMx02jIR18JiZISmfqgwwWA38
+XKyYAu4P1HawcGQ7y17TCdek74F7vmJL4/NquOUURkApAvlKWCh0BsmBYIWA9SPrbR5Zku+Ld0y
ZDoE9+WliL4EhGXocQF6DMmv86t36I1qJeXaPG+74GMQbIdh44amTkxFOQ5BRwEGAqQOZIRCSby0
S6aAPzslBBbWYINL49aDgXGcWBDb4iQkn/0CVZ4ZFoqh2kwp2U46uOnlXQQLaHCB9rLIM8sSrkHp
0bwOCH9u8oeyBiTt0A0P/bS7eRwoKwj1HzRQ2eh1Ox9HsgDLuuKYP3c935t+WFHd40KxFsBMgCEG
wBcBtJNcrMcyNgeJ34Cv56Wqj93NUTCUHUGjAuo6BMMXHtyI69Us0hTEYfFxzjbV7Q5KKEeivwzL
jZTj5VO1772giIvnnjXbmNphbxyuL4FioS1oH+MKpdBux519vgTgvQdbbu8Wz4Oz58YHt30I8m2h
o0tRWBHYFYpzJ3BigbjMTzZs7JpF4U9j9WyEefvzZx780DkPpQULBtBygLYjOZXmDrxuCP8fzq6t
KVKeW/8iqoBwCLdAH9T21N3q6A2ljhMgBAIEAvz6/TB71/5G7LLL762aK+slTUhWVtZ6DgO+BLmU
9DXNjuD4g3J4ZrpOBNy5/jFjEKEbjirn5xfhqEIPrsKRZ7h8l2s3NrQT1ypYDyZI2GHd/vr+85xY
v5/GW0xckdZJ3+QYD/YTK89RK/McEWB+wudqKhB82OiorKEK+cWiozfzaeCDX+6Teg3vxtChYX3O
PuXUW8xEXB/ewACgLfVyWWWlZZlY1b4bX2z7YzpH9D71DkDmQNYa5ZC5Ufn5q1iF73cFtcu9fyAq
DJrZe/j773ByBIRCVDqR0kBp6PMIBUSwoFFZI9UB94dmWQSznnDKz/VyT63iOeL+3zBkcWurOdhU
jYthKrFyyjsjP4AAZP24GIn2/WwvAt0s8GK9xSCwOJFUKF7u6+BDHLpzTKyTHxvtMdzRsOdxSn2e
qqbofWAcTCyoABmJLlZFXpw5/05c0PAK4Ntj6c7X9mXly7Rrg7a5Ve6paYSwC3NhbMDkR57nK2GM
YYruj5ZmKAd5Zu5OrYOZI4sYcEoniRZp2bSTK/Zy+iDBg1U/2uOf75faiSQF8R7JHGADQDku2etO
mnVMaGS9nggiqyIvPuObyS1/09oOA3ZOXOjUG8370jQhfojL1KKw7ihccNo2EfsebFYiq9CorRUJ
/ot5m+lgc7kIJeRl8ljlaQ87e4xS9zvqb/ohts/xo0/tHehRgugNlB7WxSK5G1hh5H6NM6YTV0B2
rLJahK2+afU5cMqJD4Q6Ee7oFtYfpKUXM6ZtpwTacUz3Sgy/+tKKkQqGJjNCT/WrQftPP14PKCMC
+IkUA7f2pXh6UCsoDPKy2Afi3sR6yx+gvhiO+Gcmx++HOrF1gUF2URnFtXEODp+3Lh8EEuTeRTLg
P3lhb//8MANVBBpgYPMgC1gugmScEggs1mJfHLMuOitpd6LuikohFhdwe5B5g2fm55/PqglfpkFa
nHtvzI/EkG+oEhHv18qE7+w6afNVVd4k9rmM/8TS+zTw/Pd/0pvG89sJ1tRyPxj6Wnk69geyq0Ry
AYmWMxtp6emLosT8khD3nAncSG3J57HMKi0gwYTMnEBnjOU31L52+utcPosuWHn01QuOJJNx4qmo
O7fFTmQ/KMWaWBuI61CAXWwxMDqZ1XhU7qXzWzVXAdmBhrHyx01Sb9lZG4e/ZcNFaoJ8YY4YuJrD
Em1xrDc17HYZpFL3rLobhzaSdEBhVkaMi6hwPzy2depVC56DDXkvWd8FZFUFz99vib98+MWPQB0V
AX8uppOvdSZZ+9yxdbN3Tcip110bokMVJ2m2thk5EmGvu5b8QmsM/FMRCvhm9Ea7ZrgQiFEJlF3L
2Mqg3NeQ6vX7n/YlDuGKPDOe568BVvJS9ZcJ2qdTYtYHPdzCACocrXXTrJx0Y7IfV6owAM6kYJbp
mVFUi8BABqm7punkgQgRbSTjZ1b1qVfBHWduY6GuixD0eVF78KG0U6rwfCus7DGGv17cvrf1a1q9
fT9pX0LcPFUm7mtwOJi1QxfBu+C5IkPpNAcvmoaVSNffP/7LDsF1DQrM+CzYpnPv7/OLuKU9WlPj
9QeX/OHlIRs2ZrPRxj5xoT/knDkZTrwLBCJd0DEhF4Er9Dyr/4QduzN0Q7yqOcCN0DAvrbvv3+XU
43FxduDh6AOxtewitYInvVOkzaEhf9iKlH9+/ni0joCpQp8K8u+LoDnX7in37OYAsva7OpdwnPrx
/z59MTeyE17nZ6Q51OI18siZyt6XpAn1hH+fvshxnVyxHoLPzeElH/fGi+4efz43qB8h4DhQfPnS
2TVaXfRoVNWHonxWZRt1lvPjhTrTmHELQGEVReJlbK0gJ2NYGT5uGlwPA9Jmb6ed38S/Gqet0f74
XoMsCYcy8GC4ZaJMstgWhoODkVZ5c9ApCm5CRaJcu/4DjA1/Om8YB9A5ACFg0wns8OcdAaxLUPWs
aw5Wtqqylf5pvXh+jX8ePy+6fzbcAOePtizw+K7dZfKh+LEA1/x8CMXP6ptwtl2Wc6UT5ClL8HxT
0Xio2G1di8iyRGTCSJUTevx+tr6uYoB2kEGgPI1BUTX5/DpF0CqfTYM+ANcYWvqD+Y+ePqP3+XUf
zgpvAIsjYcA1Yyk3oyfGkVbmw0H7OnarJrZ/HAQxAJJxTBme/4U/wZK2SL2s01jIYZtep8bPn4+2
MMQo52sLxDIWgQRTV4/U5O5BrdsAaswQmfj+K8xx7lOCARcVnOHzbvdM6F0uvsIkeAG7qtQ9BPzF
zQ+ZWBNzfY7TcOJTY+9ho+NODobUMnMD1H1EfpM5h3YPoeRYtWKV/lgvEC/y7xiLukKvfIXVhjGy
zI4z/VjDyeP7qfp6umIEqC2jKzfXdJdXPKfqOlBaMQJ84gW5wcGyLsoPc7yAzwE3z0EcTswZbltg
TIFZNuvUzX//Z7ebsGEHLIXYBzqZW27GUCgzFNt8/0pfvz4AuECjoIEzQ0uXkRG636K0OTUPlvUx
QA9eD0k09BnKGF3045FwpMx3h/lu9AVcrDOATlBLGQ9qtAMjrHXTX9mJb79wnQUx0q/kx/kDuHLA
hiB3x40PnPPP80enZMQBp5wD9MzbfqXOUWf/VsM+7xygt+CqAxoHwib2zucBGuInQ1WV5GAFyl0x
wy0ikRUUt4KmvZ7ExAY07yUEp2kqWQzPa33haMcP1WTVVxO8Ny9kKbK91dQqZLrJNrif+jcJJCd2
RIymsRk9r7u1TMVvyPACUTHgcj2YyblqXZhMr8oGhcDMlH4ZJm7e3pqTz1aDaxpvbcGtfZ57w89X
C3pKqK1BFBx3oiXjOoDagulNDTlQ6C0ExXGEPdQwbUZ1Jmp/vWXOzSsMNbsRApCwTMgHjnJrlznk
0LtZSPRdB8SFQ9/GlkLfgYVs2HXdxhYXXh0LQFi+X6m4wJw4Nma450wxgojjFxXVGl4fiU48cgBG
49GWgbwumVlsh8zJGRCa9j6pVH3bebaIsIbJprFH6ARrEBzDYBKDiILBHO0oD7x6M7ii2NVKvbXU
fzM58J3SLQK1sgTzXycrzR4mrwKZyU/RDo4ckiRYJuTdc0D9AsaOXNS8nF0OgiGP88aQK92VxiZo
vGGfDt2wN8bAe4U7j1fDeNI31sqSFphR7I+s03Xnwy06yzBHdW1wPN1qop75KB7DQuciS/K33ODp
WiqvCQOHF2tipfUHH6xuN0Am86qkCgX5xs5e0hJEnDAdRxuxWyFHKJiznhoQ/qM6dV8aoVy0TP3s
F5azx0NoShwsqh8L3Vbx5E/8SQR+FXeZ1a/x+mSNwDNEvZVM26zgZkg7i69kYiD9U/wBgjoMLmOG
uSKd8TaNDm3CXk12GvqMij/GOKRh5yFOOVx6N3K0HhJt8ocGYthbSzZ2RN3OLyIGL0YrTkF0I6su
zK36qeMq+KXR3W3h4pGbG0t2r7zun6ygHEKrGu0rGmDSwzIwWdQoOTzDTc3Hx6ncCcRkIR5GWaEO
YBtBcjES0kbCzuFEk2mnCmlTiiIuS0Lvnc7W6JalIkpqAcQOtxp255NqfM/M/gOGC+26lu1LOaFG
HKbEYFbomCk6bEVPH2E/9ji09MmephFm76Mw75UPf0cgUyH3bowsNqeSylD0DLqWXjBUTdQZRvnb
o8CnFSxhUd8m5T5DvXLrBM1xzNIX1xruWZmndqxhkpG15oeydBMmlTfcwlJEq7ilnVtdtzCk2eim
/FMgViVrkFogddH27tHL+rqLEglFhNhSBKLCrKctjegwZgfghn6VniqRYxmwMhttvedN9mLV/v2Y
K9mGRl7+0pZ8H9IawZ+nTlRyKNBol+kIHnJ+mMmUrlvpNReB0XlwUcjg5VLIPBUxDEPolZrSrA4l
qaG7wogMTZibrDyYoW+qfGJh7yoZWyDF/5F8kBeci4diRKgwK+7A65g9da1BHr3Sri7Gsf1de6rt
Q0+y8lIWoxF1yn3pGMzuY8MnLd2KbLJ+I/gkYdXAzR0ZnlrZ0Ldu7hGOoSlYQ7hM6A6ue5JXyPWz
LC5grROjl/koLBBCttAFZimkDnjn3CYm0DVT20xh7aoqHhLCccoGXuwX2R8vr8vYb3OMUFG3gKJX
XRZroGomLCXXDm1t7vKRmGXojE5dX7SjcELIHFqRl+s6KlkN9byignGCBdk5E+SpCOVVFZsjv7dT
BGrlDG+QUq43XiFYpBPHjQK7JvZap+j5Ru1If5PJaMVO8+aaw+fhutQlLFWSqnmwhdiNuXFf+JU0
NlOPEytqHbOHgmp2TIbi2aI5Ao/OXGeK3Uz/klAo05cNzfKd2zcIa13Jeys0LOi0izxPk5D7rL6W
xATVjgdcP5SmYPpCuQbbaleywwjpEAM8uU7iDuKWITcY2eA0Zxe1EmW2yg2/SzZYqre8MTcqgXN6
Z/NfvgmxB+SHTezhF0StL6so5UbXhYzZ2bVNh/SuGRIe677v69Xo6itt1th9ZSZNGZfDQN9tZJDr
IU3M96RZd8W6B21hZSYaGwDyBLdD7tgJAGseg5izSW+azBZZzCu3eaINGY/okr9BDt28Eqq/Kwt8
DcNyzF9A7FEdWlmbRgH3axZKByT4NG3LcNLFEBUAxe2YC9eaAo4+r51qkg3pqXiA9zjM4PNnsMrk
BbVrd2cXHtnRuirW2M5G1Ls9vHMh1xfmhgnLRUISKByU43oCenBn8MQor4jX90NYiOkNElq5sSHo
7ti/69anUJRUjh1zPei4Q7QPCxj7xOigO3Hn1TWwecqdTPjUVUGotROEhBbvfU10VBg9gmsJ6tPF
IFNLXPNZbGbXCeDURoA32rgpDKeCNr+bBqtKQO9D2SYOItvTSGIHqCRmElYE7ZZ043M1FjT2BFQB
pD2JKzY1u1anKlR9AXSqVbwFSKCgV5XeKn+y47ZvyMp14URhakRWV/dO2DrSeMbB8Wd0ssyMVFV1
MbXHBjPc4/YTlp0pJV49yayNj/OPx1NRDHwzjqXAOk1ZFTqTImmkuqwI0zIAMdetHsyxljL0KarM
RCVDDDDVNveNaCpA/rbKEvKo+IkmEVhVhSabyiD2KkttGmUdza/JwEVYdMVmdsROLHwX1eOH4aju
DkDom3d2w8oIrHVsUqevISyTQ7A8rAtVPkJpt1jL0bRXbsYTLNqkPXjDAAXQRNb3GpiQLYEs/g7g
YbYphgleW0r/GTGVEU5cGVF0h+88KF9s5pJ6LAKiV8TRPTxH7UQ/1wW0/UwrvwN6K1mVRq6eEQf1
c8HHMUaIri4rmrZ7KkWF4OA7dZT4mt/YxTj9ytKiItdGZ+kXqHXb4dQ0JAKsGPtNWclz04h3q/Xc
tYegEJo8s6N+sJNIGh2/8FpMR+B3vx2i9qa2kFw5NeBQBj1QmZM17VKvibIBEBCCfh2Kll6ytUjT
xolMqwhaq1nkJIG9g3VvHjKvbC8QhsuwzGm14lnjH3GW1Tea8O7S5RCb4TZ2R2dXfh7B/dfcaO50
m8Tm+ioIEhbSdKA2Lm9qCkta1tcg3zvPpM+flE3TR63yKnQHWl8ViCGhneegKrZInKRfY+cMyObu
6FQHcmX0AwlZTsrfrTL9GL8VBzqMMUU4JuZvVqDfHffSPDpqaIet4fVc3faOlb63NlKZnjSXTWDf
K0dkO8ijBmjw18HENxbMSppoqpqdmfl77mmOpQxfLs9tnhlVdzKvq60RiCyyebpBvkbdARqxwxqB
dtO0XX/BPcOJLWPwLiAfqCIA8+uwMXu7X2cVlPsaa5qxejiyySjayC6hndC54oZNhK0SJ21Wg2H1
+D/aOGCvTeuLqKuNZoUlAgkkj8SZlHk4BHTa4Lj9Q0brTUu9hqRICR4FmmA82Dg5jevE/c1IaYYT
T0BHAZk19JsMbKdcoFadpWGQa7yEB9tk1Duma9lnB6nTD9CAi/UgeYt2YPtEOIy/Ctt7nkY3u+TK
vdXEhk4alX9EVdKbnJndb/C0zF1Gk+440STZWEUJcQtD5w8lU9VKJOa4ZdLTwWp0CjO/hoFFHRoi
YFcmphw6waDkU19XuJM2natCUhlIvThoMKtAj8BfUxxnbtlVSN4MGP20OCt/yRFnXWjWJD04UFEe
IyOryWun/ebZ5u0L5IhfNfOSSExpi7Qth4+OPiZw8N7XjULWlyK87MxW9TIuuFeYUZ7roYkoDqTf
A53oBors/StShiZGKdMN4UmJLmKumnqVMqNeuUkxrgJu51cQd2hubaHNu1Z52br2pIuP4HEe5awV
QSizMXngSgLOmtht4e9U51d2yJx+mmLmG/basM0/Sar628IuHxrPEyuEXVwYzKzeWqWXQAeoAliu
NwR7zdpSIUNtvAaz0wbppkI4ijQQMS+O0VRXuDRAwG4y0kHvSkfU9rGQXlluIWWbybWHzBYK9km+
5kXNY56lR3Sbf1ccOV7l5hFxuxHxDrabRjD9CYJeIYS7iDU+fj3H518JTvkT0Ih0N0k7Xw05SAAj
dvNBeRPy96pWL5ntKjxW3RVWHSCv9xUuQGMXlW0tnFVVCGgtlql1BGCDqo015lmOpK/smXHFA4hJ
Fzi5DbtDaopWmurqGgnjVK6ZNsEN6wzvuccHek6KwGXXrkKfxQf6cmtmQ+VcyN66QRu/hyhnT6pI
OJ25LXKXdKuUNih6shHdQ7AXnJvayyioecW7nbtIZqE7eWMFmUYyqNPLngFdFlqozj4aXcUuMpIw
HUsbgi1G6UEkDEyY6jKoBcKNLHj6NHiMhoZfYB6ASoOOnKxAwbFItQps89VzJ26CjIEE2BnonVSt
DNsmrYERnrKIs/xoWmMW5U15EKZ6qNDSunQCifyOTQrnO22jJBXitjJFGQ0oWjyVXnk3yRSJmNn5
kdeZ2M9plV5YOC82mSXpBnomNjYzoTGQ+eUltDzNZg9ilx1SJ6nLa6bTWtxAsGWvPPMF5lltt0uY
cuh9YppQ2prMDm6EdfEu3O5okuLBrhsX69Xpn1LTlQ+0aC0ZGvY4PUmnG276utlRwbwYByXHqg/o
S59NT6ghlGmJM1Aa5pZ5rvGSl7kZopAErkPm13a6znwt9gkkkZ48hl/vVJX/1k8dCg8OuYdiubsa
R/lY5V0WlTn2haDtR9tThl1WPTl6KCNrwl0wHeoq9GvD3dReUUYtAd+rGwLziLz3IaVO9gTZfv8V
Anbp5eRaNQ7Q1i/CYkiqm6Syhy6qCtxgC7CQVgXAK7sOwmPm2ppYsq9oGZQxnDlKuZ2cbt+WHte7
jM+SrIWHS10agL/Y6eTD6scPrrqrvs6hgu6J19GfDhXKFhwXJtmL6y6l7yQpnVDUwBKv6rTDcaRN
q4NOIwW+jPolRA4pZM+AXVAVPjgsB+yLQFU+mGNOfeFW5ps5uG9O0OVRVSJAusJ8s1sQcm2EohCG
8VWI1qsACGJIMWd1oh4n4LOikVoJdlDR/6mdyQgL12fR2PgTbkBNynaq7LtLSYyOhFzLXTIxA8RV
FxCr3O5dK+bMexokOCRWNt4NhefHuNrjqqezHIElODZm8mTIzAhhtO5spqyQ0TiRAgaANF1XedLh
p2X1vafLHnd4OTNtkrx5gQKDirMJGTbupwjY6VjdDJTgHTSIp3wq+qOhp+KVw1HuF4ivZb+FAFtz
mwNqH9o4evpI+85hgmzaQw2Zjq2Pyl4e2anJd9DVcx8kZxl2uNcowDXh1hUiXyTPEljPi8kedBcn
leHX67IS3qbv6rUrS/MJF2IdCwAAb3pIxa5aUbWgnRDrtahUN257BrY+7k6AtzJECpyCQRgos45a
GkwbOdBfmPokRD4C7hBFojpO5rEqHL3lGW7/fr/FTXAdZCq4NBtfw/UjybobpXjj7AL40646N7Mv
s5Y2EXAWTexo9YiWAdl6hv0cpPUQDlXwkPZ4McJduCW7uyQ3DzpRSMA5e/db+YyUzF9NKQkudOPc
ygAwlcHn+iBZqtSqacwiakz4x0aGaZZxTZIsbijuM2pM3nzot0WuUUCw0im2orC3du1tK2MUTYQU
uQ59b1rVSKwCr9iS5hclW+W1oTW6H/bAmnVbS+uKpCkguWhFfLiofLymvsL9uzRZF3vFrKNclLe4
aj7aLeMr3vcCGWebr3XgtyHv2mKH2u0hG2vzeTQyeSWE74tYJ/LVMia9QVzNtk06eTeJ4+h73cyG
pwMklkw/Pwo1veescjc9NNvHsCVpvsuhZviQT131WrTucKRF8FAaZpECTuih4lZkfcyxLSKurOCi
LgwR51DoqkKUnJ33BIfIA2BIvbWd8vxdIkO4YgMxrzOGiuighz40EWOuJirtW2UJB7UaYZhh7yTQ
Z6bGr8DWd840WZumdPSqylW20zaEpBNQEMOsK//Q1Pho3MoJA5offA5hO4lMOaaZ+ZYkJaR1E2Do
kinzL5grPO9ygHDdozOh3tWimHPR4dYVssp5GLrG43HPGkojl1nq1mnyCRoZrkQ+EBgpyqfCDzur
lxDMz+VDVjKMmfpPfWD3cV9Qa681kR9ZV8NKJ0EEhWDENP2SOBY2iuBqux5wFbxvPBv3R8+T8r0l
HJq5bb1vLGVDiRqq1ZHKU60iyy6PJfeGS5y26Gp7NUR8UcFcm/iHclONmox8GxhHcPJ63d13rV3/
goTSBMHPRqxYYwQ3wu/YOp/KD97gupiDaevDUVsMqBsGLygK5BFTon2aAHW89QabsYjSZMIrIn25
9Ow6M+Gmk/hrnYw6MrscXgs2fRzbJvsIUAK9g77YE4rv3nayRxKhJDwhoKSjs5oS78lCDa+YEGg9
WBtAYzLl711jq2iEU26BskKfZ7GWxrjnpOUf/gzEyRKNoBgw8qJw+bwyJlr/Trp5GZjOHX53Gw8N
Wg5RjYpZbAddvwJOrj4mAS62Vh/s7T5Not6p/NAmFTZnKXRYOJkTDQhCa+VU7DUHCGgPRQ+1t9p2
WtuTuu49Te4A7cy7UNvZfNkwuIPlRYYBYRe34rpvrE2ZTaiBAMYO2I1EhepyImhZODA+vgN/lF47
Gk5yo3DhtozgsVeNDqY4N0saFoHRhyg9YzcxAp1sCyApL6otws/gFE414SC5Y83tPlCcluhHKR0L
udZIDn7/NPmrnmwr/fMOL+R8gNWBsAuYVM6ib8l9imxDcIIWdWzlW3aOpn+qlwHk1Nw9tvDfEpbo
ooZFUGsiB2Gs4O5snVNePvH8GVMBVBMILrBXXcDkBDeTgLcBPSj3DWEVC/H7dsyJT/Dv85cIYa/1
NQpveH4he9SMtk55wVCB+36QMy9BFr08VOdHirIPBXJjh6PFONM4O/V4QIzgqQD8KRiR89//6eXa
qPbAW8fzgae//GDnLCi+Ph36j6A3APkFu16IpX1+Oh0DYpCsIweAIo0LKrbfz82JHvGnxy/mBlc6
x25TPN6Uu8C/6KcLPW58fg6kc+4tFvsAFUr0PQxFDuX0Pg3H7O37tzj3+EU72JatZEBPkINUW1S4
yZkvfHKS0K8HIxjYAM9dfAMo4JVeJl38enNNeTjK0PmozonxnnoHMCZgzQS3bjBZFpCARFoplznA
IGLAKTlWIbxdfz5Ls4TLrAcL8P+Sc5zlLVrS0IQ+OKhJZs5KVD+lcYK9+e8A/ue16uXVlEsIyR06
0oeaxol5jlFwapJALYEXCwGJHWN9HsGoe4LKk+0cHlFHC73kXHv41PMhdDN7rs3kjyUKRAeUZ0R2
3kHjPEQW72vjzEeY52ABLJgBS/j5AB9/dfTtuIM+qqP8Q69vJhZDj0Rvmn1Q/nxHfBpmgSI0RM5Z
QDGMROsgZsXPAR82ALsuWF1gkXzx+akrlEDStPKRNLvXfIhdsXHQMm5QmPl+zX49IIBhAXYEhAHQ
2MHM+fzBlWeRXsgA9w1nynajWx7Qo3BvJQwHzoz0lfgDwBrgKx42IdgXWMifhyLzxbukZnKwblvf
hTQvA/TiXToPQVZFhoysDqWGM3IQX9cbQCyAIYC9goHtJbss6byK+oNMDiljm8Qw1vffT9+J54NT
DeLC7McFbblFUPFHUxdeIrNjXemb0hKXxPoxLHJWXfzPCHPs/Of0q4QKWmg7ZscOLSW1Mrwf4yLx
fADLZoAZdCnp4qtwF55IHeHZMc8REaOz/L6TMwSxdw8nLMByS8Za0MnOLCCId7BsIAHEBuq2/8Un
+GeAxQpuk8GRY40BpLluj6Z9Ztl+/f1IzoDPBtj2r1/84vFmrxJSoTpwAK2PS6gK/zim4/n4AtDL
ndPkJROAW8xQlU6Mg/CvSmuj6Zl4+HWDA436d9vNQrAQrfm8fmxDwQDCcvmRThdlcMy9dTle/vQL
fB5iEQvLoXZNYAD40TViUJvEOU2XE5/gL/8UHDec3182GYNqMXdLmM855oW4rNiPd0BgecCJAuQK
BtUXKFqv00KLyciP5XsKdHP/8wUEjjlQjwgQiH3+YnZ4LWxRjwE/EhQH7bB6+vnk//v4xQ3C7htP
+T0eL8or2l03/pmfP6+Pz+fpTJH//5+/dDF20EXhvYPnW10kfbRk7RDlSXQLo4yeEwo8sVZxSwT4
G+CxWQNrsdeG3PPSIhDl0fceqq4PB9ibTWfe52uuOUvM/meMebH9E09r0UJUBfipo7GSOgv7lTWX
blY//iifBlkcC9QrQfxPMEhFYJyWX03lj881vAU0qEDUBV8OINTFW9RuMrR5WR4R0FeTM14mRbf5
L97hnyEWH0O3iVcmSVEeH9vxesh/fKzBdQryP1C3cXH4LMMSL/pmYGhwHQR/U1VE7DMoyBMxA/Qz
YLMDTBT464vPXFTAPwxV4h0GM84ugAT48eR8evziA3MDTFbA/b1Dnw1riIBVfDyzTk++AKRSIUOC
vAXI389fuLAzb+onjQlqgO/yYWajz4ww/8bFzgZaAucaXKVQOlnm4nnSWig+Uf+gmzVAPR5fJ/36
+2k6sdmgz4P7BEocf3f155eoAGKwKzR4DhC1jZz8pjKuJGui4sf+BZCDRHUGLp5QbZyZlZ/HkYAO
Z5CGpAeWy6vkUpzNkk5EwU8DLIJ4aqdpM6JZeeB/gKJS2drNIr8AV/TMplsmyeBboBkO3SrchWdY
9JId31tO0srBN47KRz5mo8dqXxrdow/qQtddTMEYA9uCYmy6/f5L/WUR/LMaZiIJ0OWADUMLC3j2
ZaWrVBmxWDKQ4zigtQ5aJndChv7vQzCNZJPBYBql2uoxU67+SITdfejKC65KqZM/IvDEZZmYjxKG
GGthJ0FokMlGN6sH+oYYQBKquoU+xVikdJ+qGh5mnZ3eQqFXw+IdUvuRuOxJBJaJrhnasMODQUu0
Z2W7gtd8sEETWG6sjgAQB9DVRYtePaw9+AB4rgh4sQO8Lt3rwD2C1mnG30/M/GX/nZfZCxlwQ+C1
4VA6I6s/L60i7SpYjuTpfeC9Be42z44iu3SaIKyDNtT+OY+MxaaE1A2GA1FiLptCHG35/dsKAEqm
6xTmqxdWAxvUx4H8LN/53yHmowPfnII5tNgs3NI1UjbK7oHTo9ahzH/GHZif7yNsYbrg6Dvvys8z
VlrpNAZotd7VwHtbztHufhbb/w6AfHy20kTZFFXBzwMUZdkZdusEd0KvzLXf/yy2/308ElqKeqyF
2Osu9rpFpT9azA3uiv5m17v/xY8HwRQlR2j121+UAgeTlJZZ+cEd3D0q90mLM9ehRcidfz2kHFGy
RliHUtbyQp97Rk7GVLP71g2T/J14kR2EDftZyv9llMXxyoIhKzXr2X1RlBugfF79hv8sQ/i/IcA7
RNKMYtHSL7I3k15A7Z7de+O4QTPzqgFW9/u9fXqu/jPEYm8LBu2qacAQzL4kRkzdKC036lwN4sSW
nmW4UBiEfAKI2IsScEB6WfdgAt8VjRuOBGI9F/X/kHZeO5LjSrd+IgGivG4lpSub2b77Rmg38t7r
6c+nnoN/V6kSJVQPMBiDHiiSZJAMRqxY6/3rA1kFC8tc8UaFgpdmd3bEWuFWWH4713Qbn9vW1eoj
JbLXv39lopCtID1O0MMrZp0kz+TISqZWZscVv2VpAJNwU/aKO7yR0Ihx4LvQwgi6lpkoa7X1xtTS
A3Cd9nn+2SaP6aeuf/PuwwAClILmXNZkTXoOUDiv9cCyznlwF50q480+u1zcSwaYiiXX6MqhhNSQ
qUkV60wryXSvx6fXl+GFJ9GCSxLiTw8RcgnratGoS5afRpVy7opb7bcy3ArrrWcfFujEpGEcpq+l
g+f50VpLo19LU6Odyzr0tAbgwPy2fIeKH7HE9ExCX0pNZy36AHrTCutYaOcsdfrslFkbrvrnA88u
bFaYbaZS1iErB/fB8yHofdA3uV/O5zDtPFDzThwe2hEYXHSTVxNgxIdoej/IXwN9V/tHv9pwgTWT
yTJAjvWFXkZABKSsO9t6el1qoKjzWejvtFrxQl+HruB2BgpEJPNY1579zxxseMaLAwC/41HLo5kQ
WCXN83zQg5CIjSFHORs5gOTbpN04YNYHwJ/oUKVEBtMDlHbrVQsUm8PY7NUPkX775VDkd8mX1117
PYA/BjTo1hnGlSRM2jStLcud+kHuA48Wq7pXvP9mYfVkbrJWKFrIEJDWkg7+XwxAgcWfAg2X7qI0
83wFwpzCSdEIPq9JhygOjxtRm3plCWAugJ5Cgy5CfsF+oQ4RlROrUj+gZAr9uZ8kD4Epyo+iLYKz
rEP2KOkz4n2FH3s+5ImunpT6PbAkgAz9YDZ7U+30m1JJjHdZU7QHWiqVf4xhuPenNDvKymAB4ZBi
r4ql8mTPjTjEukRHmNmRFBMNSGqrKfd9C7S2p+EMeHU4ulMEOYAL5KtxyqSTf1VoMTidz/E3TwSu
4FO3GNqvnIH4N6URjtcrFf8ujSUt68rpLMPk0t1rzY0UvjWAZTMRnpElgtCZBMvqBPHzwVZ9TR7P
qfJLqBEI8N+vu+K6RXM5I7Cg87pf7iAyv8+dRQkA0gTVMHLM1k7UDvS+unPrDO2jNJ9pX/yqx8ZO
HwHAN8HxddtX528hIEISzKAPdXVFkaIv5CIqx7Pa2Z/QSv6STMZ7td56Nq338zJChfAfdltEPwhK
no8wm6i2QkU7nZtK7lmoqD6lSbqFMFm+sjrrVQ5ZKgt/aHTXr6XIzqSmj6Xp/Adk2HIryr/RTXF1
OQMK/+71mbs6pCfGlg36JHNoBID+8jLgYmkAXGUe4I2tu2spdL8YD5WAJQgi77Mej6hRf7QlHee2
31spgE8jPXTV11IMTq2EbjYFTtbs5S0JkqvTSBgMvSNO+aI3v6frIIHeZzqHXYNyWG98GClnJUbh
+np3aFJ5445czaRGNE/bNyEvuubLE25V75fKYur7JlbPk3Kj1L+DfIvqb8vA6jokn6+2FPvVszx4
/o0xbazT1c/T9g+xOOx7Lxr/e0MrM1DjKm0C1T/U4h+7IvVed7bVkvw7RbTG08INa9iLmsdcZQKS
YKGcTds/TpZXyiYdYR+n+gLEc6NEtE46/X9jC2E5hLgaVdrnnl30UzzIaaaeS6Xd2XNMqWLco259
4Jl8FF3/GGvBTjNogBSj8eH1ga7jtX+NL4lIzguerS+S/m2TGFGhqme1Smq3qbXbNrQOiggBt5W7
uQETKxI6ySZL+qqM9AiEdnCIAhhbs6D/u6kAvkFSmmcnenHPp0IJuy6czUo9G8lNXY5UqOmbDX7Y
auv5/uwpIvHC8h4k5+uzsDqV/0wCm48KKXxpS8LpuVmpyICxi0k5Z9atMp+C9qbp3/Zkf2FidXzR
TlHO+jAqZ7n42N6n0dsuzRefX03c3OVlpdqDwhnyRTW/bEQ/13bc0/lZPQx1MMi9CZD+rHzSx9aj
iXljv20ZWIVvqtahp9BiIBuPhkxTU7BVSF7m98nZ/u8EoV6zvN9gvVlHFaJIbE1KDeVsxJ1B02+m
HdpJ9NxVEk3dVvtG6N+/9nSeBTzaDdTcVi5VZeZc57OinPNG90jJsV1kt9/KV14bFcTDpJrQnKRs
t1qYLNBgLCRxeo5E7tTinWXdZ/m3JNk4JbbMrJbHn6p5VCfM9KJ2dOWdaj6MtDaJINw4C6+du8Kw
UC6AbYXCyMpQ0Sq5GUalco5L4LNVdig6cSytzoWhkpPA1w+vb/xrfrfk3UFpAvRRxMoeLQeZsEv8
biSdEsUOcjYbI9qwoKwu26ym5XsC6H/W+/dj+1F/I6Trj58B8SUCI6QkrFz5GcThUaXnKjsnb71R
jx6aeKtYKK4dj4IpQpKBJz05rufHo0/jJ91jjThPkaHTOm8HO7Mo5I/pWA9eURrJJx7G9AuUWvmh
h+PhlJfK5MZK53sZrEO7Oozqj3kl2/dBpUQfX1/Cay5DJndJmkDM/AIjXM+9GgzxLM6hmhwISS1P
Vrp7xa9pMiyz27a23gi4/TPlXJZcUDzI+a+V00iZkkyVQR5o1G+q/SZR+jWPoaC20DVxFb2IQq0M
FI9Uh9yBuek05o8w2ToLr00ZiHB+P/RJZKlXAUdm2i2dDr5ylsZzXHwTgeWWTevM2k03bJU5r43m
qS3lue9MdNSXhhwwmtD18+aYZsnGk+p6/PRkOKs3VT3k45TT/nmuFx5RaSqKe9RT6RkCGb+z+0ne
63CJHosYZCuNZNWObsIt3bBrw8QdIBomPUMRdLXNja6KJymc9HMii2M4Q6CXf3jdz69tQnYgBNBU
LtABWBb1yftHEezzQp31M8UdRyveScY5EdHGafUn3Ftfk7D/cfJiCsDe6kJpRrNCi37WzgKSycc2
R4F2DEcZvKA0dyWMBd3PACaNI+yps5NNRuAiJ3ST6PeDqvmqM6SaT3NKpj8ENkUiR+l9DUXLua6c
YqJlX+8z9bFpdHU3Fp3h0tHb0LCkAkX1RUBSMhLGz0k2w9Mc9tyZ05RE+2k0jC+lnNKektk8LrWp
oJmhUt6Vfdw7gVLWAxw3/oPN2V12cNwGB6k9pKbc/Q6nMr4oc/RL0evgU5iLfKf3tDkWJV1xVjql
txx3iTPMxbBH2Kl3bLbFUfbj9Mfri3fNPXg8GvSbArB+wVSnpp3ZFmVinOP2xrJvuq1GiWvOgQIF
GSruMvQ0Vlsg7gXdm9qoI+9peXUj7ejYOMVQ/PzFMJ6YWYb5xAdTONXbSMcHZeTSNa8v969/f2sY
y58/+f6s1EmQK3xfV+76/kFXLp22cVosDvzcwcG7yKS+/y3VrOn8oBNohzTNtHOqBubJ7iQ62Kdu
j8y876StNd5GSyNjXQ767q1jw/BCS4+IgwHkY7VEKVwMIski/TzLPGvgfjbiHYfu60Ze+tlzI6sF
mtOM7GiKkbg+wDccbKX3t76/WiArKjOVGggO8E9fv0+a96///HX2nst0+f0mFUf+ySytrlbdSCsm
MNbPIuoPhay5A5RLUMsRojftXUb7pzJqsqOWaAOJPv8hzcqGC74MdbFMA6MFLTAsiC/eCTJtu/Fg
aGe5Lk8qTwZnglcSdqz3ftVuuMTL2SSdT9xOCoaSFaWf5+6OxmWrzKWpnQ0UZKr3vrHx5nw5luff
X929ZjGMyK742jmc7vgLlqJcoVXWe33RtkaxcuxQmyFEWUaRGS4SAuaGSy8u9XzDLoOgeko2gHSm
uRrEKMvjLOsMggwt6Y82/xhudY5cNQFAfamvgpNag2+yuLOHCsc6T3R3ArEc6WyOJ09Ww43nxtUF
AVgCNaC9pE1X20cqecboAYZsv9Teqake7fvBj7/PQRB8qOo5/5uloRQGeAbee3kdlRSNMbbZVHOe
+h/0e3X4+hcr/+TzK/9V9VburZHPC6RWbgE6/MXniUMgR13SfOtytAaOpdBh0zgP8omy+qZkzFXH
JXcNzoeSEe+/1fYzEJmTTS7N6aaApLEOfv/N7//f9xf7T26zRplyGcYoZt8x03u72AChXvXaJz9/
5Uyt3Cq0o/P5/rM1OboMldKGu16zsIDhyMVRVYca+vkACM4af57ZeqV1KsVBLZNDBxfV22fpqZFV
xBn7kw4xCkaM/LZyk3EjdXV1DNQFLcjAAeUYq88jSeuHFkwyZ9V6VIq7RnFpSP6LERgLRG1hoMbW
82mSoVdpxsHSeX+ciGm3lMyujoC3IDywHE32iyYaQRJ2MkrjDLfAFH2Miod5dP9iBCR/OWVBZ1Bz
ez4C6AD0SWiEp9C19XutterdMNTFRuh17fQj8AHZxZ1H1uXFfrPReCB8PUvBXDuSFt6P/SK50N2F
1paI71VbC2UzRT4oe9c5dXWctFgFJXyWepgfQO9kN5Hw6wMkGIsiphqql7dOIcLrlBVJk4KCBV39
fAqHKFHTGB62c9ucIuu4dcm+dAI+TzKR1jrCBWvtBCLUQi0LC+08wmFn5RDuBLBezFuVmyW+en7Z
PjNjr56xUSYnjTWXRAxS2poHcO7ZWR1E/mkMc+UMIDUJgJG20WkuyukfMx/fKIz6JwCkNw2xDHYs
y7LyxCaTgKdkknr2yePAspo3W6izl6c+Q3xiYRVP9FIPCiEw1XMIt+gxVU5/4QdPPr9ych/i1H8H
ENPLhYhWms8b1+LiSS/W6ImF1bVSlCI2YRlSyVmGblrtRcNj+qh9N4GE/cVYCIoslD/x63WhsJyK
JMx73kq6/cM6heLb65+/kldkKUjCkJWn++1lIS+LSaPZKa9W5UPXfqrIbWiHnvSGEWRUWyd4dmZI
IU30AUunF/vOCJ2H+O0ZWn6FzYOQgwlO5HViJZv0CdaenofZz1wjuHz3+iiv+Rsk5UCRaJ4Cv7Pa
UoFdRZnf5fp5lFGl+wzV0198n7uHIgDC1HSsPj94kqEx44bL4zyQd3WaLfr7K+9lwHrIICNySYy0
xvYX1UJ4Z87+OSKzk6o/IDn+ZusyRBowwvZb+f8rxxwongV4v0zZCyCVVOd6qiSVfQ4q3yv9A1TB
0I1Ib/drpor6wnKfEtqspkyeSk2yZt06q05fUVYY3p4NBF4HEonjmmQaD8nna1KFgi7rQsouWfXp
51R9eH3Fr0wSTfTL+xgIM2jvVUjTRgEkvPmUX6AYgmkmV7/Z/YaJK077zMTqHV5kWRzoAyb0vcQN
UG+gEK8cYfSi8qxbyha8TlYLYLV5VlLVyS5W1J9Cn+YUcUZ4kvS+K8/712dry9bqvE/HyI8Kuc8u
UriLoAjMXODS4T1kDa/buZa7eDao1ckvhkGTRNtml674yZaCdxf+9+o+moIbA2KLIKUDsUeDa4wb
SKnt4u3nAIAiNs2SZATYvgpAsnGaoDVssotJ/zjkZBtLdn14T76/8rpRi7OibOtFSW+v+x8V606v
7vXimEFA1YanUoPt9V57Y/PpEg8s6qT4CjVUooKVI/I4seBnyrJLONyUO7PaeENddQ6bUBTAz/LI
XLbakyeaLSK1U+I8u8QSxD8zFYoPsOMdZQMC5zeC9v8MxeARDp0wgPoXvf41dLVlkAYcCiPsSTD3
hVs6FVcOBm5R8kmEn0Cg1yDIuoZpIELi+mKEMMK39zUpE0n7+rqfXzPCs3gpD6hLa/zKzVO57oc+
UtNL2LuxcJPIm7eutC0Tq+OzjPR6ijM9vXR96sXDR6u5rSlBvD6Oly8EYTwdx2rpk0rOsypjHH7q
6VAkxp7e7AmuX7dyzcGeWll+xRMHq6xsTHzYWi8DvJ1F8quB9T5QfkbxwbA2FubqDn1qa3UCyJNd
lVKELXh9jwFyepIQXhWYztSXv8MOCmer+64ElRfY01lK4e3/b2NdnRBmmYW2FhvpZWrg4iRdU7d3
ZX0IqqMWbxzqVxdPI2KjyYkDb/0cAoWfhsrA4o1aA8XjA33Xg9jrxoaZK9cgqLz/M7OO3TIKHoIK
AY4YIiBL11urbGDxrro6SEwaJwlBX8BEIgWdhbBSmLPxW6tCvmP9UOSNQ+7qZD2xsfz5Ex9UM7tN
Wl+klzz0ItONKal1rti6IK6MxIThAFk6YpNlMCsrTVUEfZamlx48oQlndT5/sMM3Z3MIoZ8YWZ0M
XBWyTDdBeimKhyT6NSo3RX9+3YuvlJOf21gdDDkZTYAMhCNlezDMOxnyeGrJYg8DqGnDr/y1if/i
bmVYQPBkpo/88CoeqlM1r5OqxM+ohOrdl8K/aYPbnCJlZ/wwzK+tjEqhJ4e714e6XJ6rl+Qzs6vQ
KF5kf/0Asw3wpxkPpxQ6usrkDN0O/kE4tDdOiCueyFOCyHV5vnKDrHwk0e1EkGdH3CH1OCP84RDP
riE2hnXlyfLMyspJWquMGn8ykgv5e2U6mdqpGb7XdulFseQ084/XJ/Gq31PWhcKFwusLMEVvGnVV
oERzyZV/hPxRFA9DsVHH2TKxWqd8KESKOElyKZB2iH7G2U4ef74+iquu8GQUq5UBq9NkKWSZF54c
UGV/0+JPtoQ0bP9Lzz+nMf3FG4fS1phWizROVo88TZxe6MbcleX3pjnl8lZj+lUjkDSAollKOy/4
tETfT741crrqt7l/6Ckd5ubfDOSJjdVAMnpnoCmeOV1hFy8dNFJy2X19ca4Ng6cqrwua8xjIsnhP
DvBcJBFk/3JyGcN3aU6rx/vhjVQBS3AKbgUuHCqeRHZr4G07TEolsi652AjKRCelOhb9oz++HTqF
GVrc6ctaXvjreFtKgh6MS59c9N6t+mMmv/uLmXry/dVVB7Oxrifd8v3xcx9+lYrfKA38NxOrKAvd
lEEfYgRqoG2OuwdUVBT1+N9MrAIpo2nbtMiG5DI3u8AWEBOf2mjrLL7iVKT6VdLxJN1f1gZVYxIZ
aJLqklvNXkyyV1q3lbIFSLhm5U8vNO08gMvXNxtSskbg6011Ee1NJdCXQ1ZoYwNeuVSIA/8gK1SD
HNXq6OoluAVF2dS4bu+p2jFp010d/Qqnw+urctWOTSUVmP4Cw1otfCgN1QhLeH1BlgpqZ9uxos7L
A0iRpS+vW7o2aUtHIZUYlOpMZXXeU1fNIPmW60uVJ14Zf4+A3be54rxu5VqgYz01s5q4aswRCmkH
BiRKL4yh5jUKZ5R6N1B3ydQds9Byhkp1purz65a3xrc6MqcaGvJJmmsIgZFtNB4WJZZ8KxF/1YhG
9XjhoOF1vzo0zUoPjGJmuep+vOmj4TCPH/367fEo72xqc+RczKU78PnJrLVtSR9RW1+KT7JM1uXi
I8D2+mQtk7EK0ugVI6+7pA0IL1ZuB25EtUcT9x6S6WTr6HSp1UZ8sWVidd4QLaldZGNCZMpPLRh/
KWDvXh/FldWg6mdTaucKA3S68rU5UrrMKsMKSbX0WDfZgzJVe83aShf9SUevZuuZnZVrpakC2pAX
FcwIyXQD0PxX3ZumpxaZepeYkTgBVlFcUGzmIqOFopdvWvetZv5We1m/VIGsH8tw6D8ivlugTAVJ
olVp8W4wzN9SCSW0ak+6V8tlf6vNWXqqteB33JHUmzXpA8JTGmoJMZIJo/Up6nvOVBM+fTlWD1Jl
2sfSlvwPcyEr91YQpp80kUeu0dhQfusTDS6TErlqV+WuWfm+I2r0gmLR2W5uz8UxNPJ6X4U58mCB
pR2nrJr3ea+PLoFBcER9RvUoMhRObyNFUsRJc5ozRXbDQWifbC2FuhCZhA/gEBseNXL3ua9yFPEM
o9sFYW3zp7b8GEpldWsJtAMaSwSf0RE0PE2bUO7RaLMCXL38axBr6aIQHRY3ltUmN/TT6E4d2t1j
XWj5DXIoyMu1aemM5iJPMSr04yaG7JpTHXlTjhZRkFa2Jzptq3v+ygHNDoTbctktJMZXryhRtWOB
cGRxMYuvffLYzKNT8WraCpW3zKxO57GMjDLJgmK5nTN0I5P7ELB7sX99w/zJo609mWcMsRJIRTbM
at9PUGZKeElxybTZPPpaMrho9KioUOSxo6sjknY6HONKlQPO7avIsRQ6VsfIEDetUbeXuM2io4oo
2F1WybPbhfJ8Oxptspv7Sn3XZmrsjqWqudEkg3dUO/SlgzZ1C6sZP46tbkNxPsyOUlWsZFV+L9vo
d9/l8WEY7W4nyVbmBbDYuPBeVJ6sI7ZWomz5kSoRFOeZgpQITyZHKMNF89vJyfPacpqsDzeezsss
rGfp6bmynDtPQmMDWcjZztnvVfw7D9DXSB0ZRZJyOIX2VsS0HIMvbJnL25X+tCXP8dxWYDZChne/
vCigSIzpUkmfVYq8qaqeYvtOxBt3y5VTmeIUvYeqSa81HJjPzZU2lLAU/IpLXBNpiughbqvdhpNd
GRH8tsAJyBuKl8C3OTUMFOXKy1DNEN1rMRKsyJF5f2EFEYWF9YO9ub7B4joq4NH3i0t9ioM7puq/
fX51e01NGJRjJPF5/fvdJtPwtd1OWYVSJKjq5dHyfBXCSEid3DXlBbYanfRZgQBAm9dO4Ut35CA3
puqaOxuQPy/wB0qU6/eRxhVDS3+ItSImI3NMasi7ZKKK2IWndONOvm7MBN21tOe8yMZoUa42aZ2W
l7w6pelHneA/sGmgqGqnsbYEyK9Fm1z//7O2upkla4RJ1MDagBBa6M9OIHmt9dWqLoHxvsq+BjJC
adn3133j2palckSld6GBf5GcEeHQdO1gFxctP3dxf6o7lDg0yW3HYzQeMvT6Xrd3Lcx5cgWt48HJ
V8xZTH5+aeZgJ013ow9KY6s5ecPIGpbRBnXbwRSTX8JGvtUCRPAkcV+haLLhH6sDCLQRiCNqSeCa
gOK8yE0nMcsZGqP2QVX+sb8H6qc3zdXyeUrkYHE0eChfrk3Z+hbdWr76AcZwR0NoaBxveFa/bkSs
POBfKwxAVyg186ZaXRDZbJIvtgPtgzmZXpEe/OaLfehRMte+Ib+HyKtaeMnvRc/W8LLplyF413/r
ocGX+o1zal2f+fenUK4AMUuu5QXKTrEbny7XYqFkK+7rKt0NWnimLRhRN/1WDucH1UfbLOpctRA7
pSg2zpbVSfbC/CpuQUus6+II832DbGLijPlZKm8DcBwbU74ciU/uSXWJ8nnrLz15ALjIvD0/Muem
s3UfppaHyBofJc1Aqxj6wqFM9mpaEUvHyWNlRV9GaSea5CxrW1i5Pz2Vz38A5VUbvCRddNw363xZ
MqiwUqMz/6h0CLoUnS1cRUKTOCjKDwRD6T1g1+IUxom2SNsrJ3ynRZsRtpUEvnpdPnZWGrhBD1NQ
G+tenAUlEoGjvTOofR4Rst1iG1134TNlCwuoZSzOwbm/ToxTU01GI1LDx6aV9F00iupdVI+T18c2
7KBE6Q9TKXKvqWkJjEMD7QF12JdIXPIS+RXlXfJGX4HRjK2yzB0UUQL41/MlVGOZiyFLo8sQKPkJ
for23hSR7qYdwqNzZGypQ6x984+9heIMrmx5Oa6f27PlBgFe7rxLGHpIwNfGRUWXVj297pnrA21t
ZbUDYqWc5qLDihC/bGrjtvG2438hgqO3/H/DWL1y6z4dmzzCQM0DLjI/iv5dvcWP+OIYWYyAWVLs
haaEmGq1NrAc8WDLx+ASDdNtAhxYk9SDKSHiWXbd44g4ttB9z4/8MwQ7TpNbH1+fxeX7z3bXH/tk
vNERWE6y1SDb1opQFoO2D3JOL4jUQ2M+ltOX141ccwj0SP7PyLKUT+J6k4KKKlAjvwCiB0kT06SF
qId0kbaQTldHAw8P7H06O2+d+O70wUYT0w4vdUWrbVT8MgwEzu1+4x5aX0N/Fm3pAIRdhkBkvcFF
Pg4F8VZ4iaMoc7qwPzYdqnmReF+mAxIT6j+V2DoH7T/omOdLhV1SogLueU5CebVUPW3YKlLC81ma
Ic1t/GT6Z9IyM0CEStRow8H44fOQyxAtfpiTvPKkOE29QrdbNyEkdmaj63klNqPTGv68K3sbnXK0
0Zw5R7i4E7CSOWnZVMceNBwPobx7H3QqQl9dWh+jTLF2wdBoD6QQxEUdO9Vr0966L0arP6Yi+KSW
zfA509TxVwMUNHAlc0h3UKrH74wwyXbNWGmeCZ2cK/QB6h0r/1F2AhEvVZ7LzOuKLo+cZMz842yX
2V4K2uJURaNxDLS6d9rOmL3WGLJbO5qmXSUjim02CRrMVazturCWHsMFqICkoSA/VCLKF5blfTcX
9mHmbts3JEtu/B5pPgTgS4Sedc3VbHIaIpMHoEgWMjN9i+qs4ksCvXbDemfVWXcZ5Dp6tDXkJDUt
+KewoLMw9Tp9TEe9dQtOb9eXJbIgSQG/MDqi95maaLsSuWFvVPXBq5K+31EI/g6APXY1PRNebU3C
421SOEWY+XdmYMgPvLHld02m3QWckyU6h1M+onXqZ7vITqBpyevgZATtdFThBuW6FvvAoI+ujK1f
up7NFEPryDEtM/DSOJJ3sawzpUMs7eyuSb7kCIh6QZek7qjnMtscjmdHM0ZT3LVR9A6KDRV19dG/
xLH9Qy2S4Tglfdkz/42Ngh876ihpXei0evjVnmqotMah/CJ40Q5InGtB59b1/HWqY71xc2Flj5Il
DZ5KsvUHjbiN5g2WYn+LrED+qrRts5OGWuINNJnmR2VS8h++mYkPyLkWd3KGK1aK/buW8/bzrCIn
zvy8xzumnZ+1vzNplN7PyJKecZLoo5UVmnVqtU5ZNGFrElx6ZDk4olIcObn/oe/YeDc0SO5FgY1w
pTXRNZcbvdujK3eM21Rccjm2SsdGQZMaadP8iMqod2W6v6HgUIbvfmNnFyjfJM+HSThAaC9E7n5M
zXu1Gt5HpCiPRSEJhCS1DiqdUpqZnCZyIPgLTmOW1Q9R2Wo70cKkFS6eMulmgTLidC61omeeo5+J
OsXf8sDqHkMV9FXOZHyMCcaMk48q8H5QS+P95DP3jqGEwcVEmvxBEnnwIa3KbwpAnc9NqXxNfJQO
p4HsZa/NqPYNUrNHr/TLLI36nkUaH5lb+7NKl6KL/oPw0ENtPTWbij2yCpZXJPJXdOx03ZvaBmmF
iOZrGDj5Ww2xNMLh9icNJWBkIbPcgwKg2Zmj3HwL2J4lLRlZcK9VbcdALRCEFpqa0w8z/tGDag/8
3OnV30Gqz45eJoknhqxjkUv+Rx01XQPM80FkceNag917s+EXnt7a8b4FakW+VEEXVY7EXu3r6qQW
tobkamh+bLRYphTgB24aTAG9BaS/JnyOBnAfDcJglN25aioni0xEzbtBQk3UAMeEpC9ySdEQHbRE
rT43vSb9QMawhzEB1cLMLHtXiVLp1giXMkNqAV5HnNJhI8tupMeZqzQd4i5VpDXvzZSubMWPrEOW
1oVbd+b4Dw3w8m0NZeqProjSE7rgOhqoBb0WSpIhkYjC25HTR3YLPRy8VO7FJ+Tam8Kdira5K5Mx
+aFLVCmcCPJWV43r+WDXRn+jxpV+KAfJ3A2p6D8rXQKZ4GiVwpN6BKmDabCOSt5qbjqGymdeHpYT
J3XyQcna6FBHPI56ow9ve+Dal9HvSs5wCaFSOKyWxLT80CWxvk8lqXmHjuZ0idOm87rWIo2Qz4bX
WUlx7qXWuJGEZR95s8471MuTL4hMZ8d4mgRCjHrutKls3k5RUdwYDeKOftIijRgKK71tM027K6Y0
9iS5veiCzv3Yty+BJHwPXbpfaDxETjTkjaOl6WeioswpAglmKt9oPfoWor0sAUSS7Hx+SIY2ciQL
bfukqrgd0Iu+byr0oOlW6h0lpcugaBPZqTU/3zVpUaKDjGTvTV0p/CZ+1F0ft90+apPuflaQsJUL
uqRUNDl2VdpOrjZJhRfqk3YMAlns/TywdyOklG4ViO4bV2+6m8I42s0jzKumVKJCGUnxrkzw6b7Q
DEoJOhSQhgYLu5QmiDAL+77qu9Q16tx2SXT6jtqGNU1mQf2uhNrk0KjYNbta31u+nDt2kIyf8jY1
vWpo0f0Eh/qAGDrwpS6WT4ntt4dSaspdaHbjjd1Gwy7NemNfo126bzj+T3Uij65UJ8ZJg9z9fZd1
gys1AllwGdCgWeI8TWIqOzPsDW/OIKGUJnp33aGEt3JUm8ALWuCNid9qdyl8YUcl4W+6byKYHCJt
bBdN5lDWXmRok/rGsEexiylxvmtiOMXUpirf1UVanrJ67j5W9ah6YrK0S90IfnRepzt6d9rvSTch
225NlWOLHnpZvR0OeacEtRczW45iB5A8pIhzJqWdn1LFVz1TLarbclGDVicbrVu8mD0dte+1UQNO
Y4D97GuUhJXIHpCWlzIHddtfha42DjoAsaMI/GxMCnHLnvWpZAhlX5pJeDCRzXWm1pqPUG2yy3wr
8OK8Vd2R8oyjzql2anMJIgOyAtoNz6ZpcMIY0Xi1Md4ncVDejOgko04t47TGHHqpXxS7spONmzJQ
+z1EGqZj9Up2j7xoQK2oND2p0DOI/4mtQpN8gTqW8AQG+dckh5HDpxn7RG3E31eksfeDpXWOLKeW
M+VG46Y6FB5Tqdu7ckR7Pa+Mn9bc/6zN0fza976AbzDizOsU+VD3JCBrA/GLKSr9Ywsk7jamJnHf
SGF0UJOu+JTMku8qetcekjRX3ayxa9CmUezJcNXudbmoDznkpneEBfjg1FNbpgixr4ve3pELuXRB
aEMuZ1L1SqtaP0R+gV5BYWiVNy23Tdz2rClFBYcMjvZu1CBt0RJJrl1hoy6s9VHqVkoPxaCRjDu/
aaJjjtbjeUYC+lg0XfOQzSR3pLo1HthI026Mg+CxaBL5oc6L0EPWQNrHQhoO9MlPsE3FkulkqRx7
sCeX+xjMZOt1ndm9n5TgNwAs2l/0x4oocye6cPhs0LwwucUs1d9Uc2rOouqSX1rZJl/s2Qh2eozi
6yCHPxORCMeXhtRN/Hmp39iq2/QEtDR3EArovb1va1/eoeMR0lLTmJ4+W+OOys3o+lld7/pSQ7dX
MmDoqQbtaIuu3aWS+H+knVdv41iztX8RAeZwSyVLDlTbbXe4IfrtwJwzf/33sM95z1gUIcLzzUUP
Bo1haafatatWrcWmo70Cpdvs25CBEvF7K3FMdQy3Suoj40D/tO3puWn30DXvPDUTdr40BDtd83wR
uGwuawc1HUj8l52ZP6dt79qq733xRnB/Xl2X6F7nvrZTeZmffTVsAfwXYXwKrRA+QCiphAN5gWYb
qqVy0kqrerI841dXRp2dZ2x61c39fd/0hKadZ965Vse9k3APBnGm74awrY8kHRu0CCV/b3hZ+k2R
Y+MB5YT6s1EL8amqsvGsC16g21E1Vtl96Y3UlKCXLjYhcr0E3eSTnKrHIfgyTbENhXruFHJM8RDV
iHdo0bmiE/WZ0CyzRzeP9z6Z8Ie0b83XRordfAPJYXPqEU4O7doVu8JOJTf4Hbdpc1YFI3mJKY/c
U4Ebt2qm0OZe+3oOcqkzDm5WC3urHPAMWoCA76iY21GWurs4K/y7zOqqrRoZ32u2waOb5/Vj2LnJ
W1/o4UPro4YdJRMz9dAGrz4V5D0Sq9m2GU3FVopC/GzKeXCWPQEgtRb4vIeK5pC0A0uYJMXnNi4g
whmRtLdyQvTUagzSVZp18usx3WVe/kWoymqXhnrykIZNfo+cTf3oK613h85n4Whx2b8YeuEdxTJk
l6A7fSy08A//V7j1O6UBjsGx1PyhPVjoBh55bxXnIi+I6kvJJJmndu7OB811jodMsIXOCHeKDIo0
UXljJL7XvSquJu/1UhMdizP9uRb1bOf7brJNww4cspi0dtYX7b0Yjel+0NvhOVCT+lmNyGMroyrZ
addU+zJyN2ZoHumwfovI3G+bkGyeJ3fRJkzS9knueSxVeMKNqKbVXpZjdS9ZtbZRKrE7+ForbVFy
/+1GJer0elucsjKQnjIZsetYREBaFwe7HDt4AAOzflAkv/4Rp+gAi0GhPGZQTtuxkUrbqCt0ruk+
OvliFqGT7efbaBQPviTYpgXsDyKS8dTRfr6r3bA4CRZS24rmlrY3evUzIgQyxEWqvO3poLlXTNfa
x3mIwPbYmQ8SuqjAfCyLTF/AjV5m1WewAb/CoDYdUcHD6Rb6wfXEhRKARj8OXmD+kEspIf3jNlu5
LmtHT1L1Xkqt+mQ04m8dQqSN3JTSKeyV3q5QIbZJScf7UUNlyEfTYWMR+NlamQ07vWnA4tIlvxP6
Xjp4mtjYQWyGf1S5gRZP8QSn0KPwFGRNso+8TtzALOvvKljXbLw30swQvB0CrULsWqwJQC1Uc6CW
Ks+ZpNEvOKgmVfKcht4gQhXe8uNjq8Fk3pt+brtd7tta4OXfaii0dmLnusdRbpPNKMbjyZKH6Aep
cX1vllL/MJbdnyGM4ldVEZhLLXrrrErYZ437s6mq5KVUwvxcxy4COr0snzPZaG1CUW/Xynp6IAj3
NiLwRIiL5G4b+pkChSFk8NTcELTRC+HUeEELyxVL+wSHrruheFRvYyl98qVOOrr0fQPIGwRHrclK
6KGaASvNs8dWDbtPSSD0r1otvYx1gnpQLibWi2upDsgS4VWwAoTCozgL7CK0/LMqFwT/nhjfZ4qV
bULV/WOlUXMPNU5/opyfHlWuq03g90QMQjQ2G1Ee0zfXi59zfzBOURhSiEzDfJMGIjCtqvQ2bqDl
90ohiYc2Fc1NkZvtPvHdCNyA9ka+3Lwbgzj9E7WDZo9DPT2x/HgXaV7L06ssHL2WIjocrFGzaTIe
n3Wy+Ee9kcINEa54gCXgTxlH1l0rFxHtUTTj9kGlABocjX0iSA9+3iUb08vFc6G007QZw7G2BGsb
KNGPJImCQ8xjax+WcUMSQYk2sUS2KU0FImxeXNqJrF//mvV6v3dHkRdkHyZfI0Eov7jAGk465+EQ
KJbHkzAW6KX1cjuIXG9rFgW5rDaREDh3x6dWMHrbz7TsuQjI8PNSde8jdEp3Sd4Ld2ptxIXdoQpN
MGH4e9ErM279uLbhNrJ2KYTWttcUvwH3FXbMsb4TyBvs6lKwbKMvhd2Y5/kn4uPRFsjZgzBhF3mW
BqlA2UuPZtPHD35SBivFsuvUNZk8ixZcCzVAMIGzTF7Zd7o2WuZ4bqSjLj+Mq3CTq6Qu7DrkCvmy
RDigzGo2aeVVOknl8Vw3T3149OWX2/ncpd//7vvqrAu6g5PelAK+bzmxu+nX2qyus7iWYaFqQacy
YmpXILneMLnXenc8I2xMevCkiPshXGtLWxrDeyNTjvddTrrSEq3TW4xE/iYS7A8yeZJKvxzDbAks
yipVX/N5gzxjBhbt28eXwJpI+2mXomdqzuI5GAU9EWSbzkn1/VwpPz78ddozwS2AJJjkt2cJe7fs
aqEE3H0WSvk7ABmbjNcK1mdh/v/WPICNs1mvebIJmqO8gsrFFRMHWn+40gflz+1hLGwkbMA/RgMt
T4957RJWeEuhnqadJcuRqnOZkpn4fNvEdWnDmhSRFejFpgLKXKe8UTOa5ERojUDA2ZVsvGhxS0I+
/m6koJdu27ouO2ALggUMoryOucstO5BYLMYc8oE67u+ipD2NbgN+WfosV95PcWhIP64pRCyuEqVD
mLSmNmR9ZlLMhd4MVbgcMpQ945Pv/bo9pOkYzGoa1tSvO4kUQVs+R5RDD0AMk7rGWU5/jfUhCQab
3Kndc/BFiazPGuprDlyZziVdEXQBgiGBZnkuIKXllhWnvqif09aQdhCLalRDypPm6ocu83dR0JKi
TT/3igDpJ9jJ28Ndms7Jr/3l4ID3c/r7d06HLG4tQB2vn4da3AzdKdQ/KKb5P+N7Z2E6Eu8stNzp
fhfK+tlDEy1hSxqfbw9hacNPAr9cL/Sm05h8aSAjQDZJHrEjUE6hsNKplG3y6Zr9ILHDJOwBeR/T
RXGUVkBj+iXvhjJIxPqd0aAMQMrMH2yBvO3tsVxX6icTYPKhp5lkAufbL4SjUqyLUj6P1Mc8HmXp
OZ0ISPPTmNMYn1RfhDr5KrrqobLSg0/+Tu1/3/4NV1sCyDduHLweRWBFm8cCkVhovFrp4TVIiEZ+
8jAq1Upb6qIJGo3g4jCmXrrZROa8v0gdKMO5q/I/YumejMQ83B7F1a6YRvHOxAzeiI5Z6MWlPJyj
+oeUSnaSOn0a2762v21nbSizW5s3h2lmLnZSBBSsHEy1uuJklywQPuPsUCykdWo2Ep96b9j7ARam
zJ+ngsIlK7ti5NoNgSuADhqdbKCa3LNzvzoUaoGYdXcuK8NLUbIDQFT0pckr36oqO/X94i4Os/h+
6OHYzvTApJs9/c/tyZxBBqcDBlpLgrsDWJhMw+PlAUsE8LZGEyNfQ94DBlNAxwS+amgrUgW7/RqU
aNEcVmC2gTf3KmQJK1KZja50Zw0tViX72jeVHZOzr5ov6lqT5dW9Mg0NaToTei025vxgG6UC/UjW
d+e+F99kzduXug7ZPYUpwowByHWXbgM9/imN5opPWbQMXAnFN6JX9AkuJ7VTlbx0Jak7N6CyusaA
a1na6OnRVR6k9lPVpRtXWEP+XgUGjBaYkcGehWHxCnAD3ZFOGcnseIhm4zYdkic9yTd+Vmwzs9bt
AWe2S2R5jaFiyayGVAFeGlkVttHlUNWqagSrtPoztPVkvA++7NFlIW8arm7+M8s/1tnyd7+yXVlQ
UEW8m2Z+LLb6jBy2wn5F2DYhCbjWc3AVLzKP4GAork3iiZTRLwekxJmWNm3G2edRbQI5T5HTjusP
RwGTGepqExqTbtZ5WMoRAFshV/15VI1tP2qOFJXH20d7wYthAv8F3pwnwhyl7Q8CJY2y7c9RnjWf
BpPEMe8R7+W2laUNYPA6gPULWV8Iay7nK7HcUtOErD+zJSl53mnlVD875U2zabS7vv1229zCJQPm
/B9zM+dfN0M7BG7RnyUf3Eb/25Q/D5a+H8Oft+0sHeGpCQxjoMSv+LcbMbd8T0v7M+msZ83NccLD
tzBX34xKsuUg2Fit8YRgjrfiOhZvBc4TynRIU143oGVxG6PqHA7nIPNtyRXIBBU7TavIzv0qrNeM
2NRT/qOuIemWtr0BDmzinwJaO8frCYKl1VUgIXg4vkq8WrTyTy78uj2nS6HWX/nyiTxtoe1ZFwPK
ld3Ynz3R0fDAMmgdIXYaV98ERmVL4yc9vVPER1/+I3THj6MFccV4Zf5UuXkQgb/cqmqXwcsQiPK5
SFFvIdHrBf7d7SEunLkLEzPPb9bFlKse5bOZVHafHAR5BXa2cIFeGJj5v1KFeV7zGYMUUilS9n5z
7HIgKeG3Rl4JDRbHAtyX23OSkJxLqYgj4pIhhcCzof/U3R9rWnMrn5/rqIDhHs0hjfm8ncv0RsRr
6ZeFLW3QnYhbwv8R488gqEGrUrUKJDJUJcKkxdBIrwWooFPUSdrKrSRN37p4w5oTgdIUwyM5I9IO
ebm1hqxKRykTRwSDLVsKvqnKwygEez97U/1fsPdQIivuTNBs6koKZcH9XhiWLw2HWqR4vdaM5zL0
XhAt3fnKF7c713K1HYO7Jl55Riy5J+zB48nGQG92jlXNhVQhTq1GpM28/+iR+J9czndUryg3+B4k
2+lBDIyfo1s8KJAzrDjHhS1DUxNuGRz41Og+CzYayADMpEFXT0aLO7ejlbtl5fNzcqA2jYLBh8P9
TNbAzopdbf75sHcAXQtvMVuFm3IOY/eqoArNrhnOiSe8Nb1IxO2ZazRYCzfXeyPKLDFbt2Iown6O
+KCLAcQpn9NIeyVr/wvK1w0H5ZuAJJ0NK87h9uiWzpuk00fHKQDmO3/FliXFA8kNEeqtvurE2PWB
AuptEwu3Pw1n/5iYVvBdOkCtdL1vq2Q8B8ZW/VFKu6S8q7SVPb64DdAUw3GQmifKvDRS0TOtVCNG
lHGrDZt0bZ6WB/HP92dH1h0EMdc8BJU75F+tA7S/XX0nr2XtllfjHyvKbBS1OTRpixWl2ImKHXxV
1saxaOFvAMszFq3f2WnM9AEWKv/vex9J0tj0v8dy9SSVH9TZmEJ+Y5LPVqfnMlQgsw1t+n6ljsUw
nDXecb1cP3nUriHbqz7GA/K/dnizgas2eC7OIlm0jMDzNUisatljCkq6gsHy3zgw8x8Ts+jV8krD
K2JMeACbKhrStXDlEC5uLsJGWk5kSAPn3Y0COIesCnWSMISPaScD0dG3bn7q5LXOuKVjgiMmlcqS
8MyYfsm7sxjRNTAMgkrxhPQpULuVqVraXe8/P1uNmEerlQBjRf/Q2Mq/WwC46r/wJsS7OKtJMuuK
u2aoBCUYwkw8+8U2QGboCOJEX3uXL04TpQGyjDBfXrNWtMIYZhV1MnMEkiTWuR2a2uvH3SKZN/TL
SMeSbpjNlRm7Lph3TzybRrezQpQV3MwOLGlnrtH0LY2Gm39iwOWFwvPoctFBy5KAEAZKWqXZHqRY
pmmcfONKY92SFVVEs4qEFFt5HrmJhqDpQkA01VV7YQfe6OPTxVpIGoS71F7nvVDormqiO2rjeVAA
inrFBj7kXZPd6fVKWLi0h/82Q8IBt9BfLleppvqd258p6dtt9CMF1ZMmK0+OFSNz9wjeuFKafDKS
eZu8+NKqJEXW0hWLRng2TQrbKInNdxixetoSqvSsSLlJhD/Yomv65fa6LC77xCZFVw3VunltSyZf
F1omuR0TUPCpGnP54HrNn9tGprMwj9RZjf8zMtvBbmG4Tanz0E0iUo/FtxTQQa58Y2Ws7N+Yon4K
PQqtd1cPkE5tE2s0gPmH/ZDZsljeW4L0qc3GxzzUX0swz7eHtjh/0GeStwLjDMXu5eHM41KFdFAd
zqKW26bEw1BZccpLtwvKPf+1MG9UjsgCVmgYD2fLOITCdowfJxzgWgAmLe42cnsSToBYW5ldky6E
k3mtMnEpDT1EFo+dPthxXH3xyri+d5tC2YwUTMgcJ+ZXoaF7MwECYSd9bx4aq6Gnpt2GRtKs3K1L
by0N4nzwCORmoHW8nN82i6VIaCgL5En5n0QKHrW88elxqoNNTTnMthKxPRRp8vF3uPHe7GzHDl7e
gbLxh3OpdRugiLtVJXZpaedotIZy6Bgd2/VyZIYVNJZPXw0jczsynoDT0sFM9gTb+r04SNW90AbW
E0h3WisQl6bVWEh2YRIVxwKO2gPi3cVGaNRw5UW2tBEmLgOq6tM7fl6I0UY381OVGQ+7e/9rAy/J
GmPmogXURmnjgzmTTN/lyAOf/rWAvsuzBOY0Mktwva9ZtYZmWTo30OBB+AdHnnjFaFaYAMdbCx8d
99I2HesTyd4KRpd4TVtrzdBsr3hmmtZtiCF3ALghZluwUU6f9LRcWuqX2+5m6TjQC06oTMZjEqC/
nLou8Eb8NSXFVBAe5W7YZZZwUAOALhJ1o7gLv4hi8P22zaXxTeukEIJMbPMzF+chUOCaJf2Psetk
6iczFu2OfpDVLOz0BpvfEu/szC9V0RpCuRyI2qI+3WY0HlUg0qxesMXozYjvlYwMCwc+PLWxeMzr
NdaQpal9b372BE0G+KIA0Y1nkKrVsCnHL1l1krRtItvo1t+e0qWzz33IZHK3S9q84BFEfRHojcxD
sUTwK1drm5djsHJxLA6IRxyUuAB9ruidzRCeFctj3Xh7tQdFEMYHpfDcjavUpI+i2NiFahe9VIk/
bG8Pb9EygcukJswf81qcEtNVp2pMZVndlbAClNQNRvlzIKl7C3mkNfLQhfCCSJ8EjEk57FqJt5xa
qRuU7c+a8InHfTLs83ISUtNF+/a4FhwXgTGRGDouXMnzq1it9Z4e21A80+SwGctfdD3U/tttGwtb
w6Q6RWUPprpJa+vyhFeiNEQD6ONzNn52x73WHf/F92FemkJ9XpJzqes88xKp7QvpXFmbfkC0fWWO
Fn//u+/Pfr9Yjl7aKLF0lq1wE0mwh30YQYhcAQ8uVoBeTDr3p+3w7hEskv9I4kERz6If2fJ2BMv6
8SmCQQESCcj5p6LJpYHcrLokQaH4bD4OoWILNDrdNjB9YObp2KrTp7n7QVtO++zdCGqxjStXbeWz
GkfGtrGSoxtqdOc290qv3ZVaHW3KzkIaJoq+3ra84MtNKDHRZ6TCRsl6NrQmjcRUmOCRI+0H3UZ/
E6xdmz7/GyPgygwLzhu4cC+Hp0Qu4kq9L55jsQls2FqOjSu6G98aX3UlOfwLYzKJQypp6J7Od4Pa
WbCSgCw7N5X+DDfLy9Q5aAtJ6AzmsDKwBb9GEfwfW9Pfv1s3oaKTVe4j3vzt9zj+LpWfdIhrg9fG
ekusamWTLDkbSqHADgFhoYAzi5IUIzUNNFvHc0tTP6EaZDs8aH1/5ZZYOq+U5kCzQqkASdosopDp
BzHckeJCqtQby6KR/OOpXZIKFuVwBoE/m2320lPpfc918sf0B2j3Yd+sTNTyCP4xMPM4ij4CK6iV
8awWe7071b9vb7CldeBhh6dhigx5Tv/Ql51RDy4lrfDbIJ5MRNU+KAg9JUG5Drm92MOUoOfJb8vo
/DG0qCeZya88tbV4zaFdX5AKMQb7iAw7/577fEl24xBBNcPRAloFvJNnfUVQZ6P4/bYPVzK616uB
LQ3WETLHZKzm5xFu31yTgkF3MukU3Afuh3fT5ednRzDooNQYUz6fPpjZxlqLmRbK5WCk8PoT0JJi
2/znW/mg0+Vdaw4tPX4JacToNJ5nN8VR0o65LG71+pc09UoL9xJ9pFL/+aO77dL+bHwW1FZ0y3Wa
I1ivBb3MZXBqkjWNkestjZFJPpI0LPiledKntbq0GCMGKQXPRUM3ZmJHxqfbA/kL9bq85CZUJf1Y
4LGINOZQsGwEbBESAjvk5ot92SZ6B65P0V78Jgi/MMt0u2bJszVU9VuTywqBaB74thBL7maMcxrv
a6u672WjfAJYS/VxdMPgSyM05qFW++ZeDXzvXKdNchxDLzloXhkdcgWImziAOKAxXK7vCEWQPtTS
oT/1xI53HokGuwIPcRzaOv4B4af3icpTTy3flL5EYy988QZN3BuDn59bH1KZphxj29VjmhW8MbLT
UIo2RgILWhc1Unrg4mlpaRvzpzALW6DMqvLah9ZLndV/gk6QbcEXY7rkxqAe9+TB/GM5DN63DE2+
+3Iwm6OpFwFYp7bQ//RgyX7H8iBsb6/E0mpPNzEvbnKJV3e+kdJhJSYaq104MU2i9G6v0SktHfp3
JuZPN6Vyy9SHNd6x9k1Eu9T+9giW/Bf5CFObOneUq4Aiy5jJvvF0RxS7fSDcjcXvPKlt1T15dB7e
trU8lH9szQ5gX9Rq7JXYGlrz4Im/QTt8+MYF0k93EF6Sa5c26MsoQsq8VCm4+R2p3ec7zbu7PYDr
EG9iApySN3+pn0T58vOGl5Mu9CTTkfqXhidQoU0onzt1LYuzMFE6HJtEsLKJu5wnDKsw8ApBak0n
EL+396n59ePDYBw0GxMpg7GcB5GmKuS+Z+mOpFTmp94coevQCuHzGCvdk9bS83fb3l8++Et/pcKb
Rq6bo0KfwBzo4DaN145xmYKSKopPXT4cJZOG6F0ZRCOURaYIVVP6zRTzaNeNUfVk1BAnhWnq225d
wpAckC6ozMp6yXBR5s7UURUdSjVl8k1jo+Ry9EMD0PdpYjrYZELWfL49gOtjPnl0DZTXpEOArOHl
unuxVLdCMiYOHAGi1tqUKOzyw8UVFQFr/DqU9wBP55G9T6yt0sQZOoZYbEaAcpXeQx6xvT2S6501
WSEXQzy0EK6kpZ/JYWOEjtDeS5a/6caPu0QsEDFOdI5oWM4vQFihh14V08hREti1Dfr8xcbu+j8f
HwecnDyEUEYlxptF8H02aBTvstgZgk32aVhlJmNBZxuWA/LP56dpfPcaCaW68zuNz7vatzHYCfUD
3BmfivoQ1gfpgwT6nAvE48lH0DpLxupq5ammGIPYs7vkNH40aOjOuqePzhaCfgb5Zsq2UDnO0ZAo
AxihWWeVk8vbSjhka8LZk+O+nC6+zxPEAooIRHd+PgJV9ANLCStHkqvwsRVN/7OIjPEp0vTyQXXb
7qgIomH3frfWP3a9nyfLU7ke3n7zSlTSV3O5iuuicupfbWyHr/9i3t59fXZhiUMEGUdYVk4RQoRf
H9t/kQ+hFEKfCeEDsgD8ebnRLNjoixCX5/RwFAx2qKzFo0sThMua1N8BUVyrnnmSmkoqSz+UT4L7
ICqrKzC9YmeLL0+yJjQ0oVd7RWArNTI8C6YnOzW2dl7aaRu3hH1pI8YJmgLe2ASfeedlG/p31U0u
8MrYWHVb8Op2hwBtgV4TfmSuVW5q0S03nOxXdoxkx63XIofk681eoI76KWplc+tnvrlHklmAAGJA
ezGGPglGyRevq7Un09WEu9BPQe7BZji+9pY+6LaUyd5dRV9IDn2cUe3FLBzvO7noXpOaO7zTgw5o
SSUYwqYqxWGblrnx4ZfV5HSRR6JDD0LKeVgicxb0NPFlBz7uQoFd8cOB1eX3Z3FJUOZdVenTEgwv
ifpF1X7cPgfXQeLl92fetm4lJEgRj3W6OBDPXVlXjxKICRgWxVahWd2Xg6dUEosPu61JAJmDQaob
MeS52xILX26GeijOzXg0ws/mB2VFcLyX359NW2GWjZs3fL+lXVfCffQr8eICvBQLHGtimCnbNM8O
wPzed32bF8Cbn2PQGVoPUR7UDbD3xsJj4cfbrvg2pMn29nrN4tQJkEn9g6QHcCZwpfNYQoe3xBKw
99iNn6CFgyTqPlW/SGsA+Jnb/2tmejUQawNtoYZ86byGUIjN3nDbRz0zoHiirywZkq9GH/0UI+ou
nZW8jY3qrmz2pcFNcDBz8mkcqFn0ystRsYSwHR9r3910njNq3z1ejmMSfdQQGtkwK4PQBIh0rWoG
wZ2lFx0EPqr1oKavbv015QFmfPvgWmEFYUV0cWnNYBZnN4DkDokR6VrgtO3XHmoisYSMyTQgE1xL
wFxN3GRpShcyGhFQxWy5wgjVSF91AyfUlJMU+weVcLaJs1Osmysbf3brwMgOk4zGdQxKTL2+lptW
GzsdJiFnSO6NfT6u+NNZPP738+ApyIFMzUaIEcw2npzLbiJYvlMK6b4wos9DIu/0alwBo88zVv9j
xwLhTD1EvmYy7i0xr9R+YktVkq2S79X0j6e8BNGj2zwHOsHgS55ycdMVGvbPMHiubMCZ2/1f89AV
gM6AUWBezCdig11RrAOn6AwMFy/wg3xvYAVC4+M0huGKl1+cVaLD/5qbFvVd0Dv2YR77WhU4kQyR
dhrBavvVHw+3t/vSzpjwnP81Mtvuotp3iQaplJN2lW0oJ6taOU8Lo2DXKTz3eNsulNT9bJDUjlGA
ft1YibRJ1LckO354FBiZQHAm+rtXDlaAmKVRBDNwpPibq7+lH194WlTIjMN2spApZd+JRZ3EoZOL
hbETQEnep57a/rByXf8b8zxbZrcGt1qcOBm/AJyMmHQeinaJ6Y0d5GLOYIkb2Sw2g3X0/TXI8IIT
4q3Dg2eCqMDFMcvQ6OQZ8t4bWX/U5hv1U9q/hdVAe+7KCl3dTVx+WMES55bH6GyfqURbcaAZkVNH
UrgfzF7c17lrbcVOfUXOjKBFsqAxCXNtZYPPe2emUwuYCgcL7mh62c2CJQH2Tj1pw9hRwDZJgnoA
o7QXMvN7L1fHNst/02D4GMH9rBbpg7yGB7xexQnMOgmycQTw9DPXKA5KbDYkTBzxU9XT6Ikc1v6j
e//CwrxSn8piouY6FqBN1J7rokh/9JHcrm2UxYHAngHpGO6XLPelN6L/x1V8ycucvt+nv/rmt25+
+vhAmHvg3mQ/5auG9bax4mIs09xRaVCHaE8tt2Le5bvbVhb2A9gekCLwmZJfvWpFVHoZzlqpzB0x
jp9cEVow2Qdb9KaEr6SPH8i+bX1JR3nM2nb1WiR45W4hBoEEjn+m5O4Vxm/odLq1Qml0qqq1jlUI
g7IF0+ZK7mpai3dPQFp+L63Mbg4hzDwpMcfRQcM2GCCIheMxGcxdkRxRNFFRMuDyvD2tV34Ekyao
V+puE1/QvPeoGD3ojmAYdwxoIR9SJR2dpHehxozhNbSUMlzZLIv2QKNP8Qw1l3nJ2LLSagxLd3T6
MglglNV2Rpo8WHn4s0nWknRXW38a2ztbs+m0MprSXMsXHSEfHVOpDm3ZP+vjmgz1shmuSMRnkCed
w9KF3CsVlO9GB7JGqPRLJEZ63nRF2a0EFgtzByaG5IbGs2Q6BJdHWQUSMw70CTkKxGD5l6h8Uuof
Vehvb28JSb7ehqBX2BCAsqgpz1s4lKKOigaaJ0fM5GcDWsExGnfWeD/JDkISuglbJEro69IefMGt
7toibnZmC4v07d9xdfWQVkdMVp1qdMzq/IoTQEercZIIzthItujtvGwHp7ctuC9p1NqQsNw2t7CM
mCNUQBUeLYX5SSDHJsDDwqgDqE/Nk+y+gt39/zIxBzJYRSBoqtsIxCNPQvRV1g+VunJfLziq96NQ
ZnskhsxZU8tOcOJ436X7KFqpDK3MkjLtnXfBrRlknNmSWWon3UxA1RZkoHL3dnuilpaeoIZshQWk
gS6cSyuqmCVCIpiuUys/fTOGCPjc1UdJuLcGCK+9td7IpUlDhw01IC58qnizp3Aa+rLiWbLrdOM3
+mM4uu3KtElLZ/e9iWnE7+ZtENq8kUNMAD0wH/REeYu69NSFmu8IcZ7cVcPEqF1nJVQk4ERgt0a4
qRl+gLbaQtiwcV3lOYM4zh7NJl858EtrKjF2IDZ0Rl+RAE1kmqrnuq4Tj/eZ8QBzuW3AcHF7SZcm
AH//t5xIg9A8tx2VsTpUg2g6A6mG42f3XilX0lyENEzi7P4EMfh/Nq46df0M5n1Qc47cm5IzQA68
SVtx2OQdCefKhL8g6fOfeWjAwGoq3ddML7Jd1SvGsdX1fMtr65sUwlARhN6virBwK1US+Vcv0zda
YUEenmjtKcPESQ6T/K6A1fjopS2qD1FbQl8NDelBEKsMyQJOuNdGlGxMsdGhrff8oxZwrxYKahxD
0pY2+VvpDv3UYiOr9AFByf3daHVp1zdtukXkTt9WhWjHutJtq8YUtmqg0pW0KSQkCcXnTtcB5LbZ
xishzs5Hi16HuHyCa1ywBy9D9wzuaztsO/lJCVSIlWWpsnNJye2k6cuHLpSSB7kzujuxD8RDaOnZ
Q1DDYo+IlvAopMHXIjUq2p3NPvlatX0twgEaZ9vYk4baroZSOMA3V+9aBVRgHQFFCD1JuVN4KnxJ
PF85WJqsbAEM16eudINTmunxo9QI9Qn9j9AWYXO7rwyxcnzfkDZSC1fB0ND1GAjGmx/EysntDHc3
yEZ6UscqvIssrTw0iYg+l19UTz7ZnW2lBPo+S6qpeGW5m8DV4Akv4J2WE2QBUvjAN27UKrtSV9J9
B8JrXxtCvx1NRFFggu4estqHrF2B6NlrpOiul91810eNfBx9Etp1k1nHJO7l7WCp/mbIe6BIZaPB
v20MD/kA0XDFNfngmhFEUGqnH8RRbD6bgpDbemi4TmmE7r4jL+VUBsp3GroSiOjkBRp4qrRVRcHc
q5qLGBw65ugGlHaJ+MYGAhPx9fbRu8p/TOQDEgKjOp3LVBWn8//O98S6VVSBWepOj7IXQPlt5A4H
wXAfWhf9jjiS1m7uBYeCQc44+Gou0nntUpJqr6/HWndCJFfgVv2sCuJjb2l/bo9r0QzZSwpxZOSu
89r5EPIucXVHVmFMFiT5ayMr9SGTtfzutqVF50VcAL0B19IVUChW/aCtXd10aILcGNRpoFVPtoCU
38JG/nLb1tLdR5l/Qr6CHAbveLlaganlRHqe61h9atq40nsguI+gSxAyMbNDNKCSEn9YW5VYC9Yh
sj2UCUgKzy7cPA6aqIXOyJG/I3mT7m4PadEvv/v6LGgoFYSthYyv61m8kcNwqzUrmcyFLc58Ucam
i4YRzLc43BAxdMa960hJfPIU/wBh/Da1oBD1CVqFQF/ZEEsj4i1K+kXRiBnmzxgaasORnmoWaUx+
N7m/K8PgXwxpUsuk/4ob7apNcCBd1bRK5zpp4G5qVXwwssg2pF+FVu98wVq5PBfOkgkQDrAbMRcZ
4dmuQ2XUDZNsIkOVxy0qYk+RFu7jcVjZCWtmZmFQGHZtPLSj5YyGE8gFxdojcdlKqLG0Gd6PZZby
QPL6/5F2ZcuR6sr2i4gAxPgK1OSJst1ut/eLot0D8yBAYvj6u/A553aViijCvd86tmOTpSmVyly5
Vu/wEUa0Iqz6Q1F7ZLir+0BvVwA5S0f1xJAjAZNrnk5QGIAhwne9/dhXT2giRpsh8ab6d2uupNFX
5k4u400WiHeTdoQ14b4QJd111nhLcZldP6yLZlCGnsWJZz4XKe/WQs9Jt/PBDUdggNJjQQJFWXmk
LLlTNEcAOY7cLzI6kreJe14bzqRjJOj1ESqFjsSNU6W+rj1dH8tCQgX1+g/M8kzdJtcNqcnQM2pH
bqjod13/O0GcRZKbhm5cqJwV6iYTazjmNYvz0E/uWp1CLYwCFBa6LdvWVe3b9eNg/sNd1PGqfazX
QY+Gk+ujXNyGJ6OUzq7VI5ZtRthkRuFnZYHw6qvlZh6HWF4LDp5+MFaeM4sLiGTY3AIEHjlL2iMj
GPHVCCIPISKwScuCCApkPX1Lkx/XR7ZoZ+5impOwaCaU3AUQsFGGApUb6q010+GhU+efyG23tFs5
yUv+fL49sBtBj67LiERNEZlCVOqGdaN6kNwBKfzKlF3mL2eUIK4mG3hBVEPlvWibRk5Au2eFIOsK
S2bsCsf6wvoBy2RCGWncuI6bA0ARM48l8c5Nyc/rk7lwsFHwQBzoAMaC+Fs6dUrWR4C9F4Arjnbr
FSKCrtiU9oHDINh13dSCB4YpNIkBV4auChminmWtCoWzzAot5XUa9lGPl0Rm7RP9HR2FKxO7OCw4
KjQl6KDANqXgoldZ1lajboVt2nk2JVt3tLc9+5uYFm01aLpCPQJPM2nLo6unrSsntkLIJoatqguP
kMjYCijp7K5PHrAsl+9YbBQC3j1QhzsXW4W4PFMTEwj7xqFA5Sk29/WBal4SNX7jAFoq/Hp4UlAr
iFmzYRaQdZYLXmylqX+h2bx6TTK0b3p612j70gXIkplFk/qNZjwy6HrcIqgctgqrksBKi96P8r6G
woeJNkjTqMwAv+rXmGn9fas14jmCHEqQjXF56BmvD2iNttA13Fg7y4jcu5iBU8QwResD10Rj6JaU
7CFSXHLUacz9MipG30psyGyDWmNH9S4OIaiTbca+izY6lI0RC1ZiExWT8COAWJ6KhloHVjaW16iG
COoKKCTLrEp/Mvh0H6X9e1ngFziJHd30szpliyvxCVJWdN8b0G0hSI/5tZZMXh817q5mKrnvROvc
JUx8iXp12A0V7rTITJ1bBzjOXRzRyoeM13Ab5VmH4Dfq9dc02k/GNgWMoNLYrYnsTAK3wMtNQhSB
x6lj39QoiO2B2BC7VC1HtFpMajjaxvhYoDHuCyou+m0LRpGNgt4vL9UhOWcMUCwooK35q6QYUNaQ
6SYuobEBadX8hvWYKjtz3S9Z0yH5M+btLofqyNZh0P+xRa0d8C+ojWU88nmd8CAnHdTPWhJ5eMxF
HnFaKJBGxPLSDrJBwkD/MUiFsgDNU9zH4YG+apV2gTYx8ZsPtgLZLggaqSRxbgpA4+8FM40b1uT9
gzVA+iBixL5jTZP71EiVfQYw2dcsVjtsLDIMXiIc7aWETtqKK164zVBxNIEQBibFxZE+v0F706mN
orXMkMbTpsxfFP5LDHVAs8yr+/cagm8rx00C3s1VlzOD0pVNYihcKQ46A0QTNsXbQN5L+gAKSJM8
It3ptSqE28eVSs+S0zodpHRlI2qDqCcUNcNi2kOWpTE909peH9fClTZrRc4dVShsA65yPo8J4MkW
8gs2Yh+IJOKBTOsVR7U0CBNPBXwH+agLBFEW6WSCiIsdCvJTo2RjT5B/tdZ652QWio/1AeQPNb+Z
9wM4z/OBDDrHpQrq1zArTWVLRV3tmxq0DAqv3gfOjVuXEvKaG1bqjyDJ9M1ebYK8ScvtlNl1gBG0
j2kBiaXr87s4euB0UYmBJAkQBuc/y+wziElSzK/pgE5P+AxeultjHFgyAnoz1cHsIj8tZzQVnkP+
phVmGLHfYtZdDFz26/o4lvbJqQkpLKjrvCPQwTZD866FQGsyrOG/5o0mZWWBu8EIZoF5/aK7sk8p
z0GobaJwW71ZUO7xaYW2bpqoX82mRUSeRsH1IS3NGmQ98HoGIAy0LPP9ehKE15mZl5ASxI5h9m9g
4KI7kAhBuCyr1rBgxpK3MqGmg8AK6YeLRuwIueQsniYnjJyUQVJt6rdcsFeV57oPysuf7VgVAdUL
e+OwnvgOS7NdB6k2TyQ6pOpcI3qwuFl4qHKk/pRUybbRJuUuQaCImpc+bMSYuVuIKqkHxUGnt80a
JOlTaMgNgzv4VVJoh6oGMTuyldZtZLXWzk2GCBqIavk1meJ6YykK3xrRXi3AQAtu284NOHia9ipe
XEiLZsNjlw7FAcnUAUnJwdjgVlG3QrWBrIgdBdeAwF3cDo3nNGTN+a5Mn9yVZQ06GXOKTiD0EwYQ
znvtBUjXLLCFAzC0a0bhayU42P5ie6DpGwT3M8pehnVWpLK6PjJgVIx3Y119BcTuS5S69oqdpZNl
ntiRXi9upLKhnEwn7JEVGJPEMyZ35fJaeCChZ/bPUKSdrru5k5RIgoZt/VXPbyFkuyHGc4xw7F9N
mczKi/biqDQaDCViX7mlIToB5fRKW+5HCC07ipPByA8UZmhoi4QnCesKKcKk/JJbCkQH2gfeJj+z
0nrGaJmXMmOfkeQeJBeeCZ3qEWJofzNY3AvAD4BDQX6pKW054r3ZOqFQcl+pAX1L2wCKEJvrZmRU
838utpnQG5QgaFqRKVZMEK9mudJD+w96qLRkNyCZ94Rm7I2RvDWm8RPK4Ptq6g/2lByu217ykDMp
4Aw7RtZPLnZ3aklEnefzevqK6oOk33j6GwvA+4IaAKgIOfzQm2oqKrd2Qqt8UKEXV6RPZbtC+7N0
wBB7WEgOoCcHHXjnfl6loKlAcGuHDfVise2ilVmSGcc+VujUgHSCTcWtG6cbkatkD6nyVjjca4e9
ad+pGbokNhyZvt7d91x43Lzn9f2QdR7vf16fycV9cvorpEPOCkWBohqGqRYP6gAp5NjxFWOTVd8t
7vhl/EujOxH/vm51ZW5lIbds0AG2wi0Q2kWFfgXra5uv6WEsDwyA7ZnPEYBq+U3NihgMI3Fqh+mQ
hYyNtw404KGJVodmQ7+BCeA7nt3PEM39kerOyqx+bHHZ28yVI3suVFnopj3fPLGt0tbUKsTHnDDV
h1wg2qYn2h4cbvC9xaAgYzlR+ZInIw3bGG9WPnXlxlI7JCohxOwptfKjBf2hDziKCJKIxntN6PbW
mQaIt48QDK9d/fs4NhbqyK674S50VGKmql8FpHk3EWD/2wyISo+WpCkgVQjw9fU1JIvHHIURQBkB
5LmQcSmdFpil2LZDPYOj5L+tVinvRG/pe1uvtW0FqjafV1YMVdsKsXvXONu60Cu8tUcX+1kpHm0k
xnZFzMVjz6iFAuZkK29qlpibFBIfrT/SwvVQqKD7COERHImlQmaXNjsN2QYfwErFB56B3eCRbty5
BSR+wXPqHinl0L9WGLljJgqpuTWyr26z4h4+Lgx5iWfqOuCl5s4w2ctFXWdmPG+RjAVdvc7c92bU
vk0mgMxd9WR3GeqT9FF1uhCpj0dNaQBKIw+uNkGyOZ+QBiHfCjU7dCQVHjPYXez8jkUCoDpZOwmL
hw3pVMThiPNR8Tnfi0MKmfoGAUiYTNWGmHxjkf31rbC8E/5YmH/BSUicdFCANjW8VsB3E4DjMlBm
efrycwyt//GXoLbEpIO54QLkYcaxAqy3bodOzb7oRXUz2fqKiWWn8ceG/CSqe01vINxnhxVXbnJu
IWdqTb+cuoOyQiZCQ0s3w6DclKLcTHHydn0al+ItqLD9b4Cu9FgyOsMtUhzycDAiCG58s63HCpk1
EJb8OztSUhO81nTUcgySOb6IPbt7gGKP7qykCJZeZnP9HG93vGFAUHG+Kew2VnKFlU7Iv4IfIrBQ
22YeMcsgXQkGFvf3iaF5Wk92H9DhluBAxoeT4ROs05o6z9r3pUAgbqxWJB2+/42DUhX4l5Uwe+n7
s9gFXvl4UZoyoIE6E7qbsgqEBQ3lXuF2D52S/UXUibYl4GKAwEINVtpamjHEJMpwQss2UIun6Fu3
Rnq1OIpZJAkCqigoyzRHM1lBbAliI1Oue1YlCk8RevI3U4X6BoSf4N0vSJoBiWnnTkQYEeV+Ih3o
9ILrZ2NxGHPTIVL+qGXIXER6Fid6kbl4JkTVlrTfaeSsjGHpXMzx5AybmZ/2UsClMjUpWRW7YaTu
Xf0dcfQmzW6MZtpn0Yo7W/LLJ6Y+vN3JyYhHomSocqHaGqEXFHyc3OvI819MGKp0QHnPHvoizHLV
yimrzAUlAkQsIgqJyTUqncU1AaMxMnEAJl/gR9zWGiPNBNNGrCIx13hTslZYXbOgn7uQLJ3svInw
WKoLv4W49oorXFwHZDJR/UO58YKaIp54nxUUeRwkWgbxq0n2OttdX4bFXQUWLbR9oDfoAqNCa0iL
WwWFCaaCdzAH+WDZ52qgFZXqNw3Xd7aeaX9x72NM8L1z+fuCPFuYHahccrypsxEsQOZtJW6HNf2S
i7lD1Q2SenN8OdMXyGhduAFTbQ23PqKeEgi388uu2wEQs7JEF/M3m0EPMxAx84jklhyR1tQxsoQd
qQWRFx468aPh3jSj7RufVDJFnhkge1hBpQ+sfcgSnW8226JgCDRzdhwdVFd0kh3KGELQaP2I8+jx
+raY35BnQepsCy4ZiVE04l7gvfDf4zoBbPEIvVkN8IACxTAPdFQCPQvJSs764hB92EK6AVgfEPzI
OWvU7Zkwoowdne5FZeBxI3+xRjNN3P8MzD/gxJ1NcaorIMFix6FVAgfcKOmboW5NkCGRz54maShS
7AIm3EqlKqbNfM76oEb1sNpSDq2GL9eXZ2nXoeFi7kMAnhG9MucjYlSMRTTG7BiRJve6Xt0nOQ2s
qIREn37rTvGKvTkUutgOeA+jEwj0pxeeVLHiXK0ExhWTH6X6Q1MrIFHftejH9WFd7DqEe6ACmFNc
oG2/6OsDhRTml9U55G2dOxuyrOq0b2n+3FO+i3PlNl194yD8l4cGmxDW1lErwqMfuJHzqURDHeQm
Mb4jZFS1rQa6fb9qibGvLLvYMRFZGwW0vH7MKTQxRzsHh0VTvToFFbd92qeBwif3JiZusjWKaAoE
Hpt4exutT9w83erTCBpfVeCvrvCtoYQWUJu/ot7dATSMd2gaOcJLE4UEKkn1ZwFg0KadWhAbQ9R8
I4ye3QAKofo2OJY9PozabrSQ+p66uLwbJ0XZQN+PP3QpWtdzNVc2aWWGY9fpfoyNXmfbVsv91um8
Jn+uhjutz56ayj68xniGWAfHhp7Ek3JQ8v7RUvRDIvR8Q2J72tQTAjF4otqzwenqc90s/EStc2DI
qjzIYvxeoJXTAPBh6jt5xb2hhXZoWo9Aqui55sdFhRZgxSG7dEQJWUw90GFKF+B1bQUg/ay3rZg4
RhTpftI1ps/Qy7TT0+hLVk4WyMogdFp1rRPUnPa+qkW/bKiIBwwqbBugNkuvLojiFzymXpfQZgvO
dxTDB/zB5EoatPEccpOGeMA2N95gFfm+Ut1f6FZAE1QxGlsy1BTweyM+9KlVb5uIGgHJiO4xMFp5
Sa6Nu7rPm61qoKoHDgzdH8w48VUh4p3CEuhtllO+r/lE8TjBCFH90P3MykEUiZ/8DajWGAyEUEBs
wPK/TQhB55JmAzeAuP0VZOMpQhJUN3at2zUbdbDErdvGNY6WRbw0nYx9OjbtBh1I6BKo8jQ5toz8
GAdTfXM6szswoBb9GJLf3oAa18r9bFz4F3SozfTa6LXGycBr7PxQTDSvqdBEeYzb5s6cURux+1iL
t9a07pAz9tJKeawtcmunD7W9y6di19HuaWQ7VZ0Cvc83RQKJA2SWbIXeF40bpKCpZ8BjlXGPLZR4
ExAAkGBGv4HqOcMbL372GuhajMGf4F7Km1pEG47Cn6LdR9lD1JtwcDmI676g8LOhLNRj0zPaXYLu
idown7ShXZmCxRlAkXpWP0Ortoy9Ksc8aaZ0KI9t/ZN0nV/g5U6n9yh+UKq1etNFqDLP9okt6X6y
u4hha/QllJbQM6x6I44EFCev+9b5I2cuXDIiXU2xYtAU5FMYkPlq58/tGtXF2vfnK+TkklU7LYGb
w/cLYMV48t1du/PWDMwrdmLAiouW6j1WJIZTmryaB9cn6OKOkyZI2vOgHDMiW2AAQ4Mg4QmQI6v5
0por+2ptraUgDiVgq4EubHnkNvXrGdmjqqDter8+lhUr8gOuLsHQUSgYS8b8lj0J9pWuiTmuTNcH
svBkOUhn9pY9wQT7rTleVt0pfD0XtGZEel85dlaZ+Yg1z6mXkK2WhHkDWcB/OVtSCDAVwDe6PS+P
CvfNFKl+IMD96wtyWbQ5312yQClz0QIZo/x9TIEg22SGUvqIbCCwVTsEnIctxJ1scIwUtgq07KCY
gdrh8q3KPN+UbfudZcUPLXa+uYO95hjmHXfhGIDHgUo1CCkRJJ+fq1IbXcBUWixkYb9EzZFAl2sw
3hBfiJlkI4190q8kEhe35ywYjISPDtZIKXwd+QRmtygrjxbKVfo2Ebv818p8z2smjQrd+OiOgaQ0
mkjkSp9gzOn0wcqO9sgOTnerR9s+ugOUwS+TvVqV27b5ZjYvfXpX8Ftr4CudC0vOCoLcM/xzJn28
qOY7fQk9Gr04UvvISQL+8bV+gjUL0rLxbIjpJKbimBOQLfsAwF2fwbXvS44KcR5Fdh7fV1MRTJMC
qrXddQtLh/tkjuTy/eBUHVA+anGM9JvYReAVA6mpkqAi3YprX9pvp5ak/dZCO20gyM8dY4CKK93a
GCa4g/V+ZcqWB4SUg437HCV66YZKVYeZAkz9R95umXiMTGjboVdyxZUsWgHtOXqQP7SGpMGovOgy
JbLzY4rKl159B31Apf7k49P11Vlc/4/6FA6oCbz0uVsY7bLvssLFW+ybkvpirT1g8fMzVRCQxMgA
fnTNnlwfBo3adrJrzFX0nJYP8J4ri7G05qchrLQYqtFrjUs7hAvurnc2I2LpZmUDL5qAoBBYTNAK
cJGQgfqcTstYK4997INUHXIXlfoXO3cmG0cAihTpRR4GZCxObbsIFyL6MBWPNSAY+kqKf2klTk1I
jgRdtCOyvXOsnwQZBNvXSCoXZwk7Fdh+oC4u0jtFNcXccKPyWFsZ+jFqz0DbCcicV9Z7cRio4sHZ
ojPtIgHfMYNntpKWx8SJN/VwIFa5cvA+KCakOwW9JX9MSEei5RFuT56UR+Te0AjdWOPBaQ3Da/SO
A2WHhyEZy5e+xHnpproHD9BQ7M0RnCV6ik5sZ4QM+qTF/9hZ6XqTifQQa2PVr/MoB8pOq/2RDckG
+QhrY/ccMjMOHQO7N8Bn4OCtRDUg1j9/yE9HNN+iJ6dwMGIjgfXyWDVYmzbk7Uq/4OLio9CNHgXI
mlwULVCoz4fMdopjan7vxgwFnoOqr7EJLS/9/xuRo13B1KlFlrxA2ijTPEvR0B1vrJElLBtxLejp
ge8EbRDnU1U2HPEEFN6QERVeqHZrl8f8/19urj/fl45hSmmX1i1iIryOo3I3OFsa9PxGe/ubFf9j
RrrWVUL7ikcYBi/eaXpnur+vf/+Sp2UOdIFd+e88ye2HZVb1DGq1xTGj1W1S0CAzps1E0qeCaYE5
5BubQtaeoh9Cn4ZNbCEPZlSb6z9iedf9+Q3SFWkT3oH8kyI2YqEVp95IX3rAWa8bWdwQLoFCA2QW
IZo7/4iTs0MjZWpGqyyPJkV2D4kIYn66vWeeyxMTcyhwYgIt1jpcc1MeVSS3BgjAUPsGPm5lIIuz
dWJF2tl2GguIKGIgUGL3m7LwIZ+4i4btv5suaX/r0IegelxjuqYAgQuU8K5/fyksOp0raWO7oDhq
qVWVx3J4zdwcqdMbt/qSxSvnZ8WMjA0uwdNQ9zaGkSEVNFSgVopSz9DfB/IXL4iT8ZjSHkY9Q2G9
gfE0hGI1kjs2KT+uT9nKwstNaglFK0ZbYyyNNgvbIVxtAMNJnc9Wkz928Z8HpnTJFDBT6D0emFp1
PwHGlOtftOTx+lCWl+WPjfmwnpwUK+s7QidWHoU+dxrdKxCai/JxY4D++bql5WP/x5J07JPOitDn
gdHQ6S1VldduQk7335mYB3symMh2m1HhMFGNUz/3zz111ZqS4vLa/3mC65INdULXtoZD3xab4Wfc
bLvhLw4keh1AfQNSWgd4v3MLtByiKtOxgTNtR9EHCBppt9xE+RpP0tLSo6UT+hOgZULpSHJftdtD
7aJ0MBJUTTgv/M4SXgUylGQFCr608qeGJA/GDKXjZm3Bg6l3jQ3BL0hBfX7hTy1IUzaMSET0FSy4
5g2aUXLrL07iyfflFzdt1F4vdXy/s3+o+itht43YXx/CPAlyGHNqQnJbegKWIRSjcDyqrSiQ1WLu
XQt/z5U3vDJ9xn9et7e4KBqeFcDoQxnGkc7KhNqFsFGbOwrxas6kRuUKXnMpLkP4ik6aWXrwQifP
FZ2SFG5RQd608SoTmObvscgC7r6XQKdeH8zi5KGmCz558PZBf/T8yPS95mSpiQelbt8C3W8mnvI9
2pHvuv43W/nE0DyrJx6GJGkNbSgYgogw4qNV1frFgUAiZH6AA3Mpd8ehOsMmt7KKo0aqgBIQotfH
snwf7d5X+r3ySe1PdKIB3QNSH9CsAOsByMf5cFCzzrSqdJHfQb0verHzlU22uAdOvi9tsqywSAIu
EsSTqFwpPkKkwd1mLISkzfUNsOSVTwci+TKD9wTEthhIlYxeFT2pSgnmjhW8xZqRefFOFl9PHFdB
92BxbMbmRYj2IR9NX9PWHkyzs7rwBDbYBdDviSzsRXysV6rGSIHc/ZhuM5RZq5/qVIDRu/JicHq1
ZrkZM7riQRcvgxOj0krFVto0upgzy+4xHotgjAJomwUmaYO/WCm0kICKBPKZF4QkjesKKuYd3mkP
Zoui4C7hK4d0cSxgjYckFdSAgYg4X6fBgBharWrFsURhgLp3Deu8pAgd58v1ocyH/WKhTuxI+wEN
AIiUqrE41or/mq3x+C1/HYwLUNzB0ZQ7GtRopNyJOL7OtLvBGL8ozrgSKi9uaGBT/2dCWvQ+sSeN
xR3e/9/0+Nns7lJrZSnWLEhLoYqRmWCWw6MWunfmUfA7Z63DfNkERgHQFUCeMg4Fsk2JUSmiOAr3
XU2/9mKXdK9/s9B/TMxLdXLw876oqKL1xbHXbrLiey1Wkj1LJx79ToZquQABXPCVzJJ9aE5B3Dp2
6sFqew90R4GrfR3N31X/ErMHk//Nq+/UpHRjIoWsdFA/R9YvYncaawJw4wWDo900w5pe0NICzU3P
6AnSkc2U4XdRBZ0w254QnKH/fmTfCSgsUPP8/BIB9q4CkwTc3QUxtkPa0WorTOHMsaHW1iFyQJ3z
FzZQFQMcDsKsF0qjVsR5llOWH6ECPe1W0XZLBx4i5ei2UOceUNnvdwXg2x2q9UfT/WLyUF857Euf
nzMuaA9EmxQCsvNNLApHCF7inLQzcaaXrdUN1r4vORNlqPM0j+ANzXwLwmTAhT43+yAJh+QICq2z
jBrkgqSHF6JIrY2tvrtHm4NnO++VWBMYlO8N2YJ0Jkg69I5WD9191u/V+sFyX5q7bJUJX54nWMFj
C6EdFgHAehnwPiju6JI+6e5Zr4V6HW1HGn3RSLnLs+9F9OzE6TGfmXhxFhXlq0neAPeCKAB6u67P
50XCcf4hM9cCfgzKSBf9InnSVtpgO/yeMvexUN3vXYl2iCyhhsezdAdR78NgGPsijXY2U99JnMWe
OVl8JQMhO7+Pn4FSNsGLwwZboTTrEDBkgPDgZ2iR2Lq2uxOtEQfd2L8MdQzoUoayv2MWsUcmZ5Va
YH5VnV7hOAzgfEDbLFoHwRQst2lEhAJNTXhzPwGrvKOCFzd2W943kwP2loTuFEv5isYE574e2xto
pv/TEPHLiJqf2sBfwLlUeiArfVadpPBAC6A+UK1rtg3qsxs69k95rYG0RetLIPWmoEmUQ4ym/Rjc
/ZU93YBH8QHXmW+3NMg5IPZ0KHfc6uZ/QGt0dG/Rx1d5SW3/cgjgY9CbCngCnLkTJdsJEg0JgJYi
Q+mpZdFWTdWDq+OqUPlzoduxr9j5e6TxLLi+bS63L4IRRFaA0KJ1Ckwk527E5XQiDmQr79uvRXRD
ohWEg3QG0Qgy84ND4RMo87l5TtoNZTqySHSuEZpEjEFHGHkAoe64g3peeRcPnH3Sbf3HIAQVIDcE
MaqL8GFygZhkpm2Eeh5Y0CEwMmXzqRn7sDArZc6SxAaKRpLjzfDai6KJGWEdk0cQ7j5NwLBcNyHT
kf3HBq4lWCCair6Q81URoBOkrDNJCOafycshKPOjKkpz16clyIIgL31rZn2yj2Omv2VGFgcmhVRK
5JhrxGgfzY0nJwq/BOgR4OzB2IGnOAiiz38JzRyIbbhNe0yE4lU6LoIBwFGabuLhFexCU7TT6Ddh
/UNrEAdH+95JfS19dsQLkLmeZhd+3tp+b/we8uFQ9I1Xs3tjjZtgjjrPfyPaAQAwwYkHP7wuZ9hi
kInkdWSCVLqCvl7sNS4PKsCHXVBmfH7xYQpOBvPhzst0Ph0t6OHaiRhaSKxDbj1qa9WvD5SRNBbQ
4DgQQAcP3OUzAVQ4FYoDjRY2albcqCk06U0uxCO1Om0jrJyMHm+LBETkQ6XuW7QL36Sjo23bKtIh
Kj6ad+bkdtsm1cjDUIzNpjLj6Etk2cm2Zh0I2q/v1Hm85z/3bHvI/Z6tU4nO4l17rFt0DAdIz6IV
+9+ZkDJpcU6K2gKI6Mjz1yo5EpaC9enl39mQzpsNnd24IRiGWT7q1T8F6TxRbq/bkHJB/z1JIKRF
JgiyDab0vFTGMRWcpe1RLeL+YSxUJUw54MHc7XM/nSogyYXyMhZ5s79u+HKNwMAAzQgTdHUatD3k
I9yOLWnAwhQaJu6Zm3HajmvdP9It8uGv0Dygov1nVgiXn+go2rtG3lokhIZ5FQdAil8fghzczAY+
ohuADmY4tuyGWN6PTa3ZIowpbbcoBbEXkneIJ9yqzp5IFutf0L3wYxw/0q2Dtotr0T2kFhQqvMql
4rDye6RAY/49wLsArIyGNAxajr5VkJX3LVP6MDUyDmy+CniiI5BFbKrBgUY7JDZ1t4kDJ3b5M7K2
itd3relFFKrPK3OzsLxnP0UK1M0sKnSmZkM4NQfF3Ubkjnyyg/djtJAbIWhFQXvIBcAnHdFG0Dcw
MZYPZEQ2Vrxfn8+FMAHO+/8NyHJL2QSCesgpD6H57KKRwdjbk+/2K+dgYZOeGZEciY6GiH4A92Ko
uF7aeOkaiGRpIU4HITkRC6yJrZ6VQ+io/xTJ0Yp3ZfV0fZ7mo3rubiGRh2nCq3g+CXKrc0y7ydV6
tQubfOwNL6uLoodmgFr+ZOiP+GG1CDub2p38wa70CVz24ydRTNgKaCEEbRfe/XM5S+6+JVMfx0lH
eDj0OvfdKELXtf1AJxBNXh/q5WyeGZLBLOM0TWZGdR4qWoDOuzHfDmsIwsu4AREgAGt4v2FAFxUz
0yigDOBkXQhRYgE1igKSR9vOeORr0jIL8dy5Jcn31/3UVRNJutDVv2rTxoxv2+FFL7dmvHNA98As
JLluIKezMoeXO/7crOT5FfD9Fa0Jsykxp0MRW+bNWHC+4gwXrIAQHwS94EPXLzvXVS1ODKExHlIg
xqcUEhPB9a1w6R2sMwOShyugojE1ecvDMVOYn9WK8BNRFi9KkfXbjBKxvW7v8pQhvNdAxouDBu1D
+UnvOIqWZVmHAb3QF63wnXEH4pvSx6O+6VdyhQuTB9JhAEBdCKOqF0Q3CYQ3lcnO9LBCupbtYvfz
c4cqGjpY8ZjAFSqnU2s0Tle2Ueth396lKR7kvtZux/frE7ZwVqHsDjZQNC1Co0dOCSqVFk0l7slw
VPcsvS30wE4/l3me/c6pCfmGaCO1QtMV1cIsxzvDT3RPM1ZOy8oobOl+GNuiQ+0MJshwm/0j0kOz
9thesPBRmkeIhNbOCwiok5dKRRhU3DK0ZAdljs5lHX2rFgD4n14QqDHj1TYrhM3PovNnCsgvFTfN
RjQpN/Vh0vVbERWJlwKmtTJnCy4UhiC7B23BBeJlbkJznDYQpc2SYeNML61KfT0p7w00Jw3u5vqo
Zi95fvvh0YVkMKjp0UxwEcjGNG77irjV0UpT8Lv8Nunj0H2z+CGpKMhRnJWxXa7WmTkZ4iQ4+H4K
BnN8+sfKD1UlvFV2+DUb0p6bxnLITV1BVV25z8u90T/H5PX6rF16mPNh6Od7YUC7Zgk2+OqomIfe
GcGR9v7vDEg5ntTSWKdrUBkaRbpruy0av1dumMsLAB5sTj4Y8DEoc0jbedIFOO0LPP7soUdboBnv
o4j0XlTbWwoVupV1X5iwM2vSZW10dGhFw5JjYvUb20kfYhO9p9fnbGErzypRYDbDi8y6AAUJjjbd
KLHjI2qzlXMU7SMartDyyNrHMfq0M7DRqY5cEvo3oekgE/Fx9E1xFtvJEdQXnm3dNHXk2WuubWnS
Zhcwa+OA2FWmmTBEzFujEcmxI4dnk+6vT9fCMUFq8s/XpT2sam3Wphq+DkqbxxGFU61SIDNK15p9
lpYFKWTVBtePoYFr5PyslMnYVkOvJUct3g0pOMcPaZl6mXLbjEFjr6CQ1oxJZz9mgnC7VfFSMN5A
J6+itwhyvn4WgfLR/EXbeCWruDyJfwYnTWJduX2lWBhcJqyAgpM8RXouWePMWd4IiKoJYmtk4qWz
WrR2Glk6dltuNdlLnbIGUF2urezpJSvoygbSTQUL0AVDQgK9vhj82cnRHJ754Lv2t+sbbu37Usg5
QferKJMECiu6+qgXb12uf71uYWk1TkcgzZNaEUjbQYn6GBUHNd3X6i6pVmLL+RPSfTkrL4D8BU81
UMxIjtkWCRsKgQVvui9deTuTtBcGyKUS9J607YpHW56xP8bmv58U1R1TwQs+wW5WrT4YK8cff1yf
sKXjcjqaeUJPDAAIbPdRoidHqjxDdzFKBw+CtR5gdgFeINA2+Fw/ECJOVC5Qvwc1D8SZ8UA8t6eD
463E+zM+0pvxLV/zNEvTdfp1aYPpagcJjlzER6IY3kPN1oLZpbU//b60vbqpGHvNxa9POGIlvkFW
M1O/iyj8fNbjfJrmZTtZlskoC6eeDYW98gMa4Pn368u+NlHSGzZVSjtJDXy/hFIGqEP+j7QrW45U
x7ZfRASz4BXIyWkbXHPVC+EajphnhNDX34VP972ZSiIJ1+2O09ER7manpK2tPa61u//5tWuIFB4Q
KIGxd8scQurKmg2nSCLRk8BI5qACsSLGNA73xawdB4JY5BlABQRXRlKmaabUoSxJosw5uO6Dpn4w
tOmg6IbPs9/3Ra3cE9QNUJSG5gJOQU731ih7J7Ex06hqQIcYT/t50B9U3n/WmupIDPVU5t07RyeW
u4J6Kwg9kBBdKlbS8rS4UtvWdWmk0ED56fQHix7vr2pFDayllrgM/y1OhvRY5qWD/lNkASLNop9L
46SpYiPCXJGwzJHi4QLwLDpCpBsJYJJJQesRjcCISR9cvmGMbxUNftECGrToGnq0pAup89RRbFMZ
o0azPYXy1ncccJ7o5YbZWn7mtdGHHLTlo38K7cA3sL1mWdqTTjoW1bljPJe8YgHy2C2K0DUw23U2
bch7S8TdCoQCYNIX3SiO5FZYQmVqxymLUuJ4sYGuRm3nDL9S8jg0YUf5Thkwlq3t36sPCAABY4ge
K3QloxR7bXaKEQ+oaU0sqog4dnUFrtJyd1/EStZukWFbS+QBFkG5Nu7oM0nnlLOoqJgH6lZ0WPha
c6xRxS+qwQdQP0h/HHCvEjBvKxve2lvNRN7XhSIEmOpo6r7hYXMdE7OcyLUCDsx+4mkS5J0TaHYF
mIDswU7G2nO72msNYzdXKvcoBvM8gF3sgMLmkab506Qm/udq0LZsw8KsqTIaMZGKXkqViMWv917p
ZwyzWu0QUXXBHrIy65wkjuP1cedu7MKaNi+lZ2TIEPfDnbwWlTkGEIIJ6aMM8/AJWNPEvtACNn+7
f9S3dx+zjDBhIHBHxR3UA9diEgckGEqm9xEIgE51oX3QlGLD21/bNFt/K6eDM02XswkJYZ2KbrAB
YfhOA3gF63Ov2Br4W1vHpRBpHU5COuSwiiFyi0emP40bp3GbGF3KiDgHAIjiwt8cPMBtUJzWR8x+
Ot6Y/OFFAjDJ19okh1Z90Yqoc7YC5dUVXYiU3ItSEHdG8+8YGY0GuCjtU2mMf2FKLlcleRiY7o/r
tMCqVPGkWQ9Vt7FrG0uwpaCyiUcztjN8n1Z/SuNXo//N70fWFbcR3YY3XEIDLmlvqjmLmDP5WZEH
FduwhKsrwHkjvQt/GES719ejKFSrtWcyArTlxQVBzEYj/q3HAtov+BDAJsUbr8rOkdZ3xExaY0Re
Lz2WJtiduxEROHssi/hzYmSvuWYE9y/86qsFVwUMNDDshiEblpQC2bEvXcjMDy7/ViTPmg4ibmp6
U0p36fA9b7ujuYWUsLaRCyUTEH7J8m9pI4EUlGjo7BrRVBkmr3x+ub+qrc8vf7/wxROAiGejK3A/
iyAbXvN+o+d0zYbBN1pgHpDvhYNx/f0Bk2eOIXAZ9e5LOlbgVeBes8W+tXo0l1IkhwLQwqM2a9ik
2JmL10IxzVMZU+tT23bKcy20yrdtDhwkkXxPgRUXgqWm3GhbW9tI9AWjworAmdxApZuV3YgBvZFR
bjKv2FvKVp/P+k7+rwC5bwazWjWhhTlGtR1keqA7h7/StYs1yGjoCqGpyjlulTmkOx2In82f92vb
pQDpnJDsS5MccBOYovtp/YyNv/k8yDjxWiK/g8DpWtkAUTsoYI2G2TxqOl5+ZyvPu+ZbLN4LMGoW
6BJdcmOIlacaundxGZPvdKa70skPtn4ytpgOVpUJhL2GCxgZlEqk98WebM1qR1hPFcx1D2rzF9YT
DaP//bwhPS+GLv5jPVWnfBin4tCDu9fO9Z3azM/U0sMEEBp/cfIG2tMsUNQgVyqJdIsKHWoVjKd7
TPsSTtnWq38bLiMvvsAnqGicR+FvuT4XhkwVddwVNkCLc6L6E3vJutPYtid1jD1R/U0PG5g2UCpD
vITlSHrQN2JSWNy3kVubu6lhaJXmj1WzlZFZs2vIwv9fA5ikB3rjKpY9pH1EyswHT5LZYBAYdOGF
7mVmRIZ93kQieb9nCzAWuDfO4nXeZLGSou0qzYJQs0JjJIgwf99XhZVLhK5hgtYgjDZbqM5dn9TE
8OToo95EWdH7afujB8MlV/Ys/X/KkTRioJozUc1oItPcqzYwNR8BzqClG8Hs8hUp5gJKKCifln6z
W3zfxrDism2nJupAF9icCgGMzd39DVtxdpBhQNMJuJfecN+uN0zB1FPXx1Bt0Kp4lvbBqcOcBbz7
ktSndKvncMX0XAmT/I04UwtVOBBmzh6osnJ9wxCs3dPLxUinb85pTtMR39eaF7f8PrdH2v/u9QQF
jI3waU3P0L2AyQYEgoubeL1tbocehthV+8hIXkmKoXPUyzKw4Xa/7h/P2o7hzXcQ6KC7+0af9YZz
Z+J9H8WD4mFw4p2j7fByUa0AIp+rIl+G3llpx/JSNUXtZnPEvunaOa1P7/75yMKhYXuJBcB+Kb3J
ORRvqux6jorHxP5BzK9/8fm3lDjarEH2KZnKdIBf22Quj2j6tU0BKCP+RgCeSQsoSWjIkt1yjkyM
owmdR8wEu5uy4/2mGV7MrHTHAVYDRF8HKOvI8Utm2NEKwFH1NhJko6vtU7P72Mb9VwNjeZwRTIkw
0Dx0j/EMpD+WntXK+T0jseVwRAa1OGa56+uF/ZCW3e/GtKM6Y+934i9/n8ztlVAVhOeJwSITuTS1
abytlqAVFUfeDIgUqD4v9RrJizcHYnPezCwiCvFy9KwO+cYpLmogbzFSqIt7i7amm3RK1tblNHYK
i2whNH+22o/OWB5bzO2SBIO1c8+D+3q5Yh3ecJoxTYYMNPzFa+vQ63pVuEDdjeJuBCLZKH5OTkv8
tMtPvJ/+uS9sbf/ecqsLry3K6pICURBj56ONTC7xuvnRrTcs3cobhHL9wmuAEX7HkF9UI7aazOyd
MRLNrgIJqBKYWxmPte3SdXUZH0QrJy7a9XYZRjM4pVawaJ61kCTlywgQbS6KD2Df3njuVkXZ4Glx
kY1G0kh6gbJecXpblCzKzOxbK9JgyIpPDneOw7iJ1r2idZicAJSiS1C7l00rRVoynlXBAFVdeDtQ
53r3z33NgTOWIVsIQTMbsgbX2+aaMADxOE1RXpuap47TE1fbJ82gxzbRxQkTGXum5c9WZhzmovwL
swCWOILnFh0jeDuuhed1MYH/aOSRqb/Y1oetAeI1rUMdACVDeMCY3ZMse0EytSuneYp6EMTUyatq
hnG2UQJZuziYfMC8J6w4XlhJ7VgH7k7E8Cyigx38VJDOvn9Aa7p2+X3p8WsEcleuiu/rXXYSmFKv
hvx1ytknF7Xi+6JWl4JueBeVLwwEEUlU3YwFFSKbIkt5ZflRTw73v796HEhELxUjDG7Ij1Qaa1zF
KCVuKKDQu7ORApLwLxRqyXX/R4T8zihJ17mgL0YFxQVyVwKagw3ncO040HWquhh/Rvem3BVaz4qm
8MGeAQy3d8rnWX+exqN6fP9GAXYONRJ0gwAvYDmoi0iR5vbI+TDO0ai/6O1Lnx66reajtbOGlQcT
B7YLIBfS46J1c1unVj9HSvpZ8Uf+8f4K1spMCJ9gj/8dtZPTn9zoVSaKVo0EactvE1pQg8Ik9EDT
1vDUQVQ75L3nh0EAbHNiVROUVde+dNzVNu7PykJBEoUGLtD3oFNMnuKpGmMGxbsuIm1Gjg3opGW3
8Rqs+F5XEiQjxsd+ckArLaK22/edT5WPsfaYw8UBb1v+OG2hxq5M06HT9mJF0lOdKOiHw5iviBjt
/WH+qpbGnljPTh57VrKPkwQsJh/oMO9HUJu0xi5Nep/asadaB8r4oSqiWt3qOFi5FohiFixbFEsx
MiVZWgK2LxMUIngR9fqxJPVxsL+1McjFePHlvmatnSe8dLQX4u0FVZEkCXqlWqUZI0HXMd8qd2Y6
bpjBFTOFpWDqGplf4JrIr3viGhi8xMx5RBXHb/WnQnlWu/r9aglAI8Q0aJQHY7HcUTYZPZylHvUN
nr0WXs2+vXuXrj4v6SS4LUhGipShr4j6/QEcIxt2cOUYAAKyEEgtLvdN70fHGbfS2h2iHuwoe23+
f35+0bcLC0iy2UjbBp+nyeypIQMtyfs36PL3S2pUNHZKmiIeolQ43vxdZFsFshUtWiA+0DUKwA8C
IKHrFagmUlQTTyaMTAHr18uq88A3EvqrIkBNhmw+wXsqJxRnbtTTnCPo65r0UMGuimlX/0XGGtV6
+IeAPbDRdy89FCCRJ6mVUh61lg+Kl62p8DU9uvy85D7RwSwAJKNMkUaDuvL/5pqhdqwDahVF/RuS
vYKREbB4ORzMoQk0/LPhb6wdARLtQGYAJs7Cd3d9yiSpBRrFLB5VzAcoQl/64v3D/0vEiWgDMGhL
BkcSwRIe52QSSE9Ymgc83a3ht5UTsBE4A9ZiMUXos7leAnOoOTJ74JHO/RGUc8mGli6mRoqbMfSG
ehOIEhY46kX+xVVGSGhnHKTzUUyfwM7pNUbnG+mTU58zDFXlfKOct/ISXYmTtgv5YsH7OJ5wsf2f
6iu4Nxr7/bYDI2gAwDFx7Oh9k3S2YB1TLQERQ7EHO1Ly+b5pWvEn8HncNgxruYiLpPd9YBUGX6sW
B8415YzEITnmidP/0UUDumvNUUAuBYa4MxW1vRN5m7w7okGaDfEMpBuICeVYPQeAXAxmWBZN6R9V
87j1/jbRawHSEZUjWLLBeIZk0MusnxN+ur9/twqNz4Nydsne43GSa4SVpsH7zBHGkAmVFfOrbm1o
9PL7rjX6WoAUJ42stKbYQWLG7Pac7bos5Prhb9Zgw0Nf+gNvcpJTmoDipHMYOH6eqRJawf3Pr60A
9CyIkxZYNcyeX99JxbSGqWQ1i0ozfeQMo+1w11Pkzfi78z7IKSyqDBBtAjMjXZWuQ4Oq1fVjVKr1
jpTpQcU/fN5KyKwcOZg6gYKDwBKmhkjugjv3aWUm2hANoY0JLV3dSi5tCZBec8CQqZVZGBAwkWBy
Yi8xNpTqLaiTtAp+AhLc8KtAxig7DIwOSTe6EJHVyW62XhrrU9H/Y03fyvmogiaAggVmHnK/ATbW
OHfBHHe74v1tN/BY0K2iIVu7dENIjwESUJUyO40TAp/ac5zWt62Nyu6K6i0IeOhufLNvstOik7Hn
4zgQwEoZnjF2u6rWP1hFtaHhKweGtNYb4B4eNky9Xmu4CooFsylaEpYW8C9LUCECr+j+JVoVgVQ7
KmsLgqPcX2fGTp/EbuaEJdhh69LwC3WjcrcmAYk5mDEMOKGZT7o9RupOqqKl7jLLvYyFbGH6bX1f
MmREqWPLZZkbmrM/FEH/9f0bdPnzpTNIVTCuzQM+PzU+LwEw5WxVuVcXQAANrAGHGl1Py98vfIuW
DlNTABsm7MBjWZbo39uaBd2SIL1VXTeD8kCHhKR6EV8QZt/folvnCG/sguy1+JDI8Epb1OpNXzkx
eL+TLnuaTSX32tRloLmwf6XOeOxc5aSZf7OmS6HSrqHHGHPHHdi5eZv5BfhHq63JgLVLfilB2rUh
17vZtSBBFHua+Wl/St/vtqIGs4wZggEcfbTy3eBJlvc9SvjhbKieBc5a992JBpzLggsMNw+IhzL4
tGvU8I7GmISTX/NPA/14/+Rv/dTrz0svSmNNwtIZPl8BeyTjx8QCltEp35r3XdFfDMdh5H9B1wCb
hXTFU2oYxWSWcajWmGF+tqrX+8vY+r6kwLWo0MeK7F4oDN9t98b740NENOgwRqoHiZ2b7jyzEniJ
RBeHhH/IvDJ7uf/zVxT16vPS9mQUWYyK4fNAaAEzrCMC4/3e6JUEaYMKZhWmGCEBsxHjrnj/yAD2
B24Dcg1QVsyLXVtAhkxZVpEhxjuneicAEW48citqinIqvMRl5A4shdIT5KSKCrD/ToH9qzqvolZQ
AvW/HwzQ5ooNZ3FVFnoIltcUtUgZD0mz0wJIZBPcXfdnP363jI9M/65stcOsaSwe7f9KkRMaeqaQ
qS8hBaRCgc1clKP/4sjxHuHSwbYjEpHsK8fcRGqMUxwGdjn6Dghm7yvt+gr+7/uSdZ2bxFLBAB0D
ASXx6NkQf/FAgIMOART6hhb1kiJQjBOBmQZTEmGlvDrJaxrc//1rl+7i8zKLkNmbfTzlMN0aPxfW
T2r91JUNb3pti1DVQF4S/dBoiZC2qC+GpjdYE4dFUu81oT4B4ffT/VUsBlry11G5BGYDOsixVfby
Ey58D70grV4lrhu2OaaCBKF+aWs7q3YPBHyUQBcsN4597XrgGUJOETE//pFOhVujRZmGNWmK6fdT
7jlGDviWqE023M7Vlf2fILk2JEpejAwM2qGSftCnl6TuAwNktsrkhkq8ZeDXV+Vab4gemCCTVqXb
Sj2bGpTZGHb2jh0LcZ7J7/tHtaYN8KFRYFYXsyKHu21Mx7hHmhHuSIaMjdcA4fG+hJUtw2A93JEl
TXo7rjDGBuhiitoODedz1h5bILQlybdMST1ri1lzZTEQBYbIBZKO2HILcT3mDu0qZofjk6N/tMbv
91eych6onmKr0JZmAwxLvjmto9CsywjATbUgLX+VVf3gTJHLmo2X5U2NpAtkL+ZlQTR9m0WTLhAZ
jMJpJjvkrJ69SmTnPKkeRtsOkpz/5NOknrCvn3VrCia72r1/mRjqRA7PIWhglVlqaVXMQLJOSMh4
9ZCYx+TZrfe0dN9vh0Btj/Tz4n7d5ofRI212Yw0xo3YA6fm4oXare3j5/eU0L4yQNXFkWGKcVqdX
u5wfrP40qZE6P9Rt49Gy8dh4jLeQS1bs99WilstwIVT0dp3FHRalhLb7BW1k05f7h7Nym64ESE4N
8mFcYQYE8HH21Rxtq0hOJeDOQ3sj/vun+9JWLpQNaF3ULWFbMYgruTiZ3cWJZuNCKWloKz/adCvf
ubYcYEeYKBSAeuMG1byqwIaLeUoFQGm218SfLTp5lsX3WlHt87zd31/O2ulcSpNUIs9iZ0BQqYRU
10avoBgvp/kZ8LEb27YmBx4hWkpBAQnnXNq2skpitYgtJWw6cRqb/jHFoHlebFXX1zYP3aUYz8Mb
ixkdKVXZAodc0A7L0dPCizE3GiINMgF7ekg3DNKKHqDbGykuOAyIx+VOKMWe8qI3FcDXmC2ybX7u
bpjWlR0DIhogazCQjV5pGTx/dAuS1mbphrQILNer5p02H+4f/toaLkVIh0+qVrfSpkJG5yWxgay8
oVsrnwdgzTKBjzrRLQ6KKlrFHGvHCYH8d+rqZleWWwQ2y3svvQoo16HQBdcKzeryKQi4npwlCGhc
U/Fd83Njv9T23nAx/vUj7p/7zbGMtTVdClz+fmHN0lpw1zQgcPjWg6sVb8CGXq0cOwgZYJrQOmqA
Nnz5+4UAikC/UYcKMAmAKFGObu4pxsd3Hzs674FZhvIaGJdlJ4pN2VRNhoEx/wdB0PdxvP/5lTsI
BDz4ufA40GUrd0Qg6isFHTQa8a4y/HFwQOfNjw37rRjNMjAnPt2Xt3YkSxZ/GS4CcIFsWlqN9xwt
Q0k0OWfuZ/rpLz6/0GMsfYG4iJLlQlE45ebYJREhf/iQee7Gz187cHz3f7+vXx/4HJclZXGTRHnD
Zt+emyCN2U4dzH4jItgSZFwLqivgR7QlFoLC4FD4ZeH3W0RPKyDFGB9Cls1CW+0Kya8ubCclPUA+
ak73PWkey7w9jtwISkd/LCpSeCiHBRhFar0KxYtEA/0TILq3kFPfMqGyXbj4HXJQklE6GoLFNDKJ
0oe9kVv1rjH0F9eNgVVcWPkORYfmbHI44c5gfSuoPZwF0Gu9ppv132q7hR+8Zqguf5CkRW1ORU5q
bAwer73aJt5QfAJ2MqWRvoBdodV/EhuB2VsX9s0mLF3UYMNY4Smu4U1WxMbFcHHyQL/4gfYij2jt
R45hf89sWH8gU934mgO2hTF3G3DIp8QX48i8tit5oPZNG6R0TAMEtGaQZWlxRmGp27vm1pDW7YkB
wRkofW+cFeiOcJcNvLB7XexSQ+nmOIyHpkNfhKa9xAn5AyKk6tDPnbtPu6ID8TWtA5V0/zCl+o6B
NXoUZLbC2kj453ddewzCIcO+VLXg54HnWe5Rs+1hzOB2IYid96oZzc7L/e/LFbw3AUuVxga6xlJA
l66j2mjNoCe9GwJ0t9P8CSdintrZz82PphG039V6j5rXkPqqvhPDRl1Nspk3wpe/X+y2M8wAEzcG
N8xq0f50W/QmtJmzZTqlesWNFOktK02nNjILS7QSMLAI4mlj5IpjVTxrme25yca7Jsc3/8qzED0B
ZQgOtByNTqiMY0J6ckI71ltfmG7iLe9FkFhkCLq80zyn6Ptz5Yr+oOmtcyrVvNsw59Lrd/MbJJ+q
SO3eSdnohNbAfD0Tidears8S3Wtz/aWw2uC+HklW/T/yYGsxQosgW0a3ZTUAEZSmcEKz7TEs0Xpp
HAcdnTfckvW9RV88rgW6+G7inkHVlgIE5HBaYaZ2RodoV58HtD96CL6isSavdc1/DLHlm325samL
Ol5Ysn8XeSFceiPVAYMVtZs6IRhznpBvOLnZ1ry7/HS9yYBbBK1B2IC5N+k+5iB1rfKO2KGlRm5V
ByJ+mPiLDlzXWnhTudPHaRfrrq/Z9ADvxr9/jItayCsEwo6+0GQhDymHlbDQvdpySC9ZtzdE+Q+Y
f/fCisFi1kb3Ra0e5aUsaTdze3bVmrl22Im+BfSuehio+UmvxKdhyJAj5vWpacY94epBDMY7UfL+
3ecFVQhZe6xVdteAwxoPSKvbYcLP/Wdj2CgLrKmKe/F5aXFqXHQiS/B5s829vYX/uL97t/cNAN8w
L2gQxzGZMrZYi69PMZ9IWDe/qwEzQ+XRUv7cl3G7BsiA77xg5CB5Jzd3dLM1zIQgx5B7mXXSzQ0H
/VbXrj8vJUzsWa8pph6QfkyU75U+PNO2flT0/tza7yxu4LAhCjUNHAhGhsA4df3OZIbQ9ZbOdghG
Fi8DVk7++/5W3ZpbCHAxDotg38bM2PL3i4dMQWbbqszRDu3yQBMYW/GD49lkzdlwtkzt6rFcyJL2
ra1FmqHxxg71iu7rEqy874R3/ne7LiRITlDSdwNPbKwm618SElQoBvXu04iOK3v84+i7+3u3th5t
mekAnQGcRLlaJwqClCbP7JBl2mMbuwcxfbovATOVN3YNtUCQJOB5ADwPXqjr86HoD+KDCSg+u1Zb
sgcgW3Us9WYMBrzWvb+UKU4U9Fs78MJ3nybCkiDjLT2hIMM95lIRcaW1TmpbYJapapI9dXLza5Zm
/GNdDfMBFmz6OjqK9aEyivzItLg4NobNPCHc2G/VPgNLWQ4o7hhln10OHtpdTob5Y1/1OMM4MQ/o
Xowf26EFbQspUFGoQJvlAKQgNPrE2QELMdsbLJ88oebJQ17kXeITPuYPGWHfu87+h0D6udcKNRoA
97ov9dzdaYX7XbTqcOiKjAVJlzePymiKPZpzzfNYtxbz4pbBu0MuOyy4TUOr7HMf1F2F3yK/AFaE
7CefgY+FmEHzaWOMgdnGyrM7V9Nj7qb5rnMGdtaavNmj7ccMRDrVgY3B6o9GZhZeW6CCX3OARehp
kuzcODP2M9GbD/GYlD5Yq8mXWLHrfZwN5ZGObb5v2346N21mg4iH66eWmN8aiyf+Eud7cy3oC1Fj
5itUH3ytR3bN6bTyrLTqTzppCTAjlY8JG8UfRBH3dWjthgP2DLkdoAYSmN1rDSKDnZrmhHRCzKy9
W+RnlCO8XDc/O3N/qDS28X6s2XckePGEoKkOBSZJYQfSa9YEhMWIJMm+VKp93NNzQbam51bFANQL
CT4UFG7awegAJDRV2AhQOfKudZU84vDDabTfl4N7sygAKVn8YWBT3IA8ZXGGoVAL94+ApS/2AKC1
cTxrj4m5VDXRYIOucDlOGlkdq0nX0yiLB69WhUcc6jdgdt7mmVwei2sfCbYEGB4uUDxQApI9B7eO
OaYYBhrpmXbEQOMBN/fcOE2AGM5TMjVAof6ls83XfCif4kLdiJnWjuxSvORZjCBLTXnKYcpm5zva
cb5YyXCYmL6xoWtWGagvqNsCIgslJ+nJZFlSGqSO47B26l9ovS29QYvfV2h60wqMK0EKMo23FDbd
AGbH0e2RJseMv25kXldsJR/WDP+FiDcn9OJh1sbShB8zKiGz0VJPG/Sp1WV+pIP7WW/HF7sjwdjP
J5vDvCnWhvQ1pUTLxuIPoBpw05iaZ8KxMLETh5wU+6x4bUDJVsyvmdjYx1U5mDlGzstC8kR+3dIB
4FJqKdCuU81e3n92VXTbkg9m9e2+DVzTibeWRRQ1li5VSfWauWh6zH8hOVLsjPzp/czciDtAi4bg
DgbpdmoE9zplCInicCw/OF5Vfrj/8+X5zkXf8P2l/wG9NPZNsQT8Lq5TxakSwpjr0Ahm+JUCpk3R
VfRpNID+ovbox0ySoT+CslkLqgnz8SiNbDWTrGwkBgGXDlm8J7fDGJMQ/VjpObSyD8iTxTeiOH1x
ASUThWIQOoiXicCFPuf6sarNbgKouRGH85A0Oz21hV+jada3ULCG/6sV3+apqgK9ap0DEqiN37E4
OzSpauGNjZPfA5yMPc9pAw5VtFs22lgcjEZ8dzrqBLkWwzPI89kra4Xuimb8J3Wtc8qsP2M+mk+i
18eAZWnpE2t+J1zbv0eIghdyDNjAG1gVs9WqNFMdtHkgiRunxo4W5EWt6uN9VVk9IDwmsIDoVrhh
hYCXCjCvAZpioG1+GURsNwToK4Zp6Z/9rwQZhXSiTTEVSqKEGPsJqrz1uKnDVzJIVAoL/VfVeewV
DxXyIBfawQRoGbOc8zy5R2pXJ9safcyNHxw+PWlOv8vL9KiV6YYerTw1gPWFWwC+DxSDbnrbrLYF
HRzKmKx5sp0A5EJeO284Oit+FQhcgUqxzBGgIivZlKKzpgVWVAnn8UOsfq6KItDV1hOutS/nDQOw
di2AZobOW4B/IbKVojQ7NyerSgsapQ1Otf2lOEvbxmFMD7Oi+/Zwer8Sgb0KJWDge6A0JN3CbKza
HtUcJeTzc5Yd29/3P7+qQgjOl6lihLaa7IggwVf3TEdT4MQt7azEtuonltH7WZNVXibQM1QOrv4i
6i57jIkzHExBioAO8TdEsTQQoxHvSrTafrTjIv7FC6L5TQmYxQkU9nujZeRsdu1WC/GaTqH4vngV
aGy6Ia1v4VvqU4FNGZzP1Ka+oRdeF29RA6+8iAvY2n+lyAV4a1byvElR51dBhTX62Y9xOmfZRgZr
VQhqjGiYXPLn8vkOIPkFB28FI9FbboAQswyGFOy/cVcCeLvt6IY7sXZVkGaAUUfOZ3Har626KOiE
KKhWQsXO0A6WeJP7T5E/DyjjjOrGVVmXtTR/ACkG/ot0VQwjKd2+xtqUJVAbqaeVoPIVNt4CxSNs
q2N37WYCAeB/xS1/v3DTCrPWG6vA0kQGbk7t4M5AKHK/DPpL2ulet9W/tyoOZeEF/A3AO3IjlTFp
btY3i+NZHTCKqDle7noH00o8dWuYd2Uj4XUQJKAQ/CzpuuuVWSNLulaDbzYm01Gh6Q8WGwfg2+86
IGQ0xVY78srDdSlOVvxuSss6cThefuGJ4Xksv903Olvfl3SwIH1JZoC+hgLw8gl6273735erhcsD
j3+hUVTH8DOwRBb7caEJZFCNXqtGLKA3f+skoGAyPFgMzskOZhrA4+mEp2+yd2rpftSz9odaMqD3
FXA2yBf03z22TXOMwX5y/3etaAx+FlrKYWdR2JEHgu2Z62paw6MS8Z4pg1e0DwobvTxJjpyCmLDb
mtdd1ZsLgdI+aOAoRrexGoeOwp4wlfJQgXBcAZ82m+dAKNrGUy8XPv/d9yURjokFILLJjboYFYyr
XKD/e2bW7JFqfEKL9l7tQbj2EeD2vjFPByNmx0aYh1zHudNmC49jdY8X3tZlkvg2iTorQ+KYyhLG
pDGaTp5HfmDN3gZXp/u1qD7eP9Dl3kkuMtQM7W2I4wFvKrvIXYOe2HyJzcDZGpiFtXO0R8p/AxHE
i2EHSseP7Y0wzVw9U1jupXUUvdAyrIvGHHUea4xVJPaHmucY8ka3KqYSBObjyfBC+DcQXCpm4uH/
u2Oj67G+Aqxz6vda7StV7+clBSQUYjzxlBM1cNGT12nmc+bYh5ofh67zS4y09Jbu8fioTLqfmWfS
nlN1xluBCewhrEHSpsYHx3rOEHPT6TlNX0ESZuUnW39V3K+zdRLtKeFTcH+7ZQCYN/2CesHkot6C
DZD0uU8mBBssjUPKf/RsV84hJsaBQic8TfyyZ3TkaEcdsBCK9VxNmVfnCfIo8053AWw9qZ6tZt5A
nOP9X/WGLCxrwfKTALVgw1GTsxzgrJttrdTc0KZPXB8CPn514fHnWue3QKGZwQQ2a/tGnOvmh6Hj
TZpHz2y/K6rwLUvszOwn7VvfTBtf8Bc2OAEAq/1+BtPLP3EGRDoziNutzIyx4kIBnx0+LLQW/S2y
Wz7ELRmzzHLDHL+myppdApVp6T/VJAJde1CmL5U5IOD7OjRPdUl2ubFjyN8AGstQ96UJ7tHCAOrD
DwsklHF8BsPCoeieBfkExF1mhn390rtfJvMo+A82FCe7+l22HKld59gkGy7ySrkTk2rLxDjSnAuD
hfQ8Oo6ohqSPTdSpNY8lz0r/UObnuXuxoPJZ82Vo/5jpCYWOvN3Kfa48ZQvWtA78CLwNoC65fmn6
DkzajDomyvTR2Dw1L/d1a+WUAM8O1xx9SEjNyApvAicnGZvWCjPbfHJ5cgDk8GES7xzoXe4VxCwL
WBKS4OS5XgXpkats2s4KHT0Lhvhx0LY6gVf36ULC8veLF5nTUTAQF4IXz3yhVu9l7+TFfFsCplEw
tAgpaEORTYNpV0AOs6xQZ6XnEYyK3z+JtQUsuAo4CMQEN+kxowLadI/sdFj23nAsf/3/vi5tT9f1
roHRcCts2k+V/uz0WzX5lWcRmW0k3JDPWfZK2h53nA1Gq9YOG2Y+mXwMM455Dd58yvQ4mAk9cmtz
bGdNeZH6AJibDSyNmwQSmfRJYxmUl2U9HsWedB9rxumuYuYWVMyNKFx8NFwt6Sq8/Mg1X6tXZiMJ
krZj8aIaD131xWZ7MW6Ag2yJ0K9F6HatMNa0xUtSzew06gbqVmNShLXubLUV3DzxWA3Sl0t+AaMT
NzgogtZVRhOIUicatNNwULOMeK5do9UuM36PtDrcV7+bIHQR6MJhQopm4cqWtEObWssAiHX+kqdf
E/tBS147XKB0K1+1ti7gGaN9Gk8OsI+Wv18YAVqCH2sc3fwFXRvdfkjKfeP0Z0zC/ELYdrQG8s/9
Za0dmQGkNGTNkXy66aFqhTHR2LXzl362B09N8k89NcNGN99bTcH2/Q9pX7bkqo5E+0WKYB5eGWzX
bFft+YXYI0ggEKOAr7+Lfe/ttmXCRO2O7j4vdZq0pFRKyly51kJWiLcZRB4hPX85rsLgeG3Pc34q
AHFuWlw4f9bd59tjudrAig3F/VhKM4slWn7CC/GXZaWfZ9O5B/IBtfXup5FWz+ht2qIKW7dpgSsR
PgGOT+Vwm1H3mKrRynGO0qDN3hwpos78hkKINTx47VZ1dHW50N71/8yp/amkmIZM2GZ+kkMacbwN
taEO039xCmtpVANpNzDj6v15IHma90VTnAojD8vRPdmTf5rlVtpzbUsBUgPoLY6jRRn00icgzZzo
JhPilLdu9mqls/2Z1dl+6D/QBCH3tnOsGgM6FmgrlHvRynNpbLLLtEB6oDpNTRNVFkpTFb3zJQ8m
stUhu2YKdLkoCIAnCdUHxVRhCZP2vBWnvkU0kp8myKe18088FW4Pac33gEwCtyxi+rWMA7fR7gcR
v+pUF6m+IzlU4qEfsvOY/ssx2BturY/AlXcbE3l1ymOXgS0N5yQITsGurgTCjLBWcxmsdsajTh79
jQTA1ueXyT0LgCKHzA6tU3GqA8kiADlvz9naBjr/9Up8dVjVEqPCr/e+VTXebcMYOhuhbmsEy7Kd
jYDZTdE7ywhmGpN2Z/6PE6TuGmY1vOH4fK8dCDSc9rcnaPm/X7zUsLy+i/TEogELmLIyQRrQHQOo
4MQJWjT7it+Pcif4F1a9luPBNvb1tGVwZbfgwMPrBPhr3N79ZTrPpqtvRrPsWVOeoKgJsG6Xkkc3
b6bArwwSpRO0gm4PcNXeQiqNwwglcTXqjA2kVup+hD1/x95Q/vxdbqH//745lEnEWYe7iQOYBAoS
yiTak04dUNqXJ+5wBuzMyEgosadCgJQ8F2IbGYlZJUNS+B87KBg2Nn0pcsi8hwAByfpo2KgaCqqD
ptg3+g/VPI8PvZflaWAMqXjDEupzMHmFeQc7Y+BAjjYQA9cehWnTSNSOFouSNoGD/8tdUloycNqe
PqQZS8KxkfmxrZ006FIzcdFGO7DPZZNhmSt0A1pRgYQpaOzBvTTm0IIqxgLv79Q/ZJo2P+IlR+4A
uUsirA9Dsxov9Z0pTSSugT0JUIdIWGDU/Jv0ev1Fq/VvXpV8FZRM7Y7xDuBDmmuxJGiDB3QEqvMB
d8FhYzLvj24OySeTaEbgjym65fHi/+CINn8thMVOmp750PhyKPJGc9bcMd2cILyZ6vfo10u++7lh
DEGfMj8kOTXCwirte164MnJavQl0QTikQSczklUun8EI5GJeZLPhWytbH7hEVEOWHCaqberWd4ex
MPGwwoHZP/7mrb5RxFvxXXSQA6KLwr0J51JuUXbnlTy3LX5KLShxzt/0/InK+2GTBGglSiJDic2P
qjluAOpTiMmFlKSj5amYoDmdPwowl/ftRpllZbJw+OMpsrBvGsDxX278TDcTqYmGn3h2l7y5W6pq
a5+3sQpL2Q5vUrVqVE323Oo1KU5u+lGC/tgUZnw7kqxawGPAABx9JbHhC6FRAuqTE61Du//kbJVR
N76vlq4Fp+D3H/B9y4/9GLnH/+nnqyRJqZ8ntjbh8+4DUN8di25/folxSgxEuyF6ms0FLnYVA9up
SBtoXxQnqMqFrejvTPMFd3OEujuNbCEx1qbq3Jiy8TxZ2Dz3q+I06Q8ewonxdnswaxtvgdMhP4Be
fSQ5Ln3VyvnoeIASnLo0rvI26FkVcD2qdrfNrOw7kOmgSwiXb5Cjq290tLaaKPtwbIk5jUy9fLEa
+5CMxrd/MQNwDiQdoG+pHk+4INbEtig/ZWZ/QpEhkNI4CHvaGM3KVWIhkFwojn2AK1VsZYq+G25q
aXOaoCZo+H3sSBZb+lM2vzisC5JBBkmxkYJYcYRliXDHR74WApbK7YhB9CsXetWcsiPhZdxU7xSc
RVT8K8oEnBkWCcqdiidwlzWeW1X1yRRI1AX2Vr1kZduAch7EnuBswqYxlRAP2mwzzztDnGwj4q+v
46dmjLb4uVe8GVQGqJSCkwTRy1fGAAVDvWBFAgWrYnobRDxRBiwq8YI5f3+IhCWQFMKr8U/1KeSW
ulWzEaMZuQh7/O9025PXlhvdMyAvgyQCcGvKbE0tlqjUGFwsK8IpGqetqVo1gJ5zAygKEBqoy60R
RHjgopsTCkF1BFqf6P0DwHmOhyLCF851ZQCFXvmu5A0myDUOfZftTP3utoW1xT63oByznVvrECke
8BxJiyB1jQiXppgMP6p3ssn93RkLVc+iIIosj7rdMzpPzTRa9Sn9XmcHX2xEk7WV8HFvRy1mwVFr
yp3aJUOqTY5Tn9rq01SHhrvV6rNlQNkVTOaiz0wYsPhe1/bJBpvjyudRb0XiBi0+LiohSlbA6mtu
OTURUOxo/pgtbvVGuVX4vD5ycfOHpPdSBkH8UJzJK8QMmJIUJ7MHJhtIt+DdrnTxfcWVWkjUZl2B
78usvcuJ/Ijkzc5J6AHpvfev9oUpZbbMsUVyKIOpqQk0Gegfb49k5aC9+PyyWGePzqqfjQq6POLk
NgfEvQRlKfn+0IeMsWWCYHHhq1DXm9CGZ13qVyfLqVBmB6QH0qsivD2Olc2NvCrwp2hdhvCHmn7k
bk8qJ6mwIlYdz237rYVaZN/xOBH8/ScrEj9L2ylAI8gJKvtPH90MaF5PnFj+OB/6fONps7oiZ59X
dp+DJnkD9E74fJvfuVrc6rGEmNnt6VrZgxdjUG4HusOHEUlwcSr5zit28vA/fV7lrsNrQNYFc8XJ
KcO8CsgWcGNttZErAU8IrjgLQO3Saw30yudZBZeqy4E+j63xm1BQ/3Z5qt1ZoMLZOFyXKVdu8Lh/
gMwefgzYnerBVTsNo4mX5kkWpf40d24WGqD+C/jUu6GOwypKcup9K0xqbOHUlJEifi26tB4iGeqJ
qMcp279jDHtFLsQSnjzZhXwtZvqS2nnk++J9jndlSgkF+pA6OUEj7LF2TeQ/vmcQzEnyjX2qON5f
IwuHLyj7l+f0X6jBWbxxp1lLZQvITVsaoV0cqnKrMWfLwjKjZxZIMtqJgPDAywAE8xQz79O7fPtq
BIrvdU3OssLB97XfnEX28L6tc/V5ZftPmsO7ssHnywR0uqElNo7GNYc6XwBl5zst0zTu6cmLdB7a
Ytp3VhLm7FRYxYY7LfNwtmn+70CwQ5GVR3ocXRaX61AmTHDDQz+PnTwR/07qLEImDGwAL4nVb3jV
qi14FPIbpofGTuU8puaogZ/WAjDZyZ78DDqe4iS6JXWqx4a7Ef9XZxA1ajzm8a7Cq+FyYCjraj6o
VMhLxcZYMB4LK/mcVeSXTOv9bV9bNYUSDYDF6Fi6IuikQ40agAVMHm9paKaPRguAUvpY0K2a+Jah
5e9nm0baFBzIMwwZxT01yqDo7iq7C0d3I9WlHG5/nQK1Y7wW/+bU1XZ/YXXS8geA/maS3QnOntLJ
PrRTurFEauPNlR3FIWSPjo7EB6jTHf0PWU6/Swq1097wY5PPTwR50cptd1Vr7joNNADmFmp1zSGx
briNgIAG7z3lAprapCjBRAx+LmSOSyEDIvJAko9/G23fbjvJ39NU3WnnxpTBVs7YVcbkAOlWOv2u
QMEXVD/uL8G8/h4ISrqvReeEZk21kJg6ZGXLJh0PfrOEL3gUUuldFUhkMGIXLfK/aOZ+Juhx9RJn
p9Vz+4gWYh74U2E82joI8BvQeO66gtjBoLkcE6kh1ZyiaG7PnR9x8AsFuSjTVyfPE/QzN/4DnwBS
83k5BD7IJsMyb5NDoyU9SJGs5DkrkatOJt1/8FP+XeRj8zBD/CSau5nt5Wh5YT7m8q4urep5coY2
TsrOCD3uJE9NXvwZe7rrad/zwMb7MdSYMzyTrkWLUT65QWuAs3oq2+7OALxRg/SbhUwuLx7YjPak
zJ/MEP1H9i51GBJaVsoP+UC/LMjQCGwr+MHO/ANUSsjO0wmtMyXVdjMIVgCUlBnaGziktc1R/rGp
twVgvDrHkPgCQhCFUyigAW6lXW5JYWR26nOeH4shMO1Tab2vfAZkBbiwNRtZKZDs4TheturZlufV
nJVz7udHa1/3L3O+8cq7iijL50El66B1eYUvQrRZjeqFURwb+7tVhXLnG3ghfbjt+tf7fLGyaDNC
+xVoCvVmVuQSjDcTrCxshM3byCKHPRQp2uoiQvRAdqgOkbAzt7rC1hYH+Xo8YkEoh9KAsr+hQ6Xb
uZxhF9vjg2zedz3/uzYQggFKcaEVu1KzSooSfR6NLI4shfTdjtIft+dt5ecjCiMXhYXHb1V9a0rt
bvZMSo9J/2p9rev3FX6Xn3/xeWV20KkHRK2Pz4N/gFk0ysY+uj2Aq3Pk0oIaXytedvrSzXZ0Euu+
bbS3UTIW2E21cbFYtYPUMCozgIkDnHa5SQyIHLalxelRa5uo9X53wyPd4grZsrGcJecbkQ1uORcV
ni9jE1hDGThA9+bDxsm7uuQA8GIggIshhXdpRTQOlbrO6LGuQetDPmhbHYxXGx6+CjgJoI3Ipy+Y
mUsDNWDtjBE0Sg4DHvmnXTi8M1u/uJUGNSYALvByuJYBMRMcI32HMOyRoxy+CfGb9xtn6cosXZhY
/n62FsSDJkerz+SlKELQH4n8vbd7ZQhK0LUmcN1TG98nb+ND9f6IvjQzoz0Y6fJrip6OWWQy/QQ9
aDTrA9CcPBGv2Zgg/WqZlxEAboiCvrUCiZqT1gBtPOKSNXIZ1G5W7nDMJPdeD5z3nEoQ4aMIFYDP
X4QVZ9MOYNhmnwOVGNq6oD810emRSbkf2/PS0ktqf0v79erypfxE5QllDqVRApOYHge//lmztovr
fjq5BE/3uglp2W+8dFad5mxKlAeBo43JrOcUXBM0iy0vC6n8eTvcrY7IRjcDEvwAGqnHnCHAGyUy
AiZp5zNIrMKOP9iQgpzFqz9+uW1qdTAubgRIpqEwYiiDQccf5bMnQTvCpo8Ft95qIne3TawEvKUp
/v+bUInmGTgg7N4Bs4mdPfrlJ+KEBf2XCTszoZxANKkbJisNLuDlAW9/9VkfucOxoF+o5Qb/MBwc
D6giLQmpq9JO5/SJ1oEJpNJZqJf3xvSnS/7ctrHqAGc2lLgkoBJsm1Wf4owgEZ+GQJc/qkYE7fAw
mltQztX1WUqigBMjkKiXGwOSuLgzYIuTyY5S45vkxq7Wkn+YNh1tpehnBbwXl5HLUGtO1OPgNEI0
18k+He/sfI8i+v72vK0N5dyIeWlkXpCwS1yE9FUagqzrR0vH79q41VWyZUZZHkKHWWg1UgLC+zjl
x2p+5v9wS1h2IwBiAKPiQq3sywHZOUOMoEcfxMDCifQHfRzQlbsJ5F0LAKBT1MDyjUMET/XLKbPM
dERNFlo2zn60P5X6Rsl97fxA7/KSpUebL1iYLz8vJAHHVI9QNkz+Mwrzh5Sa93TKIk1a4T8sPkrH
ONHRdXvFvoFg6oxD4iw92V+d7FfiHrJxI9GwuvAgEsNDDQC6KwBBBlmOLjManIb5PqGRZcSpiP9h
FOC+0qGCDXy6Wtmta91C2dUkL61g2d2UNuPeGcZkX7b1VnJ2ORgvEgm4tYOtDOc1LlkAbim7pQC5
g9FVk/6i99Nb7nM76Kv0y1zSN0Ts382MxBpYSvhGIFi1urAVQIYGNClqPq1EyXm2805/QdUxTrU9
K8fArj+xJK7nhxkNuLfncyWUGsiog2Ni4Z8FHOPSAW0vSclQ+dpLUv1JSzdo0PspARs03YcaTFG3
jS278mpGgYCGvCcKYFe0Hok2TU7PSv0lL2Xy4JpI4010KHaNXgPSSFg8la4dW9yhgcVAkXDb+op3
oj6yJEQxr3giK1t5LDJAHFOmvwx6BzrdL03zmmRkY4gqreZyLQe3AvqolhrFwqVzOaEpE5lPW11H
Q9gpm42gl/dGpQXpsGPopk5iXKL9/Mftkf31emVigRRA6gJ3UPDZqHWELkFSrSjQL2RVeR2PbgUm
LJNkMa077cC11ox6rn/MZ94MgduA93boujKc56797TXeGDm00p99kTWBL1y0VWvolTOarPk6mG33
VjbNHJj1lD/JGoLVOKWMV6NGe7Ke4matTRyOWo/01EzO13Gq+WF0RyPUtH7YIR0GHhoxDUVUFbSK
nUbLdmTOx7itIdceFP6QhiNCyUsyE+etb1xwvehiS3dpJcxezM/y97OHTNqZWtZaHZoBdTNq9V0G
SCvH9cR/f4zFY9LEfxbKEVT1L+0UveVXY6OD9tc7VPpDhddAtru91itDuTChXOcFrsS8qGACCR0T
Oh3jfTbdkV//YASbBKAByA9g+i/HwWaR55IO3ouXv1n6gdVhlcM1so3NshIPUDT+rxnlogDmjLnX
CpgBTC9CtlQ3f2cyGusXIcBuVH/1qo1UjNrvuuzOC4tKDCgMQqq26jxQaPnh3Hmhy6C/ldC486sg
4Q/GtAMPVWDoP0Ye987d7WldiUAWeGJARYHHog8PuZzWsXZTYRCwJ9fUfhhr5yGh7QfpbdFbrcUg
NA3qoEpcyHauaAWzZrJyl0CRN6+r0B/jpG4DkuEcIRWw39+N/L607ABK6v8wvDOzxuXweD6zJpeN
9+JWH4Zmz7LQ39IZX53BMxOKY9KZEtrPNfRz0+qnOeU/hpHGI996xKxtsvMJVBwTXTqVq6eYQHP8
XBWHekmWa3u5hRReGw3abvGwBBHZdQu0SyHlKibDfQEjdCCM14F+KMCzeXtV1sYCfiIEDeS7rl/L
GsK4m40QRrIGMy4nPwQbL4iGvrc0vm3IWrWEnlUdTRRABqjubVdmXzIthfppy7vdyDw3FPM8fDS5
D3VqhzZfXIuSXaKDD6EbqdzZSZIeWFn7+6nlGdoEfD3bJYSY95KWNdrOBdCBpstiYWegWm2K8t6h
oNuRxDLC2TCnr7ZToVOnFloAYS4Z9WPr7Fjt2QzVGFmCrcFmzWs3zM5vVlT1w2gX3g5PxHzXCgsZ
CpfZUdsn3mOGToTI9mizY5U7Puszo3eTz3A2oUHiuZugzgfR0ioAAR8B9XjvbWydlalDHES329J7
Yl/RPaZuZqVFYkKv2Z5xS/iTd/XOIg8NCje3F2nNEBL1AOvgbnvdx8Psrq563aZHnr5k5h/S/+lG
N7SmLab4LTvKMWU0LpxhxoBM/UdZ3Ff0ZzOgbWtLzWTZiMrF5+9tEhQSfzFVSjzQ+ibl1qzTozSm
KAHHRsW3VERWR2Lg1gicwMKfqkS1WS8azcmnDKxlcChHEwePlR9NlxyI2NKmXrn84/L23x2kzJo1
N2QmBHu1lh+tZm+1jw1obvv2XswnuYWlWxnYoi0GRl30tzqov16G6yofpYPr3UL8jK4RfuDVd/h5
IPXX2y63skagsQI0AHf+pXFEuREDF9ow1lpg/7arMNO/oYy3EeLWLCx9KYvWEPo41SXiNvg4pj71
XrIQjeWQlNh6Ja0F6qUnBdButMpfUSTwpAcwBMROLzX0OfKI5QfN292epbXVODex/P3simr6uSDW
YqLVT2jocrUQDCbpl9tGVicKNOxgAkZr3VU2wy7YZM1Mg/Sf/UqSI9s6Aa53I7rgFyDa8t+r6680
KE66oYX7mrho5M/g/d5Y6ZXn6oU+jHKDGprOZYDXgJbJG0IxDL8QTe+q1gvMDK+JRnQbq7JlT9mQ
HZrn+tYCQoMU/bPZWPsy7Q+pgUp84t9XXbdRllrzMzCioAsRinLAlivhjGmstcHFAZSQ/yLJ76F/
HIf352iscxOLi5z5WUbaweXaIl3mP5n6a9G9Vt4GqGrNyxakx5I0R8BUk1oWo9AbA4nUCx3rb4yg
FOm59HDbk9cqL2jURKcCcueYK7XmCbB5O5doK3wZvFkPLI6mvwPqhE4WsJIdSFPdtwVcg7J9oueh
mPw7h3Rx7yafi8La3/4xqwNGQeJv8ha95Eo2UpamNphVAUREpmegBCo+t+0WZ96aa6BdDdRsDiIQ
zrvLdSMduCCt0oAn2qQJKlHv6t4ag20qslVD0EFGohhIHTxkLw1l3Sg8Cpbwl87lT71u7vS8eHbm
rXcssKIr0cI7M6ScC+h00dO/4Ed/MOlDLZizMzwKMiSZfEZyd95pgJMw0phPo0nq3TyZyV3Xoy9l
TmxnV0ImIfbsuo1mfaiDXuR4D1v2TxOImX0x1el9ObsQGEiA1iFGwmP0WVhxRtGeNSX+gGResxAv
Ccf/asvKPRalz6OsrQC3wW16X7gajcXUN0HTFU1UG7QNC7DfAiwDCE/pD8NDAR7wO7/zxypoPAAu
3KRyIkA6m3Cgk70rRVXeo5fW31logdiN9VgEZm+XARmh6N76jrPPKwTIlLXyoGULTYmtzeCzd3Ft
HWS+HxtqH5iuJ6GjAbsj2057tVyku2fUEcEDHbhCm561JDXuTHv+yPFvPbeDX8azO8/7lltfXaf4
MeeWuzNG4jykBXu0NL4v8MKNmV2lEEasxb2UYxGatSwD9O9qQTenqOpPjDykczGFhZdagden06tW
4+Yt0L0XNoIlkePO+ANy2nGZoZzUG1n10S6zJur1Sot6pyr2ULG1QlKZYwjmye4ZAufO3iK9E/ee
lh7ssRoj2th+4Azig597Ug9mOH6MDAo3Qtn1TojKFeBTrUB6P6XpkwtS0aim4xyMEH4KCnP+XU/u
jENfR/NwZdRQS226oMzxeAAQs38eykqLrXEqosnMitgAvepDK6kO2e1+wI9MvvWNY3xM2KDf+40r
/XDKyfC9K1PdjsBNDc3NIvnod3kZ6Li577jf/+HDMAbgeeB/0p58h15F+TQXeLx0fklf+4mwoO2l
DIH1dPH+FW6s28J/9fxdpt/L5G0sPf+YEe7sZ7tL8Fsn90GUdh+laQ0lSR9grwh9CPZjXlL+xCEP
EA698IOpFR0Yo7n4mBlufZy9As4IVyrvRuwaNEOMGhIYFE8UHZqRLmnQL+0Mrr7TqAatvSb/ahXd
H7dp+LPX92a49A38serU21k8Tfe2YclHn5lo6G0ssRutSkRFBz7zwnLbl6KG5CExUrEDp+5wT8sC
OHaA4coYDeQkcnESP7S2dO5RLcNAR06jQit+yybp94PM6IkwSsOybdOPhiP1LvDZgMJtmg7anVvl
056Lpg7MVM/udUb8g6F1dujOWXbHE93bV60+gv5YDnEtGgsA3TYJ51Jmd9RsxX6Y/wy9EWbwWxDB
OpFpiXdSWC1pIzTto8cIop9LXl6Jie7sJo0xt+zYWDHwItbGvWkl5F58XomEWg9SAC1pGF4xCVT1
GBgFtTvD1DbO5ZWAe2FGOUKSbGg7mXbs2M6Bl3wTdJeJXZJs3DG3rCh3GDphtfykZseZ3Nvijlgf
qjYGN/LtI3drypRrjG5lruh8rAhFD7eogTKwHlt/4/a3li5cyBrwOlpUntAXeXkWVi3ApOg6Y8dJ
oDUyIKX3y6BInxX2PD31FfKv2DB5uvO5xUPWcy2yRp9FPM23oFcrV4yLX6K4iN+A6x0iMOzoJpE5
xUTbGOrW9xXf6LIMaCVXY0djip1o2mJAWLlHo9sJKBy0jSzpa2W5pMyJwSSWa2xPPH8yQDaeH016
16VbTKqrAzmztDjO2f3WKmcdx9rAjhb5DWTAXH6/7Xhb31/c/+z7DScOtKWxifymhBKlZeXQatxq
alxJjGO6UKtyUNLBo1NZ7WkgfdIOWG0Oko1xDDPyY+6TeOkYaFPwWfBf7ZZM88oKLfBH20WIBHea
2jKmycGVTlVBcMSpcMsRfR20ZbbDv/ynSrpHpxl+3Z7IlTiBCzPalUBVhK2lZgvBa2g2adOCbnb0
D2YNPYFqbA+gZ8XFx9hK4qysGoyh4xjw82VKlaBUTaZXGT5A4Vka4eARW91Cq99H+RQAYmiFotv1
0iv6hhklo+gj4VYfG41+aqdyK8uxEvIgAb48C1FZQoVd8Wy3zL3Gbyn04Iq9Rvcli4l8f4HiwoTi
3GiwyIk9wURf7bzSCIyUBOW7e3qQ6XTxcsOLwIPItcrlXOCerJsZxQ4CA+99wzbe0CtLgQVemlEW
dQ+48uVSDAbeelNuY+94oRNtKh2tfR7QGHAS/aVycZRASTR9FtybcfCAzlK6qJhOH25vjFULOubF
ADIEY1j+fhZhuE4yJwNV0BFUlpAZ8/rd//Z9xY9GXXQtAg89up+ZtRvJhg+tBBKAg5HDhqOCbFmF
TYi0Ae0HBYBX2P499T/l4w82j2HnovTc/fyHoZzZUqYK93l7kXGlx3E3WW/aO1n4l2sfunRxZtlQ
xkOGWZ0pj4BBZqrYcYDKCfo/8E+LVjtkt6JyK+SvTtuZLcVtaWk6QuKJdjQ5z8IxZV/mAQzNvHMK
tFeWdiCY9fn27K0EFPSLLiCaJZ9whQgi2pSa3QRdhqykey15nGh1T5Ovt42sefOi5wwmSYQtOMWl
NyeuOWkDLkVHy3+2eVBs9VAt86JUAMAkgs4QHF2AQ6t5IMOnJkMeih2TBq3teEN22k89gUir/36o
1oUhZeODPNtbOumxQPovz/tSEitImg92tQGfXfGDCzPKScXLBhI74K44gsepQgePaF101maBnZ5a
Y+Mus+IAF7aU7UM8keW5brBjL45msh/Ekcr97eVfNQEY6N9WROwgJYFqQczJMgSWP6dfOitmuF1q
G2686gGAaEHMduFGUbvo7Ik7JV4D2KV5MZlBxln2ITNZ9lq3VItqU2jvT6Gi6PTfipCyRMZU07zB
mqAXyfADv04T5BdJEhl2Mse3p2/tBQKacQ9KLYt6xVXlgRQs7exsyI64wUQ+LmS0mn97Lbk3IE5s
Z9kfo9XiEVWXIHH9eEi037mV/Mt4z36DEppKUP5BXQXjHfTBCRvw4rXgAEOy4B+e2ReDXfbG2ck3
tzPzkkrLjiUlIm7n72brbUnTrMQjHzRpOJ8WcT2Yu7RRtgXv5s7Kjg3op0IgQG4v2NbnlS3lQqki
TRMH1UIv0nF4//iHz+POBNQrPP6q9x4IYQolygZLQXyJBj76qI+Avt82srKhfEgE/MeIMoa+hGKK
lH121OqjaX7PHHNvGDzUt9izVmIDDoVFvccDOuuK4hFKCtxuFzu+ezd1eyRxkBfagnKsLQjAm1hp
wP6Q1VYG41LPL7s6Rz+R+QcIgVTb6OxbGwRSMdDPQvXOuFJEk70v2oJ5WPAyrorIr+JiKwisDuHM
hOKyWcnnoitgwq/jNI3c6PZyr48Ad+aldQ/QA2XXIedniBRcT0cBXSNu68HUxbzayAotDyDlmIZ4
63+NKOdApRU9kw7uGkgA2O1Ro/eEPBJxyIvvff2jGzaAXltjWn7OWSTp8rpNWQpzlfYhyWjg6nvb
3EinrS/Lf4ak3mzAg8lzDaXtY+Hc5e6ebCzLxoypQFJO5tKrBiwL1MWiiYyHiY6HWutjr+ifWou/
NhKcLum0EcCWhbixUGqdSdSAVLdjDrPkW2r2AUuOvnFkpdyPbR0AKPw/OZ+h+LYvp97ROCYxnci+
IlDVsoSRoE+y33gWbniEsazmmUfIPhlxfMKQU/1KspMDmRFQ194ezFrgPHNy9b3gpobeNHqGNHEa
U3qoxZNfB/UWUmDV7wDXX6rsoMhWcczgM6eOO+JVQjjdJzlkJ/6hdc4H8+5/LCgHvk5M1BmA5Tq6
lQjkV3SLBLcnamsISshxpib3PAIn6/KX8jC8U+Ruebfh91sOCsMLoMpW1rpxS2S5HQJUkGUFdDzV
0+cyef89/cLG4m9n/gSGW96NHmh2dL8Ky+H3bH9o+502o9/6z+3JWibjakeejUZZDdNtU4lqHV4E
Mu7mJhDgGjD0AfIsXdRm8+62tfWl+e/cKUvjs84x0xZzR9yDowfjO9ndr9ZGOQgAIrYLnXh4suuP
LPnhsU9V7gVD/vP2MJZJuZo0G9gDnDpA3DpKXKn73qvdeUQ+m/tHmVUPFTWCmswhy62NV9SqKSj/
Ll3uwNqqGaG0TmvbHXx6nLkDUMpkdI9QfO33Vl/Ko8cl2YjQqyuEPnUQfAHsdJVrzKvOYhpq9Ecv
g5wNX1g0rXLrWb1qBA/2RR3aB4GY4gZjgY57ZNHo0ap/sKREFnDjJrsaj88MKH6AxubKYY1BjzR1
D5UHrLLvvNlZGt/2g/VxoFEM6qbLC1HxA1oUDQhVEGmY3GmoopZ3/9v3F/tnYaChs1VNCY6V/FON
kuUWE83qzwflOrRMDJQg1UJAC4kK2rQcBaj8s9XtcTP7h59/9n0lqTGispl3BG/nfA7T4YRx/G/f
V6bfGFvheFnNjp6MfB5vvbZWtx7E3BZWJWDqVcba2R7cCpxASCXPvwx7CscSIDDnczlrG/O06q24
4+MdAbknxJPLZfZbMxU4c3Ai6k7AgfgA3CS0pYxuT9faeBZpMWTjcHaBcf/SjOhHmeRcIvXreksi
i4OFZrbBsb0lYvZXjkGNj1BcQfoHvJmAfyqWFn0NIx0RtJps2GdJ+YG06MYaCONBogNgUUF3Os+G
qMz2spij3p+CmrtPeTLuq9rau9mX2yNfc3Rw/S/gZyS+ERcuR56mSH6WHsp2kzx87d7JwPf30Dn/
uuLmZlk3w5DgNOi+mFNkbjV9rXnH+ecVL7cmIpo0n5AazHZlG03li9l9vT0/a56B6ikUclC/MkAo
cTk/szdxKWtcN/zcCsQH96HnoOzfglcuQVf1CrTm+RAYQq/AFWtFXmlj17nYT0maB7393KFJND/I
6lX4PigUtipaq4t+Zk45AxqnGSfwx7GjTj/i7al3r7cnbZmUq+EsckmmgxLjFamPnzlOThMvPc6a
+WL2coqyBEj31pT3orMiH2nPNOm/9sOWv61d2cBRhsCETYz0xuIwZ6eCJBphvg7yQJyuOy7HyKyM
3Wi4B8Po3hrpb0SnLXNKdJoNPnqihLkM+G0hx13ukAilpdCGziPAfP8QpcBsAjg0xKhQ41mW9Wx0
+SBoMsw0A1yFfa3NHCDVHEUREth9uWFqbWcBhAjyzYVmHa1bl6YoaaTdDW12zJ1oqPegwALc6LaT
bJj420x1NhpNQKK4c5FSE+VXvfrUpj9H/9dtE8uEqH64MDL5AKgDr/p/SPuu5chxZdsvYgQdaF5J
lpcpSe00L4y29AQNCJqvv4t9z5mugnAKoZ49sftFEcyCSyQyV64lOltWkIr4EBY6z+2p6L+k/qfb
35cNAVVnZG9WHhh0dlzP0pSlVeKRrDjXLZ4G9nSyjefGUyFQZaNAJUe3kamDSoooFY9dhgSRVxRn
En+rky/TvLs9CtX3BS9aN1qO/QqKL7vbAqFUdIo0tsyFXv7+1f7FQpdQRI8t6AGce/8FAEY9/aXr
3x0VYa1qFOtaXVhB/6eXsLQuzmP/ON8RphiEzENfDkI46slQ5BUqhBgEu4OMddDmP0sKEOlwQlNK
o6ke6qo5E3aWNjfcNRnMTUM4FgGNn8m8U2Y0VFaEe0C3vdmI2bqzbOhb9q+pDc55unOLT/9thwne
xHGHtMt6jMZrfnVLjUb319sGfmeTxZN+sTyiM4FWUdPZtCzOhevvGT8V/kmLD1r8kWY/cn0Kef3M
uu+Wfxggj2NoR646RIqpFInjDTdbGEj8i3PchPMUJek+WdCnfbg9Tukmh6An3BkuV1uUIElL14S8
MQWEi+xsYF4Un5fdZ2D4/PfzQjBY9X7XmsCFntGSlJNt8bMrNrGxy1LFcr0dBiB9YN4F6GnluRJx
++nslxVfUDvGmzqwkdzkwe15ersaaPZF9ZmA2QV0B7rg0uBvQI/tsfKMTs9gzL6AfKnTj1OpUqF9
ewGAjxl0YzAE6Nub6JDOOSp0Lgj4muaVz8+ddTSJwvHITECvG0wYyHIg7Sh4Txtwy1HveHauIb9O
QZup6s2WLcalAcFxjvZcWxQE1mdasQCgB6bsrpNYWFX+QOOybltHXI3c8Dhb0qo6n+bmYzd+uL3W
kgkCTgTFEuBe8EoUmUmQlh39VtOw1iVkc6AeyCEE6teqGunbCwAbCrw3ECsEJcmbao2TtM5SkLRE
tfupijdAfD+VGWQi9mnVH2327vf7tTXBM2u105HOg7ViTx4yVf+/ZEEsKDCtABSgzUGJf31XTqZf
TW2SNWct94Lp2WOj4vypDAg/H20UADUyGPDyCJSF07C5veaS8301AP96ALU2ufrS4Pt182Uix7EK
2XTMycv7rUBHFM2agCiiP1Q4GVk+sdaneXtG3NLsuXXokn3R7G8bkU0Vnt1whvgHAZ6wFk1nxIaf
QYSOfG/9T7b58fbnJacDP//P54WVGMZMp5PhNOem5CHtw2qIvHgJ/8KIgyjbA0cl4PoC1sh1tSWD
KFxzdodjl/rBgGbQbFYk/qUjAS8Q+O//vxzv9ZpTN4P2CzXp2YWsyb7ISv5qZ/nw0R5bP7o9Htma
gBrKdICZBnZV7NCtmpaQPCuaMy1OZ1N7d0UMwJKLr6+b+yJSrZyldEiBrzNy7LImsPQm6EZFkVR2
QgC6BYIePXpgoxBOSGGUKa0aLAlNJsA9D/N8pmiTWRSLIpkp1PYxR/C+wBSIEgtEm2PXBWvD2daf
mvpcvH8hrj4vBCQaLl6tL/H5GOejOavclGRLATyA3CK6JiHZKqYLQIrjuu1kUaA60PLTAhNPUEiM
/MVgishKaomAqhcZ09WUEJAQPa+IlS/0jD0XFCBON3gWjqAFub1x11W9DoNXiM0fM+tyXWytGFEo
jy2YKZpPbTcBzugHJnmM9ZOmnS2NheP8/bZF6cD8tVqBB7aN3uZri21fQyJ0sbH0UxVMVjTTR61S
+GHpJruwIUwe4/Bh1Woj636AHz5i3s/bg5AcljUbBmyPDvrYN5VdT3PqohyX5Gw2d8vyrNXDLhvo
Xh9VMumykVwaEo6+W+WeBkAoiNrCrEDD3KQKfCXLQVbha7Cnod0cMcT1cnC3bNDKupLTmq+6u2XW
wVZBoSSTBZFFYKCQMoZ7EZ0juM+hjcW49mj6L3YO3nbnG0StguWdgj3IHSPgvbAjzBWaPv1q6GHH
dsaAlq+titLu7WsHBixAytEqvZJmCldjnWQzUFBJApxFi5PihU1iBn1vhID4BVb3fgaQa3OCR0b1
MC7qBry4RfG5I/d+vOnTXW0rPKaEg2h9J6BmtQIJwMkg7ABGe1tvzRQcnQa4/jv0sFZbA1IXrPk4
uV9csJIX9Ye4mRSeR7KzYRbB5MrBBcyicEYLgH6Q3m2SM7pHq9cp/4+fX81fOLbFHCq/9QswqRZ9
mJlrQ6zCQ6+rLbjOqwGsJ+vCQk/0wvc7cCiiaa6MHLrTss96iv7mTRze9jbSM0rQKoGmRtQUROQ0
opgiLzOwgZaV/mxofnoA42F/MOq/KJJiL1xYEpyz5VI0qq6CJF4Heq2wbBSRjHTR4WgIKC3AzyEi
2CzQMA5kBEVr912fdlmj2MuyicKTEQloDznvN7SW89jR1C5AFj4l/JUxuiks/4Sd//4YBlfyHzOC
H2DVaLOFr5zkmvnKM/tlHv7mdACgpOOWRPAKssDrzRW7pO+GmmXnhJ7mbj/tbu8omSczfQTfCI6R
7BCDvX6wckotAvyuu/I5mlGX+1FOjzTNDoaluI2lq/LHmMjab+u08WvqAqUKeco0IZ8h9RHw0f55
e0yyvYWUugkyCwTLruidwVBg0NKFGc6OP3NdcdrlX8d84ZIBXEns6YJ2rIXeZqCRZyfq+b32fmWA
lbz2z/eFy8ucWI13FxDVNnv23W4HZo4QtAUKryhbiksrwtuxTojX2jpGQeiHrZZ+dlyFAdnGAvut
Y4LxA31db8pAesZ5T3E0XBP93h34vuPqmenTIfe1TapBS/39iw4CG4JMDtJqiJSuz8lY+43lQun6
jHAteBjwlLz9fdl4oPaFL6/ymG8KQnqll3aG9oTzxI4Ov/fAAY9uEj/Kfty2I1sYOMU1EF8vFRHF
Q4altAezhR2vygNnSPem1tx7REWVK9vGhCDRiZwUchSiupUG9p1uajFfzV3BvSAbHMWEyQ04hICH
AK5LpKmlPq/Qgj2BH61LIXm94bmKHlkWTiJBsbJ8rY8IESi0ZF7uzt4E39VpUT7GwWA/DWMagYRA
MRa5JcR60IJBcCxiepLe8HqPzYj3oJbjVgEPCjA2TI7ieleZMa/38GKXReK5MJOMqDsA+9QC2k37
fudNn27vMslrD1UAvLoRKgO4IqJwGgOYmWlhawAbMGtPxq1t3KGTzRnw4g/jTnHbS2RuEExc2BNu
MRqDZhqMFMl5RqBcA6hidVt0xdZBti1BlhZlgPnRv8gwXBkVwmbdadM8BRTzbJVhU0Zao9gVsqPq
gjB/Zd2B7K94Exhg/7IMCqUB37/P+BzV7Sn12v9oZN0zF8El12cnL8EBcV7aD9ztIPZ0cGfV4192
VpFGBDoZPeweIoFrI5ZvTmPh4nFJnVfGn2d7f3u7SWfKd9FZihwDtD2EjT34lkl9SFKdByt7HKb5
sOIsOfRPbpuRtF4hhaHDRYP5Hc8zR5gsbTZbjzUABgyN1gcJi49JG28trTgvZArnea3m2SHlQwAp
j3CIx8gp38+odv0bhJvVMTOSU9JCtdzfevpp5qoCr+wmuhykcJZSm2R+Z60NReMpp6+aXW/dxYmg
UBLYKvVO2cbwDOgPr/KhCBGFJ+EwNW4zxi7CdLZfoOaqiKVk+wIEjZDRBHfNW0jbett6yG0l59qo
nsbJudfM8alHs8TtfSEdBV4CIOHSkeWy159xcYbaBWG5AdAhxCfmflvkmvvL7EimemnKnCpo0vA2
Q2rjbT4egiYTyBMQS3c2QjZq7Orm4JdpkIDhLCVjROjLQFRxluzOuDQq7AaNmRUzmZGevZU6q04B
/3tt0zhMddVekC0WMl3rAOEm3igU91Vcg88EwJ7Ro/ephpKZT7Mw84fv71+tCzu+UBJAg/cyWBw9
ZpByiZLJiFIV9YP0OvJBm4BUugG+NLFyQgxtis1+Sc+T7pyapXmJK++xHrRA58kZDAEf4r4FVtQ5
F8UQaXm7uT1C6Uwi843gBYcKoL3r/ah7fI71Il7XLH1A7fHM42QXe9bfXFDg6nRXFCIKLKI7RPfz
BAzsmJ6tZkaZ69fEfrqNKjEpGQx2NUgPgPlCyVy8O2iecNvsSnRVmJAvJdph6cedVkwKVyHZ5zDj
QL0Y4R5IQwW3moABq7JMzFk2uShmT2APcsJEe0qGH+9eHLCpgCII2nj2Wpq/XhzepGNGGRTTzC4/
JNzaMYOEZu8oqiwSn4SgGxgAEJCs+siCmcqwwekATo2z5u2TdKcqzUtX5c/nRUpAM51yZs54fjUa
WOdmBj7H79w03h+cXA5C7OOugW9NsgI6eT3pEZn4EMoGb1utioFkmUmw84OmFIoXgEqIdrQOfGoT
sq7nfPjsa+W25XFY2k2UkyXg4FY0ihfDbAM7e7q9FyRX7ZVdIW5JqD8SwrBIBI10KU3BP/cxpod6
AZ1dqro+ZDvCwuDAvICd/uaFCYnuRWv5qD2i3PNPWdVhn40f3z8eAFzRYYV/0UgtHKKBOaPp2FBv
M9iXbug2OgBv/jfgyiOtVDTZSs6ri3a09cWMBJkrntfW7Siw4W0CBUhE+R7kvuLNMqDDbvmLEvLq
RB2APsEkgP666wNrJzZy8RSpjGruN8Vi7AeAafyWbG7P3e88tJDmvbIj3LS1w4aGJhZQp7N2H2sk
bLtqO+n9LmufQTCzs4wytOMh5GjwQtlp33tNOFFVG8DqF279CsFvsBxKWiADxO3IrMBmNKwKVMyn
U7F89uMxKHTwTS3Pt4e+juyGTRE7lvdGBcgVAhvX6ZEpeEi8PJwGdj905o7Q8ewwRaJQchRcRBkg
HIJzfCsEONZ5y+oG7dPYYVHR9FGvegArLIhDGtrc4hbzEcxk9wAxBw77+RdzBlgDYGrggMXL53pX
zoXVjMjyJGejBhdjNENwxYj84kM77sa/AHqhGPDH1jrYi/i2GX2oE1oQi4vnTWKd3PLFnhSZbokn
hAmkUyGthGBCrA1NJkoPqU/wDB1PRr4ti3uwqtuPrqoIJV2XCzvCtGmDkdjxWua0/KelgejBt9vL
ohqHMFUQHqfgVMP3u2zjmvvOCUH7y3/676dUWns+8P8VWoailvBwarVOg/RUhZeN4yZ7b44/NZP9
MeM2C8aZ2Ycc3ICKy1g2NDxxoOOIKxKLJZgc9dpr3AkBrE/q5MGb/SRK4bNW0ts2zPnib/2xoL9u
z6ckznBxn/iQ+gV31Jtoqetts4cmDIxCoq7pvqG0+C1OFHeJ1AgSSEjlI2bHP9f7uzeg/wJK2OSs
99+YrwX59BFsS4rpk+08UBKtfWlIfuHaujZC6ok5/YznTZz3wUSaQPV+kq4PHrQrNRXCZDGIqT23
1wAwTM80cKdT5p/sFpWWz++PK5FlAdgQpNYAi4hvC5eiLYPmNd4W+mveHdP2/Q1HSAb8MSASq8LZ
2OOiV0g/OD8yd5NUoVWA5iYwy3Ai0e3dJV0TOE8U2jEi8HVcr8lQlL0/sAQvau2obTzvcPvzsn2F
Lm34d9S/3ha/GJQnhrr1tMfWATHO3KAfBqxEd8MYq9qmZNHQhSWx8gWpcoslFBX8tWVv6Z94xUKI
3QYleT/600VjM8juUPlCQ70YHsx67PAZV4GXQP8JbP7eKV2MWhEXywKCCyvi7VmR0h+qNW/jeuWr
afEHOpC9aZOXpPD2iD1Dv/jx/qVyUExak1AenkzC6WxN1nazswrAsF2VsiAxQ8tWzJ1skdBFh8yh
harIG9FyZ6EFgF7AP5jDEhj6Q2UgnnL7wDM2twcjM4QqAuoivzURxdiAa+WYTxSGYtIcY5rEQWpr
O/DWRgld/qIwhmt7TXVgU0A8RHCeie9wMB+gbZQaZggpOPf99K1rmfWPgXW0F9GHj/YFwnU0t48E
/NBgfeZ/4QZgAYxaNtDmUCkQMkJLk8QaTWx0vuYg0NbrQLG5JOsBmADQfKuOC1p5hREkZGHM4yuO
PZ3LgOGIUtMN3YT/7Pqvt5de9pQFqHJ9GWE7o4IsHNBqyYshdlBHjHl853X0J2mHMAXPPZod90my
nHmXH/3G3jDKVc/19dtCHH9pW/RCTjlldkJhe0G5xZruKuD8Rv3EtHFTk9e2y0JrVHgKiQeHSaSQ
11a3NQN7vTlKpA/8pETqtc3AkT/vJj0Pb8+oxImDgxF7A2l3zKl4mPp69Cc/7tCp55IQQU9gjyQq
fVW9VGoGzRqr6CaiHTGHjJrglOnFgjSX5RyNwQg9L96ntq+Is2XzheoFMu6r5iaEcq/nCwANh2or
06fl7vsEtPKKKEfiuXHXgYXmd+LpzbOkannTY1eiIFJUIWl3Md+DJ4w7XkBBHFMRV7E6kqDHQ1IQ
73O859AILRxdq2p7va+tAs9VGs55gYo2uFfMvZsm+87d3N4K0sOFXpG1Ix1luTf0mJTFXZv7bXHW
aRJokCJLSz9IuQG3NAYmmPb9ASIqPyuieh79bnYXjxZKw2uyw0dNVTzWSEq6aW+ihxBYM/cE0FMZ
pF1nn1g5TQHSPVXkWI2HchSlYYz8ImQshiLgZJyPnlOBeM6p7+Ksy7uApW7+DEqSHs3Ojr9pqfcz
defmOIz2tGkQvyoCRtnGXqHeK9savKwYMdSmNxCvbwrcesUHas/AMtm4JqgKyCTLn6BB7F9DYtDg
FLSZwfJVnFvHnwKqZ4e+ze5cvCQppIH5HhnRu26sowmaHEZCtxopDz1U3G7vEdkBA4oKSfGVWg79
atcHzKnbhIOOpwJrAduNqbZP/6IACCbgPxbMawvu1AzL4MJCSYNePw0q6RrZgiECQjjp4X94FV1/
3+paq8Rxq85DtRy78oMHOojE/P4X04Tngw1UObgzRF6sxjCLyvLi6kz4SsITlSqci8wRgdT7XwPC
nZu1tpU2BQwAhbIdymEzzpDgwGn5hbrNcez0KpgrLY1uD0tWIUZ2AU2Qq2ITinSCP5qAQW693C/B
PUtDK/fDxAHfVPGTZHXA3CM0m33+6Djl1m1/ZID63DYvW7pL68LmG0peExK7aDhr7uLO31RWsvV6
FdhijYVFXwSqa1QxkOSFgtv6Ky4CMuAePUgfJBVyKH0ASqM9NEwPcdqCJ6Q0DyPyAsVa+ba942Ly
z/Vsnrwpv6dD8vP2aGVhleetGOm1MRSu8fp3MMgZD1VRY6O2aBK2/a7ZaAlrNuBCG4I0sajiaEtm
F6IfK58soFO439Z5uRi3VlcW631ao8xbh8DuhZn7bPAP7x4U3DsyHqt4Mxy3cLp9va6mecIF2ucA
HAGnFzAHerTQyA6gM3nblsRXXdkSBgTNZVLFsVecjWpr+0Fhhre/LzmDGAZYNtYcK9T+hFjUGtBo
Rya0CubWc2aQTdzcsfJXW94P1T8Q2lRYMyTh56U5MRaIhw4g6RjmPPPJgFJmezBA5pqW90SHgPV0
n81QUvnaeEMwzy8seZ6nKaoh6zt+5fGv2tlq/q/b45fO75/xi0k6a7AWjlbf8jzx7fJk8MPtzyum
97cvutiPtgXFn04rSlCKaKG/PDEPikxPnD4n8adS/+e2MQk9ECLGi8EIm8WtjZ47fgZrGfrIly9d
cmrmf3TtZ+Od+pgFWnwqaR/EzAxp/liyA8ozQW0r4n3ZGbz8FeuUX4y5NRC+4Govz1r/MjRBmQSL
ijpD4lYw0DUl5KwlZ3ed9gsTs+tAorbHqhVk2JBF2xK93Be++Qj03v72pMpH88eUcEAGSFwRvYIp
vTxVeR/OkD9R0QRJImQkGwCTRP0KBWcxuQkIWZPVBN668aBm5vzjj14035Vhn7zeHoxstyMOxwdt
NNwBt349b8Xk4kLzcPWV+baBONbm9udly3L5ecExpjZjnWlhHG2+z8pI98B4CtDB7rYV2YoALoTr
W1+7rsQKJjaFzyxmFucmjfTyMHZQelbcnyoTwv4q/X5pKIUJmtlRmdzTNZb/CwFU5JjQOQAEOTqV
dLH7TW+d2R4NFw+GIHPvkvIvro4VU4WbF48hpH6uF1vz8gFtqDOC7WYIpgfQ2SgektJZwpsB2Ee8
It80QNpDn5NWH/FsSCroKelhye9sR+FNZOEaYkS0JeLZjUqg2DGmGyaf6wSz1DTe3WBkB6oDe02W
sIF0APJoodlq0NxNjCBv65fOqUMT+pK3t5xsY4MeAFJKYDh0cH6up7K1R9qMY1VCc2HQtxBIIxso
GFT7ooIKGnN4/fIX9hB1A4iJ5wmoOq7tcduv7a4pq3OGGZ2Rmdnx9AsKVbetGLLbCUCDf82sw75w
o2ubhuVPoFbIR/durJzAS6qHskg3te2eUtC56GkR1UgPpe5ytBrzwGuw1dv8K2H5KzPLhyFrNo3l
3Dut90Hx21ZXJESw6NxBtzYa0UDRKWZ71xSZqc9xeUbW97vTMobIFZ2vAzRKjkkBzg9e2EXQ6jM0
dYz8zunbHfiwuWL3SRf+4lcId5mhx4sJ3UQ4zBnqvp8WnUK7sw96++NfDRfbe22ExaoLhzXF9dxY
LSnP1pzfa1q900tjZ6W4tPO6gbhm+uBM9nPnzo9FVX90ZlWgIh/ov/ZFxF2ZzuBuSWDfn16s6Tmx
Ar2Dgolix8k8BgpruOXc9SyJrjujVdsyu6gxyja02EONfmY9296eS5URwXn3NiQZ9TKrz5x8q9le
498XU+FaZRf2yuGKOjFgLW/qrG0/+26SONXZRLldb+9mzQ91Z9pr5bHtHMV4ZFBFQEn/WBOuVTCp
TXZbu9XZTf9BaQftUmmIJHnALXSb52mYdKAXro62fY/mWsWKyVzEpW3r2kU0rd3olQnb+UCCyn7h
fhqCYDZwcPj6/CNqc4pLRZbAuxqtcORc5AD0tPOqMxSAt1MP0k79xZjqzTA8eWuLeLsxbKg5Dipp
W9m2IY7pr9RCOtqThZwK72jilgtDzgZNHZ51nMuvxqCC6so2DhL+2DPI3KyMHdfTOTZu38wJPG67
dC8L8U9VbRyZ7qCaNbmHLFZhKaR759LgOuoLF9+DtZmOIAY/D902awMQxi5W1Hu7rAAZasDNp9LZ
MxUedB2F6LvXq3otd6IfXixAW84yjOARANhaC4sdNTe3D7j088AarNeTYb5pxfFLO+lNB21FFGxg
VXPf9vvbBmRbYQU1/k5NIdkvrFLpMJ8tGTCNnDxzetD65zhXRBSyMfz2giB0NJAgWf3xxbowyqbc
syBwYdanin92M0UEKzu3CFTWu+S3EqYQ6cdTZtKUYwg1yMSoR6Jm0J6QoEG3w3K2Or6plur59qz9
buEQl/3SpuCn8hKsc20G2CyI3LdlXYRg4dklq65wX2wKUPAmyHIPVRmhw2lL23QbO1mElDASwXjr
ePW5LZcww988Ru8qlt6BguRQkybCaMKUpT9yu9hk5nBioEnTqjbyBgYZef9kxe6htZ2NXi3R7TFJ
d4IFb+DgZY2+GGGZgNJewLe7thTyw0A3Lt1V7+eiBnMEsqt4tsAjADF0vRMQwebEyxp09w4RMjya
ozgtUhdwYUAsnZrovEo4ILpnh3gBsQ4zCGgJK7eO9lS6m75/Ytr3DuRmuqeaPekm/DM0MftnQXMJ
TQRAIA8aOPDboHM/JNO56c8xZWGpYh2VHqkLa8L2q+LRMRMTKPSK8ReWzhEvCtWTR5piuZxM4T50
JgAT/QrFzNgp9nXvBLwjQeF0QZbZBwecem29fAH84aNtttu88p5Kgk4jYoXpBO7A0fl0e3+qxrz+
/cKN8AL1Im+trboZWCsZ6kqL4j6WnoCLWV3/fmGBTjFHNwYOtdGPwRzvF/ZsqcDdqn0inDKHaZnp
Dli5nPIwtj/MIKpLysNc8G1Bvxu+IqZRTZpw0/cFI40b40Bow8mCSkbeKhJxslIgzjRe3eCD+V31
vp60JAet7wJl8XMCHXvefYnzD0gm6PHDZDzV/MEjz9rSB23xkTefq7INSrqxoY5tWywo+Y6WXwz6
jU2Q7VaUlo11Jt+46IsfJjibbHarpJ3xwwrngdM88gCZT7qzPh/Mfo4aC6B2eh7Mb0vzQ6+/8nab
xr/y/lDz19v79v84R/87QyB0vJ4hdP7XRlbC65WLEbaa8zAB3hdkRr0liEsWpgc9uHoSu4u0ie0W
1oc2fi54p/dGrB/B6/Tj9g+STgwErQjAeajuiy8TPkPFrJnRSNzPQ2CxA1oN9iPU4XqiuPil5+nC
0HoWLs7TMg72YkxoyLHN+VijLt3X3WlQSgTIjhSwkuggBwkZwDnCsZ1yLU7TEvf/TEiIzrreGcOG
JAHEnEBpmezKWNUgLd1blyaFU7zMadItHbx92fMwG7a+98+EPDTzn4pMDycdfRpFGk39lynbolso
NLVp44wPPUW47askGKTPCIh7EVArA2f1BkVh+JpVNmtPUr18npsdtCyDatwPzSPhWcCbrzb7MhXn
25tI5lgubQoz4JhpafDVsRA/2zdBuqT72wakq3oxKMFz1bSPjaXAoMjYbNDuFdbNq+9owdKzyLBf
hmR3257suYIQEuTyFoqJbxhKWT/kkztjF3VNtuPtFI0xQYFmvHfWtpHCVAxPPn//mhMjFcvk+WCb
2EHgGmuALeeK4cjOngtid5xvoIXAD3J99uoCjP+uDqdjAt9L+I6gCzirt7fnTH4OLqwIIQL2sj0M
wDWcG47qx/xsO6e6KnZgoJm6l5o/2/ljbN5B/jRwmw8NOGzj/nli26o63P4h0s1y8TvW2b7wNODC
MLWY4Xfw5a765Och7wPd2nTeneOqxqyaWcHd9INujnkOW2n6VSufOPkB/5llX4q5gTrgp5ac2bxz
8n+8dsfdJlgbb20VM6I00IWyFlYYyW6A7oWJX1i9aBTkSGerftLZR33uw5zt85wEoBIO/RiCcq4d
OM5TrjqXMmALHvVroxMAJRbqz9dz7S3NkoHIDg1I5dhumG14z4zP/+SkqQK01v90nLbc6KkRb4nD
cgCl81/ZbHYvQ1Z/G/NelUSRLj12OaoKqwKyiHBxxwm0imvTWmd3mzbRzymELTW8wrKu2JZdEQ1c
9fqTkGgbmII/NoXDBS/c+Y2LBj3ANx8AdNrwwtyUdbfx9HmrMR7ZVf7YV/3XKY/3Os0iuMqoYdkd
t8zoL3b+xU8RVsPxuFmP60vAnt0A5Nphtmr9dYGTlZvR2+vN59v2pLv/wp5w0gyN1xo34Sb1Hn4f
/eVQz/k1u+XX22ZUqyocMo+no54Pa9za7WvLj8rhU8PgweI2THQU2rDXbhtco0ExWrxcUuE+I3XL
wOwPf5wl9Uvc1j+qaTqkMQ3qGaS/dmOHQ803KJwo7gGpXSTBdQvdvghfhOSFp1ljCUET5I/S4d4o
+7tab14hcLCpyuKka/UhK5bI5X/Rr+jjiW9ayC1BBkREVVEXuEujRn+x6Rf7bKGHFpg9BqxMQ4hi
ZqU75sLUutQXvpmmBo3tFIfFKucNN7RnYxkinlcKsNG6QG8WEN0sLtHR6fmmjlRNLLNbHWaKmgV9
djIBpag2nQrlI723L8wI+6SeB7PRfJgxY/a10OxfOXUVI5FviT8jWSOVywmzkrgaF3g0UC3ep1Z6
ZzZDGWgz4QDYoUGw7D4vxbyhM2RDbx8C2eAwNjQ3mWCxAuru2nICdk8+9pAJIl0RQrQjiFtFWCKz
4Ntr6gfgWKjeCu5qbIbc4DYAv259YA9N/h8/L3gnv9NyJCfwea36Z86+xipQj/Tnr2SbwGHgsSEW
R9mo4ecvgJSjEfwhS7onHCFFfCE7Lqj1/2tCGAL62kprMADwtr0oI2HFw1Q1S7INdmnizTJTlg1k
QNTG4pMPVi+34VDnnh+reQgNu/iJa/RRS7rw9u6SnVBIXa5FWFAtguLvenfRZEm6Ol2QT8qQlVvY
xrKGT3aZPADcrJjEt6aQKwcmDt0TgJThv2tTNbQ6QBwNVTpsQeAes39aRCJ97D5R6jnR7WFJYrE1
MY8w27LAI2uKVXstqxY/X7WUwLcdLssPwB+CZc4Dje768bNuNDhGyPU42SbXVC9R6UDBl+ggEPRX
9Z7rgboDW0w7biCs5IzoHwWOOdTHxtohQuuMwAGfjcri2/2J0aJYDz07AAJNsXY0jcBLNyYe9e2o
fQQpNJRwCyR6FKkD6bhWjnTPBXQVnTzX44rHJW4hGQGysxnqpQPpNqVhH8vBvzNnFbHa2+OAEV3Y
Ek6c42iLTzrchYWbgxtfOxWVGfHZ3zZdHGVVtdFZ+9RVXNHmKR0i7t51x0CzSNw2S+E0Dpge0CA5
2FFXT+hXTcbAz9ixaKHfd3uTylYNemkOAQwY2Xcx57PEU0NoDd4cs/nhz0Bx4qS7miKWeesdQZmE
9MNvEkT9TW+K2cVGm/ZILJF5mZDUalF4a1V8UDIj5gqrX6UssAeF29E1h3m0GQIm6r2g0yIglYpz
QDZXlxaEgGUcSRG7K1fJAlqcmqJ6j+gvi63N+5cEEmUA7zrgH34jwZaYMdohBlQOl/jYaofaCaZR
4XGlrunSxroHL0IJkHMlescQ1c40DyYfEhOfqm6OnHwXD2Mwmk8xe5inPjDsD7cHt87RdTSGCOJi
cMIqgdbRKBcLz5Lc6jZNZQep/pqi4bRZCpQxOQgIVPtCvmp/plNYNY0ZSccJLDYZ+TBU3a7lZZSD
Ik1xkiQ5j+uhCddY6vbAec8wVFW7Nvmg53Xo071h/krTb11ZRG15Gu1PaCAMbOtYgZLbHnhoDQc3
fbk9xzIHcjHHIo6FQhIOMmgoV7h6lwb6SJ7NejgWXbkdWvNw25ZiPX3hnsnaxPNRW0eW338w5juk
9329CGLkPJ3l1VW1v6r2rW9e79us54lNCZ5/i/9YZD91s0NDETZs832AglhcgwOkXrH9343x6fZA
laaFmyeDvIlpjuustpFOPwMrnTU/R//MPdzo8au13EN5I3DG8r+5AxEuYaBVqEg1DNlnm4o/NcZh
GhRjWw/djUMpdtu12f8eSkRFnwrbPCRdus9TaGgPZTS4muKkyD31vyfSF5zP4k9WbHuYSW78Am93
MPMvt9dKdnFfHgDByXipRnK/gwfVLCdINTAjMRDV8oyBhiI99Zr3MNjsPA5/gdNcXQAe0EjBYXwi
YG/qaK5VJaITy0t3hZEGi1Htes7Dsabh0mwL81gmWcSqbW6dvFFR2ZIuIxgCTDBQINsvIpsXw+jJ
VMEB+frDFEdOXIR0fnG0DzOAobdnWG5qLe+RtYdShOrVSd5w3uClMII4zgwZjWiyS52IqGoYUv8C
Bsv/MST6MtvN9ClfkQExCF2MTw3lwQpArJI70/7l0ufbw5JUTLCAF+YEd9aSKi9Ivepd+i9lDVxb
RSFR/tFpjrr1o3fvq3w/topnvdRdX9gUfFpC0e9PkTUDCa27a707syVBz+6Jr4grpcfuwo7gwGYr
1VPoCaOKTZAB/NROP25PnmqpVvsXMYWd423cmhhHN3WboTEDq3U3LvejGbQynUmjtENN+7ZN6eV+
Mab17xc2k9n36hpK42fi7FPopJdhZUW3TSj3hOCu6tYe9KzCvJFleay9LEpq8tRb2REkglGFt2Sj
6zuUwPfGNCtsSx0ZqJNQQV+BN+KbqkabrA7uRTiyug/d+i4BLghCMelL/P9I+7LexnWl218kQPPw
Ksl27MTK1Em6+0VIT5qogaJIifz131L2BY6tGBa6L84GzkMDrpDiUKxaQym2fvqj/XuLKKx/tO+g
hYwWMIhz5/MJ/LOZA71UQDfD2LZ18D7WZYw63e/rczovhU8XDnoFMw0WDkvLJhRE+WzhNzipSNlF
Y/DeeSvQr7UAi3F0RiuUm+HSHLT6bRrhfO5mP66P4eJyPxnD/CecLD1fK0dWNwjhODK0iidf+btM
0LAdHo3y1Z7W8suLx8RJvMVSLytPZazFnFET1aUv+aiFY7BdN1i/OHUoxUHK2UUvaFk5yFMxFN0E
FYiSR7BXSv3d9Xm7uGVPfn9x3Gn6UEr4VQIQ5UfZ+ARXqrWM/9IIUHWZE4xZD2GpAMVyKGQG0sMI
CnfTosGis/jvx3AaYTEGLjWeV9LHrQTVigADsa1uh7bm9SiXLlnQVnVwY/xgRoyfrzDFO68cGg2X
LLQ+zJ5v5PhNy1iobCuq2Eoif3nS/hds/mNOlnOLV3tpMgQDDX/bF/eav2Y5eDECygCg4qJy8wkw
PtAu6InvIu0rg7DmQPn14fUJW4uw+CxdQYaaTk7x8CVQL6X3ev3XL21AYAAg7ormeQCRg/MZSj1o
ombAxD6wsNVu5BihoTqtcRAunSqQiTRRkUH/5VMdXNnChbU8dKuK+ndX43Asighyi2GFHd9koVWu
wDUurjEfLSZUGkAnW+72gGZj4Y2IJ7GwUvq9M+yo9L+2hr2T7rfrE3jx86A8Ptsczt2YRXLVAhDt
TA3KQNT4OgDv8+v6z1/8PqBZo/wODxcYR5x/H5paGiEVft4dnY02TLGyPYibFxEdVyJd+khQTUCO
b84yvMs0n6JrbXIdGYEpnIiNZVRqx6a97fpxbkImeV79w8KGNRTo3LoNn4qlrAaXvqAQvERtq4lF
SPTo+syZFweE8tyHscNss3M+dUFL0rRuy+qhlFwHvYCga50p1IktB73NaVRxV0BpDq3XNwOg9u+i
gS5B7qR0QxTMtetMqAh298ZuZOW40SC+FoKH20F7RI73hduNocrAgU0D45fdyhZEua6LIY4MFpEW
TGgVW3pMNO5/E12qVlb44r6xUYJHFRz/hxK8BwDz4hSlozWkWs3HhNMiavSkt7/biq7M4CJR+wiC
Wi2q37MHKfyJzifQB8iBk7KVSdlrHW42GGbLXu8J0BbmeMiHVnurbDt7stya3tqQZFlLhC/tLXR/
3dnJYoZpL7KDrhy440KE+EHLYZWiw38Nu2CtDbiYShjKQRD6JMhiKtuJaFQRLBOcf7QqQx8F49H6
h4voNMjiIpJeX0APA0G0sPG30xpz9uJE4T0JQCDelJ8aI1YTQM0/7yvIhrjsoFMHBiZKK1fyz0tn
ke1DSmu2J/NQjT5fD7bs7QzwSfBO9fKgEy2sRbMBUSpUnb1yNlz8KBDsAgkLvVnoSJ2H8nyWjU7u
lA+63cmbySUtlHhTL9S9rri5fk58lNeWeTvgjdhL0J92oZx8HssinlsRzQYHdAANyVHY5/XkWfeO
3cBTIvdHP/StZgLKMOUbplIUkCfmf8VUf9Pl0ES6sNuYQX1p72nCxtoRKtSdzkIVOOgT3Ll9bOka
JH+GfvxKCpjHFn0vD+By92GG7vHPVOoihbRVb99TMnzThcxvg0nUMQo79sYnBfiaNvePPhpRkcp9
76FGVhO5sv0KvYzpqdcbtXMs/hUFqHepy+rJyMD1LAGmupW+W20G0I8g/4THnax+6JJmu0GVsygP
cGyNVCjwmdOzyPsSbsbcvJs8Jw0HvXBC+BUlkAF3b8bWc8JhbLH3SV2EgyDf9EB+zyH0EgFDorZ5
9VpPX3z12AIjCbWVHSTX5LbqOaxfGhXmaTnGIzBasDllArJNMmozJ0pbeIR5hr/rgrqOKQPX02ot
MLNtFD1bi7QRMwf/4APsFlH04bZl19J/OQCAAQB0ENzzz5o7vCWKVwJPXgWdD7OvI2W/tWLlwL6U
kpwGmS+r00yUE5ORLC8BHNcjeCW/miTYqBrGMmO2xRdf2T8XYNiz5xscbE2gPMGmWsQjA8Y6kKF8
KM1BhE2Rjg9BrrX71g3S2xaLOjJyOW08zQxuDa7nz4yilxZ1+jQewcd1txYtyWFCiWA3ZMRaqQ5d
2t5oVbt4iaGy92l7uxa4NzKg5cMUqIjobVzoIBRVLys7G3O63NgB6oYgq8FW8ZP6AmnSrrR7PGgK
2yUzoWz8gtTwJ/FVG/aD7d5nNRc7AzfMnes2zsrtuRjjfHvCXxvZJ+BOkJNZ0n+w+ZifjtmQcLe5
4Z587gMvGiG7tPKpL539wHLN40SJFo/A85XVEb+yh8ElD4Z8AysvXZnES1nUyc8vobvEQNtF5fh5
WRzodABM2HO2ottYxc+m+Idl4QOk74B+i6+2fIywqdUhowQ2PnHTh8zLji6ktTlZw2hdusfQAQca
DMBn7PrFZczLNjN4MICSPePmG3CJ7Thvna3GV66Wj/bscgWeRlrsQhf+zuh7ckRys/uSj3rINXOf
wn/VkUUERHRcMRIGbLyxPLUZgyHJTevNzafIkt3NQOpYG814HNdu8sXa/Mh5oLowUwiRQSIHP18z
uamzdExH8tB7P237e8B/O2t+TZcOvNMQi7SqsQxJu1ISKPe/D+w5C+7NbptWTxlU+65v87XBLCaZ
QDw0NykG49gyDOr9MM3s5ZXdfHnNYMLmzAf0n0WSwFQB9daGQS0GZfN0EpGHCk/h7dGXXIm0yLr/
37f5X6RF1q25el+kLSKBUKJHECzpo7JQ1sFMy2KbWrifihZOt1mH21GX6LZen80L3w1QZ+TD0JFB
wXQ5UGhSdZACr+dXEyDeTu3fqbTcp41zQ0v3rbG1zfV4F5SjIOyFajBEqqBLgZPyfC2mFkRmA5FN
QJjBPq6abt38TfOMbckSgGG0tN6w/CsN+tCjf0Z7jAr90PU/fesZL4YQ0wi6c3Fv+GuShp/PPWSC
MKTBU3h+DS/7TrDV0/IsS2XSGG+i6jYu/SoLC8Cx34rZhy54uj4Nn6cd0z2/5zzciLPG8/ksTNSt
NM3WZdIVT2P9g9bfCHS3a6OKdeP9eqjPC+wslLN4F0Mwu29dqWRS1SkQONug3FRAGPveC88eqIyh
2Xc94OcbCnc9+OKoMEHzA+3W87EZRDNzOEyopLa2pYjzlVvj4s8j0YVCLPp2n6pLHZGWlA5RSZ+R
uDX+WOnz9b//QpccA/BnHSe0IFGuWHwcAss31GQ1mfDp3h7guWPuNfnW+0k1bJn9UNu/yfgonWHl
YLs4sP+F/ejhnOSMnQIqoKtKlQDn5gZP+T/g6SCIDUgWEIoA831yUhaFQ/KuBHq/GvrIprdFMVMV
d1r/ujKBHzf3+UV4HmlxRruu5HlRlSDINCApW+j/b51R/2Flvf9SwwEU+gWt+7X3vXJfk87eV7bb
xRwig9+bVPU/PI+CZOzgz9Mnj20HkN3AO7HkttbZK16KTgKsFhQQisrdANbuvWRp9qvinsOjQjnp
TxXoEkLME9v6hPKvVuF9KXlrRh1zm13m2OJLbUzltMnKoLjvW9P8U4yZYDcungO3IJ/QF030NOq4
C9+/MfXvirqbnmhd96gGacNj7muvuVcFj/DSqDcBafUdkROKQ1lT5cmYuf0OHV+nCuGpYG28GopH
kSh8sResghi1m2t4YnKgF4mZZaEAFHdniQrcBq7BTiKzrW3HUn5b51O3Lw0H70Yq1MF2x2xvt7gH
SjXkOw0LBqLzoMszSCBsBaFmnA1m+mAgq0dbBTwk05bIegfGItMqsiDkju5/HZtau8/LXtLQGR3x
Y/RHctDV1u/5nzTo320gr8dCu1GlFXtQennKS7e/Zbp4zLXB3jUT5fvSbadN3gL6BHKKjpcclZHo
7CHyIKl0n4quTziagd8cs9B+taCxbIupFM92oGm3KqAqktbgfafu3J4phvre6WW/q1xZ4gsbSkaG
dPLvPTf8xxb3IySvil8KaptbplA39F272NYdZRszyL2tKpw2Crx0PKDrA2c+q05vxjzo8IiFpwHg
LsAdtuYUGUZV7kHYcfEro4j6yfzBW7+B6IBUsXL8PEZiNkRaA7RI9KIXRlRpU/WkD179otref6rM
tjzm0LAKW3ScbhsvM+5FSqDBkfY1cCAwYeqMrHujNec76RMvItCh33kkdY6GlYG9AhoExOhRW5Am
g2clrLPBnveG0HCIdyBOY73r0tL+GAPyqKCECIILkuu+ryu+Ea3e7AquY7LHGrYZ/lhuUKKDk4Js
h62nGSI2Hcb3btoaB83i/c7LIFpbpHiNa9KgEWWpiMyyNHeuTZFU1L6zcu5/zpnON/3i2LRTrfP6
virvQevamsFXWuwCaMinwc/rx4t34UZDkR9qG2CF2rPU+/kFg+JaNlXNVNxPVu6+U8cra9gmOeyQ
Wi7HHkCZitupv/H0Qd3gInFDNZpB3Lm0P3hGFYRTXWkw/P6OGmPkwIXkOPVlHZn8W2frsLT1hg0v
QMAf1aAe8loff/gMK8Z0iy0bRjOCUYoZUX207xu8lHZwE5425QhibslrFtOetMchHawn9InoTjNV
uhUpDEImU40PBde0uGPkTQasvykcVEY0u/RiwQV0XCETvSvrjv/gA2m2tRv8lA1c/jKKWquniiBq
g9Q6SoqiVB/4W9Ph7EmXatz4gU+B5axc8UytitxYeKlu+mr4UzML7iQ9hAssqfOdcOseWYDW51FN
sCAmyL4A56DjJZJaIvRYMfwZCsMO9VKMu5TBGSiv4KtKCSvua4N3UcNy+jg2cq1+v1g9/72f4cqN
LBT3LnAC5x9Vw/i9QPIhoUHehbxtb5ELbhsTpid6763oPi1W0Eew2bwF1cZZEHmZ9QZlFdQKHfzE
q514crQjxKof4E9ZR6nvV6CamVtY8PwyW20l3b5wx2PP6qiYgyqApssyNypaojnCyO9xyrWQZQOj
roEi2coGwVQtb1+Qb3E2mLAj/NREMtMMWHmp8ntzjC0Bbc2NKmM0+EseXw90cTQngeZ/P8lY0qLU
FE5PBBL3qV2ETb2Su15KxVCjA7wCbR2Q+peKmk1uSPiUavk9tVSSy/yF8FFA53v8o4rxMc0dVGzN
Iygddywff3d0elkZ4ZwdL+YSRRbMpD0fOehong8RJkylDfnFNPFUK4swd+tgxyA+8OKYtRVSOH/E
7sDIjSgdGTPu0bu+JmwzdiOsQCdafgN93zjCejrdEJg4RsrtspfW8Oo4EFgBPYxmt2mqBzd96qst
Log/YM/QIw0I22dD1vVA6hhkWzlUPDVEuY85eC2RwYi8G3MQT00Q72K38KYYJW2UalVQTd8kvspj
KoX3CCHS7E/a++2XTEcmdX1ylqii/7YR3i823C/wdFzWoiojdQZpBiyxg2ddu0HGFhZ9E6daBefI
ONfe+jHDkbNSW1081f6LakMJEzAf8HQ/NRIrSrzM1xlMXboYSYfA4xgyBI2G8g5xgl3r1fluStcQ
yReebO5cWgV6ftaUWtJuWO0zAQRVcU8s79imOexLUvNVevQQNGSX5enjyuzOL+HF0nMh/zZb2ICQ
gvri+dKrJlo3je7hrOi89s4thumOosK1GR1ublTjlAfMgi5wVprBvTW4wS1XuXZAWzldM9SaV/m1
P8Vc/CkcjCZDuPn9LATR1uwQWN2Tsqa/7jjBMtNDGwgQDg8vu+XpyJ3SE5WT33uGEeGmCpn7QiUa
r+PK8/vSwXUaaPE+oRXVJGxb83sevJUQNCKAml7/epciOLNtOWz24EO0bJ5JGnRu63OUKowp1Bwd
tkArp/xiG6BwFIAYhY1nQykah9NisgIVtKzUsR6VhgzSV1D1a8Je00L0vmLI3kfmmjPGpYjQ0ARU
Fkwb8HkXZ2EtUZUuWIfPQ3zvFg9/7045utoYDQ2SvHNxc+qE5c9qMNdsgy5dBFBp1FEqgZrbXKk6
X4FEikr3U2UlpkHlrhwt86WG3teTZ6p6H1AgvFz0W2CQ5XbbrMSVmtMi2JrKyP789YdFyxVIIhSU
P1Qjz/8Qw5fWmHFpJR0hh6JuD2tV5AsrZzZ3moloEEZGufY8gEmbqspk5iXNneHcN2vk6LWfX37E
UZsKZkGoZxAHQm7Q87w+PxeOirM/f87zTnKCVtjEAMrPS1D/bcQvCL2zNc9t88KlDHwCVj02GE68
JdYf0DvbkHXhJp1HqhRyAJoHFaYCBnBQCBg9uvHgSPA41x/ljhYAdqMf2x20FMhG1mdPsPIMQXa0
tpXw2sdSM/SNQCPsvaKN/EYLJFYh0k4U7A1nDQC5mP3/7i7sngAAex080cXsV0GpRo3i7hKyD/PK
fQYU48f1D7AIMZ8LZ5Oz+AAQFi1JBQJe4nlP1b7v/w6BjRHA9x5rEygeWDUBhHD+ff0GoIDU5kbC
K/iDlewOD/i36yNYLKE5hAP+NMBCqL1Zn6BJ0moNGcjaS/zc5GEwaPmrnqcjHmCCr4RaTNYcCjBO
JBKz6dlsS30+GugHaCPSKoESQxbUIclt/qPQUFj56xHh9AIt2YHcPR6si7NamGh4420ogN8B0qgt
Ii7ecuPvn1AfT4o5J5ol1ZeLq6AoOjiNHJN0sjYE0nU837j63cDXCJfzEjpJBz5mDR07Gw/wmRy8
BHUa/ZCOuhrGxDB4s+9gorzJe+joMT//ZmDrxX8/e6fhFrNHWw9EYBfhKC1DVATiSWUb2/l1Pcrn
NyHmDI8zFEbRkfzEvTR543FT98dEjLP9uLvzZWLbY1iW7wxIz8DugY+rtteDXljqSO3wAp0d0WGE
sEhEPGiqTE0/IejUh5P54PY0LKyVhPnSIveAWYV8GBrw6E2fL3Jss8FiALAlduGF6jVlf0kq/VgP
pwEWu8iVlNtY42Oiv8KsPrS3trFmfTh/4+WSOw0xj/HkWoHRjiREIUR2o0MBTPsVqRSFuJWz89LC
BjQR4sHoJsF4bFHCavTBT1uOKEqEWrCbYAizdf9ptubaFRDEAJFai2+eeR5nY16JJGfBFr2MUOIt
Ybu/r6+sC48z4EHgO+fPZQYo0y52jTv4Pa0MMLsbho25LUAxFCiM5oD03FYOhNRe5ZrM2KWFdhpy
MbJCA9rXylqRyKPVbsbm5vqQ1n5+8XVGPMSp6WPiWPY4qHuYpf/97wOjPise44wGWuB8jXV+axqg
v/Kk84cwnxsSa4LKl7b7bJRlA3WLL7NsxPdQNMqA7eZJXr6YmRsT8b0mX/9hFHP7bQYgYh0vNqOq
PGk7TsUTFiJNj+xurYZ1cRAuGmTowKFJtrxmhjFlUBLXRVKbKLnvq2A7NLt/GMNJiEUOw3vXM0pu
iGRgByFvhr/LUXFezV09VCzwvxkzvpiiTuiVX/YuT4KhPXQDO7rsCZi6vx2DARttmMogmUcndHnn
TyA9GM0wTUk3HNDKR3Xn+u9/PhHx+x/q48iAbQgGnK9WY5QV58AsJjb0t4T7h6NHkqtDaosNsclK
0/ViMA/XYwBKFcoR87+fHL8+TG0LPaunJDCafS2PAVhqUi9CfXBCnf3DzM1uGbgPkSiDknwerAO4
NcBRL5PsvbNufH9l4i6cjMAWA+Q8G/Vgm/iL3zeV1ZCq16YE/bAHy+SQVPK7CLIgT2BmQ0a2D17s
qnrWRHYYrPHl+mf7vHtQkDVmb1o0wNAfXxxik+gzm1ucJ9wwX0mnfwFB5rfF0pVBfj4rz8IscVy2
2yvwe0aejLX3R5dQVUKl6PpI5k14fiUjBOyOUM8GaxwFufPPVBlUDDCO4Ummvg+Wv0XNA8oiLIaI
SvwPkVDuQK6Omsonu/WM+Uwz/I4nlSVvPSqySDg0ynukgmRiKwzkJYprPh1mrKKLHr8e4C6Yv+DJ
Wk+DtKOWN7Gka8d2i0hjpNe0fxyNzLsNRnPacFeP7OoeGOAy7P0mO5Su06Hb2lfPEka8m9wsgrDr
XLVpuWuHqRDD/vqMXNiPZ3/j/G1O/kZbtQZphGBJT/RNlUPvl4zNQUErxzaaN1l3m+vxLn1rMOlQ
4IEO0Cwheh4P5T9foEnLkoyabWhm2o1JxQakxONAVjWH5pNrubCgboR6+2ybC+HX82A9dxqdth1L
DPO3Gn8X2lfPehHywYDAboN68kGvtL3To3pOf03Wyvv20syeBp831snM9qamBTmnLGENQ9PMHN+p
N75MlR5EqnFvLLHGI10aI32sNw9mh6j1orIEu+DziFM1e8tZjCVEb9jcfjRuqFXA+NhEjaCeeHnb
Eau85ybUIYreyaKgB3TK6Q0e4e5xVr70pfMJpRXk2ro9lxYXu3qgpCYiV0PSj2BGsE67rwT5PeVr
uLdLK+o0ziJXhAMzSl86Go8NPRq8jDWiRSXJo6H5Sz35/+YX+TxSlbmJtOwh+Rnp/DTtgczNtewH
xGJYWFVl/uv6Drk4b+gMAGPp4qm/BJC5gqnJlcaQDAF9kI288bppU7B8RTtqifT+GI2PbsB86QND
t2TpsH6wcmJa6LkooTbB2KhNagCLlA6aFTbI+uMMYIgoszryRTSk3kjbUzHwLAa4BJ0TUtOAclGD
pKTm+l/CJuc/DsJFAGCgJgBbuuWVAPDwNMiiYkkDGRH0SEIrO2jmQThv1yf7wu0GJBNeNhCFtnTU
oc63DHPQAi8E4gj9bap/G32zcrddyhHOIixyBAlidDmSGqDEaduB++XBvlsUNcC7z70Bnsj4ird7
6Joquj6yC8fPWdzF2VfX6NDXLuKy7pXaWeQzaGDcsOqpTF//PhJkL2aRW+R1n4/0tGkCNh90TvUO
b498SkTzm+ENr56uB7r0sU4CLYl53ExtqGNy3FUmfLHv1myi1n5+sRYCneWlnWIcE2AgdiCAhVir
d11cDadDWKwGND3q2tLmS6FLJO52r03BFay29fCqzCbGSokqo9xKb2XqLhwqIBRgOwU4uT7rfppO
qsHRO2fQ4a3lhrf2sJnVKe4yC84p17/SpVAQe3FmSASMhpbtTdDlSdAaqEwHQXXn5fZNnt71zsrl
uhZkMY9NPZow7R5Zkg4KLjJvzHsvQIu6PpJLW+h0JIst5HoM1HwfuVHu77MZZeHe2OaLY32xg/j/
L9K8NE9yBQrV0qEjGI7K48KL8NJmTpSxYzmsnPqX1vjpkOZ5PQkkLAVMra7Q8k7lrZ45T15l/bg+
lgv3MeTz/vf9538/CTER+BNbGmbNxVsoa34UlhGZAOWtqXNcHIrnof6BEj8CLvILc6BeTgm2UlVK
55C5jh5Pmmo310dzaQ2gfAfiIpDIczvofDR1BeKNW8z5KqmDJ9Gjm9NXegs0luXHQ9HQwyBU/3Y9
6KUpPA26WN35WOZT2mALGeQOCJXcAujiTmterke5MDTwjDxUqYFJga3kIhXv88rP4O/Ik0K26tFU
dLrRSevvfehFxcKXw2MZ8DV206Uk1UNeAwQEKKeY08WmEjp2kjSwPJT26LL33nNv+2LcwAUqAuNs
R10RO/kxzctjmk5xr1beOxcODsixo90ANWlcVstV0/IAwOBy6BNmNeGY2bBZezXXWLsXZhZB8B9u
RRv0qsUY4cmg05rWfZIbwaHIAJHr+js+waCPHDqxmmLMa3DxzIGQwAfIHDwA9BvP16hdjENdZWWf
9HX56JBUD82yh0Fo9e6wGdpeVUWYCfulFn3Yu3k01bTcXl9LFzbjXIMABwG9L/sTMU+QPO1lHVA0
s8vvAf1WjHyNbjnn8Z9G+b8QS/oBHigQh2IeTSrjBnXVYyldGPU8m6oMO3d4su1/WClwzJg/IbR5
YGp7PqsWAaM0s22aFE337vLpRXD2rE1I365P3YXNjr2H30caPgMxFl+PT47Zq8GliVHaeKUda/6F
D49u8e16mEtfCNUVpLlAPaBivDiWRQB2kJf1NEkfB+for3kLXxoF3nhz+gcIyaclLxs+4ktQzJa2
GemtEO/MAyx85TS+sHsBZAB4Dq9KMCSXFRXw1TtdAhaX1MQ5MI1FisMLqJpWwlxYarOmyQzRAiAG
LsPnnx5Q6qqhJNPRTJt+d7n9LR2CXwP37+paS0OJuk5o4J+i61/oc9S5TY2mEYBw3meYVuENgZw6
qScOdJFjxZUfU1ML3cyGP0SVRTIFFdqQa9W3zwtjDosCPGoyBlDQM0bi5L4mkxqp1hA96YzYfhHG
7vqoPibrfN+e//7iBsXDEvd3h9+HHCgJISMMJ3rY2MZ8Igm8ADdVbe/4OPw0i/YrXjTvfa+2nYYi
jaGaSCMsjZXhbCfpJ4prYZCbkBuzH8rUuin96bETAfaKyY5EURHrFn+BsvOXKcsiM+t2rS82hkmf
q6YDcEqAFpdNmxR1uAE4fou7rz106fHWLtBLH16b3r2pRidyNSsyBuO2EmKHm3OlAr4EneBtC1LJ
rO2N0iBOymVfJWhcv3SrERPe5dW9qnx+GFtmHpvJEDdZbhpPsP0sRAhiQXsf2PpPTRv6Z5lVgRu6
fJe6R/V9zHlHYq3wq2OQuk3sdv7PvutRMx24XNkNnxfIx585K9176NQsy0qazVsPkFD3KH0wbb5m
8fUFAs32Tye7ixYQoImoyYJL783X6ckK9Gglc9ky59j4bh3Rwt84pfzKuIosY9zAwqUIDZrFNEUP
tbG2YBkenN6CciRt9tCxfAfVIWTTAGhynz5qnr+f7PKmafo9fi5uYTaiV20EOQSkbnKAPiP0kBq/
4rGc8ADv/exeH4bqADohfGGI/duU/m3Wmuhwm/0D77K7mgSPtO2z26ntjzxvUTUu6MZtwRspi11p
Sf4nsygQ7WnJ4h6G1GHnQai4Scfd1PlvTTmUgBNNST41Y1gZbKMZ5Nack4/ColY45rDO5YFie1rA
a6webTMUPhk3EyzF46KqYtPT/vhdGU2g5/hFA9pOC/tLjYaegPQMlIyKsJLFsE1RL6ZhmpNvk+/e
iWZ4K5wgHht/b3f03jHY0SnL2LLyp2HI91Oq7+0huE0hoF+U7ACh4jdwrPe57d6APwSJXh4rpuJq
JFvDNY/1xG7Kln7x0n6vnOxO5WTbojalhm9ta8QjczbC045wlsG5PAYbZ+xg/ClvWul9Mdz0ieQC
feOg1+NKuXdZr6MKScd3u9HfWmuMUS9N3Nrc0DEAwYUkTTXm+1oTQJ7708bMsRJ8c5MXzg9YXh30
bOBRE5RZ1KggCydJ8m1rZAUoCUWirBIVx7F8KiYWW4P9Q2scb2vDeygGVh8yLWPz3cq8/kCLcudy
mLqhnuV2YP9YMq44sXdOVu9trwa5AwKbEWhaACP76XtZ5P2B9IERe1QHgsQbYx947xC0szziWfd9
GiAY5qbOCp71whaE7BmAylA/Q7FuSSSsm9YYWSWco60F3422fcvFyib/aBedH9PuaYiPysXJJsRL
hgxs4s5RD5iepLaZQfJwNN+k1jYyAkcNZ5NjxYa+TVHAlvG96M29XpT6pq//WLq/a6COq0HtePpN
aTxgUR1bztAVtaib1HoP/o4bN5YUG3h+qxhK8eq1Kg12V8FRZuXO+ZyMoLDpAKBi4azFY2NREi7S
XAc0wpiOrttFbEoY3KX67tnP8pVZ+3xynQdaPKGAl3a8wVJI2tRNq/1GZyz/+0rHaQjApM4PR+6M
QsMTejoWsE0ov3R0S4e/Lqach1jc0F0DzmE3T1dVbxTcJrXv+lp66C+Qlrj0sLxQMtfxYJ9JK4uZ
Al2lSwEJdo5u7zXASat+Z/r8uQGm08itKAAlyQp4FStdjdvAKMyt2akh7nXtp8nkprN4nFZ5vcng
Oq6EgJ5M4M6X415o1ZPmNl/51McgqY17NRGCEzbL78oB7tZyGuimY2A3Voq+TPC+3rtaGfWp9k2n
3eOo6SCBj0+1sh412UD5zb4rxrE6Tqao4ccmn9yg2Qhu70xcALyzv6YV+R7U+RvJaicEx8qIjL5H
0hBM700pvjvGcGfq3VHaRlyI7uiRbp+NKqrywAp9aNvIofiO5g1SGce5K9Dc28osa8HgNO8GqExX
zP6iSwd3GY1sYUV632/tXKDQBexYLoxbbM2bolTPBrGccCyDOxRmn69fyZ/fr/hYAALAMQ0o0E/V
95z4oDEVwj06g8hwmdEu7Lh84mbx1OpamLruyhvoc+o7Q8/Ro3PQpgNpflHwqGTV1qJSxjFQDRRX
8txPD7KZhuexCuBHCn4xdlYuh2PDZLu9Plh3/vHzkw9ntAsWPQo8FzCVvon2hcfT8ZhDqu2OWj19
8eqh3vOBWpFAdWkHTl3+gp6mNtt5uD8IgFcHAHwgPZrp1gGmB/1sQOq/gr/r3PXFUMGwuiN26Hg5
SD4TLboQjLziWTZk2lSZ86PtzeyZy7arIrNj2cNU6uIJL3xn45AMIg1oweivZmfpP1kK3UNbDLiG
sQ+gVqyAyITq37dUd4Zt0HrBi5+aOICk1qDMRsc7T7H0zmaduKV+Xhw1raAxSszDjTQgQSx4OkCT
wChuOZug9mVW3gMT6f+RdqU9kuLK9hchAWYxXyG32pOqrt6+oO7qbsxiMPvy69+h7tNMphOlVT1X
c+8dqSQibYftcMSJc6ZPUeQMr30hcGIjDv5tmA36peGZQYJ+2civmKNxUPg7cZBGfQ0m0ZHswQ6t
yrku54C0GDggkBfC2Q2CH7lqmKXWgFcy7R9I036tTbat7D6gFdkUOCW4Xe3mIXpOlLzGKw4Iitfl
4aqD1uTiYUkbV6OJmQwPJUA8XfKnTF5Ze5MzlBHRBFHaPxQ+dzlKPJHhb8go4kErVxLxXqE97aYJ
98a26556fgMKdEt1rl9GDSgFLx0waHDFySuDxCq3r0RMi+khrcKpePo4/BCQFxsiVRaE0LF7pMTF
AAnxttJxbXBv4NAutjTf6OIvugO5m49PF64otDGgqA14tXRBgYuVu2NMxgdjfKHmDk43uneDCo62
EjUATvevFekQglcYYlj2kksSH9qI+5x8a5e0v/16fTgrUcOZIWnitAp0uaUOQ3r5Bw8IkGXq+pf/
ZmJxjZNobjTpaGcmTGReEI8PjRVog6L19fKSwPIvT9gF9H7ZgdpmVmS0fJmuBscbFCTZj6oNGiAN
ko+Hc2hOsmEHqWrzgt5JGGM3t6XRP2S22/9KuD7vMwhFPSUpMbegYQHe/vrsrXjC0g2FCjTeTrgJ
l6GfzF5elrXVCad/AE8n2ruzg4VhFUAuRKNKenxlFgEeA27bREraNujyU05M6fZsTRw33UPfOObN
3CXzvhCi+sWZN76QVk8DdxzQL3p9gCsnA3pHlmwdIEo4ZKUBkmjMukrL+wfbqqttPen6rncnTbFu
K35uA3sJ/dOlpfOC49gmdQeGTtE/GEM9HatxypDPiY3t1BEVNOMdNyTdG6g4LvLhSNgBTSbFl5lu
xGjSyfoHNvfpY8+t0jdAjfPUOVVzZGImb9nUzg+ua8eP9TxrP1KWJRAUdgbAzXjxrZ1pchvh1t6K
iM1B0QKDpuVd+uz1Hp7jpREhkQQxF1LMs+9w2+yCuOX5Nof+hT/mDBwZYwsG8qqsdmOf081Qz/E9
LvwuEF6r+7g4hwMbm7dWWD3Qjhr2TFdW22ks96M+4rXZCxAckwKkj7in/ckZtzUD199AswRRyBj7
wPsFIrXjnTXaqF3krneTkBYn78zMjVlp9k1XQOLGSa38C3qKfxtja//2xtkJGtG229YyulvTGKJt
wtpqnxZV9qQXHXjlOtRKfgMFrz3ktDVznxgpeEacuhnCNo2GQpHnXHMLuAQInR1gQC/ySYLH5qyj
u+TBavXoYSjL5nsGepd7oy0nRa5tJZpAWh0pNgDXXeRxJT+f60gQ1mfDQ6N1xW52bPqURX30VGmQ
hgRTE9lGbZnfu2Ye/cYzlP3FSBcKWjDuAhuBatP55s6aTAPyth4eqDG91R36vJ0U2lJxrgKcr5wi
Zw9eaZydkTMCrqHxgUU+enZpvKF9OKVPvUrL+uJkJPAFBCzAnaIHBDHa+YjyMQVzp5ZmYaxrBuQJ
u2eDT6CLyH9YAJpdP6Qu/OTdlm2iVRpvgwtYKC2Y20HbNQuBr3wAFv1TYvGNS4pf181czJ1kRkoW
ZCOdQH5bZqHtRD6LTbBWIwkZa9ssA5GWt7tuTTUo6ZwCaYs2giA2C4VjbBhyUYKhUcf5/l+sXCYN
0NfO85JnodbfUfCE1k+livni+kCAiDv3BHT2/r8Jtz6Yw775Zapu4YuY/GxhEL+eWxA1r0GZg4WB
1Of9yIxvnFbIG9khMaInNx5eGtNUzNu6e6MwDA43xJrvmeqT29hhQPil3piFNWC3EC0qd8xB7/j+
+upc3L7LwEB1sFCYI6KRA2dCnEGjlZ6FnvY1O9Lyy/XPrw4CnRmIXECDjBv+fN6ixu68koks7IUJ
ChJ0VsS6fRi7aU/r4ua/2ZLWaCxayp2pyUKXoE38gC430M1XswJJvbpFT0YknaMVo2LKOUbkRl6K
p+i4aWvrvp/pDajo7npw0inio9UpRIs4wSMUSpAySoDj+T7poIULGXqbs5CLKahdDRhxxf206gnQ
UIDDIc+C+OV8qdDh2DpmxfOQjjdGcsg/ev8sjobOBzwyAQvAI+38827mzFXO6OLOP3TtmYi3Pv38
Fw4AQAfeAiAruiDBjoRoujzBCFrwH9s3ae73/IDC3XUrq/MEJXmQOiBeRSHqfCBlTPI+Xtaj5fFv
jqJhqdlv102sLjkw4khU0oWcQ/JkLUq8BNKmeZiBYhrgK0R5hs9UL9mVM21JhYI6fkGGQO7nfCB5
YUa61kVpaHTVDUZr+lPb1n4FWcJmpA9uoX2e0lnF43MRBqEj9NTqMvaTY60s89xx4zgLLbt/LKPk
FodHYNndS1PMf8xR+6GJbleyQVG1WLkigKhF75KDdldk16TBFgK5a7AMZyGld7XI/Ca+cyCQcH3d
Vo04NroJkOZYQsrzscUjAg9OzSysyH6eHzXvMVG9P1e8z0JqGsVneB+yNtLxI9ouLwTaksM8D5oA
RFvXR6D6vLRLodklMjPC5+fEn+LbSqWUvvb9/2U3DcBZwBZwPkNtz6a8sAANagkKoEGhyAOoPi/F
T50ADmN08PmYb/P0dXRVag4rO9MCX84itYB89EWvY0zNyPRSKwmBO/Ip5F8akx0mQKjHalY406op
d7makdiwkP4+n6qEj6IywY8WuhbzqwKPf/OPjqfXqBRIXTsI0BSBfYHQFkURKQ6MshTs+6xLws4u
Q5I7B1DMBRm43HxLaP+rKw/N5+uOtrZVsLPfYQdL7kbaj3NOeryfRRKaaQ4GdfNuaOrXAX3D182s
OcQCZnINBB+XugiGWQpqJWkSzlUYz4/k49tl6aoFknnxhYusQj8npig6cwzNeke/Je32+q+XCWKw
6shqnXxfOlA4HSq30uYxxIM6s+2dsB5HUPXV1Df4be99iuuvM08CqA1cN7wS5KCNBUxrSHFBs0R+
LHJgm4Y0I0PIUd2yh7ec3HHtBr3PIlYEbSu+h6ztQpAHFNUlAZXLe1LocTyEcxlq3d2Uoo9j/g6w
QzV90aHkfH1cK14Ha+BewwmNaErOzBBocE69RvqQe+xBS51jU9ivSasqYK94HXwaNRK8TZHUku/v
sbJnW+vbHod0j0b4z16nCEJVBqSzwfNac6pQCQrRL9aVO2tWrP/KPJ0NYLF/ckk3qL/b1vJ9yn/G
2mbUQT7z6/pSrCz8mQnpAEgjkLi54CzFED7pQ7IReYuj5tHR8y34S0WhK4a04tJn9qS4A9yVbLCd
scdDBxkts0DZd/LxC3ZZe6ypwtgyP2cZQCBuFx0tFzEHMLByaiLxuiEvDdGHaf1i743+08fn7vTz
0quq63Qr4i4+P+U+AAtpu/HQGQ/FK7av+NfrttZcAengd3kh/J98UMeezRtalX1IwIzSQuBk/oyc
mWJfrtx11HnXZ1pgjkDvnvsbMoQWqEjMLgQuoy9RZLRsZAIBb6TD/vpw1lYGjxCQZOJqvVSa0GiW
oiIedyEDP0Vivc2Ke03xfXnlRQH5nDHOu7A9NsYm+zBrDBzr5OcTaaIGtMxkYFDsQmLfJOndPN42
H1S9Xe4cDwE6olfITKIAKYVoTTOCHTjO2zAxbnG35ORQgvW8Uaz4ZUPyuxnPAZ3H0pEsIw+nLOeG
wc02pMhBp8MIjbuvRfQT7IND/prV/md26B3fPbLfGg0Y+I2NwI4P153h0u3wjkPyFwIzJjWRGz13
O9F4AMXPrA0t/IYcLNUMALIfZfnhqBRsCfrCv0GA3sbBcG4GvwEEqbHXYLu6YNdEju2DLOtYs3ML
kluMpiihCgMLYJlNW6gJbK5P1KVXL+RtBFoYJprVL6peWuFWpQ69pjD5DGjRWP64/vnLMwafx9y8
+8JlEGBWed0LPW0RDB6sJCghFtx/dN/j0Ql25QXtujQEyVmUPm2nyEad6ejsvR4Q216V9r6YosWA
hwcmSMRQQZPPSRHFup5bWXTM7wHKxP3ywSmSPi+5alUVfOptfB5NFEbX+Kn2K7YVsZhqCPLO7xJA
M6I0OkYdQSt25oMW+voo1iyg/oBNv/T4XKyCR5pYI3HnHcvpB7isOVMxKl14Eqbp1MASdZwELk7p
udz0Wu8Y1aW+qxuAmdBPZd0LAD0Us7VmCqekC8ZlAIax+OemCqKNYO4pPZATPBgAZlZGHgyTIm2x
NmFQNkDFEqQoOKmkZZ9QnrHiSmjHxAXvGchjyru80FTMNGtDQXoWGiY2RnLBrtNzSFkPYxWHtBtD
y4vv3IHsQce7ub76a2aWQjY4QmAMR9b5jCUe0uhDAjJ/JAOPXj88pjpo7JWiVRenOnwABmwbtWSC
zqrlZ5z4gDCFq6GxNToSyJ3TYgAbevIIRAUgiyrypmVHnMV5MIXGMVR5oe0I1m3J3fI6t6I+8+Kw
AKntS+7lf8oeeKBqhIoPZUv7WOTRv9hDpzal1zqZjYkPPWPhxmreSPN2fY3WHA4JWpzFwL+7FzzE
1lBNQGTVcZhOI916vets5riIttetrC0RxGZxJ3rombyQOwGmcspalL9Dz/zTTD8m8V3o38fi54et
IIWKNi1sUCAL5G6mfLK7tKU5C6mLCnwUtK3pW3a5aVNVrmZZZ8kPziwts3rickBKZKOupyxs0GDs
1jzsQYvto5H2Z2Enu9R0X7gwf/3F6EwUcpG1MS+BIUOSOuYUwfcmE8A4JLvBf6ZPD4mbKBzusk1y
yZyeWJK8XNDZaMzajcN2zMwN8UDDmxJHbBtLs18SzRz8ZkJHAJih5iCFauRdKWbIgOQVgfBZAq3V
vxi4DYFftJBT7ATpGAHPfcGZDrq00rODqnjW5sIn1jfi/bluZ+W4gigtSCctUIKhaC5dhxCsMI3R
buMQDQNxQBJu7E2vA8hfoL3huqllz174z4kpaYZbqG97vZjicJ76ozZNBRQnc3RatZGf19CE4Z4/
zwOY1VTEp6uOC41S4MlwWF60a/JUTOZgaRr49Hnsz4n4gxz6ktx8Ag39Z0hzfadR/WHi0MWfgIdG
6R5Io4sGTRDIo2feEnGIlpM9H8QWTESbyOUfP2RgBukzvC9ARCPDN0VJuFU5LA7zcUJBaGqMxwy4
021XTVOQ8YQqQsy1RVzKnKgwmIgDTckvSwM0Og6aUXDceM0txyN056DB+LHvHjRoaVTbwhCoGFZj
f7juPWuOigtogSsvfJiy5GDRz4XJciMOSRHtGahK/AosTVA1Vkzouh3kAN7NQGLi/JSLaDYgiMaJ
Y9o7FG/q7merGsrKxYCB/Gti+fvJQbrAcR0ri1lY1QATxW+N++DZ95n36fqMrdxyZ2akrd0iB6GN
QsNSMa0BZCr7AWCO4thcnS1ARd5XxCYy90RO9QHdQhSnJm23s/tQz/aWdypYz+pITqxIGeIKjVHd
ZGBNSAlcWzbX+U1BLdWRqxqL5NpoIp9FP0UYS+xl/kTALV3iyQyaLIUrrw8H+sw43VHqlhO0Vt/H
SJ4u6z964aAjdwaekOtrvzYWiJWgu890IHggR6EVCqszaHCiI0Wk6BtNwbdsmJ7cEaK21y2tDQZw
VFTUl7FcYJ4dVwD07hZ4EsbshVsOGjpMxZmzOhhAysAZjqrgRUjNOpw3WltGR15P3qaxpl8DmeI7
D1AIBTxgbWficbCwpeH1dgFDyKLKKkzBomPT5BDlMWt7jx63ALGoCJxcyWe4NjBEEkC9UtQgLgDd
9ZhDxrnG4V2Pu5ZXvuNAjeTD9dolPXtiZFnAk9NmtrSWTNVyQ3h+5jxm9UPWK272tXFAOGthIlgq
RPIlRMYSCmBGgjMz2jo/omxn/77uZCoDUugw4aUFZGMch11WmAGP0MRkjc7o211Bt//NlPTyACg3
s6MSY9FxWLr53rJ/6+XNX9jAvoQWAYhULlRd+VDYZlkhIGG4rdGZ2oTNX6Q5lnjnHxPSHSN6YvNZ
ONox8nSoWyHfFCvKM2t75dSCdL04cW2Y8YhBzNluHAzo94ltERUBGRXH5VrIcWpIWvyZzrNpVlh8
DhWt7Fb0j15+2xDfon6S45+/ONDQj4IQEERtBPDm8/1SEIris4Zxcb+swBA1qjIEayfmgphGiIEz
DcSY5wbMSKvnampgoPxliDdVNXhtr+DUB4v8kn+6iAiHzu4tXMPIDAhtE83mY96+lpCIv+7Cy6TL
wTwaPlG6RWIZzxRpEB1WvE2SAjF1IXjvR7nu7GOXNME0aQ38gU37POmH2hcD5R/lVMKJBvwJzkzE
oYuOyvkE2pmet4aTa0cL7YazUfp2qnC51TnEyx3c2yaQzHKwmaW46YY6047CdXgItevoNk9LcuBN
lCvOzrVtBEJ+wB+hVrwomp0PxmkTUfRi1o72aG8G/auFhEqSfcP+VazYqttRZHCAs/DAvSetWNOW
M61SuB1hWxfirir0sOr70r5p+pnVPG61oxffQ9TDrV6ve5zq+9J5Q4SNGMBdts0ABS4wydNv1w0Y
qz59MkPSQVNHjdc2i4WEBgb3jcRPP2tvaFN9M97/22uQ6vLrP0T4aBABH4ZKv3bV7dBxQxAKgEX5
HSlxclWDXWIi6LzEod1tWR6g98VQ4clXTCD5SYFGQPoQve1SQheyOiNoBxg9Tp250SDYCWWep3L4
dX0ql7WQToczK1LAPhSor02W5h5LRj5zj+/KMT4mHmoeMR9+gz9J4dur9hB3AHO5UA3L7fqV7kZt
DdWmYwSpUa8rD3af+QVyVcFYkxuzRaX1+gBXnBEPYBvFQx1sRfjP+a610clQMFbTo5sOPyaPb/Sp
+nLdxNpKATACHB8CayD6pFMubqykA1uwe2znR5O9kOnJbhXo67VpW/o+EVQDmHKBvoK0PIhvitQ7
OlqZ+kVuPGqsGf3O4l9sFx3AxEoVkc97tVH2jFOTy8SeuHhjkiqCFJsH0fRhD7IZiPqWW8bp4wAQ
psHinZbSPUvbz13fPOnzuB1E/uxM6C038xub1TeTUL0uLzkiQRCJMg3YkSEkfkn20IxsJl6M9wX0
oV6EloQDz7Zpz2/baN6MvfhtxPhxVQFNRkYUO2XlzAH5EOJmcKMheJZvmhGmIiAsvCPp8hbkN1EL
qpxc7FkdC3C0VeW9YOnPNPdULESXsKtl1PiyiSiBgitbunggNQQ62EjzjkbRWfczkpiHseH6Q4LG
pvu+stN9OWbsvqtH8czHWt+2QLrdGLz9fd3PL4vkyw+hSCUhrQSeXxlQOjpu0iY1qn5OQmyQ/TXg
iAOJ/D0awY1D4mZQWqjyzHeGqHuqG1bfFzX48oqqtj5BEKXcxGVaBJEYqz3eQfHos1qrHkBWmX29
/kNXl+rkd0obsjMEIUMSeUegO1jAIJ7jlwixX9tpiALROmw/NLq98VipWqu1o+B0hqRNY1QDMgZd
Eh0hpb2h7DZ3pg2UGq8PbyUQOVuG5Uec7MyRDZGTjzDCwfUA3he6K/tgdhWvhuWnXux/ONYCFEAY
J+c+MtfutIHF3rEm1s7r692YqFKi67P1jwkZnTIA+FIg9qXHYc4+cwC80ZcYDoMyBF6zA8EZ5D4g
zYOCrDRhxUA1x2mZd+zj57hB0nO0dnH3+/qqrM0Xzn9CMFsoBMjlndTsrHw2cF4WKQoAaC4evefr
FtbW/dSC5FzO3OhmlMFCOYPm71A5P/kbIYr7cm3vOAQ89OBLBBuJTGnlekVh17lHj3rpBnUJAAdo
dbpfswkRdlYGbrK9PqjVtUGqCE1MEJozZE7v1LOiKB1075hDbGXr5L1AsFN7NwwNB4r34vsSyC4N
PPw/tszzjcORnRK1MXjH0aK/bQZGi8Z5sLzpoeQQgWd2ODTJDycy/aHUDw34oabePI4QKr4+5NV1
BOcw8JjO0hqy/P1k//YQ252aaYKnoNu39i2wlbxlNdrp0ZnE32a0mCrucpVBKQZK09qaPXuG47zO
JIe0+o9E96vD9VG9hzkXswtGbpQbHPiOTMdTxGD3SJPMOzadO9ygi+PzLEwD3Hxj/tBnebnVm2za
1JVjvzpRTm5yPqNpcc5F0KNT4ZiwvtjMCYX08My7vSWqeteQrg/swhsCDwjQ3ZCxaFP2lQklYkBN
UX9gikGsxVkIL5Aex2PZuOBbS1ttauvZjY4ZSffEOdj2wdbRBo7ejLz/i2P81NayE0/cwBiSCh0C
HjA0pSueqZFHh26K2S/KyjYQfRUpdvbaAQXhLST/8H5FT5IURmhlb6SJyaPjOOyM7yL7ODbkHcGI
lz4ACLYcH9mayAuopSKRnd05RyM7XnevtbIvmPiBoFhw+qjUS+8h2oxGL7gVHbUknl6css3uJ5em
6KpzrYDU7Ec/g/9Pm2z3SN2C/pw0HTRqXDf60OWp+zeTCYpgKNwgdY+3zPnitXFUzNWStidso9sB
tO6vD3ftGEawjw41EK0CiiqFMDMt09auGBKPWvm9iobPhSi2bTn6jYvOxZqLP2BC/BubqC2jJxsV
pws4utubRStaOOSg3bN601lfRMUDrce78EelM0UGf+3gh3L6QluCvI0rv28FqhyxG2Grkfk4m28p
EgXoVVIMadXnT4xIJ75eOlrS2DQ66m3ml4z7qpz9mgFQUmFLISu0QK/O/aBIh5Z0IGE6TluD3NBS
MUmqzy9/PzkjOqMTiImwqdhI/tDEfUJFbXPd09bW4XQEy99PTFTDkEY8honJePLAFj7srU6xd1Wj
kC4818vYLAxMUvOo9y81U3xeNQLpeos7kqSuG+Ng0/XbuIm+z4X+CDUYRTJTZUY6r1lUNDZYn6Jj
Uuwjsom6ADqMf7EWOFFQoTGAA5TLM15TkCLuXe840Q3VDj1FDU0RC6yuxYkJaRQFeirbpoEJhlcQ
AUpGMYS1WAOlJVwwHtjVUGI6dyeeOek49j0OEX0fxcj+7+r5e6UizVu1ApF4dE8Cd4NI6twKSblX
uHqFy6AL2BO3/OaFqxTsVt/dwFL+Y0S6MDuchT1QgtGxLopHZgkQOZEHkBu/IHZu/Yoixu9m/rub
x03cNUEujOfr7rAWjZz8APmSGZdEalvjB/ACSZ+4uhsL+34oyEsejxv06v5FXR0UFqDLQIkY7JAy
oiLNmjFzQMV9BOsveuI1sMxqCvdYdT8C4hEYQvbPW/5+ctpkHto3yhhP85q5u9xGP5KjEoBcuzrR
O4gEEa4XwIgkD5zNBGAKvNCOdeLkyEik5HWh/t7pbmvcxh3o3pAtTDd9hfbb6+u1OIQcAWPmcKfh
/QTOG8kyyd2UM4pzrujTr6i6hVZKNmJE91hWbqG2bAaaO/tFkypOptXdAGI48J9CChGQ7/NJbcCz
SdxuRmU/m/pDrhGECYir96Oj6aBzbOrd9XGu2kMj3qKyCQYXWT7dABsqQkmk4RLILyR/mPeYx59q
8Xrdypr3gx0JVRBECIsG+fmoXISreT6Y9AjU29ZA6DOUT0P5mlZI+BuK4FVhS85E9Ei/p1pKkJbu
fubx62D6ApkiCLkO1bfro1rbACejkr3TjPXB6QdY6s2NQQOV5Jfq8+b5pGVD7WgtnvXHlP4Yqq8f
7jBFBhByAnjc4YZChCidu1qWI0sZOcjYZH6c+b2KxX795//7fWnNe7A7zqaG7xvF16jgfpKqil9r
t/i/I0A66HyCYoPGwyAoPTrlI3H2drTVo5vrS7x6cZzakM6BenQJ3pFLDkWPb8rM2JhJe4tn02tT
as/UG+4Miz8bWe9sytb8qhcqKoVlluRz6NS+5AR1Q1B2xc15hHQOBGpf+bz3atfv+0dRMZ8N4TD9
uj7k92v9wiQy8ujJQ3oYGbDzaY1wGiRtkdOjpldJvxc1Wufick6euzqyfnl4dj4ZaY/ksAAF8UPr
TvO+qaP0wWRZ58eCfe2nITugIaB6cpDH3vYinZ84g84Jy9mXEoSye610amRqhlHRD7VymqHGCnnw
hQoSN4bk05x2ljNFFp6NAxJe/HFb4n9cFf5uxbNROF46NJYG5ou8mj6lxOiZ4R6hdBl/pbmiQLTi
1sjKoxbpYSjYnVIMPNfOBGIWVAtFLF7sJPkx2XrjNzo/XF/olWGA1fLfdV7+fnJ/102Jjrw5pUcb
1PzC71SaqqsHMVrXkbtBTyQyMOff7yuvrmI3Xr5f7VCb3A8R8edyb/FyA5Krv4hGwKn7jzVp6fGE
BsSjz+gx47dpdgNWq7+YLbBjGEvTP9ZlWbWT2WIlqYw+L+ix8shNVDevPaFv102seC9KxP+aWP5+
YqKBgGVduQk9WpDe0PM3JLYCK7prx0/X7aw4GGQI4MAAkoC7QC7cxl1aMrvCUFAsToPcsbV9nRbj
Vnharjg/V30AjQRQ6oQDoJ3lfEgpwTWAwhE9mqJ5EB3fIRlyCx2d53nKb/rxw5xTy51GwTa3YFQs
yC2cm4s1jeQMZI3I9N7UqVIIezXrDDZbiEQ4qOZfMNraWq3bSVsjHu2m7PeEcm1QutzL/VEftL3R
eubtjDLIDIAxHLBCt+uhyIAz8avUmHzWCM0HyY+uiHhW1xNo4IWCb9GvkDZyrpWN0zuoKM+mtYva
ceeITa09X3ea1dPCA70gaIuXNkTpItTcOG3SJveOLu38x1aoBIJWvo8bfAHJIG2FplkpXOBW21d6
jWBK/54C86PiHVi7yEFzBapgnKs20sKSa4iyMBtj9nA1GOOTDT1TAp49J083NNE+MUiA+y6H1IXb
P1cFuS9nFbHCWsEb0C0wrqKsZLog2Tn3TRPslpUoHcAzHOq75IHkadC0LxlfYM/9rrLbgBVuoLvh
9YVbOVXO7EoRxGyOsdAgbX8s3emnV05fhUEPowXqp3YRkLhu7FL2xUKzAC5H6IItgqPyMSmymMdG
7hZhBFzBhvKE7cWUYJskzqT5YzSh1z8r6bbq9G9pn3EccE6oszTfLJh23ygK7aZqDLbhBX2Bo2Qb
0sWQu+Vze9fH3asL9gPFb15JR5//ZuncNUze2Aa3i1BYYl902hevZXdRZXyBysauJn1Q1JPvWeOB
cvs+jUqkCkzFOXnp/ec/QborIbaUQb4B06bP3zTtlqAt6PrCqAxI16Pds1Fnyxi7zzZaxTPF5y+P
IPx+1Ax0tHHj3+SKKdpyeSugpR0u6E17fhD8uYOdvxjDiZFljCf3Y53SvE10GEl5MDkBmzbXv68a
hHRZJaUom3wZhEUhPrNBa4+ZKubp8j48nyfJ1cpuohQl0iLkw/e0u7Hem4buLVbuTE31fly5rc6N
SU4FxmjcljXBeKbvjXYX2QLFjc/FCPUdoFO9J90ud431p9fdHVSp0nh3fTovD55z85LLQdfJyvUI
5gcb590hT0EyuJkHRVp91QriZdz8qFShBHHuFGBDiap8oEU4o3fQDAyxxyvEdrfXx7LqGgRBBagr
UMaRY3JAdmITsjFF2PCtaey8alc2ilt8dYeemJCma55LanXUKULmvmb9N89VfH9tooA+hNA09M8Q
KkgXLMtEUzGjKUM7ebLGPQnmEWGfogVmzb/BQ4FiF4AT0ASSVsNj0JMDMxeOUvrUz3cRGkjT8jNS
SmPPFVtpmY/zZ6qBUAxhD0o2aC6Xl8TqTFJYmVeG7uj5cRmDS+hTPNw201vZHriteJS9//ILc4iV
od4FGdGLns1qTrI5tuDNedT2wEUJsw9S4CsO+G14mY/6DFWcLoPqfcF2I4EQNfrpBjQhjo4faVp+
8DQKqsUUVwodOLt1gD3bZTbNAzwB80BjAmRsHcRaPjVgFHwxnDnepqnngn0Hnah6U32y0yrbWk37
057y7hMIp9xPhYPsZwEa/JvRgKJuYjdQnalKWm662Bve6iRtgwK59f3kROhGa/vSr8VcfOLm0Kjo
Fy/9F8B39M0CV4d9eCH4hjzFFE91px+L8XPEv/FYBf+83IPnBqTjv0wMKuYEBui0R+Jtk2gBSoEf
vgMWI7jIUJ9GB5eMizNpymen9fTjZBVgJGqDWXu2GoWRy62IhLK5ZFwRh6Kjk5yfWUDlOa2pdVWI
VQkIJOeK18Z7jaxSsUUulwTAhyUdAuIjKBPJry/dbFmvwQnCkgbcCaZe8f3LFTn//jLOkwt5Fm4L
tTd834RcEd1549YrPgxdW7AbixQmCrJLXvzcxGinRaZ5URKy1t00reezUnEurg1iEfBGlQ5725ZR
xdwROrOqIgkregehtKLYZFyRllKZkI72PtYytMHzJOy7wCyDzN7GH09P4GY6GYV0uk9uobeEYRQO
BG34lguFy6650sn335WvTpa6TIDCLZ0c9JT5n5hz31PR9SnmSL7HR3dyai/GAKbkiyP+9HUd6CqS
GJUN6SlEK4Hm/xw2uirQ0StDbi1VDLmCtV4WAlsO5Q4L+bXlN5xM1JROTGiVxkIXiFTdEMGYAd73
kBY3XfTKCYQZgY33vnfsd+f80rzfRXJg3S6rm91HI5bz3yHtTY/0TVQYEQtnc9OZO8o2zsc7EHHr
LgkXD/IjCxvd+VC1qB8m0YICkwKk7ez76KVO9x8fxakJafu7dd+7WcYSvCuQa4VY1QGSEtdNrBzG
Z6OQFixikD3RaphI3K8G32rFwa0Cx1YMZG3/nA5EWg7cBkas8RhzFW2b4VDpf7HcCEoQm+LSupRb
TRY13TgjLCz1myrdimLfGNvrE7U6hBMT0lqQlLZ9k5vwbFTMi4CqKG9Wv+8iOkXcSF3dktyp0Yys
ahOHhbHjo9jZqN6oqwt98n3p93tEdGXP8P3Oe4y5nxaPFFTEyd8sxIkVyZ2KDrwsdWQzSJTvzPQu
w4lPP5zRwb47MSH50jC1Tl1zFwvxldoBpYGX3haDwshyYZzHu+dGpMfjQPNibgvM1sCKXQVtlwzJ
S2r/6Kxt54aOfszL57/wr5NhSbekDfEDhtwdC8dpF7nbVHU0q/xLuiJ7AtSPMy7fJwElRydT3PKK
78tkfFpSeIB14fvAsza/cxUTkOrz0tOKtKlb1ykWZDb96qvz8z9Nvi1djWbWEoqzloVtewv9uV6V
f1rdfAtJHnpeFkix5E7t0FB3IhML0T1qg5sleUw6vyBf/mIUJ1YkF0IHrDuYNU7BjAY2P0Te5vr3
l817sSlOvi+5UAM6gTJ2dbAxzTf9MeU3o6pqrpgnOc7qSjOymgEjGPRbOqP1GoX53yL6+uFxoI0X
8txI1S7hteRLVZuhKwry4WFbooMiEMCXtAogy4q7AheEVDcEAHCWU2kppr5NLME6oF6hq+i5vyp9
VJy0K1MFBDEYg/B5VJZkXC2YavUMj4cFBE02U3bnpS/ucOBdpQgQll8qLfqZnWWkJxGdQTTaFwta
Ode+g5s50LzQ9MqN4yXgZv8O9fLra7PshGvmpAvEpPFoejHM6eQrT48R20/8W2bdQ4H7w883tCy8
8/8hr3EpOBhVFZ+nLNKPtnOA4qVbPLadYsNcesFiAmkz5ARWkk5OjFcD5L6MIxgk3NjatkwVISos
yICpmeZpw98tJN88JxhUabnLLY9OI0Q9aAYFUB1Yamn12zrRCojWg2LF2XWZ/Sz4dAAAf//RVYcZ
1L0WttiF9VHakVA80+c5aw1Uh4pDxNu9Votf/0fdly3HjSRb/kpZvaMuAjuu3W6zAZALySQJUZQo
6QVGSiosAQSWwBbx9XOg0r3KRGISk5qnaavuNhXF9IzFIzzcj59DonozCOux5t2K7yyOykGPPfS6
JhjDbFSyAnGVAPQrhPT4rZlGnsNUT1W/Xh7UuecgmYICM3gmsf5nbyEgQNB4mCBWaJLxLquHJ243
OTJk8usA8XBozL13kuvTnLCpTU0FIMTF/8yiyCTp3SYbcjVUiyrxJC3QKWx/0+th3+j0aoVB9F4c
Z4tmxqiuNyaK6SR0+U0rHxEhXZ7Apc199PnzmmHGLAVYQHgoCrweC2x0P/6GAWui3kFDxjnc0LR6
k6TIrIXUeJ+mX3NUPi4bWNpoAG9qcH6w8IN75dR9QEBa6xzExWGSppbnRIm1AwS4RuuPbq3s6cXJ
mpLP0KJDfXUeYgD9XpFewWIYFoc0u/DNtYa6NQuzOw1acVosawf7Wa3eJ1n53iT5Whr1B+Ly9PzH
nnJNlPNBiQ5E5mzGdBW63MD9YcasLPaMDFdMoh7qmn9QEt2ziTT8uOHfS1lXUItOwWVd7qOKeDxT
PKuuNpfX7/ySRa8eAUxIcwAFV+etOlra9Wo3onfO1P36o0LAPR7W8jdWDghERCNggz9niVWFsKHY
bJIw05NiD1FXkMFXoLO4PJSl1QNbGjDmeGSABmYGF6TuEPcqV0mYgu4pfsad/v9oYHaGO1XU91P/
LfgJDul49zu+evz9tVNXagwzRmuhJKGMvCEJ1gTV1qZntu9q2Zt9qeLjFXvfVzeluhKbL+4ksNqC
ohf8S/ocUd1VI6NFZ5CwMnwoc3L30SUH7fo8C/brkZXZJEV14aoa03Ei1xnorNPg78ubaAEsAAwJ
mJkRWU7cBWdlNMXMENSkapiCr4G8ZxbdJWaYaA9aWh4a2XpmGwV9PoJn87FfUyNeWiMgDqGmrYE5
AvjA0y1QtrJqktqRoeOwII1ZsL88uvPYc9LSRtPYpKetoc55+vkxLcsqJ1KGdAQI1AOdSeObCu0+
joiAtr2mshtTF/1KxLu0M3BckykKRa/CHPrDMtJxtEep4cDcGKojubw3OcprZQtkIqqJ3UqRcske
KsWTKhFYGFBeOx0lGIITvYk5blVi7YrW2XN2k1vbLFqZzaXVOrYz24tCqIVZinoaV/RJ0mbflOLj
9QvmoMSDxQI06yzCqqEQLV0iZBiJcmcm2b2pQurW6Mf7XDMhuJ1fn0TDlB0ZnOb26DGUJyRLHBUG
Gf9k9relVQeVeO4hiXh5YEtzBwkHc9KznahL5qeRpkT1AOx6qAG10Lm+KtcELxYtAKltTNABYAan
nx+NRJeiQkVRIJGVVp4J8g9yfXkMgQ0EvfH4hd7RGe1CWqVpDPFYrD+YDCM9hBiql9G3yxO1EGAd
G5nfaiJvGztLYKQcyOghCN9UhQ0EhLbW6r5sCCE1jgY0ss7JzzNrjGgx1Xfdds+Vb1F71wzPl8ey
sCS4mSct8+kfkMafLgkFdW5qK1QPC+NT7H7Pr09COXjFgQMUrzl02MwdvyStbBRFk2FW3jf8U1/v
aGL6hXi6PIyFmUK4pCEKBboa191s7/Z1TUqhKDJMuUfbR+tTZV7dJomBgH0RDDogZEPgdDpRvIlN
gWSUDHXg69NiuG/HaFM3a+QrSwMB0h2X3ET6hkvh1ExFGsMRDu46qdyrkvu2zPymWqm/Liw6IM9A
jqEGAkqk+QO7HJnUoUuOI6x8UMVD/v36xQDmEo8P7Cl0ys+mylJckP46Gdy8SrZAiIdF5X6Qkbpy
1i9O1Q+ifsCqTRg7nSox2IozdgO2Vq/thNJvadV+ShO6Ug5fCj9AJQc0NXiw4IvzPIHdOLSxWIzz
13Whgq0p0KXO0xvAQraUo5WxzZI9i8mNVUlQ9pRfGw1ie10Wv788qwuBwsRohxAB7X9Tg+jpcEcr
EcAAZTLM+3E75MmDYhYfu8x60SOISdji02VzC+hd9IZCrxBPI7AmOXOJc7BKqFHetzI0h0zbogM5
+9Y1br9PEe4FCYivN8IFAAxdcvmnpoO0QBkZ4EEEOPt3zpBJAxZPZuhMIrV1OvK4cRoVCmwyjCGb
2kBWEEz5IFijvp2tOPkCYngiogddpQrGSgD1pz13dEMJs0hqnpsy1Kyyu09i+kKVEbojknbJLrfK
8gH9gdat2hjcb9HJFXSK/RtPXjg+ntTAjaGNdH6Wgd2jsouOyHDkyUZ3Kshrril3LoRjJyZmFzEb
Msa4DuoApAQ8awSLixI0MfWzeA0RuXTUTM8PdMVCFhA45dMJTaQ7RlCRl6Gr++Csyq+nZQajGCDe
PxwDIPPZ3qCDRCZMCoHGoD5G2/pKnDxdf7PMABwAUT80J6CYNE94uxneyL2WipDkFWBnX9Jc3dTk
fRHH/hg/gRzjstMtrQuumWmeoN8N2N7pbGnSTlwWNSK80+yXra/EL9d/PvTA0EswFf1AKXr6+V1t
oMBIWxG2+7gNrOQBtKlpsr1sZGHJp65y3DAT39oZ1QgecaNd98IMIXUePWfNh9/5ePjmdNUjDpvP
kRF3lkJbM2TFFwbhNNQELhtYWHN8/18Gpp8fnQFM50qTMxjAUbBrNFC7Rn3gOs+a2W/GuPZ7LQ4u
W1ycMXQhgbLEmep12qnFhDqDUNPcRNJ2k8a7YuW6X7gokaMD7wvBuNBHNZuxdugbxiF5H0LiNoWf
vGPZbwzg2MJsymhf9RY3uR0y+Y2iGpTq9sqirI1hdvt1aaxxDMIOu2hDyEZtAr7iG8sWAG+1QVMO
TOW0SEfLrke6WU7dh2HCb5GaLelBi/zL67zg3liIXyamr3BkQmG1OlFXYZqAny2U6TQ06Bf24bKV
pd10bGX6FkdWzNzRZCMxkFTdg9hbW4NbTNtldiaCcQZ9PeAhRVxvzD7ftUoGWGtuh2byapW3zrir
0lfjcyOvB8ChXIJyBRIVUz1jnpYFX6NbOAzMoDL/zJXvbnV9UuLk82crXtUdsXDe2mHk9P6gbjjQ
mmi3rcQKXn55wn6NY7bs6PfX0r7HOAay6419lAQG3UZvbre5vPCL22tqc9KtSYdxnkpCo6MikPCx
QsV8yxWfO4/U8LPf2V1HRmZnVR11GjOcyAInkPOSFNrejrrXy+OY5uN8g/0ax+wxlwlNTfVBsUI8
wz7XPd3GrBdoZFojXF9yFNyG4D83AQxGZ/6po4xlnDtYc3Rdl56ogzgKrh6HO63DpJGHiHL+QKml
m5JR9KDzcndmcdN9Q2/iZQsLI0C9DYX4qfIGlZpZ9KMZvG8H3TLDDkzxX9Pr2QUdxNygUcZ/QSIx
x/tbteoy3pu4CSsg77PaBymp3j9fOwYXFnDz4SyBjtx8DNaAQMgYMy3koy90z+1vLn/++W5C+hnM
q6A0QdvCGfBCWmZcgnEVZRR03gK7sCk1uosT62onhxnLnrodCSLdeRHUQSNA2RBFC8UIgIeytex3
BTm0dKepKx547uanlqZNcXS+J62l0rKBJWV879a3BZDgBGjN/HoQxqmdaWKP7FRWphQlGCtCYg2+
oT92de5VbTjqLGiaQ3s9DAcNLCjII8wGf9oZwZ7jNkacU1sLQUaFXZB4Znzf28TT5NPlDXHuNCeG
5imWUlSQ85kMRY62GbsvDZB2ly2cH/jA34AsdSLQAeRnvqWHxGLou63NsIIWljQoxL+y4a1q6Tbt
6Zsmh0+X7S2MCMAipG6nV8qE/ThdKaWOo74j4xjag/0tt3DU2NnVSLvpjPlBgAio6NnDmOilwbPc
GMPMfEq2RrKyJgtOii7/SRoAqVu8wGd7ra14pSUxPt5+od2hSe7BdfEbc3RkYRa1mHZXjEWkj2FE
qde178VacLe0CBN7Ec55/B/Os9NFUBPHTnWNiTBLxUST7PWxfv1RhorNLxOzILiIHWtEt6cI0dDu
tzIYkB/Mh5UgdSHxg9QDyDDQFI5w90z8Ni6FrvUddlPPb/TIZ7rH6p0V72LFhzuaYtNZgbVW5FiY
PdTXwNUPXNnEkzC51NFhE/dNQZu2RapbG3yHd+hNvn7yYAGJdJS9keKZO0lkQDOu00s0S8VvDvTC
xzro6e7yJlvIH4FpCclbUBVM+U9HOx1GnutR3vWo1VTVvTDFlqIHTGUWqCVu4u4+Lm/zvripyqsD
WVhFvQPp+0knZJ7PRaLXSUYNSXYOUrVE9l+H2tiozPgCuZmVDNmCo2L6UMEBXQqO6znJmZaaBVG7
EklXd8/678NEpf/x8iQubYVjEzNPzWiF5p2uRr61VQKo1N1zTlf2wqIJ1LiQpQDlLhJtp8tUKwWp
qZIit5n1sdeX7YOmDis2Jn8/jWKxKOBugPgZ8sbYdKc2EjbocuQYhjK4WxBWPBa141tF/yWvoyAi
ee+lvF45RhfHheIB0iLohzlzXapkeOYzrI7exp6JDOW3y0uzsPrYTEgc6YjO8ZSYnXGgUehTq4pE
WKb3ak29EXIKfXr9VQO6C3w4wtqJ6G5mZIhGh/IYKb1cKkEGxcxi7aG0ME0nFmZLI7hUsp7AAlbE
+dyttclOvz5beaAJJ+5ZpHSgWTzbwBX6d7QG5IMhKF9uyyI1vAziPawVD3WmPThxbXmUGF7qriV6
lsaF9kbkQtEKNcnUnW65egSvc9KxDiHU4EO91occ5+UNMH31s6HhQQF0rgqGwHkqSY8sYXQi6UKl
HTyTH4SyGwdPd1fMLN1BOrTpcIQi2EBn6OxpVqrgQyYK7OjVcNOVWxVU46qyb9pby5F70iYBZWwX
OxIdkCttx4tDRNyGixbzeJZRRr1KKrFOu5ClHxRJ/by7FR2Qbfn14ChgSo4Mze4KobdTwjzvQmnp
mU9LL8vrtdLJ0o4AfxL+g4j0HDqD8lBqZ1U+QOzgRaGAsq346tJkIeSEfBhCHqBoZwdprnWgOqEo
8dWFs21xlpLOutFjJ5D5ytG2EFMDcY4ikDHRjJ1JVcWxag5Fwfpw4E8yHja0eo0VFC+ieJtWny/v
8qVjDo8QAGjx+p1wBKd+ZBiFZbAWu09L7L01tqVfZOU3MGKvhAsLVwRKF7/szHaA5D0ZOiPrwvRv
K+b3zVf9SzuU9/XXlZBuaRcgUQclCvBqInifnahtmRW5Xo1tSPug9Yx6xVuXpgv9wmCgwW0HvbJZ
jWegadEzzruwE3k4ouEuqpsn21nDzi+NAqgObDMVZw/yNqerYgGooA2FBX+hSfA9Jmt96EvHNpKa
kCbDZkaBdb7qZZqDVT7qQpWFZfa30b8ggCfdoULDV/bFXlOoWnIdbGXUyZHedM9aOR1Fb1ie45yJ
oKnBks9N9bWQKByvpQsWOEnAJXxkaJrXo9DahfKqo/HJUPGg8yww2HiQMtrrVvWh1jtPjdtHg5Zb
0Lwz38i/ZbEVYJFX9uBCGR1fY1L/mdhIEUPMLieuQnq8VXE5Ma2+N9v2fkgZqrigWDUtsAq0QVsU
L6pKD7xnrgfY6D519OfLjr045zirUAyZOKnmjl0NxG3KDg4HuRGvyPcO2O3tT2XkBJft/Pig+T0J
OXPgEgDdQj52tpd6KzdHJcIJYg52MMbsrhTjczX0aLFsBk8VVlBkRpCyF6eN38au9UqzsJHqYH6j
Ol+h3Bpo5fjQOShpErqr9PzRLsiGq2t0BUuuC9wP+hGMSddgHqR2LEbJPcWEQPy3rA8UbeYOvR5Y
5oJdDNhqFJ8QOMyhM8jiuiZAmyI01HtGduT18mQvnAtIG6FsA1AZaCjn8WKZaHFnVNoYpiX3qhdT
XA8yxoMRxxsuUUA0Qfd26kBySLTIZPj+JU39GvkwQCYvD2Hh6DH0qebr/kixzDvYC5XGlVoPY6jk
um87BdLR71rxVTefE/UtEndO/f6ywcU5OzI4OcrRmRBXpUudCG/8WjkoXPOc4tPvGEBSFwcP1v2s
dmMBeWTH6hiaxqZxg/E3Ni5eoUA1I9IFgsmeDaA2GlOMrtWHse16D472Ibme1Hh6hGLngmQL7+oz
ykatdUq7VvtQb7JPinS3rQSxtwtgJC154vXmmnrKwuF0bPBHbuFoTQwjpdAHI31o5yrYbbZ9nfpV
+l5tr3/Cn9iZnU0QMbZ5k8MOddx7VTi3TdI9J+71NNcn8/fjPjgaDpSCNMYGiRUC23GnPVjNM+s/
j2s0UUs72SQoTyBYnhBCM+fULDAsdRwRaJ960jxE/PnyRl44IdFDAxb7ifVfdeZgtlIOGWh/uzE0
RO9xDRAWQD/4SsC5NAiwxuPRCw5yhDezQNAyxE93ZDL1OH0qr1fCgMQrGoKQjtaQk3Bml6+bVI2a
D80QdgnCS56sBLJL3//442cBZuPoIDiVfAjrMZC2T9cizOnrza7Tk68/nZ9He0lNgbOTAz7fgYxR
60VsR8htVUE0Mbi82iuG3Hko25QWydANHOo8aHKwP79zhZ+byICuvDKXDaH3xp14h88iEea0pgKp
oiG0wOLvGqkfW8Kj9pMqwWzarWyvpT0MiRi8nMCk5Z69nYZSwb9PR6y+/FzR9456qIyVQ2XpBjsy
MZ84dC3w0XX6IZQ83YFLbWzReQhC6Lu8OlhWCib4zeWVWjotjw3OTrGGGYRTCYNW/1rkd0N6KOvP
+dolsDxzAFyCLAg603OwkSJsA1hZdQgVF5cy2peMRIE6QLty/y/6Dy6b/zYz8x/UuKMcWGBsuzKQ
3Ni5ylo2cnF90OeBfBSaz9ElfupBBYD3YxPjAKgbdbijfV/fu+2Q+5HWsDt7tAmybGq/t7lw9wkV
5v7yai3NI4J/pCaBzj7nKDUFRX5/RFdlGb0n6q0+Bv1a4+aaiVlEwEu0+AKgq4ak/CxoHBD3vYtW
icvjWFqoH2hGABohvDTPS1ljzayCaygi2J950KkroexS/QDIXvTSTrN0Tq3oRIOIKtmheRsIPbP2
ePuRdQeRfxVm5pXWq+Ewz07XwFXT9pofr6j1gmoYFctzPHhtGGPn6CMJO/K5d5pNRYZtpd25LIga
4k8UdpdncWmpwAis2uiegQ7GPE9Z6omwck2qYQvKPB+3X/4wWkb/KCtlTQlMm67Os7EhxYLrG9Bp
e96/BYobVIWgbB46vdhy/piq71Be2CKV7ZtN0BLp5zjo9YF7DZLZirq11VtL2cthw4rIM8gbFFpb
9lXt0K1Eb+q631yeC7LkmWi6wXyAvncqq5x6plO5gjU6WqOksYta2y8j8qh3lo9nOlhwD0a6Q28t
ImFQGr6axg2t3+Gw8I0RYYj+ru9vEAAFVb6WIl/QI4TMDCi38aACegKBw+nX4jaLqJOjGwhZA6M4
uKnjtepeVYZ3RfmmsOyd1W1qs/QK+zDW92n5JqEPZo29V8kGAk/ubddVntLEGyd7HLrsncOJH/Nh
Bdq4vLyYvgl2gVbZ+YueUxb1jGB56+yj6ySekA9q+yTrekvwmK4cpO6ijTv+XZhbgx0K/bZiUANL
8PhngUaaTZNbvmmPoMyMPFQF3lnZu8vru7DXpxaLqQ6APYh39uk8Ro0zjFGBXouec/EkSi0+xEyv
NxYTawiKBTdGfgVtRlMoDOz+bMmyuFfMhmPJKoVXB8oLsR2zXtyaoue+Iyv+7NCuemoUV7m5PMhF
yz84QZEsnZRNTgdpatQkGWo64eCA+sxSAyIeuHhgTbwdwN4hm2uPYeTlkW0EuAp9ATi1pkk/igcZ
oZlRZUULBfs7Tdz9fXk0Z6EFPh0KzdO+RwUKrnX66UIqxqBSgvpNabo+62jiAQ/c+aaM0j0IUOOV
DpOzLTKzN7+5hlrhgzu04QB+zTFPNEi6AwGBbODKtJ0FnZOhqTKF7Becex4ETMBQ2g5jF5K6t3xu
xc4dwCS65yjpB61PxA7zvYaLWpzMiZgPLTSoGJ2d9W7eFbpltCEZD9wgnpLdyRJSLivwq7OLeRra
kZlphx7tCEQwba+NMKMzM1AN6iXj58u7YmGVUDSEd01pIGyO2R7nlg6JMiKb0JbJx07W+ROrJPF1
NyKfLltamDK0gGlAIuPJiXT9zI+dwgK2MmWwFFmvINB6VAr3JhryTZ93aySWC6My0GgAdB/CI4De
Z6NiqSR2XJs1+v/eld27PL9R7efLw1kxMc9roH8Vwl4lTBDllscQmCcPw1p/8aINDQUiC4475ZtO
l79APTVJ66gKeWoPyM0UPYKYPH8oImmvONHC6uBIgDgaapNoZJ7vAy2uhduWVYPi8UY6N6bc834/
5m+XJ23BVQFOQLf0BEVH4DzbA0VUISFoZU3o9oVZeGVLxn2n1JpHkLq5K9sk31udTFeAJOdJ+h93
1MSRi8o18rKzYCQSRZfqMQaX97doE6miu8p+tAn89RG6ll37iaaPUX1TOCvOteC+aKhGjIb5xJ6f
Z1lklw9C0comtFpKbzIIvfmO7aw9Ec7Da/BqwIVRv546HxHVnG6T2i7GcbBkGcZd+5wT7aXXiN/r
cRCBJx3wGhokXRWQ2hS+m6grT+TzPaoBHAaSYySpTDwnZ65GIvBqQrSkCOOsD6gag1NE9a6nf0L3
85GVubcZelHWsSqL0GXqhwF5t0g6m8t7c/qiJyH1zMTM2RLTAjnhQIrQKv4W5VOHyjj4ZSB8et/F
X6oktK9GBM0MTjH+0eGeVDpUzXKtCBPdd4ntKWQN63q+/zBrcDdsC7T4qvPzQ7pVzZ0WFsq/m7t8
xavWPnz29bPWYQ4V+HCq3QkS9NHT5fU4P5FOv/zMacH4P0LKAuuhOLf1s7D2RbY3qv1lI4u710LC
ykGzOJCBsws2tlwlNrlehJl9GzcHkdxZ5gqYYGGepjwuej3UCUHtTOM8WmbOXAb906QIVVBRen22
sm2XPx71Y0CLgC2aI7SbrITspUKLcCRBo9meTNbSOOeHNs6ViSb0p4XpGxwNoND6HgjDoghzzdqO
OY6WItlXmb0jVnQQolhZ96UBAWSM4hfg5giIZ6dZknZWCVHdImxLxxt06lPiX17089oxDkmkjad3
KbjYziJGNSqdAYq0GBGN7kY3/RTL4hCZHQi71TulVfzWyncG6W4TomyIHP2xLu9Tq115RE2ba3bi
nHyN2cTqNuNuSdUilGZP/TQdH4FS3fCy3dmgBgTE/3vayJUr6ZxW+sfY0VqKmALUJWfUBWApdhTe
F6HZ2+Ho5vuEpwcoH2wbkMwKWWyg8HI/JsIjbhXoXPp0zFCzzh4TUOmqDd3U6I/2Li/IghcSHW3e
uL0AlD+7Q7rO5ZbU1DwkogGQI4SyQJBXawXPhQMeVqCB6JhkIoKfbazWLpVB2HYOCNRBOJCUeEyy
p4RZftVQrx2eGvrx8rAWDeJFAqaoqe95Dr1Au48iiz4roBX8aPfcS8S2Rl0vTe4bw/Z4pSKTQK8/
0MDUryOxa4AK4aw7R1FK2WctjgO93nf5RpAYfeUr6YnF5fplY95qEJd4/LQWxpUgfecksJB+SeWa
AtSClYlTEkhT9BxMCZvTY8eBxJZmFTYLY/Yy1i+0+EC1D5cXaOGoOTExc8BUGjYlg8nCTt1/19zd
5U9fG8D086Nzs4UzRWqDASTaAaJqe8N8VbJu5SxbuCVPhjC7Xcpey4hew0hLXlq12OlQARsS4cdr
pMRrhmbeUzdNM+KOY6HZeYkexIAt0ptCX9u+06rOzsST8cwuZCO1dEkZzFiy8yn9ZueFV5mJFyVb
pNs3dv5m18gdMsN3hnrHrNyzih0bIl+Wj26n+DmiX/WgFtKzlEMt8yArP+Nx4w+97bku3Qs6bByt
9kYQK7MbrdhChvVZErGV7gb6KJ6rfQdRicfoS84FFFEYUlpBbZMgFmqQQYTMMb+p/UfKYo9mT0J9
G5HYaEsNCIoPbnKvkrXbd2GPwtWQ2ZhK9kBSzHZR2o9alBesmjANllZuuJmtzPmyhYkuVJua8+fJ
xtIUrLJMWoUaGf3BQU/iGvB1wRMwhl8WZqFijP5yUdppFZbkuY926fhiKpvLzrY2iNlp0bW97TpN
XoXEedO0Q8OCy5+/sP1PhjDZP3Lmvm3USqX4/EG9zwdgdG+E3MZr8vLT7p7t/hMrs8VWLbMbDQ1L
YevWHRJbXhztEAt5VrVVlGHjdm+XR7VoD2yMDt790F6fFwIJVXNF1bQSHQOFX8WQLixD1dpWQxRo
yl18NSOACQg3bie0EoFCB2i100k0kTEx2iEqw1Hqdwb/nBdXl+wnC8AagCQUerqAIJ5aEJqOZ2hc
VXjUHzLba9cgcIvb7OjzZyNohdqi67aEN5qfjPytpCvB7+I2mygyJ04YvKdnx7med3KsGw0bAIpB
ZfeUah/zGsWGNTD/mp3Zae72RpbSiFRhBKWK1O52dXcXOZCIWnn8LG4wC6QZWG6EdvMykJJxCsId
qwqp5aH6w+WeEa/KXpTSl2ttw4unzJGtmYuSItXduMTcRcLZVhD+7Hp603Pn+mB1Is/8nyHNfJTJ
qnBSDUNSop1Tmd7Igjb7ydH/H1/H/4y/l+E/Ps///V/489eyEk0aJ+3sj//+8p01Kfuv6Xf+5++c
/sa/79OvTcnLv9v53zr5JXzwT8PBa/t68ocNa9NWvOu+N+LpO+/y9ocBfMXpb/7f/vCP7z8+5VlU
3//159eyY+30aXFasj9//ujm27/+nGhZ/uP443/+7OG1wK/9LxZ3aZ6/zn/j+ytv//WnYml/oW0B
OWpIQEOECtLJf/4xfP/nR/pf4BNC3RogI7wd8GT88w9WNm0Ck85fkz4x3q32xO8OJOKff/Cy+/kj
tGaCGBApb+AGQOj1539/t5PV+bVaf7AOiZKUtRwfPPn9r4Mb38jSJ1Kwqd45Ee7++PnR9YAwn3Wo
PBhBqat5YKrpS+zqCL+r8mvptm9O6kAqSJB9gsP9lvcdYmZDWaN4mSUCp2+BkiFkBS3UJXCcz08/
I++R4R0cI+jwNLjrnP7WYcV3nmXPo8KhSaVAbCWzc69k5YHLYlgJeH8kGk9nYRICwGSC6g2YrPnp
5YqmIhx0PEFhoPiC8q6m+5VB68eqMEFyFamyLTxdIRJKtXieVkHq1AoUvzgdwP3FFK8thtT04jrG
29OhGaSG6i73tKZs9nleVT+ZG6/yssf+e9N2zfc/7l8r/se2Y99eW+zcuUOdOOH/V26HPf9/djuk
2Pnwyk7dDr/xj9tp7l+gLwCyauJLQDl6ak74x+uI+9fEqwgJjgl7B4gyfvLT6RRi/4VHG7hlkfQC
6u9Hxuun1yma9RegYVBnxi/948hXuR2i4FPHA2wZJwJB6QLVPyQQ5uSbA5DmatMWIN5s5NgHjd5w
+qYk1KaegcYHUNFYNOaBHaG1+VERamm5nmtypwuHKkvTwKwVJC9LEkM4OMYkqPdpoXQUsmRDHG17
3ALmBnwgeXeIu5i6t2rLc8dzxp63H5A1sdQbXTbxS4pGdb63pGije9BD56/qIOvCZ31CJk6c3nnV
9aLIvMRFw8LoGK82GKo36KOln1K7NLfWYCUQ003oZ6PH6ycwo+LNdYcU2pqpEzh2nj0oMRJV0RgR
9Du1amDmrv6iMDP/kvKcbQw4StjkaD4ApKDdGOqIh6AhJhBIkyVQOuyj1BdYUigVWYriY9UotOFt
aCl3nWI8a2NVPzaFEhVBXpfxO3RAOXeFm5o7acnxAe2XQPnLrM29rOP2hiS9/kCGlve+U4/WN7Xm
n10tJr6tMiAZhwbEFPFgl56NcG9bGpJtRJSVpWd09biTSFD0fltH5FY1Ebp7lVU6j9yO0jfCVOJF
dv5sViy5YckYP7uI53JPqZ0YzR2DsxEidT6kvYrfawqebUwn+rtxqs9FQ6kvOjl4WNruFpy8hj8I
YDf0xDVvFIvkuwJtXR8sfdgqQxkkpQF8jC5jsi2VXAnAb2Buy6ir79oqxUtaL5RA6px/oG1NHpOI
AA9CP6S6iWyRcAD/1sY0/ihFE90VcWtoXhn1xbemT9IAVFvo59OLMfUUnif31qBALFezmhLsfjiA
E3y3wkfNr3rkvB9vuY3VGnMpDa+s3AQKb40C/KSmAOzVJ77LiREQI6OQ47LKnZskcgv0bu13QjVv
o1xrvWwCAulU2+R96sIef7DiUXqdnkBchGa72K7IDdeFHTi9fs8aNKFa1BUHt7Ye8O7V79Qk6tGr
JxQ/4Y22a3Mtvo+0oXpmmV08RGWbfZMGFC09wbviBvrJ/W7URbqJjKT+aLFcfZKsrvwacJWvnIMh
gkt9EkEszaBlavZQWwQbUNHuGkxbmELX9IYXmu0niqxvmaAQyC6KA2QWqol2svYMp8tULx6gvZBp
NPZrqlVYhMKuPUezuJeZottYjWDwqYQ/o+uNPNXKoO2yLK5BDyU+aCk6GkBJiHY6SCuIIHfYbVeY
5E5CIxVPe/Jl0I3spi30+CnK3EF4sZGbfllZNBjyanx02AiqwkTPAhA1mn7uqjsp1eKxVUwGHHum
30dEcR95zOQDA12FH+smv5OpilxYVbjGtzI2dF+ofLjh9Zje1Wlib4nNP5GGxJuypo4nbMHuM4KH
JF58H2PAbUY8u1ygsQcXFZbtiKW/jVVFB0a/FtWNiI1nhkY0HFBJY2+jLh4/tXJC+aRiU4gaS56k
Uf7FGTWgIDP8WtuwBntnxHNCxvCtER1mkWo+ore+8FKaDAFrIK4bxQyRsgJhqJuoAcAQHYj5y2B1
+m09EOOOjgr1AU3Vb0sSbVS7+QYZ+reUVHZYiy7ZFoqZ+rwSZuxxVvKPY5FJsWtcHI6uj0XdKwOL
oVXZUmXo3jihST85mNmWQVPaSPSbKUuMgMcm2bu9yl6pIWI/bw3XrzPDugchfo78S67qCQZYkyeb
u3blVZg1pKQpGFUO0oxx3mg6N7gXF1i6dyOPRyjBx5BW0AdSBqzPtzoIMMc+2fNSrfZaU92gWe1R
QaXWi7Dh9los0MpT6AFNxccq7m9rovkWbBzUtN+4kf1mGNVtZiTbyja2WQtlydoQexXEpbH2v7n7
kubKdWa5X0QHB3DacjqT5lnaIKSWxAkgARAESPx6p74XdvgtvPDWy9u3WzoDUajKzMrktDQze9SR
3uDrhMwlJisf9jL4v4cl8BuOsdqX85El8FdO938EaxAUlS2L3yU0F1vrN4EyB2B611mommkAXcx4
HfG+mIfsIoal4IRdDI8udJsPM8eLhizNdfK0D/CdXhBEp8IiVUMpTF7zNmom6m6RllVPdi3zvEPB
MGHpEVYEepkLsQlR+sty9mKoMoNI9MXo0Ydo2FAOwuOIq2ed6BWisSuPwF7RU4j+9ckTSloOzUtg
kB+QdFgEt2HfIfZn3OIyXZP9PuI2Kugqojrk3b2001SbbLqVUXQ1t8PjyMdGMXVQ2OyvJMLFj7HP
yA1jcffthcS5cz/a4D5QuF47b1yqCdZczzJsVV6PwfiM9ePuyBQ08wOEn1Phkl2XBuWzUbbnTZwz
r9ajGEvVpnEd6/w3nCQ/GHi8IjQmuJpI+08kKCLJbF1hOkpKuFusp3yzX3Qb9DXt/KXcVhVBmNjR
W/iT/IGAkYJtyHzesnwqt06vdQh36CYfyBmFsCsSCyFDLxZb+Qp0+9wdW5Hfzqnay1Wv2O32EKcs
oUOoZ5oijwf5TG9am2/q5uug304pdGxfbopwIvJbHrnwSC32V1qCeBCfPsYeX0q0K596SNqCKyOL
mMGxBPxWiarZdEw2dvBuAiRIX7M03cuB2XuDmxB7alG5TSgfbGtfB2MQcW3S87ov55Yu934bXUkb
oiwa7A6uETJ8lM9fLZ/7Cn2DPWo5TtcwaEk/LfJGziyXEzSddFFAVLe+iSRbC6vX4L0jA65ylO0l
6tu1TnmO5seI7HcJBDBwzsEuyX58g8u4925Td427g/XFmmE1ks45+enxkuAyFJ60XKcaVc+WUwwK
A57SH9SEWd36a1DHFlsfxYoA1oPtsvdga+PSS+mjha1TMQyodwn8HjBjGCOqWSGg2pIZvH64zoW/
6maIcBX1wr3SnNsyV+x2dK4QJvY+tFtQ9SJV4Lu/MtYhan5RJ2O996BH3rYv17LLlqbbJELil+g+
djy84UN0BYUJdi/DwDt4g0OlCL3fRVhy3Tr74PzxYY1zgb4kwPMrLhohAd46V1uXj78DUskgJvSS
ikYaeSK9Owwmn49Qs6dVh8YUtlF7gjYOmcVa+vvz0su5GBlaL7F7ttBB9J4F/DemMDSWfMiOuxCX
JBV5abl8TYY+Llszi0INqSlWylWTiDHqK0N8iffUKXEt6MbOjoFCTp19CkM0TQknnzSDE3wvkVE3
Gn+rUiNLzwQPHTz4huEvx4XKYIevUbrAhixVzai7oEYPzCpJveQwZuP83cK2kZWB3+3Pga//hNGK
tp/IF1eFyVjkir7lC8x4vP1q3jZ9P+MTK/KeSCgsN/8lpDCVjDMEsw0udCcYYuO/VyuddwzGnM+F
15LxSJfYq/Q6pzAxx3eKRTNYtfpnlsi9lJz/UVSdTOBFMM3RPTyC2QfxWvzC0GW3dBjVtY6JKLCq
SG/aZHN3WjAXHfkknS0FS6brZQ/lh49YwK5Al3saU3/FbbSZk+x8PGjYpCzQC2RXnpfGhYLjrbv+
858/8EzIBq12et7S4Q3aTuxzhYELDoshwWUJWvK27BItDmNJ0WsEJm49X+qs6+9cB3uNeNu+NrsG
xxF8NagwrTE1x53KzEuwZd5wEJqmKNpeYs9OYVvl4JthvlHwdrisQeDFSQGzPh8pjMs8pcth2GYX
fG+xW45e3nfbdaAxxld8zh4o6bk95j3beUXWTT0jngEHJtZT8Gly2b3ABciZ0mNbfCXSzrNpQeDT
d+Bp26pvSBCSpPgLHGLVHoQdq6edDNHZX3mfXM/zPGEhIwqUd0AZ770KIZejLlQ/Y6LYM6KR5mW0
j1VEf/epPqiEDH4TpouMi7lPZP46bTJbHlin8JV0m9q8h20ZlDgSaF1HRNJPSBjCYU8SCTvbxUvP
bu1F+DZuIiBHkWQQoaqYpnG1dtPysW0iW4qU815Vo0EQyynFtRPeGeLgMYM0u2VaMT5hIiukS4a1
drChFTiwbeeXdIzjL8Ca/EmGMNY4JQkqzaM0nIY3GC1xTacyGe3VtK8Spm/pPkqDa1aZz2mdJw9k
1kqQQ85zLs5R58XzyakoU0eDVf3C7abfzqMZxXqxFA12pDjeFzzSCqd2Cfyk1W2lJg+jyzD3P/tk
2lOkg/GLdVNedS4099TT8Snbp+Su41h5nyGpa/D9eOWQLllJTQIwxpvzvMo2r7vbQsOeerhbsLQr
8Viesthz1di5pBi8xa/G1HuemHcbcdOEY5CcaLSkRzmmVTRAQYdrQxQ5Al4L3qm3gWWiTlYp65nj
6RnztUmXQD6sfQ/DCTLnN6M1/G2es0+6LNmRJOZl2iJZci9V1Urm4C6ksnukfvIIegDO6II/u7Wb
a051OVJ5znmbl8Nq75ALWVkhgiZi3iUYFcXLjZ6WMCgho+ZFsLAXmwjR7P021i6XQenP5H6fo3fF
8zPmAlpiaQUkvJgPiC390XNSbwhWsTa/sfvwStedkEKumwZiMLzgq37XsvuTT2PA8+QnA86rx1M8
6X+DPx95ssOAgMdHMyzvyYAvYMtLDj8z0qWlSWxQtEKeBilQhjrvJZz8B7n4TWeC2zVXAbCv6Uxz
++PnIilEm883obc8EuYmOOpCXkfsw+jkdSDDrVyMp0onzPVGlwuF6Z/evLaYff2bh4BC5Hge6bZf
RVGHLtSgfZ+3uvdCNMbS3LuZve159oF53B6jkWLXAomQaYKZCMcw8cXh7xJEnDiXvwNCYJIEiZUZ
rrIoqpleGxTfP2PZ5INpd+lWthUyNxXFhlfj0eHgMGDAgvRL7/g84v0EN5L3Pe+Kydj+fe/gh0lt
D/aMvrNs+EfmKbwE/vQBxOO0K1m0KJIV31tXhzN/2drQr1diDquffsJ6gFWe87tCJb1tjG9JsUfz
UeEWFK2+SQXyamBk7T41wePYTwNet+GlnVZyWrcQZ9lPyjVxUTUveMkhfhL8l9+xzAOrVIyqRZax
b8Q0NlCi+kWEgl6GwXDZmH+VpXBtQlpA4TmBbSUewBXGjx5sOjxPY3y/DOYg41jd9ybEjA8HBpcl
pzTvT5DjHzNw2Q5/PgqSHjLNHrHKcNQI9RAp7H6G8NFH6+5v7c0wbi+btPQZCoua9bRKQ3cT5eNz
5JtK6OzcGf80C+/QO3VMXXJUSrJKLWuxpaxu7TId/NBejKZHRfdztmpM8+MzC/0yyVgdkPYEOdpj
mIkFIA07B6qvAkP6K3iHnLUIDn5PTnAKf6ZA+Uux9j8bWUg9ShcdfKLPdJ/qNswfop0ux27HAcc9
L4u0I7UMxrjAwS/Zru4y52W3JpG3QE5OAGnehqX/pmgMHa7oKtMjvekjsl751gQFbvF3hRiISy7C
6Qjnmkp1qBgDNmCqodst3LK8/M7aSUA9B95dwDapxhz1sm1BBAvPEKZTdhuriGp+z7oWe/+huPQK
16/SDPunPrtl3H9Mlj8mzSuGZLnOevoUj3HjbJ4/rC3CRCdvNMUu/HILJJCN/MANTAuA65ydIGfI
yUuItGoyau8ISMcvZhbWIYkftcNzS0SJu62tpCcvyPUjzbgDQQLQcU+j9Qw4C3M3MMmjA+a/Ua/u
B3OMJz4dpJ82sH+hkBDEX450b4uXn9NR1ECYcFB6bDCScbqJhggWGvkJGtgC85Au2iQ9p8zVGc/R
1IjTkOV1m7Ej2Xzv2lM3CrYX3MLLzO6Y6fQIICTIqjHH4geh31MvC19kBdxzMnQTuhrobl5UK6pc
tq/LHOGJXQ4LruwZMyP0/Heo19gWVpWNhyqFpUnN08i7DuPxgdK8YVNS7/oBCQ8nJbNnP3SVcfwh
xAdOcnVaQ0xrE3r0AC1pOMJEdoU/i/OBDs4RTFFoTDCbO9tgBJ/RQ8jPrHN1u7dPymIU79mQNAi9
RxaRN4py8eXRzOHPxLHPFrjfTPUlW5HIOaiE4UzTv18wr4XezFOfmus2wEtf4E4WseShAxdXZENW
L1MMFNDXcHVP5beR09mO9gOUA9h92kCXXiXMvSrB3oN8LGMq0KyIBFDMNJerh5XtNqqnWF/2SV5b
9Bww4izETF42RzV80PrXgY+3JlAlWZfLJMkN2Jf0OobzdxFTgBhqTLDzSNs62eP3XZHbMVY3045N
fGjJU1R8pkulgxMaiRcxZ40/oxVfsQPqhacNkhcKNq0YKbx8KLVXfr74pUwA7kJSPGJyDZ9bOlea
I54+w48pknG7HtyaIp61x6Y0f89Gklf95jeLXaD1631ejlF81vEUNEHYRodB8k8WcBjuQbm2buua
nYJuAJgakHeyoaGUorUNIwC1px6j4G6EOgtO8LF0U1cC0Pta8RVUfW7Tg02WI/rB93GBiDDoVJ38
2QWiJRWlWfJ7PrDnia65fcsxRqGV7WEd4HTjGLNM4qf2M02qbUklvsxjxluP+Y986TgLai9DBC2E
P2mvoqhcTTeNjct4KKoQFl6usV5AH5Yu26Omz+Z+vpABTksHRgfy7DiCHvB9gFariU2CJy5Yx0sj
O9lhhJvFu0KvzpoeFRYJTHgyvueUWmTyIKnhF1Rh+gC5nX2Qfgb71S73NpxzdE8Q92UCNaJlZAWm
KTy31EmrxLuNYPAEveEO/hukwISbjtvxxg3We5A2Fm+xi2Fyp9gsZRnu3f6W08Vgzl66vW/GFlh8
OXSoE2VPMmw3bTQZi4UukSh0ZNMEYSQTPJBGKfE15tsw4YkQJFZQSnUuXU5DDieAAl97tNXruKyA
8KcMZnf7zD/Cgeh7myl3G2xIOiqnAD1v+R9y6f+NcBM/06NWPz8ajNv/PzRbDInF/51nu/5kn7b/
7+Q2/sF/0WxR/D9yeGnCj+Nv4xP02P+m2aLwf0CQ9bf+iCWtAGkB0Ff8L5oN3BwWWf+c48B+QTP3
t12y/Be5/UfBoUzEOVbTwbJFoHz+X2g2KMH+u7bizyUIi5fkP07WUA3/53X8n/InTofhb/7einzL
YDhO81m6K2yM+w0d6fzSTb6FYSLM7OouIwoq8Sw+dRNf7vocvrpTFvLLEir2lOgeoPboKQCrvqum
VgRXSw64P05aW7Zu2RZMlVKf243NJyH0jnj0oZysvKjEXuKEhz9hvr9zo0rp6IMGsYQXJ8p5NlmV
2BBo6yZeiPZ3vJJNFqEkZ+xYXMSKlW9rbyO1xdUuJnny8onhhOoVN6rIG7ubC+TNaHcD79cL89d1
hkW/W+sFScCnHdNEsYEuWgXx6s1LxFlYCyXk0M+YLRTsVpcM2fGKPkn5ucPxfdz6+LiGwwYAL8Hv
R74Owp2aPJpvNPFIAyLhaYPMvBVT1W3uKKg86kFXudqPc4AivvpjXhu7LIXsutsJPa6ii6u6kJQr
Rmrijc/oJEC1FISz/DZg/SuwiFJGEPGxvp5HUrWJ+IC3pS4g1wXGEIU/AHu7d7+FphFCpv24x4FX
cYF1cdigR6e+TTP0J3kJ04s6tS0/7nyM0Eh348OkuguZoUfxI34Z88yrvXVBlZAATtTq/4PvY1fp
+LvDLdn53r3gTzEI/Jg3ZlzhyjBXnFn7qWK7HuKItA9ZoG7kuJyFfp1GdJb5WEEt1JZ+BFVxaOeT
1cEbnqip3DNzCXP9ADXmFaRpexGZMDywNblz0/6j0nyAUH065WZDVzVvX63dj+h5JFjf8WxXzEDK
8e++X/+1JL51CZ4lpJ8VHPBXOfQeRXCf/YW5GsfgOJ14TBvg13ux+C4CdQlWYGOYO9J4qNWwoZ80
sLopxKSG28EHp7G2hgEmdFfhlBJoUW3f2Ig+oBtpFqid2BDJgtJ+PPpiuVlsD2CByX/Ij/o3zZBq
7PsJvpznIUVDQHPAoSoIVEG1+FPkDXfrOP4sfQww3P2Glq4FetKtnoP+h6ioydEw+G7PyxgL92hz
+mdgKc/jsNzAeuuRePgbPONFqkFyhyFmhWyL6pR2J6Q+n0F4fi1r7+rUtcmnIeqLGPNm8gg86jYE
twDTqylXT/kcVRFEsYEHz5igC8uB6m9AUWWYejj0yWOvgE3Jth+KKJrgNwCQ9ji04T/Eo4bnzlNZ
hWgYQMOg1qrBY2c5xp+hjWoFma5a/zCPU+4kPHfvXHuJ275MF2D+2M2HYoaOeaHy4Bt90jmk7UGs
59U0Dt2Q2eIWSWVhhsMPGXCvgFny06QOUeqVHNvZs6LNvqkPxCPshc0CgAw4C5aZaov8q4m9Rsvj
vGHc4IjTJLxA8O5Q4MjD6QdI92FhrEzFq8mS7w7qk7GYTerjLyWFE7IkrY9Yhz/I8cNqOPDheE6z
F6AncxjBk1GBhizYHK8d8EFYQzwg7NTbz0Y5JvAx7X38DzbNJO8bgqqDIOnJ6zNyyunmdx8+Atst
L7M9Had7P1kIFggC2O6/z2CmoSLqCe3PuZIBAFBwxyI90j3c/3iGiI4Xx3bI7RYbtmGFFQGonYnp
Orwo3UZfwFOyWz/vAHwFnmfuYQhKvBKLGeK0DTOA+AhiJpgsD8C6ikwPWXfoJIle2ci2EOOEL9Rh
kVHyr/Vbvy8VWKqoxvhrUJ0HJ3VUJKqVeekp8HY1m5hcyqSNsBy4mN3jtV49NjQO901cLTBaLQQa
SZrDSDjysfwRAVVxIfox0AvZoWOkfedLX9Cd4cBnMTjzDsu2sNWYrqlaTgynPN71+MZczD4XF9xM
A7slGPOu52WKnmYataWYAY0XJNkfo0CQAk5S+n1WCD7eKH2Jcj6UvV2/scEpjlps/DbQBkcHWLxC
ZGyWb8cpVGePd/kZgeU77On1Nl50bK9JD5ejvi15IkrsraL7XID+DHULR1Lfn+9stBQmzw+gTY3y
gtITlNeotPuxdWe0Xhq0azOlHr82aNaqUeinvu8xyhj6DgoFfKNIr6zBH6zLjyPsCBM9/49yO/I+
PVq1FjKMs2obeq3KdGzWoS9kROaSeVbDRmqlZw+QCVX2EK0m/kgxtRThBlZ4ixO01zhFp6RdX5Ju
LpUxriT9eUHgEUYwWmwGRzKU3UPS0+tMtI0zDLBc7AO1yKKndu/41bZvURn6yItvt3s2e/xEGLtA
iKGLnmy0TGKICoylB3ybh3Vewdjuyw9l7BfqrgCcRtAfO7ODLctHdozanZUgEmBfEYNBFXstIC3p
HHbEM4oFOgvrh8DwX7V6V6TVBwoLkVH5N1n3HsEHv2nn/sIXcacxawL6wkCzYjVlOKzt7cQSAwoy
f+m87UoI95AwkOboLyAZUoh29BPoUcR4YMIdU1/9+ruGBpuz2wm/uNqIA4GrsjrYvCsTrzep0ggw
hX4ihqp17p9ysn1Se4sQBgR8DF5+sDxoup6XubtSCQeLaiqDdglXaWa+51i/kGGAD16K4q+3oKs9
HmqwSlGTduBKxS6fdbqdXWfcDfX4MfFVe5VEexP3wPriFmhazk3hYYWNx+OI/KXhyXWfk9E179cG
s/QJc0pQ7f5aYOf6DFLznTsfSTRZ6c2gXqhc81Ogh0s2kx1EHQ5J2j8s8YR6fEhS1OXN58clm1sQ
ZUl+8cbuN41czYj3xdR8zGY8SGCz7MYqMe+lzqF2UnCgP637Oh7+w56HstnntoLo4Nim/L2l6lqA
FJUUB8RPi92bfqDVBkkFqMugFyP4rVDYvEaxPiYxziKdbkFz4Rj6bdZk8Tadong7RGDQ9wVhoV3+
pQFCk/5uoVcdspeFlIW3A/PIUIzzp2UTV27z0d88G0JrIMoHbV9ltBzhVMpeVgEozd3mzgfWo+cT
KKtjGHrF5uVl9Ee1psmrLz8N9/7lY4er/wr6Hv+n5/MlHMOSLBTsjK4YzQ9r7z3zAJYs7ZCGh2nM
+Iuw+SvkZ+wRZzIr2hS33Nya6zn2Dy1LfpMhqn2NlkbmFtUX7DGuSjjjdOqh7xa5V0vcgXsRr5A9
ITmdBnW22+kQz4Sih56qVqEUYlUDHR8tFu+PgsRb/kjaOhwvS3/P+7gezJ8aA4tZ5dy7Fnq3+TXO
+hvIasYq1uSARy0t2g7YIOyBgRniyvDnz42IC5DGm3wMvJPsBSj/QR1H5AG4Em7VWMUBq8FqphZY
6y7uzfZmwk37IVg+V62EsCW3pl7TQ7vgIjf+DdGQnaZhlB1pKOnzYClIpqOYtjeM3/csWLbKm8l7
Lr8M9BJ/WJGZdw25WHqfih5keuSjMiym8AntICBZl2ZIKKhRa8seK+1kwPOzh+DykxsEVx3aHA4j
fexL9ERcPYN4YmmBLWn3D745+YTqtZuraDNDBSmaa7Afbasg9MbrZbIgLgV5UgpXTICs5Znv27sL
F/fb9/iZKzxug6i7HvAM1WpFfrV9dv9h74DZOXliMZUQK6lSYcjfZV8Ne3sVsbQxImnUZKtY6jom
QHY8nnr3boeaKuedeWGde+IhOixvv0htlxppmWs5d5Dw9MGrR5OLSuFszM1JaQUdk8dgUJRfZVt3
NfQ5gAeoA6fsFVkw/8Qy3HTTfb7GXxSMNS6XNwlaFzxQTde1HjJcTxYKn6c4mICfJTGcGQk7ea06
Jnq+BIO7DocWMIaxeB80LHsQ8Sb2H7E9dAtEsdnohPAfH3MCBtci9KU6igxM5YL5rmwH4HdxeicA
KnSEVPmu/xk+J0dMD125aOjDkva4LBCokBmZjfCgLJYYxGxrxv0YZBuA7hXDHM9I4evxKccl2/Hx
oEJ6iuz6jEbwvM58bugCqYGU+7mH25sfvMrsL9q9i8PbaSH/4t47W9QvOkFFOaUIEmb04MCl6fge
18pTjH+kyAq79QjSOaVA83gwLLSGrmexra9j5JVJv944AP7w0wp+rep/WoBlazu8rPl6tXb+VExB
/0YWxMzCQnNu8+OOryWhR0DO6Dg+aArYCDMBzGHcPCS4X/0aojqQUxjuasamVzmv+cuwY1MFmQtH
wuHXBCVFg/iaW9fjRgYwuWNXAjNhG9nXREQfEyNg6PP+hmnvU7q+VhN/7uQGqQfPy6APvledlwz7
gNCY38pwL2mqjlKBS/c9CbKM3GVppx4lmZpBQUPhQnSnIhX3TGYNQmdlAcnFb+sU3iINZ5QISLV1
iLrq56hY+WpquYWfwFjXgu/RN+0SZCPHXVyqDRqvcZsaFf8HiW8SKEYLaItBWKaGXyCPRZdIPkk6
oY7kGSb8eH/MXPTVqvkJ431AOEA88DfAk/W6NpzJsVrGtCFz+2BX0cQ0fLBDW5swhQJkqOc1+kZ2
5hFOVI8JFW8wmCtZwNAqYUaaWClhA8RIAwoAbMbVtPB7qPflA43TCrmFR0X0X4tTiO5rdezQ29d1
pem1kmCctUuGj3GEZxwJoLQqvE4+tIlZMSncrWne/Wu73jco26z7aaPVXQ9koOCD5ik44Yny5loP
K75gNCQF3DCjU2doXkO2Gj4tARZU/MD5V+OIZw8KClIyv19f+cTgxQTjnBNLk71SO4Zn6ty15Ghx
iQC2t8QzIiN8aM/MiAe4hxChSlK7QJQIdDIWfmNz+CqTbu8K3/9TKXAA7jKW21GmPTsoQz+8sJue
A095GOja8IttTL4uaZAeOgV2N2/T/jBRMAPYL1hOZFznO4ywAVgMzx4pcNIjlabDZ89l1HRdFj1H
HYD00uv+clMgqQgfYCc1xPj9M8YcD0DTE7QZHfzJsPjsPNhMQVkdoswz6JELEOk7Lo1knK9wtYzy
kA7Y2LR/MMcyaiRViy64nRJqz3zKIOzy7bh/J/CELcGEbydUoPnUAho9mbn1zggBxuyhSTkvqgVg
0IfN7iOO0u/S7XXMwdPEY7i9LSLd2sKZGRcAXuZDAvOUX4p+ClB1nB6myNCjD0LpFgZn+/cIMRne
Dt/rfZ4Y2IepzXKIeDEFzXhn89UI8UAdzMIddNduZaraDBIgMny2WAg55Fha/UIhP5uRdTWIU/8I
f0S9Vbipth+IVsWbNgZ+XOGYRE820TvA+4mAud18AUExoUcD1ProSxJWHKM6NA8cJdPAF8FNAvOv
5E8Z7kMOWeRAmxUf/jWflqn0W0+Ua7D6AJFSE4fFH74oUEqS6BEgDIWvgotvklCnX1vIhyefj/i8
kigcDrkvPDgl+vTJ2G6+zIOIrjgy3iqEJF0QMDTKwiX+VEcewY+x/qzvUyL8jzbu1vcuDX3UVK3d
fdpLDCSZ5eyr7Sc0G9sye4Dld3lMpQZyPezRUZINQyyP+/h78hkSMXsZ2a6kFNS6jHt1UeMynmNv
Hq4GtEdverT7aVij+OL1favAoeQQNsxhSM+QSOnCZVqShs0qRrs+y+gV8xOUjh4uGeqnp76fak3d
CZsN90GMZ2BS+cO2zp8hVQepKGgg1R66IIQCCraSGg3HkvGTphqrK5A+AwH406tmJePxfhH9iDIC
CxyMSlvUQbAJDcYh6y2ilSn4pwSC5Ao+woDhU8z1U5XoNMbsMdEm16BCCMbpAwGAC3lTktKH2U7d
wcenssPdrhI4A4eR6pZV67hi2Gktds48/J5GZSKowIDApCZL7Wem51dj8uDO8zeCPmC6sMheCy+d
inBk+o/4G+4D59Jrj4CzILwBEXW/b4s56MjpFS750rQHZdf0Gp5jksMmeFkf20l8jFPwd1Jtp0+8
HxZSRuEuYFYjFATN2NtnUFqipLIMSlSxka+Y6t0CJcq26zae8v/J3nnsyK4kW/ZX+gdYcGpySjK0
SC0nRJ48J6mFUznJr+8VVRfdtxp4r1GzHvSgBgXcPJkRwXA327b2tjlYyso5UyHrEEEaamvFOrki
yKZBHvW2kQy1hnjndP5chGZbt7+J0ETzXF0n4ROdxRyOdfegBKW2YdBLUYyM00faVpDfYLsrp188
Qi4bMxOlTBdWuMq6e9F62S5wg51/jJMuh35wy/PqWtM+N5LDQCR+wDB1vCij9TamPhnPprXeSo/V
mw7K0ks0RZcROmCYzvVatD2shdVvR1YOnI2WgFmOEN3fmooOke/WqiOqDMMBUWaTVbSB9Sg2UzKK
XedO4y9djlnUqxti7zgMa2Szgezfaqm5G6U6N6OhHg3mqgJiX8zfbtkI6E7qEBrmwsbMnnhpmHOJ
H2iv5B8761OmXOwu5K9gu32Z2YR2gMucVqdHLjGMFFavHZvk6Cy4ez27pfipku4B14jxmdCD+YEc
ZV3TQzJNivPkZOqc2LBw053hJq/WKF9IhEdYHJIHfdKHsMbcE8m1Cc2Ghh65w+LtzVXQABEErvk0
GLu1i9WHH2vNuTRR2kq3PBqctbQ22Sc0RbpXZffhVDmpeQNGcP2HY4SJcId7IacP165TB9RdESfJ
BaQiKfp3JDD+kyV+H1guxtjQU6GR5zxLjRdh5oFlZqBKyWaXycpTGldn6X4YjfWEkqTv4k5agV+a
92p2l0CoZlfZLtsqGm2fKfu1l2UaJas1PKAz3Wf1vM3QVnPxbJIfd27sAnc/NXHZofdqtiXPI5j/
A7DdrWrVshvqCIo5UJxMfJM8TQt0F70OZmHLcgXjM16alGhAywnVOrkvWedsvF4Li1E8L+jzzAq9
u7mncrD96ru0jKvAWhxSYY/RSManZefLtrVF823zrLScypE5lneimPpNKmOG/2akXPVUOtawW0Xd
Pk6j8KAS5jNuiTcinr/7wfka8pc+dkNSbzbZOpm70n1rSiYQ4xyjOQ1VSVhEu0S6/bX6Dm9i5r4o
4V+WuVJQYgl3LfSaZazQMzpiCnhbO6ioQRtjBy3EnLOZ+nYPSr7hpW5tToSY6Us1iC198+u8uNzr
lcUSapkffUXadJZjPcgt69GVdYxs2j2rcbyL/TGF/kHwAjbJBP1CBreyyZbyT3qbgXpMWych831B
nYZvpdo3XpJdCp0iDz/11tTq+J7pdE5yTffHdChIV7DDewTiR3A/TPTkUfOI2E+ObR+XFnFbZq6/
GTBF9JnaM9Ox3sdmui1hei2ddEtfJKPBq/6oLFe7Mm2HiJspF3dZXmsv2M/rg/JjZvGmo32gHJzG
Gq1a99SrZ8D7uPO8F1P/QPTB73YcsXLFihKtqX76JEfeEj9zrb95cswxjcIoWxbT9Syxs13npcUW
ReVFZajmIpEPiWiLI/LzetGyWGIkSPqtVVYt1JY7RrIHq1/mT4ecQz/ReedQwwL47WfUeIK9K3GM
nQyocrassF96hkcMMw5kLIXsP5VsaInt5tKMjhn5hROtvbcTZiwiAYUzo+JhSEhhGkobLWd+X2xi
qOvJPxfjalwABHP4U089zKNOcJKgi039ZbusjbWhM1jIfR8KXuEtVBA1rJXlQ9xmHpCm8ewaEn9G
nhufo52qvQAqu5r4RDC7+Et+x6peArNYgBx4TNbCefhNHrt9WCFgnpZ1Kj64yOdT06S/Vi3OPqw1
8a5xH+/rkceFNVq0J/I2Hslx5rTySFcUyyLeZLGXhfp4c4UUJt8JtmWfHb/QtqZpRFbZnOOx3o1r
u9E9/2uWCHbIHhqSFIMx31xghfVAzeqPwbksS2h25jAN46Fwmov9iorDiRYTRNKITZqO9sVw+J62
M4turOK3kafbeuFVU+YFmOO2pVm8yG5wDqXehpaOUK0X5kZpGh+SQU1NHxebL5mmgX/gIUePHn7y
Xr6vhZ+efTePlsTVsQNwqVBhBGay5rifwAmt/FhLceh1G1WbIzqlw830dfrEQ9BtprhXbBzwXlZl
fk9udtLy/Kjn7j4vi51fUFcB1RLEtU9VFdhwl+dMS+RVCT0OCx8ovTU4qn0Rg/p06xKkddKEIvM5
1HJeJNpV057luB6MHvCsz0d7r/sYL+xqb7XljU/UIBZhE0Jg9Oclrt40c/5hisXLXe8cA8xGs24V
QvruIzCNYIaRWXWU+ko8ZXn2Mnca5mI8gpYEC5/jU1zrF7tzdjlDrICp3ymz1JGLsUcDJsb3Ntfc
DrbZRrlFK+Iy3ciLG34u/BOZiQlriuw3MvB5cpS6OTxt/cg45JmI/HAa2z6E7fqImW5Hkxtbl4JX
Qtx2q4Vt5ZCCZFO3ma9N/tGrH9kz7NB49FN9zalSMvvPkDifHbagzrX2TWXqDLBqBF9yo14a26yO
NkAe85qrOa3PTZZ9NaL7EDNjBSIzN2O/hCq5ygmMbJBsVFjLFPNR4nmRT4fp6xq2p1ELYsozyoZE
3zT8WrvXHzCpVXiG1DGHl4yTMUCiCiXe8CGxqn07cDqs7Gtg94uggdCswKrFxta3EE1hn697v2LL
c982IkyhsiPa/iv7hvWotHUmXXDKM4tvdyl27xe3QF9Wq55GGptY7rCpf+M14GrQdrcR54QnN3SM
OI3YbFJHfbt+2nnzkOdnVcybKm8Fy/UsGpiyeZa8CzgBdQ5w3XnWC/6+JefKWwWwNgE7C280z509
iR9HfOdTp34NzA+3tlvwy++FcwNwmti/YlN+6OwkLFzzLodZZyRSvRZGbAaWv1JxT08atcb+RqL5
/vjV8XzlQemrVxNBNpceIvXgPAgj2a8DyXqiwZnBA2unFhNyrvaZc1zoj8LJQgCNAkA7f5Fr0sAj
mj/OuiXl1iBtXTZFVKfJu9Hl2Nw9JotG8rBWDBshGI8yWWHvhwdLpMydGZEk1U/ilCGKdhY4YlU7
GwB2z1VzJznk3bbesRgtkiOGU5+89DqPT4mqTqasaD9XZ4xc/HZ5bR78m2OsEH35zYWShJNvtVu4
8V2Toa73TdNFvnEDyhnjAbPXd3y1iogtuI/0QpjeGMrFzWpFQ2c1UVOy2tVw1TMKMHLX2O7jlGGw
/pvCf1+l2qVu6e3xtv4mDv3ilN2bBbrER+WHU3rPRCiceJILnQO56YmPWuS5piis3ko1HvSYQQrL
2ejfx+y1grgy1yWJsgF0yyvab2WWj73iWyYwhFnOgPiYQYsCDOjJO3h6HLZ6+1M14AiLluwGrhAc
J9ltVLYg+tvJEhgsdK1S/ddYOM3FGIHF9d46iWQco9KEZZgAvmq1fDqi6t6ydZh2gGM5brYxjqgZ
98OifcxWAdwmkehsFcGBAGoR/NG7xdGqfpd5fB3qKfSXlNtxfk6tJPKEemr0ZtMZww9aJ/NMEfPF
ipcX5eXZ5zjV9wvNquoQqNsJG6NGO+TJkzcMJ6Nlp9z6Qehp2HoV7IAe6KX7gGy3M1NrN8bZ5kbG
GDyLsdntZh3xrnHZ/02/ChGvsOhyJplLH1VTdh0mDyfWxP/xhmvfcjXjxQZXuGM8cGhzfTs35rcm
OfeTbrjURGh1N+ORxB3eP0xGT50J0kGGx51Zs2HafK2IsMCXikn5qXYbUnXFMU1vpYBFFhd3Nh2g
iDDQFntPe9ckmCpN1ql3FfTPstNNXDx6fyaffsstiyd57A+6gTVx2gsPB5/Ns5d5u2FJvxf4RJKJ
Udcahi2SUhR7T+I+92j5RROXu9EiBb/lSveLG3L6li4yhHjdpLkXsM9KRlyQ6Y+ZcMomZhPOTnGg
x8c77mzWFaQJP8Whc1jIrGd8swyFDz95w/F7LHSkleqBclNtc6bEc15qQZV/2V2NVVh7HnDqYK3Z
tDGj3ZW+waS36HTGBsZp7KxD66xDtGomKm41ILPb28q4mTl6kQITE7q+QgLMVuD1606P+2OVQ1bh
uojL6ssurbfJXe7Q3MpoRtt36tPUyX2NpW61Zfqg9XWsMf9Z5o0rFnT6vF3+GDGtU7xYP3Nah+XK
G2W3j8Ivnlb76EMbLqXxlNXTVTE04WDv6KjafkMC5rDJiwIsotkxagSdnzT6aI8ne+F+3NSyuJql
XF/w52YckCmCK3KKlVik8NcbbyzpQ/X1u6dwgrt+8sv1yevVPhs95uSVD3rqybMUY469ql3vmmk+
zcZKqfN/W+X8f0ag3EA1gwBEdFLTN24pU+RF/C2IpfWnNS5g3Dm6XPtuKWKHCF/C7n/Xble+yfkG
SWZYGc/z1ILwA2YMxkaVjHo3f+P7/oqI+e8iYQjGgLwjE4aFJ8RdkJXx739JhpfRqQbcqeB7/Zdf
xnzSOpog+5equniUlab9Rrb3nsux6Z88+M0tg8t+wOHgFH/++cf8R9zlfxla8m/RJnf/HZ15+33/
K4ro/41UIZKN//a53FKL/seff6YR/StW6IlopX8LN/nnf/8v7NIySDexLBZE2qzCE+IGV/4r3QQg
06XYF64rWDjtuLftJn9hl6b7D9L4iI7lJ3XyTW5rFP6iLoE1b7vICCSxPNbI8w//J9AlJhNeyd9C
hVzQDYuniCwd0i8Fv46/4u/Pcj/aHWZkje+2qTGhX81iDYY0FuafulzUFNRmZTBJy3qj+tIRfdET
KbS3KPt5s6VES7AC0aoXIZQw/L5JL0up1dCQYRgWNd0faKJ7wrSHjd1NW+/bm9k8sp27QnE0jePg
aUdCFTNgB7qHzD6YIo5fSHYp2H04dUKVjEq8tuuCzEndlLJA0HZHPq4PmZE9Osj626lqUg2ClqbW
r7b64A91fdUr1xqfMneYade9ZZiHjTE4DoPaZGiof6j0FfYLX/rkzY746fdV6Y794xxL/IJVntpm
JLvOQEfwB1znP6Y+Tl4SGsM4F5fRnzs24wB+/8pZnXOjSxeSY2ig5jofXmVZjfXBwVBo7JbBZTed
nsfY/Et/6jwcrqO3xtyW2pJ/Jsm8PGM/6O/kSHE8ctAbak72bq2TcqE51KHmdUhgXBJckUY57BYh
gnw2/4wZvvdSuaQi1HSa9YhQVMO8UlHSUHh5c9GMivExYRsBxsbu7Pu6ubEb5nGVr535s97iwuI9
zVp5IUTtiEnxBHP3NavrAoxT1+mpqJyokO4ICRAvh6zNsRVgNnt0BvvsJzXltne2ymWzDtbehWaV
PVbxFXVjWeWl5R2mfSdX/ai6/m5dUmuKlkWQAajSB5XU+TYpV7CCZhiP89xf19iwt72L3kZS8rix
5qV4Xy32uTqpbV3HST+LYWS50jzF7rJPC/sJ23/KkZfAF6XmvsPJ/1AZkxlMhBAEiR/vE9V1u2pe
kg1KGG+tZb2QMYAnIHdzzNRpvJta9nvLIT6WeY5heOmNSzGXjr/PYhA+N6mfhAHZ2AFcFNgifazp
QdGNhFE4I4k2t/0w6cvUGc2REAdKjkWyTUcm6Un4f9hWhZABkw1Bm61lWKjurDQJheyGptC4FuJj
4y3XpMbNt2nodJ4Z82rc9yIpoOfURIXEg8Ca0Xaf2ZAb1krf7MaEg3TzNXOB8Hw+/SBfm+tkijbk
s4/S3A+bLm32trM8TrAsQA5DpBhe7Zhsveil2uJvANmNK3UPp8oUqNItTBM3R1tmM4y0zY5JVsuo
RFbLeCk9BBLNXo4p4YF0wY657ZFysF26dhw0jnM/YsvTDoINFWYdE3G6oD8xLW4J20FUr2X2q5sL
LEx+mv922xGPzWCtX31vm+dBtfTdvmseM7/ITi4a2QXvnQisYgZZxvoPAwnh5xWMksMlBgZeW9UB
vo5puFbmJWfxNfkrWnzpR8I8jGqxUXo9/97IEgufPNPwZssU/Qt96bcizGHbDpV+tTyjrPdWc3OF
T/jS8rKeiY9J+WlZt26klNBuIkliHN3EGJLd6qQZWIVlB2B1h9wY2HQ1GnqyNTCpIpPWcrfANfJl
q0egw5EMWNa5+4tJV1Mk03hWZp5Xd5XUfnRtvOvT9seJHaMPzUxzzPulGeCJQMzTdH4uXGIz9JGo
lWF4wYhWhh5n7VnYMRny1vvC9Fn7VZkS1czxgs5rDrkuVJB5An1fj2tkWXho5Ojau85a519YM3zN
Go7CIvNps+JGu8fAeOyy9prBM5xuWMXYltZdCV0YFN7NCrX4oO7TALkg+DQTZ+QmMPWfOm98rEvg
zeYk/+CfIhspdT9LX9uYkw+uaIK4r6L1IGPjt3haLoSAaod5qNYXo6aHFbGPS3Uyr41uM2QkJKkx
w76tiq8m1uq7pFYsobOrLOqsel9gsTS16cpmOoJHmsIbtpOr6Vtt1HmyxsajEO+8oM0gkfAroBqx
nawt1D85k96aQAo0WBvDmcWbLsGxLZwu2oOeSPuEH4F8E35wbPPmyR3iyKOgRYnZF7ZN7IV2E8lT
Fape7Eyrta8ElQ+HNh76yHFST+1byZHhKO1ntmXImWOjbHJhJE1fhdniPmHD+rBj9e7ajXte/Neh
lkjKEC6TbIO+7M9rHIdLvh5G3xnfqzwWgeuPAMZnez3Q/wfwSneFJHqkUL0MTZtnv5GvSSeGU0LI
V6izuXCT4kWc+4IxVvbNSTdi/k3sy+wb1iO1f/LbnP6UbbkhNZV3UOv74h72Y78U5QN4EYOleTfE
xZkNzmkkWkm/RrwNEzXxaffycfHrc5maj4731Q72xBQ9xybV7bsVsUD2F9GMGP0XgmmcRpagJWnz
y6eJa137qFL9Qn16XPLyoTAOQpuxbcCPxsdbHNFs1tQBhGQJheZM+tmij2Gtay/LwtS41e7kgFMq
qbtDZSR/OHxVAnLo1JDE6V2WWeW28/Ozp/20+sMInu325Zbi4G3y15sDM6fzAYmgh/fZ/FfsrCor
swjD4jdjDiKYng3zFxn9ZLNY5Fb8HjFNJ3NzR22wJYUhFN0lzsg0sSgs6uQ5s7j5PJykI4kwGlkH
bGXT0gyi6dppT5XWvcnxkBn5HlSfIzlm5vPHY2qMvS90MPaOs9yWuSLwYbw6K4fPJ/s+w5ETxXW4
2x0XR+/VcK0LX9l76kmGv5Q8nbeXzH0VWJhfcxhnTFP6dpdk07E35v2Aj9Rxv8uOrKXMxInf4KP1
wgoXtksWSKV92Bqr26w11BmsUBKM0Tr5lwrGxs/fitKNnJvS5jPP+c0AinPKyO7xt/F+Jce5aQFQ
V2fTxWZoayRGaPLsE1oVxIlC/2wGv3lYe2ZIqXU0dIN5FPXH7N+1Xsz8q9pjnpB9CqmRNDrWtdy4
1M1oBxKZCQu40T7kDG8K+C7XC5XdEduRe11EUqC5Rys6MKKh8wOgMWG0+0hveVrK5buFccRxwdoZ
N553eJ7uFEE5gSP1eODDbrmG8fg8rBIXo22p+tiQG7VPFupS72Ys7/tLkw989+uBXAzLPOQtudGB
466MjJ046x4MlT1W3Z2b5s1+qnRIErneGV5/IjnpZAybzvSWyHAbMQVFRdKaIKIXgbV9xdI77Z2E
T6BwJ7JR8DdGjfVDOMM9KTYHsqOQi/BEgqM+JVQi4WLb436qlyxMF31bFZAIviDiol3OnkifpEkg
1S01hO8fIVI7AtLMIbRUu+F/oV3U71at0qNSPU+3FTPT6BzKnpwBfegZ6Vdq4A9387cmQYmulfkU
L+kmzXz4ViL68OpZdvls8JsJie0CzRG73PBeLUIugOpSyC3Aygdp3J54EwZ3xN5Yu9h4kHi0LFTN
csbUiayW8Magk+SH1GWaArVUtd4+yxoSz5NhE1McY0UIfcLU2aVLNJWI0hKAA8PnRlVYk+Jq22ri
3cyoNQEJ46V9qqzmihGG6aBrvvSie7v9lNOVr2Iu0Oa1T98uLu40PGq6+Bm06UX5MmfOx3zPj2+5
f4w+2ZGp3a2qfmqXeCtxBFSzvIhSP2qo4W6mc9cLiKrZeNKt/mUWdWQ2v/qSr5dr8Xbk1UmUDk+A
8wlA+uGP6sPr3Avz9o2z1liWWGihGcmuztqXuYmvFvMHpuFsuxxZedt2tb1JBmG+KNdekTq1mBRB
e+FnJWeuIB1jQhS106I8GJm1AYMLhTampBO0sFlVAk6DpBHYa7KlKchCOc87y/c/iXfpTikowp4V
o1FLRS/VAp2abcZBbgazfABq8GsCe+L5VPCsDHOCfy2lREoFf6zBhLvzt3njHRMGpVrV3gJE5r09
0k7l6QehAktg1wtu2lZ8GcKMZoNwMMLtPE7HHLzAwiib9j/pYB3hVCJN+l9urz2TXPaclNPOafSg
rki5m5z5l12cYpxugdUi+Rgo93XqM3Sb5ohoEtKI1lPuY2JdGZdqqshPDntiAwvtGIaAU8ikUt6n
Q4G/xLTfGd7tfJB9g0x9V7XuEfBtSwrVY+ZmB7TW65rW5xjlLKZS4ZTZyL75LAtnQ4JNpES+MVxi
OifyJO3y3Mb2MUUngoFyrXcUv405/CSNthnX+iFjHp21Y4CATfE3RDPvEQYZUcGW1PjMbCrjWFFV
JeJhNZy9bU97i9utSMBEiiESVf7ZlN1Fc7TXfrhz6/lJgk/0UPV68qWoJ6N58beJ41yIqYvyQb02
EwklacntsRZa8dwuHveD2RHa1hPa0Kfk52Xaj4Or1vA65kX4juM+WU6OPiPflSl9Fc2LLL+LxCf2
gBgayjxRNHQ4uFiAlxPTy9/csXA5CK2ZWnwk1O+7TDOY0sQb5/UxbfwSQLxufchtM6brWatF/HH7
3PjW1ZA8dmlt8cL1zPlK26769EVfQeuUA4YJ8DbmPnnO9VKZ/vLEblrXZLK8LPKSkjRIgAzG+AiA
r0aoB5PsOfm1XKO1KXRs7GOiBXgFeyfMCcdqQqqs7gvvG2yqkZLiFOJktzS8T3GvkYwwLbdWK0kU
d1aVfpYeIy/G6R0rkuGanFCMIzZkvzQKgvDymye8kuOQbF1zdDeiiect4I6ow8Ku7XRjpPrVIYLt
jaGAeQEQF5+m9BMckpWg54cXgvqctWXpNnKuN2lHkRyhkRMm5FV2Q64SQyXiNRmhQn9XXbypNadu
TzVvLtXVhIwYaabtvCT96nJ022NytTPc2dFo6pSAyl66d6sab9O4rmSCxbCtd7bFlCXnFfqUuRic
25U/TD2TUtCelaGZzELk6j5VrstDAyJfPOczg85C+vbL6sfqR7N19rwz0vJJx8K0zgxGFxAXZX/r
LNQsuF7t0s7rrWTSH4cwLSuVu5Uw+ZLSlSmhXnbFsIcDww2tiXaTRrlzHuOytdGt4YIIhJwghCDZ
lXbOex/SY5hd29n2Tq3IcmCfWrEx1/oWAuFktoLnMc07bFAl3/5xdO88ScRVULfNeKKy9IwQLGZk
GjdzWYaWt5S3c1zZxFEwYX3SB2K7KQl85uJt1hCp1ntT8pUVlfbKfr8lgTwpMvGklJ3dTj1LfKh5
1e2wN/JuiZS2fjOZKnkAC+wLBFaIWgsXtRCi8P/V0GG5Zay7OMf/axP6ZkgzDIL/pofefuIvOdT9
h08WD0t22ZJEPvjf5FDC130WpPkEi3vUODfN8y85VLf+4fmmhzIhML3eJNH/LYf+A13A4tZDRAVh
ZOPqfyKH2t5tJUHDU9HU/3plJJrf0qZ929Aty+Rv/Hc1lGjaWQwOS46TQm/c41R19r3RAjNYQWok
3bHLB7orr6wbp2LqaabCjaZi1T76jmA0ugjL6N5l2lmkOPpOglwBmGd0p4xw5Q9T+VN6xIBFeK87
dxQ7osQjTM4x0WGHQeZlduzGBlQrrXJMJvnqxh/wtPF93xBvCr5Lrl+ECiO5Igy9+j20dfFJzqV+
w83gkVEw9PUpkwbenqxjYhAWNRpO5HitO4TlrLIHU5rDPbGrqXZzw+N0EnYHVME/gumGwuQ274Tk
uFmhE/uYLyvlbUn6tb2Ttd3q5ALmqj3IXMuWoEQeYE7HmhpmWzQDMWl/uFq2c4V2dTSF9MUd14WG
/Ga7MtkWMVHLwUoALW5Nt6vhjnStqyhYFSN+/y5vhtWsAuWJDBA9lovCTkobR9byMHT9hlGXuIXq
EsxJIHNDVAqnSa1bcyTnnMb45gpL1ic3b5L+eSqETgudgQf13i9DZPM8nupZG8T4MLlArdxV8AK5
fx0hgnrISK2qV9y7fdqQPTxj/O05XbLRquT6CKtvFCMzRyGJiS4IFpzCaTIz5Yc9JZ8eCBBfd1s0
VU9gsN4UblCReIXLiaUnw4nLofjUNdnktxClVHr3akm5UNaZfCNsD109PSUl35eNlXP4ARsaev0I
L2sWF7MfqO7dcsKKZJY5VL1Te2vKqs0Rtt/roMMoKVYikM2M7T6HdfCawSE/jvoobJTEB7XYxnhA
LZv7aBxif71FFGaYEnPbUBsr6WZ36xD6y1OVTMI8kgkiQLUWlZFVBsv87BOygFtHL4b7ZJr4Sd3k
maNMcUnT1Uoi/4Zk9e7Tvqd47xVpSYHDP3XmE8rvMtoUqrnRIyGGRMj5nYYEBiBgPd7tuXXiKds6
AsqBNRrNzQvkjCRgeV4v1Uaxg9vYzTbTdd6ZjEibW+hDHdEszsanoVHlR6z77b2gMScytX1i5nKi
/iqD9FI9ZhvrA5ye++jrrcr28yR6uk8UF6zaTBY6/QUDMfusjBRQc5vxrLfbotSa8ZBwBRsHnPLs
DQ5woNn5xaZfQizIsthy3oXOkZKEpkNTu8kHy0vfJwKCh7uldIZyN5BhbpHzCVKX3S5YTQP69DWE
ely9TXxHirwyAYm8YrqmskrA3+rBbr71vF4x6CSpcy/kVOMRTNd4w4oR8FkIr+6qk7py1aSuEGsn
3XtAGxjLfTm3kxZYTa+dUt+9Bac1ptYSvEyQBG1DpjcUHIV4MBKbMBsBNWRHXkLccuCKokqw5sfe
0+gt9t6ffQy/o56pdbOQlPuQzGax47dWc9D7gDfBaKUTBbqsCIhyYEbSLTVxRrKhbKwAOwupD7nC
hbtjY137y07yxQeG4w5GEPTzIqTg88kM09kcW/OMPDh48B5JuEidDacpvvdJ71MSjZpioq907cLa
UF/BxQPEJy95My1fPW69AjC1gsZVWa/PVC/xzWNVZCUbQ3x0k0JbvF/c+6yJaIQUnw4gvB6hEHgH
K7V98DlTJw8ihiQMJRFst3mBbRIdvcykr8ZE+Ribxo8RRMpiIr7XoHU6rqTr8OCQTfHjanV5widn
vWAqlemBKidOGwwgUkF+3s6RRfenP2zTRQTLTLKooU7j9jlLF+va6kLOG2cSTErIjB7XaNbz5eow
nyg2xiiwKnieAyDJuAu4Jpuc7mEluJzM3HTAC9WZXU+mqumn67ngzLuv2URg34osvlCJMYGyWaWv
fzjaMHNOWOMCoNQmGqH2SWzlcIrG6N2RcppNpAeUcYIFGy+PF8B1oxmHrS9mmyTWwuQjIFjNaTei
rCxuOs/BcdrmydySHcHhFbjGrd7VB/gujBZdMk8h6g6Z0VbaocksmuM8ZDmjf3NrOSXEeiFsetqy
z8VbRx7+ADpOukmARYSIBeV7lRv6taX/NkSn1RvbJW/62JYzUyfWQ3D7lTVhdBtrcKloU8fUcWcJ
TAFG55M7RQ7nMJISVWTxsDXnsnPCCmD31BbExsOqevDxdVGYF2mQNkL4BgbBaaNJB1hLEu00IiIw
MozJR8KnWpbynq8Ar9V3sGoHfqdN2BNiXrZv6s3bavBsoBimDWdNX43FBurfH09Q64VBXZ1Ju/ip
08z1Djwb7RpUN7E7aOdyuv2RS0eWHXHZdR2ySbJ8hYUEqJ3GdEyetdTW2qvIBkv+yoFfeXeNBkti
VMQ2Ub6bYe0KL8zBeIhPrpigiW2bDomxIRJqrqDqUFOiPueYJqNCz52AISGNlmjjbtg06YDbYBXl
cl/w5jELbLQsCbQYEgpkxE/JOteK8ov/bnlFYfEfl5z8/MAomVMqMblXxXoKESDnyHcaDKDtep6Z
3qzK8Br4NOX/aIB9SVQUY331hcqe/MUa7g2iBohJwzv75g+x9T/ZO7PdupFsTb9KoW/OFQ0yGGSQ
QOMAvbkHDVuzrOmG0Mh5nvlc/Qb9Yv1ROUnKLOdxoxvoAqoyy3balvZERsRa6/+//4Gn2t/HWj2f
REmAkU8xi7hAFF1fm305I/0xxwSPHnQ3+CeRW9OFmmqKLCisPc+aYtVG3Y4MDjFw4+IxNXWbowzW
gdGzSGmihz1mEkFeNs57pKjg6Y08Cw7YUdvBm5Fqb+2oCrJdiLb9CAY01AWVJPWlZo2gzCNTL/Zu
QjAMlB+ruGmcoT7tA5/eajeX8aUTl80L6BzrMkn8jOwE5FPBZnJiDLq2z2DGa0OsNKm0XMDhOc7q
ORsGdWiZVH98IiVDq2i0snyrA6T4Tp5PeaTVQV2vRTOUL+3MAJqWzVjfcULrBAfK0HxmgR3ZiiVt
o1U1Ji2GA8evz0IUe0Q4zH01elwn5BkaWCSo8MMOtHbuQwkYIOvvJ7MUHDidUn+2qzDRwKEMjCxr
ixEJM/IJcVVW2fn1DK87Px4zpPKrGL5wuoJcCXajs2u7IRvCIdKDGti+140ExjuATDvfh9yg5Wpy
F8HarHX0e2j9y3Iz6wlqTKJewL82gP3mVSqb/r4TElqxaVR82yycWPTQpCQe+T1Qc7mRqDt7bRkT
dGrWXurOQWsHQSVKFrgGCpc6mpCLIkkI5ApPm/N9efxh04wQPBEQmVWre6nKfVSVtHqYkjg0AMzV
EGihyxpnVsZBEQxjtk3K2caIZ4Zi3QKuKOlUj4jUwiLTTjpV1MYOIDSSedudOZuXqD1wSYEXPxgh
3zdIrfA90+vxnW2WacPlgIUn2E3Y55CuOaHkHVu1YjZTVJSd9UoMTEt9OjbdukzpJdwU0phTpGhS
0pjts5g6Qrli1i8NoRvqum7gt6ztImn2Pl0PqDNtW15orcGIP1VDfetWAFBwM7gOgv1p1uDkwBuk
6e0ymCqj8QTuepnimc59DoBTwi3P5Bckj7VNnMq9qGfXOQvqnGskCrvxEuIFk5DCLMHf5IaNnEDn
GGmsCZnPTFZ2XSJsBIPJaaGSWb+WWQOAN+jL6cYJ0oieR6JBm8jCgbG0ndlI6+KiDB5L0wEzO9bO
dCZdp38S44ARAOsX5gQ6JsGvoZb/1iP9N2PJGPvnJfj+9ekx/5KLtnzFLyW4aX97L65/VyEhCrKs
JTMcDiHpyL+X3ab8ZiNvE7rEdm+5yoYl95sKyfymLylgDrU4i6otfwr9xjb3uewWtuMoV1Hk2yaS
OsRNn8vuGuUoUzcyuEcsJDVQiSR4wURGKk1GYMEJY0Pw/CQO32eqmHaammp8tVOiAZupbWeTxkHx
AgPDWNz+afo9agf/KXEZpq1r5Rjnvq8SSVtTo62VQUR9CBKmDyKtsV3r7HV7F/xtvg1ARUHdfe+N
Tdo8Yhmr6dDxPWMf/5K99NL0pa2WLg22PHXja/ixybVPAhMdrFlTV4UaUChDQy73WdYN17CgolOt
7ybwp0srr6uN1t6m7x0+00b2a8CfR3OydP/a90Zg69boW+ylPxi+twqV3djfu/cGIkeinGCjsoO9
b/SjvwEJQwcPPDK7omN1pb2qpyG5DyIcjkOdxGt8QdjLaUpsKg1QyKp/72bK986mCAb9QS7tTvXe
+KQDmr73QjUZG/RF/WTikEmzNH/vm4qwQDaI8RXx53tTFV8mJhX53mxtRl3nnNbnWKSWbqyV6jRm
8/cmLYf9VlvoqBgNzfdGrvHe1OV3q8dcUhV7gSLa2qMiHq56bHqnbKr6GcsnZ5aQBAk28mKpHeR7
A5lJme7vKMasy6jJpwfH8TN3Z9AgYjAZEh8FKjofNllaUC8GJGqdSylg3eFA96nfknLQ15ViLo8j
15+83G44l/rj4IL5cOwCn6/KyLU2OvGcFn2y02mlQplxjeQNfob9EoVpXAHCb0ipT+jyvvJ+LWbW
qtN91MzoNTw1ZXj0R41WMPvYUz01mJ1tPcbvI0dsRxAXAoRqNTPlGIsAU1CoFglg52Y22CwYOy82
KMe/1s25eivMQuZ0XxWh8YmVNNeynLMrjI/EiWmxyCCvmliP6tly7piYWeBJmk6vD/7d0PylobmA
KP/5arousiiPnh/zf1y+lt1TGj1/JGwuX/vLuqrZzjdTWAYSSgKO0XA75Df+sshqSnyDaGlYliMo
+Ez+wu+r7BJyh46TRZjEePKLzT9WWQCb2K8E3U1CH6UhfhKwuXRdPzQ3YQsaYonZQ7NMTDLgFJ7f
R6lnqaUinlDtE1ZDZ/Q47mp92tIrAlCTJGl8LRI6M4yGmgGpk9/EPUq8tsYtgIX1uDH0QqxJYAiK
o8ZCGrqhiwsyHZctFBFkDI9zJwITg01hvpQ4irJ1IjumCWUpu+85jmTkn4MPkAslFUPigoIrP2T9
KmwyAWrC1nIDkRMTiXry+tbkZAvHisW0UdxdXq4mwggSquLkJE8zrIx1P7gdagxuanTpJDntmiJe
oHxTYp6CvbBuDJtWpmd0DtlGRkYKAWKGRpUbVNv9K/AazoWWlo/XtR6p7CDB3zniuAD7dlqFWA/W
ft+g7tPcUH8KXdd/AQ1AN0iGrcCfJYb2qglI1DjJjYZRf4IM5oQGrwtlsZ3FBOa7cThn1WOWEQg5
C7VthoE6NguaKfM4BJK+1BoQJ04JOcXrmsMCByWmd1W9MRQTjpWZd/V5z/x3WA/tHD8aY57g57P5
SsgyObATW1qFQReKCSuIhAj6TzGSAvQQkoZ2BtKH0WY0O0XjYZ7KUORPnRx2+FDr2yaz+gbSat4a
VMBEZLoHVcnsSGCRJ6iIJsoef1LPihqN2Ymvep2hpROf0WhQT3R8EQj5YCcgmRfdMNKAjGHQTB2G
ylS67U2JqNbxzJJWLsWhiak79DXzCb8qNplmjOfvgWsNNHaRcCBXs+su2lZVyOCYUhNpwVQ0okc6
I0oCsM3KwpOi3MVm2s89aYEazIUjKUNO7BC1GfcXcG+zVcX08FKLU1XBrLT8k9LqW9yWZa1eHaBr
6Snh1OKy5WDu7HHwMbZF0iASUENYBzx39JNsjXw5Dbapr1R2XDjCHg5zAsvQdokJhpPGfdGum3Ys
l+CwAO55bFQttpC+cuVWr6YQoU/GfAkBmgkPCLKWPJG40VsvaJuZz40gLhMjjc4EG4BZAcyhaLrL
xghVB2RZDc9GNjAPs1luJOaXMOz3OTbde9SGU7XmfO6PntuGFFpK1LAKIcojHpOQkQgdGBhH1LbZ
G2s8AUgG0CJXGF/qpLjyhxmGQJWT8Ohl6HEo1FIlnPvO0nwgFrRhFo97ot22TR2mWM9H7aaOaDqv
o0xZNw5iyFu3XyjyBd0NxSeeWXgNMp+rNQJ0YDpj9QyxF3Y+qSog4fI4miqu//6JzK7+XBvHEc1J
D6Zy6ZYwL86K3vWmRIDvCGzXuBra7HXy67rbjfY8jd68hEeveteJd1CH5JoFlLF3SjQMWJEwaJ7b
HsoJHNrZ2RNlwTi4iCtuGxVGOKO6xDqVMDkHQhdcqhfcyGgGmEzHhEJjF9801CSHGclLtMjaFpwm
JPEOuU6ZQDHKYgI71sIiXG6rGcR8eZgoJE0SWTN+dGWKt8ft5mbaFGMK0EfvMdZiz2V4TQsVzl9O
wAqzDpuMsmParpw4Ml1/zoTfPea1tGfoQiHiSkemcKEme+6M3RiR8wCyL288QTPiyuIiLE/tIYQm
ogdWd6sTKkFl3LrC9WrBpAoUEYJASENcuuiK6EXzDQd4JREfgbG2giB4CvwQSRn4DLhineAIVvdE
GsHwtnVCDgu891vZgyHfOp1JhOOHnfIv/ClfglPZcZihSWSGhiUc01Rslh93HJsYmXm2kMn6Mxw/
X+D2Mzhkr3/8KF/9OO8PI5caBhcF+5pYnsYHP46o9bBrxnrAZMQVseIa0pj/t9wMXTfHJ9jpsRqK
2H8YkhDd15w73Vq2c7n98fNYXs0fw8Nlf7WEMOnp2iiHOQl+yYUPG7MaKtusNjZqanrccX9v4Y78
XkW55FDx+xHkL97YpSD6/FDYEB3bXBLuCc21vjxUnvsusOio3KRFR93eS6ZVGB8HPmW3BZW2p0tK
9E6YwdZcdTr/0BQsIn3z/jT+X5TY/7UE5P8PzT/GYon5/bP5k/nH+1//s339x8t/gH+K6tePR8P3
L/z1bCi+ycWwQxa4Ab1PcQb7/WzofLN1Ax8PBzOLqbjufDgb6t+UpACHt8V5TZIx/nsFLgGzM0fX
+dJfz5s/Nfh2Pw++6WdTrAl8ZEv5beMKWs6OH26hODVHP62A+2Z+0F6PfuCyq6EPsrvrplU6J6ip
tAknoojBUss1l4jLJujEVB+mMR5T6tvS1ALnZaw0FDpbNiireJk7v5EohLtM+z770IqR/1eltoeC
Ul8hJFHksPpuft6L3nkKmj590iHd3DqhouDupXTcwy4aphTe6QBi0mfZpXYy5vHNbZ3FOszsJcf0
aKhyLRNnjPaJZPskgMLornvufTagyugQZdMDZt0eiuSCoX19WAaO+cp4rofgXtPjQJuijOQMUlJs
XheGZiR3AuRMdxoUrnFAOEn2YIV0RslQwVpTe2E7TG9hbogLM50Z2M4Opy5ZwR6jP8bk09EGn+E1
Q3TUUkDYhmCVhDbiadL+rGpt2E6iI6KOrPliIgIRGlwTwPtULcXyjSDHqtxHJdFbkL1LQYgzYoTM
2dp0JztPpgEcOY68yfGUhPRX9daUN2lFT3RNczEhxaUkhhU3v1UOh8hvhvCQZo7WnpgIeNunzGhi
dWeaEaUmbES6xMiyQnttFbAfVpXds5PahiT5FtC2NW/tADqWZ5QmE5PYsILMm+gi5Oue1u2LrwKO
bp2Z0vBA5w6AhLy5U5eaWpKFYqYwmg2zvQZRlWWeOdsVyRStXsynFM3TtYLfiwxoHHX5rKD4SAae
PS4yNzWCgFlmyATHysSMY7yOyZOB5RE2u7hrUOrOMo+BL7VdzHuO/4rOMZjpMz70IQNMryNnSsZ5
wIyhd/i5ckkvcxMbXX5fO6mAFkrGkr1SDWymVQMG/4ZFFTWXgRrrcGBGoUH3ULSWu6FDzlyRZ4DN
grDYZCcMLgqEmw09c1tpzguZkFx0qZvWCt8nHQt8Cx2S4jQkOO9YEq7DJqtmF+HFMD+WIP4bjwQ6
4k2HImSOCozBZpxeyvHB0cR4adQEUTUlYoWVYwcRqGZ4AsF26HTYuZNpJkgrg95/jA0XM5Ddhe5N
BBQbJ5IYwRLLgO9RlX1zF6NpQO2QYn9wiyZ5jSuBYqPIhugpGCN5NWEG5RCOk+ggBaKADL5xwQ04
ljQpExTSS96d8m2Ia2S/EYXtdxQT2Q1/U52XelSHG+Qt7VUSRsDb3DgfuEBoo0NPypnHUjZmOfp5
GdDqjl1mPczLAUsYNRLybkg7wirDUrwZlSguc5Ob26PZjTdaJ4PMZow3tLfBZAM8s5rWirepkSAG
65A4nmrYBrCrxG3znMxKP0ubwFZrfO4CZVc626fDGJMcU1eJDp0ka3LyDLQaFDaM08dsHmMN1m5X
I6iX8InR0kDd06AkkRNYR8OCYaDR5wmm10e2yqd7Hc/skzkqsFem0aEzlS34F3QYVe3pHCqGVZ/r
ZMgZcSk5O+epc0hgYbsnNFF/St0cQ9rYKUVUr15kFzwoY9i0zrUFYWKoM6GP0a3wSXVBSt1Wx+AD
7adiqjiTdxVfByAunG6azg1Pm8ovr6iu0AkXmIC+o9hoL4GFmMcj7gvcHSIhalxFQNBUFnZ35C06
DOgQXZJxQyYTRF26a/dp3CpSmCuNciIgkP2iQ0E38ooBY63MyoHNXVZ6daJcm4Mw0DzttDJVAkjR
zbqrDB3HsBbsiFddjusS7ktL+IaFoGsdaeHsAE3BZbQCparFuA6qOjvBApfcdxDRbyA41wZCm55G
nDvY+gDDLEXtYRlxtC/JugLikbAW0XItGDiYcEOaFc7W4EkzU9x+sgmVQvyv1c9JncXTXnWK5Arm
TukrfDJrRH3i+6dEL7CWklmNkrfrhnNCcW0g5wXPmnl+wZBqDMPwWagRJtKQ9C0jn3LKO1x9FeXR
HHS2WAu3hBWOpc3ZiYbp6WoaYlyWWS2SN1Ha3b2JF2SxEDVz4gWB7lbUopZ5LU1mVBhpg06BscME
2eDV6j1UqghxY44C38knMy+5UgDf6X5ovrh+MdQboefhXYAW6DobdeaYPqqOmzSawAmohmAG1KyU
1DHs9CdAuVQtojGz+yFFnbIzZAFapLNKLqsRGc1NzccEDA7MXYaygQA1PurEeW6bEPYQMPSCHk5k
kCyv0Ufw2A/QgsQlFc7yawvpuaOoc6FBgjCFbTocFRPdkB3iL3HOPCGq1j7pD3wgleWf5SbUaq8h
R0Rb17xa9HGavgwfE9NduyaLOWO+pSusmTnCagtV3Xq0aoj2Letn4w2OM0Vr3zGH4xJKMCyuGT4O
jzvzfJqMbKFVS0ge1BUyFAdsLKl9p5DdHaWdb73RQgCnkhtELh2UMJznlSn9giw2o4UnnOkDg6rE
RrOwc/K0NXatoziYdIUMfTDnpfndiCvttcnnGECmCQx/hugGCRr378ABQxjc+NLPB89oTYLsDeAQ
qGCYp4TEz6N9zwiLgRgyZehSgUGnuAHLcGKZ0/QFiIolFSe1sB59UoDx5bR8g3VB8fuERkmBmwMx
DEeb/uGFLyscdiqOL402Uq81EGumnI2fvCF2ZywZ073qV2THjsel0dVvqjS7Z0efceMN6K3Oe2xf
dISVMRPYPsf1zNveAuUIG9JDgkYkz46c8S/1ZmNtaHJzt/lxhiHAJdKko5lkxKctEUC07w2HC6f3
nfRZKs0cNp2wqeXESLbBykG1+NgwVA/Xg9m6z4PVJfuWgBdA0ywtx1z5/gBmZm5PwqBsy11aWG52
jA5Mdrs6yceLwXHnF9eom2usMnj9Ivj5Z6YoOStBj4cuGtRNBR3FauRr6VI0I3wJxzMmytC8LdY9
h4u6DAjTifMMtrmBjJcBdaxftR3z+qMuNEp3V2hwTiLkLdbamtL6LK3ria4Y15DJKhMYp3HO3VlG
M8koXaYaToy2ATUCbTYCvSlE5OARa9Xew9pzjusi7r9HpRpA3KucQL9sRimAHZbGXNOr8rxGfA/1
p6pz2+O/h+OmE909IEunYr0MhmO4hxIspE3mCeNZFwKfgWmMhEZmcbfZMHFrdNjh9/EoNLISpql4
rF1e1FGdG6RnoDl9pClbXwb56Is13kykG43eONgLJvw/YSEwexdSC23uq3qaEaiU0F8U6evHfNbD
d6OW7ptLmxWTbmQvrgdM1t1Oyg5Ofk6nD2YSPtDV3IKBY3Le4n6FN3ePjr/WOEyV+XXFOnNlQV+N
oK9IdDsm0pANiob4INX0DeIomlkTLaxDvRXpq0nEzHUHjEs/SMxWux0tYd4ikHCP7aYva69NDdRq
7OUdztCAJtaqTefhKOgkIQJFFyxgZ9p/HuWF9hqXNmcDCG/k0AJPxn2swjQMCUCKaoQcyaSRQo5Z
YusOhoVUoFDdZRaECNcZ1cx7NBzBSHCg3+BBinu8qLRx8HGlto8JqcmqemuGcGO3Fv0hizmNSM5r
QWd7RZRGr1aWiDjuu1U0ksDXB/j7ssphz/j5uvpfDZJh6T+EZJwW/8ge8/9o/pE+5i8fy+T3r/t1
NG19M3TKUBdJDA0Uy6AU/nVMLb/R5YDCxxhkGUVbfxTJpvENyTbKcZAsDsuaA2HjtzG18Y2hi2M7
plK2YyEL+ZkiWYmlq/JH14WqWGeiaQN8sS1d6Y5cujIfimQkuCQBWdhsJ6M75KxS1SYRSMVTUaKB
CkW6ped6HpmMa33nqDRTgP3dSQnti1LNMJnOcqy8VyUqPQ1NSGiOrwHpT1MW7KWn6O6tCwdUUfTY
tOJB8xFpyQhtGXVw4cV9+9hHwqvIvU/QVYCv3ecWZufAUZ6Q1aOQOyEO4is3PkMuXJOvQl+xJO2S
bpRXHLklm/LOco7QHp+1dgtCAO+SF4Z75GzdrkJlaVIxbsg/ZvcYyCtrtxwmmL7gCSNhB+vuaqTU
lGuQUW5ygUUwKi79+DgqtwxwLR+x18pB9lztRHK67CbyML1KrxhvrtMzP3iroO5fVieWzgDE40eK
mFU679NturVuNZ+z+yp7cKZdecXClCWra6Js9AItrNdEr6FxmV+xv15z9C+INUbAYnGqhcBFSxbc
EooiUZ5U8U4nz2eOvUYbd7ghwZYMaOnn9WE67mu3OrC7i4LQgG7LofqYsGSEM0tfbEVUOrnEwhtD
r7ubnrUH7WF61t9/1t9/Xn4MH9u3X34MH8Vz+yaef/unf4PXtLN28rl/IxgAodBq0Khj7Om0b7b+
tHV3VbIX8Caki90VY5+JEMk8SsvsIcXaBXPcReB3z2h9VqC0VuIufZQmSEC05tfDOrwc9cOkxea9
WxlecUhwKQQUpnTsIYN/hjXAsLZDuO7R2xRnDCtG6IZoS8UF30sZpMyin0Pmd0b+tyKGGJSiDfqC
H3JrGxI1N6zvR8+hd15z3EYbeFTx1fycXI0eMojOXbkPvSfPVvWGv+c8gt3EjKwedll9EJfPwjmz
iK4Kp41J8kjnKeXZI3yw9XTO6wypnpETtGvQFsNKXk/n4ZMPt7U5z4A95EejOMiPfeiVB6REeU7D
8CO9DLTnoDkD6iwOiSsIdnx5Aed1vBzNBys/Orf1bazRo4GRRQQbsHYGamsxAJEFVOBMxZasakRa
yPAX63V/CHhq4ogrj2vwDOZ4HnYHZs9o33PUutKQOJheYW0ptKqTkfR1jdMUyWg7hkgmc6Q9Trpx
i9ux3TsXDxZFt8tEAcHdWd2CJNsEAHxNbxLXjXbe9B2iS21FiEasny+lxVt4HZ2erLdrJz1y3rbV
uC600+HxBAsGYMVVsuTlevO8heZSNngovOYUqmezbuaNa+5rNqdr7Qx2HN9RTBuk8IwdlqDphVgi
9kn25ke0zMQqmTZS2w/IJB5HzKYUBp7UzZ3AGiE1i60rwy3KDCjKvTrS12rWDtzwOAW8Y9APoCc+
Nhhc9km7h8G2KpHFAPxk116em9tuynP9kUYC5w1xg9qyuiS6O1mGVJOXpQDCYDPgkyAMuuzWOu4s
hwXmTMgjBKwH+QuhqCgipdcyG4nw75EhYXBJea3zcgYEhqfGJwqs8BA7urnKSHBVDwnyjFC9kl5z
21L+WwdpeUiEc+ZuUOqvnOA6NG6lY/FKd7m+TfKbXL/R003ZH0+nzuMyWGpCxHRk38xHQ3rMqA+1
5IYx2SqHAXmuT9cxGTuAlRHmnKjbgfXQWBUX2QWOVP6dFu7F8ov8rDtpTt5/m9/75U90llf6JZA3
lwUNw9ov/1qN17wWJxHx6cMhC+N8PN/iY2GdonBbzZjtHcykK+e8kqdgMo3picveJOt9fGpQbebN
KadUrqRbzlGBXEcd9xTnnRbtjmYukb3wVOZ1oF2qWqPePAxKhP88C5UfNihfCBdYDe+hbkc+fvzy
sLa+ZxsfJwXBzBNazhlGMFm0d3CcGgomu7zkXc0Nb/FNL7Zk6rP8yVlBOccDjhXQFZ4Dr5hKfrfo
abGvkB9Y3qUDKqZ1jj9REZiNIPrR3sdP3eARtuhJ/J7FqR3cFGyPKCbd/AD0Nl2MGZ74KRJ6LKM4
okdxxyhsTb2Py1Dz6AKCyeXewRviCOwHiThvAQNkaFIRCtUGiLgji5s2am+lNW5KCdqhtbZCQcUD
8cfx8w1/g1cScycI2ouXcxpz9UR8943kiY39PmY2jUVzXJFrSzsrWdedfp4hOPM75kWS1tR8oZND
6AQ98SHmimas10kD64y90dLyeLGgW5ODCiJdZ0W9GYa3Idg7zW2iDfgdEPmDlN7G7rlmEq0eGpIy
kvwMOUUXkZVLYoRdDDUz0zuXXpvRABNwz7LxygiYoDtqkwi50UEfcvqAqb+UNkM/b7Vk12njg2X0
p+SZ7TH7nql0vMlS+0WQ4hDIszDHjscI46fmOv9q509jGfv98znN0WP2iIrn48nz/St+HdAo+5vh
SCFs18FQyKSFb/abeAddDyMRqYPXU7bxEdRmON8sIVEu2qayXcs0OAL/evZEvMMsBYkkh1VBo8T5
OVDbu/Pwj7OnhXTI0dFhmgiBXN1w0QJ9OnuKNgF8RVQQUF+sQZSOInp0IslAeJAoh1clOdfL2N41
LgtDTzour7zq11jJcaqn+lTBjdB7kvQy0usgymoGcjliS33kNKHatzoACyz5dFs3o8lYvbNT7YBE
FwjSQ9dP32FC0lDwS1xn3tT0yW3ZQsaiZ4cJn/i6y4kIUpKXWmVzuCAlHv+9lTJzyWYpUw8wIUJF
QURMsJmVo/wFQg7gE9qFuc5Nae5TooDuqrR0cWX4Nk9QmP6ZkxY5jZOkl9ZOszs33lVWY5w3g565
LJvZeGOTU1V4odvOFUhNBk3UY4PUVlEzKUAFmnOKOy+h4hMGp23Dxc0RYWai3eOg36ahnCE4NxKy
7bExbUU+GbdBUokntYhyoDSo6JGuRw2vE4ITTX+oDIQcdGKMN8bc6TekgsvbpImy6GCAlv1EHEl1
LIeBcMlI5cxWdETeOJjNmLCHbna0a8PySRKPCju5o9CR6EviyaBV02EM9Ros+nclMIWZ1gNlEj5P
vRErjEtY1lRrQMpHKgH8gp6lgTaHVPttMPcOSJJaPRZg6Dk8w9K7E5kZPvtY1bDG2aV/RtYtLSwC
PGtzHc5u+4Ds3jQRKCyJYKWSct734BfuNGy4mPJ6h1B1I4k75CktXiBYndFDLTVOeVpGQ4bV0zVf
+6oboRKbOjpaoBTxls5ydNfDPob5GaBJ0uQEpZVGxZBvZZtw5Kw1d2G3+tiDtn7Xywu7MUccGG04
HMlJwhjgAeax/KWgBhUZvBZ/MS//OppH3u8wLXQoBk1pIS//fPfERWPrfN9oa5FNtIn4EDkOSQEA
34r/5qGWIvDTjcrtqSu1jHRN1g3ny2g+7aI0qA0Vb2lwnmtqpv5RxO8hXiFIGWr9uq2ifl/yy3OI
4cPJ/+WVm7fsuWCgFwVh+59n/7JTebTbP1rtrx6fPi3173/916XeNr/h7lYC2SVyEPglLKW/LvXL
H9Fj1X/pPljvOvnfTOjqG1W/UDr+dJ0m6LJA/7HUMw+1ljG9RaOBD/1n2gzGci1+vIAcm0x1BGC0
gxW6eOvLSs8ICRSR74j1jGV0NyXqwKyIzHW64U3gSG6Ga7sMGi82h+eGAC4XBM+hNpdw9zJnXcz1
Pl06mgjtt6lmyhOrvf/3JVZPlzhDP3smftjO+h/wX4Pu8R80s/6xeqyfupfP19sfqmDjG2pghSwI
KS99q4Vr8NvVRueKbdXiD3Xcmo7kkv7jakN852LzlO+nEfOPppZhL6AEU6CI/60V9p///dNCCDT3
039/JAh/6WlxrMC9weEFC4ejKxZIXvXHnlYnytwpFzRG2mfqKhq7Bs42BbSnill/MktXMKsh1GRL
KkN3ks9OBil7YNJK+zNUh2J0qwtrrP3DCWrcLRraBlEfrFU8SK0+PzG4Tnc+bjBKlBEU4Yeb+i+W
9UUc/flecYShQ5RwuPV4R76eijR99vWpgJROBsb0CEZAXCW2NRHE4M4FtkC3vjF6SuOCMRsR2ZlY
E7lIYtsg4tXCwz1Enkstq9FfLLwBpwRZu1pifg9CYwO+Vp3Sb6SJATf5zqwNSFfVbGqMWKJ5q4gH
2NiQUTCI4zK9w++I6DbAoIpXNXemCzuOw71PDtWhO9UpuKxMooBsJyLomkiHevDj9+LrFufwVtCc
NASfomCPW96qD81JptI9JUExrhHjwapv6X10o655bqnbf7PFfRELcRSF5sZ1a0DkYDV0v6xQUZFJ
o804Vdk4cWgOlvpRo/mU2W7voKjwyWXt8oufX3X+i3Tpf9lNzeYu/+cVzGH9+rV3vnzBr7uaxaog
lY7CzLFsmI/yj3XG0L/ZlI/UD+xb7yvN7+uMZX3DqWCZCicXo3x2m993Ncv4Jtnp+N1f2ur80Zd1
5UfrzJcbFcSzzYFo2XcpiGwu0S9XZ6CappnA7lZC3COkpKNUFqAT5kzbWbnK1h/emb9YGIwvl+j7
4/HMl3OfzjFafVnWEuHMI0l+S5ZiQtMK51fmlWTVb9G65tvW7tud65Moq0xgoSHSrDt0WZIhlCwO
S1xFR+1Ar5Gu5hElEN7HDttsnDZ5/HN37fI8LR1GIZoAli80pJ/fF9cFYUSafOlFqn6oCmB+oVm5
oEOr6ujHb8mfP4GFGr48GjJEheT+8yNBhTf0uWHchsO72g3jaO9ETNMBw1XxoEbX+ptX9udPgJfG
OdhB78gURn75xCORRqgkihpszUDJGM/SC5McohnO+5NuYLQHcdz5m8/9L14kfRYeja2AunuRWX5c
BHFEZU3KJNDLTdp+GulVq7Kh91ujGjowC+3tx++pWC6jD2c1Pj6uLZMHoi8gXQ6Anx8PrXxgplFS
eXLG6U/EV9J/D8lWyleFnqO/QjUW0jUztCuTuY9L2GptX1UwTF6UXmD6HcySDnEw1Ua+scuQqjEE
7oU2CFj0uPZjaV+nRm8+46XVHyqaSAOZSLNzFWeFUR38+MX81XvHBYKolLk+7Y5lg/mwgdRRRfpW
WDI9YLS+z+s62WUNzvksSIqFc2xvfvx4y/f7/N4hkeYcs1wgilP4l1vUwhSs9NDNmQZF1bFW+Jwm
0ljf1BWg2x8/1PIxfHkoxUlLcv7S+b/55WNyjXR0mozYu2ECNm4SVHngOMDLf/wo76eNTw/DEosp
25T0hPAULnLdj+8ghy0NUykPo9suEX/lAjiKfUAkSCU3yaI7IuRqhIBoof9Pi3YHchZVi/DtvzkX
/enec3TBpcWZzoBoZb1D/z98lAFkO62zMjRtPWgLp+cCLfPcOk5HBoNNNJprM3CNwx+//OWG/vLq
qVkoq/gf1dVXTTpW9B5Pl1Z4uNFjkNZgWNCX0WBvA1xcEHl2SNWcNar16P/gjWdqxiJqIa12KOo+
v/HGlJlEJfJ6Cbsi5sYgRI3DF0ZVLRP7WqNxM1DyncZ2LY67njOSEyt4B74Y/2b9+as3nmsMtBRv
uoE2+8sT6XythYNaAtSKGk+Lin0G2maF9gaHJzTSo1lnBvez7zu2VCbjy05Cy9ExPz8mNCidvJwm
QCkDuhTsfeXNtPOOcjymZHPj/nJIxvPCPsj/5hP/iwueJJRlN7e44FC2f7ngW19T1RAuA2ZbxR7C
6PK47QwSgfIguhnbmqFbkkLV0ZJwE9l1vUHTkaHlBZr64/fgT2sJklTSrziucNLh8PPliYyxk2R1
hphmcJfUnXwhgPQg4+PByf5mX/vTWrKoX99VAJIjsKV/2dfSoeoxFypAI7mTHFTwczaWSRblj1/Q
nx+Fq4jbiW4v3WV27M8f6kTAouzGIWfgr4O3ob94OQKq+ZvL9c9v2//m7EyW40ayLPorbbVutMEx
ObCoTYwMRpDBURK1gWmgMA+OGfj6PqCyrcUgi1FZZtVtVanMBAJw+PDevedyYGAXP1t02Bqe7soa
0Q8urOR8WZZ0WrowS7ahhcxb73LjzA96+2WwplAU5DzLwRadxusf5GPNCluTS2lVqIP9LS1t00Su
QywbdikPpwDqyKBOftfD/uX59u2kxIIGUWDWjTAXzuaKP6fkSFVkGBkdwkSpJZvR1tDJpn5+6EQ/
HtBZIEdA6wY/5Nxs6Hmv1SIcwCTLGtttdj/UA5G1vL70ZDtIstMyQY0gawKC4yJfuMCUb6JIL0NC
5upoS5gJJ+O6HYKdg1z+S+cU3r5QQcs7sPCqXVujC4QpJuIvomuVlwTCa050qcWBM1JhJpBgdruP
z2am7C+qtbRsF1hBeBWi5awXAx2leluGFVmIBIKa62oU+Se+P9R9oe2GwzZ0XRe2Ae6qqzypinot
0UGgXamC29j3EDzV0qFfDODMTReFAVMNTEwR3w0gcI5ljS1UuZRtMWWkqMNgv0TDglAi766ZbMaQ
2eTjtDaKBmtvB2gZiaTVKNrHOV03rHa0GwUoug1iMPiDTlV6hGsD0LEvrLbUfmA+tT+xY4dHwlZK
fcHEWd8kLZHoS1oJ8kIq3bqFftTH664P9IuafYZ9wLGaPhVFU2KHi3T1HduI+4hxT0J/CAPo26YJ
+iyTfmOthpZg31Xf+/qP3lTGE/YRLb0B3mPKVTjOKH88I2jKeuy2BnkZpL0iaozmOd2pdHT4xOvA
hRfAg9aFwgy6Jk1yjmEp+/BK5tJ4rLJSjgsNK+VIll4q6L/mWCmAcfVkBABZc0lpgXRNyHLCmb1I
Aze6aMkkkStalFEF+M7H6ODVEjyVgbF2GQ6YNrArRhZBkNBpF12pjzgK6rKz1/Rmqq+ZLsJ6GYFA
4vgyePE67ChXbCbcRgR8GBDWlhNGnGtqP7B0MyOPESApLJ6LIKdfs6nNpiGODEUeAgVXBunaKE2b
1EXh4DZT7FY/9eSPEz4XE2ixcqAc+IsM6hz/3dLzz1DYp35VQcx6QqdHa5kB3hMOlLdTv/QAix2a
rG0BaaLW+FyVPaEdheupFvGJ3j/R9GQUgfYfvsnSpsFM2oa6Ce16JNV6trchaXWnINxYxHJeAyv0
nDXeDw4TcTukyHscml3Kp22NkRx37Qq4oX/hjNPobNp4Nl9QmgeIaUX0kozUCyJS8ZoYO5EfEhOD
l72/Qo+b/OqmEv2RKboU+rjd38CfpME0dJMJfIs4imvyQ9pkOTKu+03gFxkppkhgj2VmmI96z1Z+
PbpGuQtRQwOAq3HFZrjWu43nDH2MqRuVP6rC/Nqt3CgldiIX9iLkkAaruWprkg3tPPqJxUJMMMgw
w6wm3s+96AtkF7qbOsHahfuMLVhqc/PPVcOuDSZFsXgcbPocsUuzO4hD/RePn21X05T2tJrGXvzC
OhTpy8rstIZ+FijP1SQnUFd2Apdk6dkClmDjwm3q4cpnqyHXp2mZhfR9iDnM+eJDO7IOjk0VcNG1
eVuvNMsZgP9mqaWWbaBrqJbHRkdTamsIy3IttVFSQ/D4Hps2zK5KU9FNA1BkWDRt3Te07JBpLxy3
cL4YWjcrnRMsEqu8AFIpU6VoOuGy/gmYg5v1oVY/5E0y3mY9x4htVzpBuCR686LUdR9DRGNZWwfT
g7NkluqeNKv0PsNxRNktKAQLbCQ5biXJHIelpsy8Z89twmlWBPR7NWBzWgC5MsC+hipiBEI5g6sW
BMU9zgr016hAsaObo1EfEkIQRyoEsOIRvVbObZ33zAwObv0aQ0tYPBoN+Fao/Lr9026m5mvDubjY
9l1tNzuAfFBgMHrby8bsODE0cqQRGCdFe+fkUY50pMkHcgs6PDWL1JWodPt+0LtdiBXkmFgRVnwI
NbMjSYY66DF7nqpF2MfwA30TtUkamJ+NvnIfwODrzZacqvarN0mVQuQmDWMteo1AGZTDziJMMrta
ZwYe2QWIK3XVjBVGpnzCPASN0Lviqyy/ht1Y/ICIWvcrZLIUiEshexDkRtbtIVtq457FMTzqoJ2T
te7khI4wPds/Jxve5jLSSrKYkwqgeVh75TFuFOCDbraoLHHe6VeiddFbhRzlk03n2DXk79Ea3F+8
zj6/6/EyExEAp6FZJRkCaQZVYPyMgdpOs7m5wlWQycda09KvUyj1aRVqYkiWAyGgOrx61wKF24QI
8Zos7r9wDkwQqMnJPk6Ubk1mbpkVF1BJXR05x9ilS/5qrbPMVsOhTFzUNQKe2I/O9WJSyEc+hkWC
M9BYRSU2RnwMA6f0rMsCuXNRidDDjaFmLIBtazvVkaG96NUwOTR1AbugltKQcvnxlB9ip6/1tQjo
unNDZHsuCOPGyVDj2te2BkjMo0oGfySVLCIk0hvJSRupwdQonkHLYtsy088sYA2zcG+X65JySLiM
S3/67iRooqE4OuN91up45QYQ5cFiFB0xXxM2m2GhCp00UaxyHinYmUP3u8sSZHFJA8l2NeYQ9jO/
JrsdH4/8Tgs/MVkPAAZDLiMJmRFX0Z3i3RqHwglBVNQECM8Qv7T6pKCDhqsINDcSmdAfCpJ1Rj7K
oCNmtYFu/MV0JpRMppWSEWyN0vyVdX6GET7Ejk8tZWJqbbU0f6IejaMI64r7Q3gB8tWpl+VX4PEQ
ePD1W3fWNLv9msiMD+yzKixNfid+SCX1Z0fLzZWEwkNERd35vwKoU0AjeVSAAKupuKk4VeNmMc3S
JqIj8Q/okcyf5tQ3FLmn4mvWjvbRD2l5wL41q5s00YwrrRjiimUvfZKONty4+J8oaUCgVND9dBJJ
QERtoLqxyGA93SQyKKASY9X3ZBEjmDLzDrZ5obXPYLWnJ6JvrQetsGangIoC6qUQCtYI6uunHnCI
vZzZJKvMhyV/ZZm5VV/Ek91/JhSZUycPTr8qBmmMSwQO7eeODdO3ofVqsQvVBKmqyA3mVcARtCMA
QK59K20IzbRl/MWyfSoXZJvVG0MlSElx7sDRCzpqAIs2iPiw9CRtL6tyNgURzmtMaNn4e5YswOMv
v81o72fInAViZQXkr0GicD8VI9JOMsSmz6pwtGJVD/Z4HRcKdmOVDJxaW4aQR+EV8uzdQFwLUgIA
LQ+qL5mZjaF2EEnKkNC6Jc7SmtwKbJo0OaLJR5lhVj9rwk8eEEXAOkkF7ayFTrf/MaP3E1/4dWV/
YdDKh7Dsy0vWuUAuvEwO2koMLskjbA0BZFhwZ1EupwWOJtnPoGLdIHpo48dl6eMZTQNInUAFw0sd
A9dO1foQbYFTmREQMcP4oo2SBdHJtNIkwRssMiuKER4IETDJarNx+VAswNgh9CqChutl8XflDjUQ
3mpEpKkcG3pElKlob436kK6rNPXuAMEQQWfVuEbAs9r1PeRm8mEhhuLhAEh80eodCu3airMnWmDG
HacfD/IOqkYhm5HI9DjSIfjpUcJWrJTTyEFE95/8tOusBQtBqnDokl9yEXl9fltHhR4hVZjbYbEe
mkectpZY+q4fAwDsA+Z3QPs9mB4HYR3cavZsTdwSi2GwEcD1BkLyBoc32zUHvCp2+YApydS05KeV
6Gz+Jsw6tyhdDFSMwuguy6qkTyfbDqktOwLYhwPkbrZsWe+rdWIi51jhzJpuyHVDlhzVsvxJjCVs
kkIYsE18YFmYwYNO7NzAcS6cIq23QwK41/qdMCFG54JcQcGbadvuZhjndLuZ6UNxdqitZKUb9XjU
nJ48kBFyq3aLjdicFv40x9HjeRPPFtvFZ8LCKlBBsGCahRUoKugDuXn0N60+qVc2Ft7+okj6YV2T
BgHXN01pO0h8m09VJUdzqXc6z9RnMn1WbgBF12oJxEGmOOUrV2aRtgYXETkbB/arXAW5T78CZvaI
McZIIK2MlV9869gM+YvKTzgmA8bDtJVXoq8wkYbyKlZ1QhZfNwzMA4QsLCqpDyPOayL3KDnP5Tht
1PVbK5ozsJEokbaGY51mRjo2o7XC49RcSXOcWmSPFctoggg7MVnv2aHzd0PUsHvEXxo5Yk5gmbgO
MhtEnClIB4HoOFUXA+bFdBVWJnZGu5NAIzuHgOrYzfqDC7QV/yv7/h0A+zFZdByad4oAaPx+aWnd
td3QXxIZID53iNs4LfBpmuz01fDVJ9xjYVDiUptJsR+kkVAam9oGHsBhjqV6XWrWcOtLDU1Z4yTy
YSRpB7V2MXd03aKFny1oq9RLO2POWWrsCwpE4t1wZ40knC6myBI3QTHZz41o2OIrPyRGyARQ45mz
uzgM3AGJ/lQ+2eA72Q/KOKDA5cMpXBaqKHHOYnb80lZjJJeuFaI9cz3R5MsI8ysbKr3mywkKHTxw
yJpL/o0Z6xgnCaf/XDeVNeyNaqAvVRPoeS3SHAWrjvG/hO2pqYupGjnZDQz7GUgsLVTd7HkF6xtU
qd7FhQpvZsKyrQ1j9Ukb6cCuePkCm5sYE2pgVbdKW2C8yKtr+xJBi2Phzu5mGzY82YNXgwJahRgq
2VXCCWJvIor8gTAAx11lwMp/qFR4V0OcN4emLPpuoVTlTEtKnOlTLytcfIGPKcslnATas+3D/e+S
XtLs7ggDK9i5Xk3BPKeA/urFmn2SZ+BggXuz4ACKqVbJ+skjzLC+AP0V7RqzHn5CyDPHrTtWrbOq
XeDEK/AxlBewzQbfrdbUeWEF3GSH3REBbcpNAeymok/W0scWaUD0lhyblR4vrYTEvSX3FJgbVkRP
X1FE1OJZ+OVehJYiYtqxreTbxFdsr0atzQ6pFvC0AS9F14bVWb/iarSe64gUBxfQUXfB5o3THLzA
CHextEk0DJgvHD8jxqUM8xgGfI7GlxeX1stc5eGuapD7zVEG1i/00WSwYaAcgqcxt8kumHvt8MRq
gmuoU+C6rYoAg0EryJ6ggBOPuwLQLzJ7JGz2potVCeI3quN0y8qapiuydzukDpMbuesEVfh+sHA3
osEMY+Ye4OHlQnNZLtnClT8aI4zRF2NEvE5I+v06NE1zqKNR+6qGTPuaUmV2l9ZQGKzq5P6Zl4FS
yDo9Vs5mqfVlpS4RBY4B8vmx/Fbl8A3m759o8JJM3XTZllngXlsi1+/zKJbjunPxwS7oBeg/m8FF
lt1485EZNKN/l9Y1esaUxPmWPFURP9pNb32p+YiHXdYo63kEQ3+ngO3ADUnBG3GaCgjIKaBQAE2w
fWjThDjCH04p0ewTJmH+MinEj6ZOIPg2IkqkINKrZUqB3FaT7ia4GDqPsUt2vdm5B49MHJ54F4Y7
szIcsQQqptiS5q35XTrYYrHlWHW+k1SCu5Usq/gS+1VbMvsWfr3Ii5QwHwXDTOIf8oS3kT3lt0Ud
xzR3Us/Jlm3sQJWqMKNf0wgLNVp7xJNuVTPVn3z8y0cVmRSq9aTEJ0N6QG5tMkW1ZplnRvUzGtlo
LiY2e4CZB729zSbwxSsnSJIvdH84mUZ945k7wjSoBBLMrlMKactEXUKOZyuJN4Dz5QLRLPGUI4tN
v+JP3ebYx4X9PRK0bBZlM2oshnkbfzbCJvdoylvVHAzopxh4gxE3eQUnihgAin6/6KC5h4mtfU2G
cATbkuPqoRaZE+IFLSkG5Hpvh4z72LdXdL/IQNNtQgGspsi8BdOSD0nCsfwbVaXsbAIC59QltZR4
z4FirBday4FyqWoYWQctmnpsNR01BdRGZd0gZoElTxBTB43zfuC35VAxiJEXnSR9pTEJTlOmi40o
AB7br53R6L6z/rbNxpNGeDUkfmDvMjiB+S4uUpsdkHQKex0G86CMnTQ4pkU8fPlvqNwkAzXodxUV
xZuyIwOkd4Pm+r9zsKgz1ouWb5ob6Upn0b6A50po5McdgDcFc0nheFaQUjp2DGMGTf5ZuXZUVftT
X+A+TjSLYkGbHzR8BWDdZXJNsLt/78e4CD++6ClKay5au+YLB8gRwHjlSb3cUlnf+lkMDc9qUnwq
OgC1Pk6rbWWpeK1rqb8Thoo2KWVhHNuDsQEZMv7dtgQ3QecSQSVi3RkK/Pqna7ZbF2Zgl8tpaI3L
SAFHC2lzgqcd8uPHP/hNn2W+lEuDQFCsp91y0mcx2gqqkcUUZ1HU21tJWCxU2Ja7/+AqHgoYE0AZ
oKf5Xf/Rj61hxQgl2eSbgZjWaVNo93mRVGcUHm9/C3tQj6OEhZSPc//JiKnQxxOjxfamI6Rlm5Pf
RtBYFgPZ/vjXvOkaSVpg8xPDjIA+/FQyCAXTN/sQ7OfA33Sh5h9CyDvVwQaAw8eXeucjYLdiAjjD
ektuzEnXaARCTBz73L7WneBymuoeF3gak9ubUVZFILtuJdCdjy/6pmdE48akTi3m0CnpWSfdZDOD
SiNYByh0c35rO/bmQD+cbWXn3xW23FVNp5WAHZme6ZG9SB5etdDnK/N/jmmw7CNXeD1OdM2fK4p8
fSZ8UbyNaZ8CDK3KZtfEM6fB9eWFNhiUyOZw26qs2n1Bg0Zfqskl500LzunmT8XIL00suNyCz9CW
Lqbs13dk1xmtm4pnocukvEvqIV0ZHTU1Al2e267vDplmYnmbMF1NWtPtOqtKLzyrHkA0zge4Dn9w
rslf3hCW+9ErYVA6fkr9wMydMxPmm+GPtv/l40JoS/d91sb9+ZEBj9Z9t8GGB0lqeEi54mo09eTi
48Hx3lVmHC8qg1kg+ka1AkO/dEpIJxYwaPJs5RdgQuVvseO/7Fq+exEp5l+BaMuQJxNg1/Jh6VC9
l66ZWBe9UOlNNxXuueH25kPmicE5QffnYGJCsfL6ibXmUHUZae00R2EamT2BGEBRvQNbbFCrdAIW
pCfpG6e2wttWNyBngmggCMSODeAJcX6RYaTYu/WgPRZ25377+EnPsW4nghIHKQ5MRT4KMHhzVtyf
L9RAZouVJCaQJrN/6VGgntpS3Tn9VOxNYD+XaY1MebKBzi5kL9sr17Vy0Lltj/dwDIFgDFRNRdx/
/vi+5su++kh5aiiwHUabjuBHPzF4VF474gMIC0JuRbYJioiiVicC7JJOcjmp7hkNcLYRo/fz4+u+
87aQ7s4zgw1zn3n39ePgADIzpxkUicPWEywLe0efkitmqHMz/NttACNCzMw78JIWzreTbQDF3Y7I
l4g2a5LRWy2JIc7S0QSqThMZCbMOgCzyros6l9e2B+U5BZh25ns25lF+8qAtZD2gepERzruh1z84
BVLSsjkFwG8Z/hIFprFOkfospF5XnGrHeCfGwbukpDN8KzWYCaY3/KoaB/qlRsVIGVp4TNyatE6l
5A3602lYGED87gld4+RQVppY9WA9iB3QLW8jKp/UUUfp58So7wwYG+0rrg4XXyGY2te/g1oqXEHA
c0slrPbZDiL3zmfrPGO48zsy/rTPgv7K1WBytvl4yMyv6eQJotKedwSIIbEnnuxuQktvSp1iyjLj
yt9719e3OiLYO4Q7wBhG79yn8c4XiykB9yTsDr6SF7nkH/ucnMaroYcGlF7EhHfo2trjmAMy+PhX
vfMh4LY0TLYFKN3F6byApiOCfEcnNufF3uu5qZixgujoJqU4sz0U74xBYu+x4qBcIYDy1IwzNLbF
DAN3uGpEuBQm8aZeObbEL4BQInKJfl2vCwr6M6siMspt1WefROQf2Kr4e6NTZyaft09YCqYcdgcv
Oy9rvt8/njBmwiBpO1iKlibirVUj7CqRepz59N6OG1Q6CFfYRDINIBB6fRXPCMbU5BtaBilgurzi
KNdVXn+RI9m9LnKKJn/3jXK9Ga2C/BQR+otJ5Y9fZWnEglkG17OMPNrUFj0IqvBQRAt86v/BpaSH
KBymKkP15KdFlENJ3SnTpWzbiiwmFEkT5NCdHbnnnIDvvKtZlIa0fpZFIo87eYoJ3SyZMmK6NCo2
duZY27AT2pkf9O678hwWSQNZFW3P11eBw6UnQ88P8mku8prsap9TC1o2A/B830m6Mxugt18fT+6P
653MZnJQeuSCF152sNvuleN2C5Tl8SYcsnOy3fcuZbLWsdCaGImdk/1J5dV+rwl+GnO1u7AsSRR2
k1Z7rQ2sMye09y7FQoe1BcEdhdn5Kf8xAgOjLwfR0cyKy8badcD5oIRk4rrQG2318QicKUYnszJ6
eI4VLpYwjIP6yWkws3O6xjP2AH6s+K6cAmWsFbs3JfbveEPiuAOGl9CExJhocdfVuJm3+zdOqPwl
OacKTITy3VWD2Jy+SFOqFc4KceaTfDt455tkUAlEbFjbTyYavWHfWLZMss6QlAQUwvQNKC9vPn4W
bx87bkvcD8ZLxgUQ5NePnYI9Ym0ApUsDDcY29LN0pxQgJCux1ZlLvTlK4j1j0cDigmKJc+vJYCoi
HO1YEVJ6s1OerGinyE+DS+txFA2JWXoqBVA8dzy3i33nJ1r051gX4QugsTy5ru+hO7LYTC+7sYcf
TFhuTW1fNBeDkewlmqA7Xn59yVCfro3Ogl2SyGJbwiMjWjfQKUsVefFTp6nyIBRRlH/3BSB8dhzu
kOIEleaTuwPzPJR6g+CgMtz2XtOD4qrVKSGEgXZOHv92G+RxKGM8ofnnBciTdz1MwKyKgoQ3X1Yd
Uj0z26imvmXRra4NI3GJ4JQkcPS6de6LezuWAW7jM7Axx2HgPd2xxyVtGlWiUC6UVT+6vTneudXk
/BX5/S9PbfMPeL3bYndnCqYROWesnJpPStu3CzcZ0L5Tb72chgw9W0vZE6GZS9RGA+kRHYzb7zTK
tDCO6ZF//DLf+Z3UZdguE2agcwqe//yPSSwhPcgzMgEzkVlu7RVtvE7CIbj/+CpvBzRYC4oBbL5s
czYov74KE2WFKAFqkPLN7q4Zu1sMEdkXG8rZf/B7cNO7mA2J2GTIvL7SqAIt6rUOvQc03g2RMmRJ
6F758PHveeeciWB8toPPxhdpyJMDXZu6ImolP6hC5Z4ieHEJPx39eBUlXrB26nRcSdMMqVn4zmpw
+h+NTThriboJvNpMIY9HkiXjJl59fGPvjSdG1HwAgzXH4eH1z09ET4+C5h0Rvso+1CimlnlCR2Oq
4S1Q6rc4ijt+vimdVC1tT6kz15+Hy6vxzCNhwDAr43HiJZzMDUyOld/apr+ICWR7DDUvucLcmZ3Z
v7x9/Gyt2R9RhZi9G2w4T36m1qc1C3II7s0mN8dpQhCzvY9GLydaekEmpHvhxeQ6BAJ5GrmC0zdL
hN02QYm31qK2WZMkKx9D+i+/H8DfwuD8m57T8jm/b6rn5+bqW/nC2fl/yMLr/4lp8q/rz1ECr/7H
Gk95M962z7Mbvaaj9n9+y/nv/Hf/8L+eX/4tD2P5/M9//ChahNTveNtJ5fhjLM7//r/+uetvGf/c
PZr38L/2RfXMavf7X7j7+U9yB/mnfvtNCSr4H/wW2C1+O0pn7/pvWzvdShIN8Psxz87YG53tz1+u
dpOsA77lmZSDaY4tHX9Ey7kJ//kPE/IC5X625di0qJE7fw+X83qtoYXBrXncncVMzMp7OuPbiXCC
SdMCxCM1vDkbYWpn082z21679sk1uBjQni0ql0zTKABcinCtSS8ybWwOfPAh+sLUAoOVVP1VGRqK
DQnCONBXMtwye9Nf/ePx3vz+qP604Z8UXF5umMmFLaxu6w4l75NvrSpDFsymCm4iY9JuzUBv4GOR
fpvilQFInX1RgwVVGgpPSAXcKbYK9uj+45t4vUOa74G9L8VGj//w+k5PYQ0avcaSaXqj0ak++pM0
vmWdUDuLebCYGfn1ykIW9fnjq4rX68l8WV7QfD7i//OfeST9uWqR1lOrwKgL8uPzyDk2vcyfOCwZ
1yOA8S3cfHmYyjJ4iPBUYa3vkP8s0AW5LloMP4k2GVyBWxwNwNv7BCSRIStxxk/3djgZ8zrE0kCh
FHzMydtBbVePqLPTm4aa1KG36JoSOVxD8DU6jKU6vZ1d3wz2NV3HIT03NuZ/+//Pwy8PiC0rZwWL
b41t98lWvNarmMJ3nd+EUXUd4x15sJIkvm6x9lxpsYouHQfdyGJSg48BTlS7Ws3I7TSKL5Mx/GtS
/Je7nJP5mtuhLWhho5z7FLB9ZqP5n+9rAsVb2k0R3VhlyifVlYBIJjRN17o31Bk8ycD+Buiofiw8
ZSyTwjN7SsbleAi0Ig+ukpyASJCMY/Oon39Tbz8kNmDUZ02dvSZWc/dkNNlabAOxaNyjKvViR7Dl
dO32Rv0kxNwTcwk7RgViXJgQ/PdpHGuXhSiS1cdDmmns9QvjEdEqmbsmVMHYV7x+QpmRMevYfn0M
+qB8Gr1US4nB43bg0JdPVDfsM1+umNfIV0PEnBse9CWoVGGxAjb26p00UmRtqtn9kcmMjyQJPbjo
Od4jQO7GstBy4j2iaFpGOlSs1gJGPYhxo8Xh8PdW83l0cCt8xFQAqeMwoby+E1/hKNNKdziGehgc
iHL2NmWrqBf7AeLqCq/vVRrX/rpPMnjhaPDxC0Wes+oKSY4ryi2Y5d0XNwrOVPLefMIm6wpkHaY1
fX4985//sTeGrB2UzHD6UTp9hJShqy4pgYVrIymcJ1HAHbM8hFUowaKLj0fD2wmOS+Pvp5RO/qKg
HvT60oIsV7ewGuvokuvwWHac2ouGAN9FFXv9D/ya4toCHn4DWJ7MA5+Mi0mzE0D5NUKqJNRLpDt9
f4HmsrhAQIhh4uMbfL3PfHllDBzHBA/hYON8YSn88WiUXqMpVYZ11M2+eQR2IpFvtO1XKp7VAZtH
c5RTEs4Ae4FEakqd7x9f/6Tt+XID87OhOW5xG2/OZ7qTJs4oItacwtM+o3JWy8it65UwgmFToJ7a
SiWiq6DSZrtbPAafiGHHyJ0Lr3/0iko/8/3OL+Tka3p1Pyc70tZVGSK20DpmmfMlCKNL4cW/zvzm
N6se5WvMgXysOr2NN4PCFV1cuYFrHCXKQX3pTk278VHG76i2Roc2SINDnEhtk+tF+UQJxr6A86Z2
EjX5joiFtF3iPm5+FnlUrymGe39/0HLyQBthI0Kx2UOdzGGqAQsxFo044pRKH1ibfroc4C/rnuid
ToDgrQrd3fa4bu/IifyM5CBZCENzzWXk5f7z72lf8b1vU6f3bz5+em8/ZpiGnBVMXJbQA0775O1A
6RFn5XTUJzR+CW8piWY1Nuotmg9dkcT7ts3DfKWXyvcOH1/8neGKo5rWL5M7Whk6cq+/Z5+UZKeX
yjrSAyPQcwIq+CTC0d5b04h/AxzElR7qn4g/j6HvNaV5Y5ZF+JzoaXGFwDrafHw/740kZhWddY8V
WT/te9exOXmdE5tH5rPmseortR0taE4IBwZprj++2EvL6PTbmAtpbOSxWmPpff3jNbsZkON21nG0
O5a1CHfVp5Z4j70LLOJHZnvN0qldYEumFiT4GMdubcm6O7AcP7pR6EKTCqjtBfTlVqFTI8oTQZXu
Rj2ot7g8UmSgIcL/M3f9zorMSYVCPKXdd3YFk+3ZvW3UjOa27APYsBpRnE6gDsUwcEs5hrx4UVZm
s5dx1D7QK/8JbNNYtK0wfzW9018aWHVp8ZLz4NRa+tCJunk8c5PzPu7k0b5UCTmucObmbl8/2smd
SKhOuMla6RQ9ejMW17kkmNwSabsNYGPuRnJoH1K0rteTaPsH1IuAaJGZ2l30TCe3O6sHe+/BAZNi
D0PFh0c4//kfawPXnEjoFsYR75y9r2vRPA5z2pofFfI+ZrHcj34x7EgWnpYSFOfXrunYgGidu8Xc
ad5rTWse4qJpHm0qXz+IbP2PHtvLgZMyguROT1Z2e0DXpfJUcHLoxbUi5/XGjv3PHoWqPSbKYZkh
Vr6Q8D/2AAHv8B2w6E6OuxPl1BwR+56xnL85Rs2iPZBuPO95K3R6WAgc+qwJ6RNHr+yZE/KofOqo
XVXEgYE2HoltvUfcdnYLOE/Ip6NnxjjZ7M3pVJ4eozx8kViwc+MY5F7w3WgTh9Mu7jVW/HqtGVN/
i8fM3lcEGt2axgRF/uU8dWYMv3cXSPGQodGLQllyMj14+CACbYgFjXdjtqSabr1sNSdcx44IIOEU
33WFc8fMB2sZz389b5t6+7dvghKCoFoxlyE8dAyvB61sq5ZKsjEdDQzy+6KYiisxudaPBK3/tfT7
4lAO6fXUp9Gqh7z7baot98w9vOwnX78O7mEGCgOLMC16xyf30AsAubmlHwd2f+aauNXyKZs/3CCf
500/i9hqpUnibHDIh9fIzcT9bON7JtATHyrJzuWTHySNWtZ91TwmZlvvNIQQt1KV9t6ezxBB1BW7
Sji4nfIebFU64kIiBSaNNhSAdah3TeS5CxfU0O7lZCynnjntzMNmO/Bm5AEB4Vg697Lo355uFcBN
qiRo+7/miLQY2c/KMtqGky1vR7Qde5LO7FURqG9xK9O7fD6wI0iy960GTbgISKyPdGM8VLlxHyAO
Xg+apjDLZ8M6tTEsB7XVP1d1b14Do/1SmZ29D4n22+G8kDeRVtefWBg74nwKufx9KB0GEwfT1Lvj
qvN6YtQIq+q2U2gB4TaG8W5kylg1RHaQITfhaUQeIa6HxKaGoBWmvffGKLnujA7DwqTtMYeryxZ7
9cJLGhsfX59/Ufg7b0oXmuwoimJXeFVyi5w/YOALxlbiZD8bMM53rHvFTuNV7RwZCXI4RvWADq79
NTXKWJdTAYGiMwJCaqN266XGtEFOVXySnaZ9L7MGv344H+HwaTNqCqNiHikRW61klJvbOJTqyk/d
YcvGmaHC1ti97fDQ7VwqObfKq8N9Vo6bakr8SyuQn/VIuyXs0doGdHpg+ZZt9KNwZkV37mXrbmrI
QxKle2niJ72siLvb2pzhhyyejYuNvByNcFhXk0HKh98N+6k30l3OvuQ2brseDLwan3MZJtdRzGkb
admARTfFUI3EfUfgoPbZzfvnHFAyWeQGEkZt9LFHADtdQnP+liWtd8nGWNu0TdIt3FiER3cOQ4K7
AFAyb6PxwirsG5HG3copp0OUaB4A7FYUO3teWTJFR4KwbVYg6n+fpEjVPnVrMeDhlfzFl7/J0tP8
ABPDvq9EcunnoNorGTvEefVRsK8GL/29VjnlAMG4bpgzm0lcazlfMO4J9OOxU9wkQaRvTTvhk8M+
OdyGdtJmC2/ewUehUeyy1rL3qlU8hpeXZioeJK5N8T1OEuuKI7Hc5jXYh7bzMHbz5tQFvvzl1Nf7
pgyKr6bfXaWdkHveabO0aRoT6AR2n15iRsshrVep7pNQYY3NQzkNwzJUNuwLWhOXVZIOS9pNxSIx
VI2T28qS/ctqFCgADotSIRvLccM+kD5dXuEUaneT5WqXZVqka9lb1nVkIP7Cdd19R4Je3OSeVuwC
W4MKPeTRqsvFtMGdUa6wozdbQxaS6Ayv09ZmVntX4Grvuu5/2Tuv5biRbU2/yrwAdsCbW1QB5UgW
rSjqBkFSErw3icTTnw+lPXNalI40+24uJqKjQy2pWSggkbnWv37jLlckb8/7TqC1S5VZDSNWMtJK
JKWbxky0F+wiO9LvZNtvx7JZmu0wjkh2MKl4giZLgycR0241eySKsenM557Ype+YKR8UIt4OZHa6
pwRz69BsUTUh2vuk9Y7OVkrEY1zk98PsOK9Ik1GAxlpAUlW5ixkp3BZtgSsAJkH7y66Y8Jo9cQyF
AFdcWFrhBzLjC87L+LqwOd9gwYNmqZ++GF2CRn6u6um9c/v8wN5fH7JB5Z1Ukgln7WEyXoUl+ifK
3gHLEZUXQ5S8uDMyqpmIAXM5ELCYvOYdu5+S5XLD9wQemxx3p7VJvlmitgpJ2oqvoqjFwWCKlqc1
RjPwZCzDGVX0ph/V/jYTiQwl1lpnpRziw+RUzc1kVeUJAT17vFsp5DgS9Mah69CWBDCXsjAmhezZ
zdToJmrshM4Z/zU/zQhTQDB6H+leexSq3bzgYMJGiESJLaVhXQeLsIE8sW2oD32XtS9Ja/CdL+3q
5e4ViO5ul7FDdbKU7xHEwc4vrSTblcWCINdN8msFF413KKjWZ6aj4msZz/X1rKTu2S5hw+tjK+kt
dSvs5t44qA7pGRqeej5GDn2wYO0V1qNj45Sn5LiwIHWeBnJu7KwYnhwXjUJVLJTMS0KzfNnK8OQY
nprGW21z0kLfJ2UPSJxVDh3AbB05cvRPdsmu7hn1o56q18vMKbtUEVkacAktX08LTCLq/MpQtOVY
yrbe5a3Mr3oXO8E0lnyalFrzyVRGwDQMEogtdWt9249Dd2XP3udyMJtvzQBV3ncaRIwVeseX2k7v
K6HLnSJK5MXJdHJjI97bBJuGCC/d68FwjQOsY2vv5hO5gJMNM8EVKL6a4UHquIZ4HYknula612VS
3tq2yE7TOFh37lpteiPJyZhTADP2WYzggIrQ2elstwjyHpC++bjWegFF6fItxRDnepJF/QP3ydbi
KEvRmpDxikaHR7UrJjziKyNWBDksWGd4MR4XtpKoV+AQxXbMvR5Ttxrn1zaLOduUBD+F5spWSGsV
MWl3CIfxPBG1+liCjO/coZXvFXXf1sSVwtlmSxd7hCcP/ZNCPPnOHElW2zaR9tVU5/7ZrBsidrtM
lScj0nRMA1rwkZ5QVt0zsabvnHI3SdwlJBqB6w4lbblMq3OMmd8gVjL8qMrbw+o9s2snVUHTL77V
9jxfr8z/I9QTi3AVS7tBWJk+6LlqE3A5srHpUxTChUehpszDSXeG+lxUEpzFxJmIt4q3vmT7f7JT
szgjf4sZB2Cl8EWzi/7xglddyj2YPelda+TltyUidamvKnwpe6wgesW2t7VlRiRm0eNpgsvx8QDq
fFO2zhlSCNmyZqFtBk/IT4VU8I1rqj6oLL27qdmad7Q19cFRyQ0y1NY14f938QHJcexudaOvDx4v
+HM0RkSpMGq7xkGGE7LNlkM/m+2hMQzsN0doXg3eUxlv+YIycmfUi75JjUacs2l9l3WKthit8P0I
T+iu8lQgU6sOagy7Yvgz3KnRdcEpM1pAg9fM9R6kIezT2DTKjjJIe1KJAKxyQSZmHVkuGG/qMG+b
Mveuiuu1Kl7nNQL19he1mBW+PqKBuxlqBWmuhaq/NJQVNBHdmu2JOSrv3EAf1zEEWvgdIVo6yrWO
rJapeSGtiD+aoyXjDbDd8T7r+V0MoqmUHdl/jvuYFUjiIiZC9mIeGfQkR5ik9runzwOZZTn5g27v
LodiUPpTenE2UZa+fTPNlo8r8JwhSWMRjzhWjI9x4ypnt0Yc0hrLPG1cPFMOdSTZfXXFGZvtZOhc
jzbZ0rw188lWAtnOyniTRWLYpGk+34sqPZMC2y4bBDvIGFPLmR5A+fuv6qhMnweU9Vc1dgHu1m6p
Jlx1XpzDBeUpdEf/WvWR8lml6q19tTX6OwN6/Le6I2yB3KOkOGRmQz+uO2L0k6knz92O9fSAv1eY
kut91XE5L+w8hNrisgKqaLj1NUISkle7Rv2Siio2UCEm4jQv+lPvItQGdLuVmfXkFLb3JI3ZPbCP
Tr43Ci5eUxWqLgyDShK86yhRfdyqyPGxM2XLWodoSb0SKxu71LpNU+sKLhYEnBlOc29Fan4APJdB
i2ODXyi29ZI4jbjSUAqHiTGJ0HAi+4RK92hmFmwtPU0/u07yysSMyi2JGDhIB1m7rrfuNsZ3AxqH
bHcmVjU+8bmTE2Sm0b3PLnGqqPjthRyGSuneGtQ2RFYVQ3RT4UpUbYfZML+y9iLvgMx/zK7rhJjJ
jY1vy94pjfhzZTfWDc4jzXfcCWwRKjJNntvSM7NneN7rCeDOJnYos9F9dqekV65ysUxxMGdwz6+c
VWabpJOzbbTewxVmlruiL9xNpKxqSCc+l65xlKIcj5hKzTeCONZQz4r2OovUb23a0w5lWVrcFWji
E59zIH9lRzSkn6ezB1sPkxUzsEdLv5JuqeEw23hkiU/U8pvC7pP+mFcVafHxQOhU6o3zeep7b7yN
pjjBNwoMoc13eK2rnzRkzPw8dx6eGPNTAVnGku6EU1cBiSbO3YQ4a9NOkcnIpqADWHChtKChTNrN
j/qhsNveXWXL0blJjfFcdvwRAA4GGgROB+M08iubPlaX+H5wqq9MHyyEeHX0subVufy1TNVSua3b
oT6ocUYpZSQao99L7dGso4GspEu5/NU+ot4q5Mj7Pgn0655ZTqHZ6SvQaAy3hIq7206F1MmhyQjI
BpQqy7R9SbNOvLOfC6iAtHIcw3xitHbNcdlQFLi196zWQ6RuBTYvxL2Sdv8y5qTJ+h45y9/HFMXr
j9lzUa0NAfFp2clAWHqy7THfrnzjzK/KtP40rA1vXApwWYKqBQZ3LnudKcGaSWN1ktUpzeWrjyv2
N2DulJC6aA+kOZZY4wXUKDnJ1+58Z0ZFfyaGfXgyrMgMbS/mNUwi/cdl1E3PD0QOdtklTe6aSLIq
WBppIXzwcve4lIsWIjpOb9qlrbFOcCpwUU1JVgSNb57E5EcmbtuGvbfMe1km38fJNfyxneWB4+BW
IEHdTFpXHbBaifbsDs5TLDoKhXTkkOIr+pS78V7Jo+KoYGx1VSTUVopbxA99XerXvLMEH3veNG8y
c9DuseoYnnjs3D+qzTzo5iQOhnyJIz/Wy7vSROuyMRZDPTaJgurXaq/LoS9uMEfiF3HxekFCNGHR
jPcqGYpqHm29hS7C1fL4q6e4y7V0MV2iilGTtypVuTk9EToQD9eb47jrEqv66RYsGJdIssbDQqYp
k0oOqUJY/ZM2a0CHTm7vS050upNi2oJBWfc5vmOXR4sX4cV0QI2KoDLp7UU/lIQJde7DVBl1kIry
WSkSDuMpjsuNyLQyMLXMfiT1TDvQ/5GQs6iAH/kcBzVElBvM22J/oUJ4INaHw5Z9kPURR6kezjld
A2LFlHabFYyhCCs2B852ZIolxOWg+HGiGpGARcb489CuiEUyo7AHKZfHWdQQu9I3BFjWOWuXIeEE
NCWmBLTkYtLHK4Gdv68xyLobZde9e2bk3vdJm5OevN4ws/WIzXZAWDeFWAxsCoCH74SZNzexjIaA
zN3VayJLjXcr1dU9tjeDr3gqdndwMuc35Fo5uJZKmSjHqAhbN8PaJZ6WvZkU6sFVEFniqJWfly7D
2VUlhugC0MSFwssSycZug6V15CcOZ54n3vPlJpoK8rwN69ksZJlizmXlXxQ8J7b9YCRyexnV4LJY
fS3mCB36utzb2IvuamqLmHKXtzsvSGUEDTHuyBx/zFf8WrXrKN7iQmmvvsIAAnYMWtIKhd3ISAHh
WltJWeCGp1z/2I403fMtZ2mAuJp+cHwxpIRSFMvwtEpnvJ2KEdNmjmo1HLQc72KKsrvUlBTwliIg
dA9FwZhioe0utxgyYpjUxbXF/9FS7ODFlIaYHq4rPdLLL3PUTxvq2uR82d1wPmj2umU9pF3qkkJK
yRdeUMJLiwTS0aZ+6hTabYTZ1VO3lpOX9o7zCLBwELyFOuSFOxfrltVDPYuuajV37wTj4KflshF3
Kl+6ipJTNmAdhCvlHPsjI9mjqczTSTWH5mbWMWmb55zfWtpjW7fTm9XZUWCkrXqrqmRA1YWSv1ip
7A7pbAYdDs83gGPKPYaCNC8r0tfgv/U+aFWGQ5OnlNfCarqXwoQkrzUd9hHdON9fkG0vsoYTynya
mhlzlNYyD4Nd9edqPXfGFdq6AJIwU+pn3CTmo435CY0Y7p5dE8WBUq8QUT/VPTrXrLrB+IRTzpvi
nTqP083IyH7nOuvG2jjWq6E7xQlDNecuwSjvJvEyTMHUTHxndEO25kQ8l9rNZoiWj7Jxwrhni0C1
O86lWt6qeE3tkUsnzCAM7x1vJjAb2DwTPl9vslTHgyXrG8yItK0zDkSUeWpEVaS5If41zp2ToWPw
rZaqHMJ60zP3tJIbeO2QS+aeJTLEtb7pzZyNfxiKNFiDjSUxB4NBDqVXjF81M4vNIxI6vs04Z+J9
tBbrlF+wiss578QTZ5SzrEAALqusNaJOeA7rAKj20mhTEzW5chbju4YtfAd65ABeqPL+spbga2lh
7cFQNeqpOhqj1+0qMNjDWDXu3m2t5tBiM3DwWhE0VaReaeqUPE558yrTMbmioKEos7L8Sh2WfW5O
+lvfmMNTsQ7D3cYxDyo+MqHXlcm1RnfgY/AuH3Pdmx8jU81vPI/CwK4Md2eR6HAsp0kPa9O9cWiq
rzxi0r6yntKXCSLT6bLi/4yJ/zo0g3zoAmY4HsJFaK0/Y/8pUqkJJ3D33GBcRmXTAIarax+iOkBN
ucmO8OcP/M1IGhNuJGEeBuAeUtkPrBtquCnDekU5S4UNsQCowqEmVb2vmi7Vs2xq8x6fumnHtudd
J6m25utxcTgRDt3RTm3v058v6IL5/zz+WF3BIS4zM4Ty+ZGKrqc4BlfDopwXE+DFiRLvvVsADdUu
EuHQ999xIfN2seHKg7PMeCKI+E4ObvPdMwUpwbqljhvsXtttpahZMPdddFKrhDIqTd0nk1W0H8WY
/mVo85vhNkFCuDWTJA4RknSbnx+citVwMbi6ccYAJg8wYh32SpsARuSVum1F9AXW6XAbVxlpfKZd
TkFUVcqVk0U439QMEitvwUAM687Ej1NNw1Bw6PYidvLTZRNyy8K9+/ON1n7lqnDJsK3Q6EASJ73y
50uuzbxKEmrJs4MfwRXSWCOc8PDepTATQ1BK60SSicQiTVov89z1IZ7LL1DuabXW6hmgwg1zKZO/
kSTWFffzAuC62IY0pAgY03+cgsI1bWwaLPOM91b2qa6daJeZ6fjUO3mBE2RMNvVMOHg3z/SKtnd0
mB20fpENCv6fi33EbEW7MeCCbSPD7t9HKJjbKSqq4C/371fmnEvkPCNTC40ZYtkPs8KVNieQGejn
/DI2uAArqcybl5TaEf0coPYGt1bsgQjnSbN8ixMs8N06JPrzlfy6abjcqPVdYQmiePuw9jjI2ckI
pjpfpoRqMi1fPQvvNfDB8iZaxxB//rxfWV98nmutPh5sU/D7f144Qm9hGk+Ffjbq1eKvr97B+Ktd
3WTmbSdc6yRwAj2IrplA9jlp/vzpvyHF4aDAZ0O0IrSIxNWfPz5t5bRgoGOc50gbbsRgA5NK270Z
0cWE0TAdga3zK7c00808DwQqWC1BY4lXYipWKu9z3TxixRrfQXH52535zZNAYmvxEH4khnzg63V1
Uluq6O1zWsCHuzAo0zmD/WAKYFUj6v9C/PjNk1gd4mEKrOcFnIGfb4WkmjJLho9njwJibxm0DZOW
1g8lXkScHobCsGI0gwIfm6OF9cDfJri/8k7A4jTYaOsuYqDB+PnzlQ7Vmt241jlXrPFAhFi8r9yi
em8j/Ji0DBsnjJDPKnPDT9PiVte6dB973LoxKRb2Pu6m6S90698tDi4I5M7WEHpr9ocnYCA6aIzG
tnFntOynLqtjKN9GFocNLBW6Y9v5bpqA1Em3mhNKZT+2+bAjM6Eq/Vm3m0AbkvRNqLF4n5d1hv7n
xfubB8Zd4lZDl2TT+Hi4NaZRKjHy6bOp5SuQ2pnMRcaSFmyd/OXkzb5fKrDLfjXPC3j3ny/gNyxn
Dld4vhaaNgeM7cOuP8y16aVk3p3dKZP3Pca34MfYqkmZn2prGE5lXC6hZszRPp3xRM9tsMC/rJvf
nPGw0jV2kDXvxv2FeMOQobYXNvVbzxqPkEUrhjzzsJuWiBmbsiyf3Rnfzxaj53XCZc6hnt7ldj6e
jDqJiUXt8jbo9f51jLEZn0eszjNILGdboUfH2UL4ae6AO/351v3mXKIiWwkLvC4QMz4sLUzIaU+a
Ibvt1z0OGMS5GxEonEwUl5S66yxptP56TF9+7IfjEKQdzT6FBWpL+8Num2S0VEuvJ7czTcvOtsbm
SWuZqQqFer6vNDoPqHPuXZwnLFfO8zze9BMYKgVHfSuTRCt9JVv1UHlcfJKm+RDxovoNzlKtf5k1
XybVVd0DKglacHB+TK3YeEOZz4/tTOIWtbiD+6OnjXviOE74FjTLFp9BFXfGuCo/IUsGf5ArdV9V
6VLbRS4nWl2UV0M73hMbXL/8aLN/DDUbgosJmE71fVen8uzFlXj/88P6zYvmUVLZDjGVMC4/ivXL
yc47c+Zhmamwr6wKN5+EmfTnBKXtpizy6SapEy1cEA/7Zt9XfyHB/u7jqQlgCcHj4UX/UBvEXgGi
IUR62yuJclRbLf8BHqBb6PaNqCcFk/SiDeHlvze5od/++dtfzMd+XjREiq1OF+ABUE7dD8w2OeFO
X4u4uGXvZVVcYKoWa342Q4umWHPN5uUCX8xS1W46J6m+a52LY3jVFjR29UrMwBe/3dWRS0bmUMB6
8Jux124mewFFkrqkQzRxtI65fXV7UNIZ2BGBPwGOKX+k1aC0GwNSw+KzD3QPET6jzwu9OdkNq25y
i0kSkEpqzVyUgmke1s4JHw2tn5e+WogA2lxw37GL1HlTIVd7ukDECtTt93zFapM2Lj8n6tQ+DSSM
H20a8tMPapq9zs9rvYc4la5kzD/f3d89XNTI5HOslPdfmrQJX/lKdFZ+qyD6Gn2ULvB5NCM+MHXR
9lq0yLdKdVPOX5kEiozNvyyu9eF9fLjuqilaw9ZWGvPPp24saiRmZlHfxuRjX5k5eImfpKWWkPqw
wmMFLitkfleme6Q4MP5S/f1a44DvobzHW3BdYR893Gzcn5cC8RClng2QViQ2MH/hqjdOD0LtDAYa
uD/f7w92PrD8QSGgRiIYXtW29keecpLrelG6Y3Znpfj4jglGwhhl1kboYuYaXMos5GXNJhq1AZ40
/rpFaw23XTUqgdOU/x7s652jhnlPTgwjZO6YA7nvUp+ycc4nEUFNjdPl00UERiOmPv75W1zMev75
2CDDOrh/IeggUpNt4cNG7ugRmSSjHM9xnzZXXqe3J8tsO2g55oMEscORWsuv6hKDB38ul/x9zNun
TgOageETNz68YevA4Dgjh22lrNcRPmWMK26F9MrrOqs+Z3nHGzRp2LMCPNW7eeV80Sm3j25iiG+5
p8nby+vDIJZJr50u9zOb+FeviNqwVO0W0tVszV/KRdef89GZDjnT11OVpvNedTFGQrls7HXZKnst
J9i3FZO9LQUR7eXkeOeIeJGNVQt7O0jLDZhbNhoL0yt3tYCb4kKNe2UCYcJnlcVgbiB3pLtLfVxl
qrh1ndUKbmk+KehIrmjnumCyxvGhNNm1CFnQzSULYbV4PjRA5bW0OIB7CEqBXYJAucOgjbu8UxN7
6wBsN/qQf088pXq6DI5iMn3y63ieyNQgdfaURSUaIyh8726iay9pSYYg5pZt6BEwzy6IPdlfVvHH
94aWFpsRRsMG5lgY43yolS2s0mWmdeq5rSAOKPPISWut255plVj9Z/OPE/A/kiA/1iX//CwjvkiD
/1tj/H+nUt59q1d9b//xR61X839+1v8bAmV9BTr+5yzch9fqf12/dmlV/1OffPmf/q1P1v/FC6pR
6aH1YtNZ+/r/rU/+F4UEHHtV5Vz3DA8667/1yaaxhuh6zA9XxIqzgT373/pk/ogjApGSjsHC6kdn
/idpuJfw03/sIlyoi7Md3c26nSDe/IDXDcywdVuQNu04kuPaJk+A3X724fWS4S57b6cnRhBp2XRW
JgtqWHows6EJVT1/LDI9GCvxYKXV5Ftz0l51tfXJKPF9N0qJJN7tiyDx2njbTUZ3sItI+AXzwm2P
QVCY5JkLUz/6VuhM+PQJb/jG1hriSZzvkHZhZ3jl3vWqZ1Kf4DDMOFfYo/Yw2epecdi/SHRE81ny
d6z+pYnHQ9V+Afsix2uwSzKAIpg++g/t3v9/Cf6i0l+Vgv/zOxB2r9X7t3+u//Xv/1j+3r84ZFnK
rC+MFejqWck/lr9i/Qtgw8WChQ52lXSszj7/Xv9EPuNoqOJrufaV7HD6f69/7V+EKa962lUnaDJH
+0/W/8+7KEsexNJRoYrjssp/fSxsmchFXdRUqo+n0ZzvZy1bPmH54x2rriRQKR/Vv9l+/fKJ7Njw
hlYzSZxECED+udpSyeaAtdNPPvnsBBeQtFszVRWauqnnrmtCTorlbxAXd/8fFR7fC4QAG2OMa1fN
uPXRxbNurbSG2DL686XaziZZRn4/r8rFBef4zRw3TmA7dpQFBYjo59GsFdOn0vwOd6R4E82aWxgT
VvfsDYZww38sltsfm80/LQd+boTXq/M4wKCuAiSAdH3E/wyiAKIhNjrgarngJ1n1mGdHC7CXpdVK
CqlDuNvKghG3/fMH/+Kpx7YLwmlqMAhXH7aP6A5GTE6WEBTry8nCaggdoYG6ycD0HpncqK5memMP
hUvvziPOX9qpTeEFYpzeK9qmg8KMiqYd0+Le0vJB+Utb8AF74r6gwfK4OAACWuFf0DhzNiEv2HCq
GoRNNDWGZt92GNr6dZcTctC1JcGDSqe41dayO0mKNl6g30lkYy3lCL+/jNaQ3pVjlSukMKaxspW2
AtHuLzeR9/in5YW4mq4Q8NS5uHQa6kcEtXQZ28wWNyPDeOiQxlEX8G2yU54X6t5Ru691kS1wFr3u
08rmeGsJhIViR2V97tyquJJZbL3gtmIyPqum/k4BSkVBUOQ6ARxdax/aKYatmzIB2UIkWX2PJ0t7
HTsPu5tMIC3yclLkcKLwaBZmVxmWtYgtIKd4qfa2RLVt7hsdFiIl59hV+e2SkZXA9L+GTZB51KeB
gWc7Q3MYYxm0uTTBMsAf4m6ewkLTluw2gakz72KnIqsENYzZb6kqXeJ4psF2hgensyhOm2h23xyF
ALYtIdZKfwDTH8JJYuK+G4hGw3FqUBwifDQoZRsrY80BatTdoRubXj+T4BXJw4K4MvKh+Sg9LvUW
Lk42GoyOEaeYX2Mnscs1MYOXwU40M72SKR24byw5mRP2apgFt0aFSKdOZuOj9tLvul7G22LIrXKT
IaS4Nklf7K6R6wLv6urMv5W5wNxDye1YbFBjkI2ldia3cqhhge9abx5iH0rmyqWeIHTspKKqb7Ft
EbHi6Vjwb2OrHDdFATrsWyJuj0yxNTMciCIvHqd+6E8umhkFSlCSyfPI/IM86rotPiFcoszwYs/9
WsjFQTTUYW9UaiMqgpJkuDfwhh4wrMlIkovNYr61TbJA9hcupTINpGJCv9AtGM89W1pTu+q7y8gx
DzP0idfImmEkyUbGfhlPBpIbq4J8UXsLPFMxTMEsqRtM7KpZg/qobrDOqMjdycbkbkFx+zWthSBM
NIXxQDgtySelpt1RlzGrjMCchxWUZtQ7moQM+R1ooheWiasRXlO1t1Y8g8m2+lA9K+ws0z4yEvuh
sRpkiggYyAPOyljcuZCrpD/Nca75WuelVsCIDiKI1TQ7JR+0o1G4r2WplNQ/hB+8LoOp6O+AhF2I
E0r2FRok8QEKcCbBA4actcAaqzZIy2o8ERBwEs2wfEW3SXDcqnAzmMe9W7WeXePmoT46iAZgM3l6
xTUs87AfRGfcDJFFfKs99s9WN5LRPURI5lKt3NYwCjdJP+AiOUx8f9jtkgfvxkEMF6f0c6UmVDJP
SmhmiJDQUDSDhlpgwG67dzP2cdFr70u8yi2GNNKftSqJLB/0mnyFGiX6vrNo0vyIcyJkVvHNxtn0
UclM73urtJZEedJr3qbvCzqVRjU0nwFqetS6WdnI3HW2ZmU0gcXA9CEzFYn37lBlzzmMkW3aERsV
YC9AjKDG49Z9EoBiNVBjz/LLnrQPzmG5HB2woAd6Q1IpZlmdu1mf8eJtIX+NFWFBRJpc1TXRPn6j
WvWpsXR2lbq1jWlTD4zuQjurrC4sRrMJJfkv38gT7a5bh9HyqDVEplQwUo/ClJhQkAqUf6/7JYWw
YOTw+BP4aeTAKfnt3DEgJ4iqtmjPu+V+ZcitUWrmKY8x4pozkMBrCdXLOxWtkm8QNWgYagyzvel1
tQsakfbeplI5uYBQz7mnOJxqhKl+bgyHxRrZsXGt94kT9kRn3boAvzv0QOhClVXoMFmDfpfH2D5y
Z4y900PtNkeq+9Zr6nSTypQknaRWFqgPOgyTVNfrcGwzd58lTJk3ozDTo0RLsYNhYg1XRLKYB6NS
JUqxmmi0Spl6yK7V+MDJX7y5dmpc081OYVlChbobtEUkWyLGO3J+EHndl9ANur2yjOOdNOxEJU8G
Fq41eW6OKK5KgknOy61SIZ5mYpYuvqsW7GVg0ngW9csXI+5N1NUAkeHiwYKDeQsN4y4f61K5K1np
zSEV3uLhGK8p0WHiVSi3op+TsGXF8m7n5g2SHkKOkGAHk66KbWaToaITQrNVeqs/zoV1S8bMwTTc
R1BO/SqfpAyFgigp13f48rwjQblvVO9brzX3Wu0Fdq6/yTg+d4sIzSVFP4jhp9X17RmCMOhb0cOg
M0YIaVaiPRSNfT1oKqa06dpsFQICT8uv8jW3zSGlygRtDzTe5qdIeHPYYo8cVg3Zc5Psta1Hp3ng
pHO2SACzb1GjJYGpgMiyBp0gt8XwNpntfCL3KoUwyQoPyOZbiHo22k91Bmi6HVRln8hl7uFOuDbc
MDKV02NnyVFuusJrTmOGcanfqQWEqVqHUW3m4ytcvlAjtDW9tlHViS3MTjV0UkK6ep8bGsWvCsHH
48aNXOWhSeM4ZH9O4kOa2QalFj7H1j6KYtW9Fm4ODEQ8M9IGlU0V2R7WMdi3BGJpx+i+gv6+NWMo
hj6LsIGrREj0sayQevXYJ19NjHJCh2S0nmzxFMZnN5MPY6SQm3OBAQoKhVF0V4Zs5iAlWqDZMApg
7O+1U9sHuB5Me83trJsWOvHkS8NsnE1dkzdD7q5D/BgMoeU+i7jnbIOWQYRPUlov7Uh6WYDTEEnH
rbpofgblYArJR7SfeGfbq0wSbbKpFNdBMDLhj5PJsrnFfMYKM0ORVTD1cfEVFoKx3iMnwGFVd7cG
DFoTKUKaPRKorHr+IMre3JDiZ+s7lxzVO0eBHFVkXv690WLlCb+BdAzg6lWHPonjOFjMvNvkDnRs
L871p9k23M+JbsL3bmuvqTawEJgmkl8ZcXJgGbpL1Lrdm6QEb+eJ8OoK++szScNVsuc0Kc6u4s0v
o1429xDjuyPkMRSg/PE1UsPnycVZ1MlN/bo2iviTDq/cHxN90L6Aj6AWskkYxHBG+571BvTdseuD
ro7Gd+6s9YIBs3riwbFi+HoReWudrqBcKKzu2W5rjTileTECMrMKDGq6t1mv52Chl9sgVm72vZ53
sNKbct7y7lMFFKZiiD3OJtqXJh9SVAY5as+2dhqfKSbEdOj3VQjZC1+2vMaWuU5mnvcMUa/sp93Y
CsgXTQ3pRjTpc+ZQ+S2N7R7VMm61jdNAavWRc8nQZIxNcaXl4mqyjVMaZ9OxjDqbZD+bf6nCeZMq
QkOX+WUwRuOBkIEYBtsiCStKenFTa8ZJIIy6HxkXLhsZG9NBQG8MWpyNboU1aI95YlWnctDaG+k0
8pYBlElyOWHXYS5AsyPNpr9U5wMxp/kXWlPSKz0x33mcGjuIEUoUOKW5nOF8Dr7aZKuI1KAjomds
v1a6GV2V2oRumvT6J1x3tH0mzfZYekNyrYs6vm3V/BRnPcY8ZNnjR66SPhtHx9hRDlXW5Z/tqBav
FhHYTyPFzq4o7DsVmJYijmB5XLV3pqK2KMOn4qobLQKx1bJHaGzrodZqRLYppbO1Fj3jQCsEJM3S
wokOAnqmKjSMbdk8GoIeHQ0PMWSVbDa6yxQBUYu2E7K5copGC7x4GG+83Kk2wi4TZFSg/kMLcZGx
dH82gJ4PwoYpZYxMfAgvH47NJJRHSi5tS9QKsmuRLGiKedw897bLtm1CQKLskO6BpRc712iWk6gq
sa1G6y1pkpI6ZGwD4cHMKvMUi8jI+NaaXe2FY76UQRqZ0YmAzox0tx4AOpE68klZP5KWXl2XlWqv
2pDUCebEoJqWhGcvYy5ChCbDSTaOvZkVKffY8ljbRhnlqcTL6zFZ8u+ecPuvpfDybTzNmOUlevxf
7J3Hst1IlmX/pceFMCiHGPQE4oqn+STJCewJEloLd+Dra4ERaU2yKzMqh2VWE04iLi8vhPvxc/Ze
2yNo0WSGPcvk2KXEtVWgpCn3s8aPnKa9wr33gXEqOVB7NwQmIw126XYHk9VbX0srWaFedynrzjje
uEqQglu1I8+Ug9TWKkDPNVQeycZJHfgLtzgvjyg+t0+zN5mPLmlpJ9UvzaGS/T70a3r/eibGEBP1
sIWYXngOrKE46Ky77z6V4Td3D36c4Zoc9CQxzzXmomvbc8rjCh3hCd03ZyfEpPJSq7qZQPnqmQx2
1lyx25GrJg8Rzw0vRjtF2pQUF1PrQwaXlsPRyljY+qteR4zty/RKGxaxV8V6nJOld4VVzTjIKX3g
nqggs3KLdO9kPMy+fPYS0eCzVNWZEefdaJOeZGls0oQUroeqdo/ZmjfIiaeapK6OR2TBqEOwp8Hy
Uq/LAb4Yy1G5B2KztzzmeW6dNEqpMz50LmbTWO+Vo9eHepb31tSJlb3Az3ab/F3FGOmgmd43SB/m
BXcbCzFby9nP6dV28xoP/XSzVkpeshZwdJNa/UC9tstVJ9LzTJO9VOVX5iyIqG5q20OY7rtz7PfV
ely0tgqA2upRyut9ovWVHCiOv9SuzI4+dI2XGszeNSIpKquWOELRbPMBJxfrSOm/IUJ+MBeSdruk
wEvVGdCgSAY5OOZ60niBgkba1pUqveKjqSrSgWuPS6BSpc6eHAKSPps7wqGJEZDIBh+Q0XeHZXIB
Fjs1eQpUPslJIODIRQaPwLYQ5+cMvUiDS+u4Jw4kJC3Lmc+ecpSN/ADKcVBOC7ewR18e2C6nJrvn
iBB4gCEiDPdvyYTqGtjOR79OxSUfrPE5zplzTvpZXNtpB6QhGwb7czq39oWztMsNifHra0mK6R0w
DTUGidxZi/A67E53wAxhU7teYFu/Vrbe3TmFXlz0tmZf4/ix7uyxtiHKcryQRq5/4kApLhKvbI4d
oSIXQASRDBClZ5ybgVBjrfHk9ZQP6lObVcNNTyTu9YRvNZhnzXqYaqXR2rDl18FejLcfCds6ZJvh
KBpZEiE9luvJLxsCc0Y6XmfhuCN/cBIYLQTOPWXdEwG8+kei2Vvsz976Qf7heJTCU4fBbYl6GjOj
uqyTBpSPNndHhZ4Zz3dSom+imWpMkQ4fFK6OUnkfDCSOPpFaIec4aQVFJ0FYL+1WGQTa17r4tmi4
kMM5QTE3EgL+jIIe92XRLfMelIrrY4ACCHtkwKqt/BPKc+tz28r2Im3Eh5ZXzYW9+mOoAeZ/pGx/
qBaMiH3BiTZwrO2TRAv0kpFJGmedmk8MWrK30vbKb13Xsb6ZDmXWMB3bSh8vlnrzr6YBo+o6lUj2
lt77hHyiiQseGrC+OqaqYk9H74oFecBkHts11e7xMH5Sa5dFtpg/kQhovFejSkOrbuU1vugvKNYq
iw1Ln3TCfLXujaimRT+yIpHKWrbpRKaphilLz1FA1bPWfVaD6CPZltpl6hTltF/wLpj19Lo2RsIO
K60hr7sonAvQNJK02rqmkUMVa8N4rnjeJzguJO/a3mlahzW5h7ZSlqfF8iftsKFiPXbm6nxzpbPF
vSGLaxAOD/WunHhnLm3jYl1M5oSf0trFkdjS1rglbUDAQRQ91Ac16MaFMQ891fm8mR4R0EraMaNk
lT2TBY860nA6/c3AcrgeCGacv/oUXuQ1Db1/TKZZ4yl0N/OSSZj9aSmBswUe5heaRratEbmadqbt
wAJYizI/WYObZgc6eFTHNZmT3qXAyIfbfChXWMtN4k/nBmaWedWZKa20VksWMzAYpxbRYBhaVEwe
pyxDVumRnW9lii39+Y7ltClf+0nmtLlLJydmnYdWfAZVgOQkI63AYcQky45QbPgI0BbzYmLxDLTK
npODVVNyB6UzdMatzdTKYmFZxuJQULV8LAAMHk0OBET5VfM91GGVXLq2rJ6neqieOT31QHX02v66
DaUzH/PGE9sNsFjM0rnoslgIad/MvGUczwtTZFGvUFvEK6fW6xRz53iu6SWudC6S8W4wk6S5cM15
6pGbMkTW7Ka+aqpOWwPfy/Zys61UA08Ut1ugLSn4j8TFbDHTI+bRyhUJoU1Xffdneq4RWkdHPGEn
mapjmw+s6ZlhVlWcmh2dQ0KdJoRwUhKxPGn4I28MXTUkXrqDQxuexmR5snoHEcBgmvz/zbZxX8fa
Z36yjb0iGmzh9XZSx17us9yczFs17i5pYKFE0Ze08h6TjsfzYCw608ZOjnKISwwxE+aizF5CNxlo
40GwoJhoVm0LFg3xyKFN9+5IYWrq2ilGdwtT3FovDDzkaSmzStw7rUakZyI0AutE4oBXznitHgTG
i2uq8uw6TRlAhNasIL62OaOncOSB0MOc6tMNi7SUZUj0WAGAxwN0GVQY4kCF+pBjgg0BxBxVasq7
cKICi/w2l9hMrdx2m8BLcudsLbjVg6az5F0qcBY3W9NPQe1sJdnAcDlGlhXa/QF7C1HUme1SJW8O
+azOsrKBLHaunPPWyGSKsFCxZqAq/sjswSC2lQP3F0le892IWf5jcqv52TGlTw+8G2/tUTfGwGzd
irTrTUFIb2olj7OVCPskHDgn56xysEe3w0CfNkMgKkH/i/FqBASCr9Ip70zTWkU4w1F4tqjfX1ZT
bTcgOTDxdn3nW2yorXgS+qoTzuArl72ZqNHXrZf+QaNTzi4NR8kJsMMs9Us+NQkFfT26+Xc8S7Ts
jQxr3WnEioeKaMyJJKMNM/pXKfvt0RdDRnasl6wKfrK0XnFjkKlraQmQo3YVeTwrEj4DqzTlxUB0
w2eIYcMjsIrpxhjK9EifgUcG+4dLEAn1Y3qaJrGVlxvZYNAqOkKuIjI8a7T+NvjkAC6IZR6JsKWw
0jTDvBM9bupLPMa4aCfSqypSEUCvhNrSI1LEKa6SyKUbv4ZIH/1L1Yy06j3CaPVgKkfchuskLuZ8
suoL3aFKjDmr8XAT1GgPEfpKDOx4LIcg12v5YE9ZY4VZO/NW6BzceefmWjuv48JSLyvsXNjuuJRt
TuR5xxHciUfghJSrCeobUrjr8mb0Jh+xPANUk4aEQWnVrQ7hPppr8xMG3koIVJ3GMdD88bzrXpp9
I7/ZdGKbY94NCa+mFXULU05vNAg+VvPQfh2FtMaglw6aV0T+1QP9XO8176fy62r2IDOKzqqeTYpO
0lDT0nredHoB+OwU3KjUJYi6m9Ry6/H6FRwJXPVirOUooxESW3HWMfFzsAZYyGpQm6UTZ20F3KQA
n0qsOpjxG3toxFsCHH2PXOYFndOJW5cZSs+OLl47WAoLZTff6NdaZNlJQ6d7tbpD6bVUr0Wv1VfM
MNcOuzXcINvv+WlzpetHOQ3EcDuJRiSxa6VWlPcAQnjijWQ666Y5ymNjtJY66mIj234ciGWDLLTY
VdzKitjzekFjGVf8HNgqcGfdeK7N/hYGOmsem/Ac0edQCJiyoW6u5kLKq9HePM6J7uRunx27bt9X
1xVjxDZurpeC85H6NGZNSnlaS5NE5HFbZTR4bf8kJ7cjwqtumXOsWuEt9z+mWGtt1PVZJyUeEApD
sDcEtv4NBAtSeUZleqAI2COZ2vpd+lAWi2me9sUzdnbxJVSg2X8u7dXNOY96072f0zc5ewOErjj3
02+jb+ah1abUdG1u++cM8ztL/uRNz0Ikm4qGecBQ1Ja1oM/ds9UharLlVdKD7jh0Y+MfhebR5J/o
8jenZTTZGTJijLGNNM0VzJQmuSw9kgk/ZnfM1rvCn/r0ZnAmXl5Rq2260tXS8wbSKDEvx9IttlO7
TIwSOT9b1RlNcrJF/aBhMhzRoX0nCTolCXzTyufO6gGzSFWayRcTiBr4AFMl1dkajWF61XO9RIaX
7NWBZ0jXi0W5+G4MwFjrH2wyM3ayWRl3xuTP4BW8zI7oAOVR44z0fZakZ89giJJnZ5+rxPFSdnM5
hTUevuzN3rIchpWSQz3f0ZUvxk818WtPG2h/Nx5731IHvR1TEeI1RCY/7/S0uknzyFv0y5Lgpfs5
bcrDQGvwxa3Kbff/J9dia3HFJ8AZhzzdXqCd5FTY43jvpkQGdKsnoJc6THMmxzuVlEu3vZkPkdnh
V4gaiPlXFHN8k9npc8RU1n1ARza9l7Wb8vhg8D/qWdYjJzaqb7hXl+/jlqqct2pNoq1a+vu86Ar/
Us61d4n5zRkirUR/HGrEZ4QyTdYXV1f5aSy6eDLxOEZltrlfle0nX0Z01E8apW9EkklzcsusjwqI
Vt/qvPZs3BOuCeynmHaCsH6b2cS9oqVGH3ohkX0jN227IcrbYjqxGIgTx6oBPNtWtG9d1jks4LPU
1GEF8sA+1GevANSLk1YpOgCe9C8dy1YXAvVG6Biaf7FmNZNDDOoYYzszdtZp8sDIbUkJ+UfYGoOQ
xIAOlW0PWa45OnOsRsc8PtDg8jZbnSo6hK/mNJK55/olbI+801AEwrQP3Gyc36Xlo/5ENG0w9F6K
qwnNPbB52ihEV5d54wcpJ93D4vd+Gbdund1u9FvTnVfLaFWkK7g3o1vSwMSH+rCJKvvOLJvFzlg4
sWX1buOnpdxZIR5T6HRLNoGHQKUbU9c2FxKq7xj1JbL9Hqglt9UgqGnJEwitsgoKz5u/OJsBIqmf
hytz29Kz0VYMx4zkRXg0t87w4TWCegBOiHgr5PCySuO7hy70ppuXJ1cYK1thW8YrHS2U7956q7qs
VKFmDzmsBCkid/CIsaTrSXBNMoqLSSGScCxtfsxW23tdKziXBhKLO5qpPPjbrt7UBbBsJYiKKfw0
BzaQoHsJ+af55Je2ZnKuyE+ycNBr8uA6ndOCvNX77K22RgTw4NG8ZeiGUCvyAbwjcAP0Edoc2Z4s
nEByOg6Rnj7oyqsJQKQFysTacwPWU/tkcs2YVnPQv7PnFZtFB07sekug2nJArp6ZONTRVKI+VlqT
MadPvNwKben7l0Uzt19VvrCLyTVrn2TnuTf5Vqxf/A6Iou8xZCpo0L80hibp6E5sqSDIaFhYJZSH
wyxpZAVDXV1ipS9vVrR36SHVzSGSWvddc83lJBryP6JdIhT+RyaNlVudFHDYffqisz2ZMZfdXckO
G6jZ0qS9KHKaUqNZ4ED35N+5En/V5iDtIBTD4TyAIsEUqP93NdNP1N2B9VJvuow1t+hZqaEvYFVJ
5uUdiDHzNr12bwvQi38n0f5VJPXjawV6EqRf+p6E9LvfAb6iEts6MdAmstkLSHy1ca3T82ZJrT0O
B26zeH+nBvph4vhZC4mOHSOiCaLTQpL5/4VrDKPjT3XF9Hla7L2bWbQ6cyidxQuEhZiGQ6bk/KiS
iSGuQU2NGMIrTgz9OfEtpbNNcbY6+ttajT5WRS3XOby6o+pehDkJ7exodMyBSPlFK94YN1NDd8Iu
vtdltZIItpCEexJ6Q32AsHd6d/2WEdAM4dZgZ/ab+iSqtvmEs8vRwh5DyM1idPOTxylXknhOWfuJ
wD4DGZBOWO0pmwHYxFMh1zUuZeL2kTEJxnMFB6P+zV/tXUGidTtGmpeOVhm5I49+jgcfsP2k4Wtf
S42pksS9A9N0I6Gyce6VVVS8WpwV3qSS7HUZ1Oo4o7Q6WBrFZdintmVHRaptlIVaTT4wOifdiYZM
N8TZy3HXR+vYrKhBdc5sSgi6H4h8ugujRDC+932tF9z8fRN1otW+1URIUmso5bpHJlb5FxJG4MGB
9fSm2CYD/R3oKNh6bVAzsJJFjXpcLAphQJ9tKMc7OtEcNFuCqjS6Y1oIC3ruz1U9kUkBaYvGse8O
w6W/lWwz3iaLCgXRgOAlddu1jCD3DZzHAGoc0xoaQNA6llUDEZ7mhWZDVtEWMEqf5RvZjAjWCl4Z
lGzdP8Cn2c6dv+rq+ENx9b8i1L8RoQp0Z/9chBquqIvGn0Wo+///pwjVsv/AAC5gruOSZNy4ryd/
ilAt8w9zN3bqZPLtYaK7APQfGVHiD+jVNAEM3UKiuAtN/6HB3v8+pINsGYbrubT4/i0Ntrk7NX5e
d/Clw1LDVmUTbYYH+TcnB3QKhh0J21+9bAPzCV/2RqAXmEaIgazmh0EsyyetHIwrH9zom8zqIcNT
ZTDpLDjVBO4wmiDB7O6pMJTsw0nzptdWON1nkDm00vvZcKeYt5oN0wWK3hwas9zsw0+X+7+Qcf5m
IwKEgAcSfS/Xi0A+1tDftorOla0+IIykYiClOGfMqY2FCIvN7qPWTVm5izAt5i///teyXDsMzHUL
xt5vF4/IA7o8FWvkmq6BZJvgpwWmXt8Cc2COt1zLwfk7GD3C/N9uGJrhn74TdfLPu6JSUrO6af9O
BqtG0gkmAmzSgHW//usf9yPZ7tdHw92vJvhuDwWv+F1aqbPX51pXQENEUryEdQuWLMppevV0ehbt
cVp9+7LOVpdWLvIbWoBo/9QGISlWeepcaloLwBNJzMIOhZ8s6DKLxV7mwI4Mutmvuqg1ESgLZQ3D
M7+9o5wERt2h5Kj+boP9sW3/9msMlsfdoctLiOPr1+tG8jixyi2A/qLQN0ZTnbGfJhKOKD5OaxUD
j2kMWJmzCwi2tgbanXW/ffa3zs2PUooKzvNiXNMSRTIzoBKs0WiSc59BqzSCEsCfjDUsBR2h7HY7
A2PpNPrVP36iuf9auzTLM+1/cqM32jQcCBHjMbzcrxLMZefST+U2xAkXESEZHdXqx6Ud96uMyUF7
7EsGvhxR9tsgNdnHgEcSA0i6l+qBRYcEC1VW29/WoqVE3lg62gsCeVoOzWpWfUShrEXGtqnvtupQ
WzJknI04g3K0cdr2re/IvDaEkrUxecFkEhxHuz6xod9aCwxrRe+4uBoz2vzhRtwYp9BxUFVk9YWz
BijP6VtP6WYasWvY9LPVinQvKk0jLR5WH2VHWqi4MBpzuZCwQ0LD2RR6Q3ogjBj6Wr00yNHzEINc
PR38dL4HaoSmpbPFY4afcr3ODLcf75DMSSOakqq+r6sJRpsCM3xAdSe3j3QPUYxpD2vvaL5W45Mq
6z4NhNTyPvaWcb1vvXZLw8xZfR7rEWnhkdgdC9iijWCA6Yxdu4E3CVcL53kwlshLx+o8o6FlwJfm
JcZjfYeTo84zDyMQyVgwlViDHGASFGPPJeGWGZt8NJN1uDD1vK6PfIoHpEoGc4M+ViOYXTcxPqDi
S1U4Jqn5PUsUCiBWYutbm1OURH1hWkiAy2V+RVwvnzujlXY459znKu1rb3cM4ldWEI2KUCPvA1UM
DYzLmpummA9Rs8ZJ1jFzL3ugVMIbnD5s57b/PO7L88LEmUPSvmg7+/LNsYWVvNkX9XY0Wd/h2CVv
xP4ZV+O+/AOXmB7+o14FfIF+MMPN1/y4SzsnVqmeG4HjZ1oWAKvVaMCPOhM6yyn9x7yoN/tvFd+/
L3/kAsLtx4PhMPFj9vbra8wZxpSZm/KPMN3bxqo/vGJdopq2JItQfkU7kT3JNL93cxIxwRmjbXCu
CNf1d57aPSnEp/5v8Sm/a9CZZO4NT/ZQTlBsp7/Z4f7fhcmZD2An+vHjvZKOlPhxTXAHc33gqWZU
hvtlW/cL+GO1/rcKs/+e/+22+x+W0umyBf7z2usmT78N+evPxRcwiH9UXwYxnDueAdca5QGHO56X
P6svk//AZkDFw+gYG5rBRvpX9WVgc/OEQ8nGBA2x7x5rMf6Z0Gn/YVJpwMfdj6W4d/jUP/JJ/ypT
cA7+0xRBTNa/Ps4WqSymTX4T37fTT7zfHme3Gk27mMGaLUXeMafUFdxey2yZn2+Vvno3nZtC71ZL
XmbX8+ROE4LoahjPRUoyLcg2p0GPYzrDows6Yoy6Uqby1m9FhsVA5DTmkA73uneBFLopfM6S+I9b
PlHqVmSMHdKivoYneCjxChcnd0U/hw6qaJ1rVD1Sp7JpUWSleSKZDDjjqmLfyEDBKvgUHN+QEKhg
rFpmyfNYWtfsotpX5DjOrm2ROkJN4a7XNpDXr/hGsNlZtbky43ZqhGstOEu4n7LE6F3SEu1OtjZl
QAxAsLFPJyYURAt15IB5RDGEhMiN7JtmaG8dLDQuNJj1nH611pOchjrQrj77brmz7+3WiKFh7vrW
yX/NDE98ZhzufXTg3YeQWMIZBfEwciRdCTdyPicmX/mSGv0+FrClqq9Xs/LrC0klQuQbPSE3mom6
8c42DOz2ASSTM0Vbt0kzZuKMTMDtXG+LOWHy1hdi9oA9jRZTQLw827UohvnKd+DzcvdQDjVsGPN2
UfVJP96OEFurs1kgWQo6xywvTcdSU0CLXX1u0sSbDz3TVoQ6i2qS5zYrFvsgfS2rTyP+XitInb6w
YqC4/duwNgQGb2hO3jMHKGGom6v9LGsxfdHzSROxQUfxSLJb11MANd77mLTtEBWc4scj8RhChrpR
t3bA3Lhmdu6lwyUK/72OceYVLH3h0P7BM4AvQl+dxUVIVROUpwz+WUcxOtQzQz+Pp6nVtI9sIbia
7nSeXxrJmN1rUz5+Jzj8CV5eVwbZSDpLCGms6yBeefkD/GRSFayp7A8VQQEWDXakf4GzmdYLqkos
CqWt18zxViHusT1gllkKxAthnu2AfQbrPi1VU6K5xZyhPquGXkuo+rl5N+mIDKFnTQBENkdsnwg/
gEmnDCOvD6bVMsEgwGUrMSPowzfi0xL4IXVzi2LTeMt1YNoHMIkKKorbN6RuLIko+TOXX+EamH2g
M7scjomezMwTV2j6wYyZ4xUNZne7WEQfUp8zQKRH0HqoWIZE+AETdIASmZkX7QWmjr1bp5P1GqYw
GRj1oPPBIpODi/tclWnyXkvDdo8dVXhzKTwsYTy6dTc+NKlpZ5GbMBzDD2SWd9hCzHvETOWVgcEn
Ye5a6h99v1C3ECtD2Qolz/tc0ML/NDmT/5nUiqoJ0FG5+bmtrL2kklV9C5wRQX5dUQHyysE2DSGz
pN/MkZAyrDK9R48F2CmExR6NBYJsGB1hAmbnScKC9FnEsm1+Ktoq/TIX+/3xK+D6wToZnh45q2TR
U2QSUBkRT1qhePMYndhG2l/7XlE/6SbfFidusT4znQLouVBtOjyHsITvB4z3SWQBVi+jBLnLyTaz
Xh4dpotTnA6OqmJBN3kN576108jSaLnsPolBZ3xlM672scxTy80uohDNn60OzSQjLgaTkGYBgwOz
JASz3H+dn2styoeW6Ie6WvLrUTMBvLYgmwht27wuibyBSPTD6mrLF4256pfa7s05QGsFNEzrzRTm
iMoZYFVIngr+TMmuRBvl3FZjI9+YqA6XnUo3RgW+QAhbogHvopFYjXseWCw1a1KTupwS6yfjfO0d
psmoUnR6VCPUb8vaJhkm9kwDDHQYpxDX7brsFvQ4oTLQ3CnuTTe9z3toDDsYfuYE3rMm98hNkMdU
COXQDo/1NcLgpr2kC8lUtMcXN8eozNM5KDdR1AcvqSd8A0ndfM29noeCclQ1aFl99x6VZAIbhTgN
B7MXOx2Ptcq/5Lmez+HAUAOfFa/aIwQQ+qp7DsBFUpskcpWpRwWb2l2CbrjbdFDBOl0snI2m4Ayy
p3rwklZaHzHNy8egLcz6OR+zpGHAg3836PljDXWld89ktfhATGdiX4Mlh5MYgu4WX7IpgyJUtUke
DU6xZQiTmOUEhuvaH8rPEQCzyxdf9tmx3pxtySxaPicoAHF4O9lgfMipbiCnbqT5mQboeTGW9XIE
PVx+L5RZ3QiFrMXU8u1LNZvDe6axFoYrarcPY5y1JFhbXX9WbeHTiB+H9rudiuyoNre9rDiMfc0N
c772EyTgANxbi8l7Xwxt1PdoWcN9Unq/Erzz4ogizYLabUto5nz6c9JbKPNoJG/3xD5u30sNXBxj
IoaEQ25PR4nvkXSIBZiFbda4vFCZGVgGBwbqkPKzljZxthhnMZO9Es+y3L19vDR5kMxy2ee8i/NY
pppeIp5JdqlcYk/9AWRqx6hDDYjoF1Hq16B/svdRaaVHvktn2aGoqhWEE9jWKhxzjuQ340SWT6gx
i1oBcqIS8Q32eGQrr6WvTxkfRIYzX0qTkTTmg1qojiJazt5V6tMLuHJSoOjsLAqd96NTQYCOpFfY
PAOli7JtLrUBbLmf1jr0aE1U+qdh7XHCufZQ1RG9fr+JSsfqrhlxe9VlM2WodNytMN5xUUr5waBj
D0GskkqLWIGZNajKn/NolUin90+uG0qLzHqDt1xIwiZWdMEsRTaSGSy4CWNLNenJeYSIkr3Qi9fs
eNTGpqBFsjRtVIEWLE5JTsZDTgYXwtywRj1g3fiTuXLbt3FJvs62PVoxoVq+feKo5mHNXvxqIX8d
s6LP1Apz2gL8vmQZAyCOK/a4hwrILUK0YjOXEx7y2is/n5L1++QrALBYg5zhgDjEG67zMm2Ha4zY
BQN2vzQ2EdfUFkpGm97o1SFjsOxepmVhpaG9pW16BaysSt/aQRv8CPWezm0qRI31gRQDKzazOZEn
lcy2hYxApeQFzGqaq4sU71F5R1NT38KBQloj4Kmf9IukW5c+1LFKuSf0/z2JEfpWImEpNhILrM3J
jedR31Cqpb1LEcyDLNQTnojGCxp0a6gDCrPv3S8c/43PKtEUShpvTr7rs2c5x6akC8EqUa4mEH0G
l4G58TBH01ITauT1izudUNmU65lrXoJV1QmbCJ2B4IPbgoWnusxwYX5jKCGvPZW4X91m1d2D4a2E
qxvIz82j5S3+GhNX0XD6dGEjhfQ5UxFtm5t7XLSlvem8UcMMMjMJD1tHpMi8+WEVqAkLVZ1HkY3P
pnP7N9aEfD6IZfR41LE92Vjc5eLdTu7Ma254FZh0fIBVT7U2oxpxE7OfYw6f+vfe0ktqdz9vqL/B
+VuxM5s9OXdNBl7ZMVzFABdlIZ6EuQZQ0wvF+5bgXQJhzb75hKQDJzavav/Y2lTTh3l1JxEOUtrI
TRJDOTE9r+K+G9bsO1NCrMPV4uy5XspeieVK6j4YKamnqG1cdGTtMDKCHXtH+qTO1JhRjCzlEg+u
nr1oRud24eykpR5OaO3rsBEzITqk5enZnTUPmGDx1+eIHdQ6t5eIGfsiWLNkxU0sNYb4vmwxO5UN
vdxgmeeyue7V4NCErrzevCz9dq24eKQixwuYnzwsWkNqkaZzF5iSO6WI7XbzsrDkL6sinbE9GWL2
QC+n6Jgrh6kcVxf9bUYfR8ef8r5oiIgRFWbtN7IDKj/uk6Yv3rqqs9ch6glwZ0+Ge7RFm2OMLV2d
1l08CGHp5AxlgHKEbltA7B+NTOSDky+qyBWpKRJmSYjL4pXOmBnWOLn8J4dNNDmUpZXr9xmSWvFJ
DLZVTWGHxK53QrsprPGJ0rOwKBCGjmFb+L+dg2k9f/zf/+Nw2v7njYPoW1O/DuXPjYP9A3+RcwCE
wHJz/H0ADRB0Z0n/2Tfw/qD/ZFrouPDwQeX7aWoj3D9c2BoYlk04pmy9tBT+6hsIpjYUZdBIHJg3
tmEb/07f4NcZALG4HrQcDhbweQBHuMY+DvlpMt5CVVBFvslQthwAUXfkUTJ1fbxSL5x+uib/xWTl
197Wj6/ax1N8i44Anl7Ir19V5m6y2TP5sSYzVl51i9ycdSyvFAqaK1IZuiPqo+qp6Abv2OVLdv7X
X2/9ig/58/vpL6IEEHvX5XdS5Yxsmlp927edMs3uDDPzYlN5uYdBcUGtruX1grCnXym6UsNBUJtl
qfHgWov7nhZucmeCfnCjgVQaPO+l4JCxGYPbH5ISi9XB3Ar4CK4Bsr6X7DsIr7I+C3uPSzpwbMjQ
s7QYmLKhb76TUkCVXpuFawQpjqJHnh8vDQe7T95SxNwvyyLMJ33Ummt/WbWJvaLKnv71BYHK90vL
6K8rAnXVssV+R34Pl107HRcfGqZQ5j7hN7Num6/NIrCZrJ2od0CmY7/onKxeq9FBbEk3lWN4h2Md
ye9m9R8bqj+yFvG+H7SsSh1M3mn3PhrIhAN/6eokFE2BYKVKU1Ecq3q23g1lCuOYinJ6TCYasFFW
VNWbmLO+OkATGNTJm7r2s2IrbsPcSdZ70deshXAY1U5+AdqJC3iY3ot5VY8o7MY61vgV8sagZLph
ct6bF6PdZeI2I26oPCDuqMez3gtknlqBZiqoEf3PkXI4KqMp8Bk5DIOdDVGGvt9F7dSgtqt0pKCN
s5LzBcDPda5JrXG1CBe595UK2ytPrUuhg28LFt0Bo4vrRgYnZzfCWDQ9OMJO0zuroawPEzJCXt0B
jumJ6Y1QR0loEdrWwd0tvWOz9XFJrN2eCiFGjvRoI+mpDOj9okLkaM02exMOBvLFZrplNf6M+WNR
OoGrmyytq0XDB3U5Jgku8QSh/33ucBiJXWQ/RmTOqdz1RNXgnsDU++Y7P9gRpEyDOaKsdVMYsvhx
5XWSapimtv9k70yW40ayLv0qbbVHmjtmLHoTQERwJkVSIqkNjFRKmAfHDDx9f6Cqu8Qgi2Fpvf3X
yiQiEIC733vP+U7i1skOXYIkrYWnovAztBw5lk4jz4NwyFp9CzTOK69TIENsUUWqd4FFnW8EOdb3
a90ulyowcmdkJma10CascGjDl34x42RnghuJfH4kpMUpJzeFjMpbmw4ZRtONKAt3DLwsbeqt2WOU
JOxmSnY0L8VwZIr30WIEQJb2v2Gvo961m/rHusdEd84GgasnQiG+Xxkk1Ml41jOpD4hzxw7rLaay
3SBS9BQ5h8PPX751RvifGeLrq+eBbYIyA1OKvvJBt7aT+NdzFxFKnZKG0zWVea63fXKGc1nuK0m8
z+fXO8Dw/L7gK2KRNhI7h3Uw17ZVTIIJsbz+SLbxpqN89hvAHudJU7nPPeegk1BfzKCD1BLMahCn
OSXYSzVCM9pNs7Q3BVT+3WJpxrmhpdFRaPa6+r+9ISbd8FWoQNaDbhoHkw+c0yhXFaeVArP4TeXN
FvL/1NyOAp8L0sdE4m+Y4pNyKBwGNITa+UZnLjvIB93ebCJxZLd6v1uwV2N+A/jFvs2o9+0DUlJ0
CYmRwMf3RtLskI5obLD7FL/PTP+1cf/BIrwOkSEHM/Und8Bad+g/nkRZ0ysV7iyQ04/DDUqcNkXf
ORrppjBb56c2VSh+qZdsrPkNXYTNMids1aaN9Hwj+zGdA4zh46OyFkPuertRxKVoZr6HnRQWAWgI
/MifP0zvH15rHYB7WOK4MxxC3n5k13IsZwjXjzws9Ys08D+HU1jsEqeM7xj8mvvPryfXH/8/Dwfs
fmaT6E1hayHl4505eFs1BxFJpOlYWbA2faNl5NkblBkjvIVoMQJbjWW8LyRdekAB2bcR+AvySdVq
u88/yNuHgnMLJxfBDJ8YBtQur0e5P38r8m5qWctU+cSzjF8AyBO/O2Tz/edXOcygeL0MmgHLwu/h
OpzR3t5fw5bsjIgjfDJGvNtZFURXMte2b5M+n3/09LiI/GiWr0WdDxdhVOpoPAW00I2Z2kCDiHfN
ij16RHerukm//PzTvV0513uAho5j4yrmQM1xGMZSQ5ZqQRwrqrwiPFWWq22nXMaUzQPEgyzF1TvI
gADR+FzMQ3v3z69OWxfWno3ezjEPDpFJowM37W3EfDR6yDPLMQJVa9eKQi9iRDtVGoZGfSwCiWZ8
2xDRfkTM8vbQ9Pv7M9pCTUWaAZrO9f788b4yyYs55PEMDGVaLj5FrBw3XYpvrKrBiZAknQCDbYft
5198HSK+eQfYpISJyOs1l8TkDXt7XRLEAbjVIxDy1Fhl9LoQXxnhczQajIg8YAYqW6KY5LVV2Eze
yikep11iJQhgKouu+c4WVjwFn3+qtyvBejMseGlr7eJZQOC9g1WbZ0QYOYplyD9Mtyjhu9NeTP03
UMzL+RA37sPn13u3EnBBkKG0VF8P8Ss29M3dN4a2b6vK6LHEIFyilaoFnODlLtOYSZEUQN5843Z3
BTO07aii6XTQG+2f7aWv3xpuo8lKBEod6fjBtx4hkeaWagYfAHhxEuVJeGk0RuajUCvv+9xp9rRr
X/pWOjuzaDVov0701esicbkmE561RZWdpo1ZPluD5R55QeT799NGB4jimOwiqIDe+pP98Xzm5OYU
SQM2yNIzfAhlh3nMH+eG6aZlNdmPxEp729fTdLlO9Ykp1kRHKPJr4A14/TS9bwEE4FoEbDIC9Vic
uP/e0LFoN53CthnQjktKvxUz8D6OBHl/5JGCWPn+SV8dnCwz6HwJfjp40vuqZzTkoTNpa4yIynC/
kHbeYkykoc+oipM6PAxsYQvoM7O/sgic97IiAES3B548ZXgVU2IbGsdaOc9I/ZhsNGyixhLaCjVV
Z/8o9Ir81jY2mcgAkzCcIM5k/GjHlgc8suWQXod1Tv+wWW7MyHtIIxFdoACW4TbTXJhXPQ5ZNmsr
R2LF8fAXSSrxo6lNDcQwsjKY31p1G6FrEg06xamef2hxqOJtN7r66YgMCIpL0Q1TEGL3CZqSpvyW
vFYCx9QorkFEu8xSYptREeSvCIsN8e+Fb9LEdgLRhcm1rtFn2rS11E9FVXvtKSdzIikIRcHb7Ga1
dTdW3hj6/ahSuWnM9Tcu5xnEPl3sgXjGCWXavkxk154BhOh2xGnir+CQ7v5yFQz3DUwB9c2WYCM2
ivJwCqI2gxpgIdz5qYexU2BSBTcd1LmWnJVpy5k90solyIe+u5+Y4j3mYdL+xONIIO+E8MkKLNLO
f8YYWsJTXi4a0kaLoWIzN9P4wuEQifTCuetemLTvd/bi5c0JywuhF2SsZ9EudXXURbKS83XZ5/Jn
707Ti0tMyRUl+GDc82W8b0Nb0mdlsGxe9ppkDNxUOolxSYIjnyOvDmiqgDfGcKIrsszXJ9FlW5sY
VsCHESvlZqwXPhn7j3Kv8tpIHgvGwXOgy5kftBNxVm+6sG9IKddjb7/YDqyOCoF1MEnS7f1QWsYK
QXCWDZY6AOYj1eLfM9OzbyYgELJoRis8nVQr0402MsT0M/rZja8sQI4bPW/Tby6Q0Od06DzTN5i1
PDEBk39TrMwqIF5i+WVnTvQYA2hnGCEmOZ3O+Wxh39dK477RMvVUIZiA9C+9LxohebQqZyM9KyoG
Lpus5J77ugdciw7FMl11w4JJQ6uN2TnleznEIFgMCb3CQYmhV6ZxZmWujf5L6vQIGtbeZqvXVjSc
R+ZAEarZravvGdvAvBqot9qgiDM7DIYuy+BLwWylvM0gZaRujMSU9G2Dr9G7IjlD29VAtBsyUADY
bU3802FM8QvsRz3D2eqgNzgrJ4W+g447ra6E9Id6Ur9gKMbPbmUgBbbQibr+nGQukBrRk0YdDTS6
uJOYx7dZG/Xu2dzYZu6rLNNOh1kHeIY1iQFqx2niZWVITMxwlF2f8c3r6Qp9QiT3WTxzvOsNdsCg
qSdCCLtQhhK8oEGHANYfJ/W9WbcYWjjf18BKOxueZk9mX7lPWp4T+FltZOxyvfJ4sLtKf6QtQHCo
m4TGVcbDSgdfQHk+0e1BdEHTpSTthIsIdWbIrnHv9evQ0oky76riN3IDqnWBOoGXG0AQ45kLBUmx
DSK7ZMqmUhO2dFNE+iNmYfriysLNQ8WW2t/GNtfRGnR0rBllhukjfeEK+YPm9topsBTne401OMTE
VMkfE/m4X7ANt5Xfa7Nj77VE8/jN57A8J5s9hvsT1c5tZTeMI8C28irlneE96ZrhMi7ywscCugoE
9rxf7+u0vnaG197P86LzuZfaLbdy0sAVWgkO+F3ruNqTRESAL90gTXETxpZxE8lkKXYqja3uRDek
ftlFZu1uCRovsT7WueOP9aBoVdSDeUtffHo1cLULbEfFWFIH0naHodiDZzHIdt6aMwKPDck0+COi
ZSgukkRaUFrcjmEG31ucG0ItNwNKgjvB7Gze1LkRoibqGotmUR5HFXiNLoEDgn5v2rpWrZ2Ajhsg
yEw2Gc1VikeSXlN0IqGYIvVp0+hvS5pR7k/ZJM4SnggvKPJGmpdyNinesOlg1XQwh2k7t7M5zrW5
Sa2btcsXbdTLn2Ix0gf+gvmr1RilBumkyie3aJiO5OTEEDgdMp1mj0sge8yuWQVw/iMG+bEgCWHM
m+RWJmSzn9uepQe9oRvltavXHWmTyqAhKRoPL0yo5m8Y+gfHd3R3ehjyaqrP5paH5cRkDpltrQHp
vo+WVUIdrec8BzC9IFoChLyqk8dx+cXKKa+8FEzXRrUuycf9EK8eOXInyXOqhX3aj1jufdmosCo2
osoRD4xtldUoQJDw6Nf9aPbjRYxL/CaH5WIHi6zsAbJS3iLDbyZGOXVZF9/xhTsji7eg1QWfj/SG
NTXZnPcJuSfGpVQlIyqZYjoKIsgG2tbQFyKR5xg2DG67Ogx34JCHzjdhB7JugKo6482xjaDw7OFL
Vln9TmaJ/U0R5nKLf3Xp0M8V2aU+MdFBjYAYwsd80/d7bcnIWay0CxQodXJiQpdJ/ba5hemIqxPa
bwErr70ELNH+LMDKPkg13jQDSgvONGd1VCDROXI8fl8kUCW/AsVdClXTOCiU1STrIp/syfeUADPn
Gum+ngvPC3q6K38LB6cw4CEGxTJrTun8iB94t6b7xJho6Q6giqZjn0gY705ztArWhABErSgeDw/L
HVxbWYIgJ5qaRe1sEM36AI2V8Ywwl/aoVzNDDHJkD9/QxkYJ4WyZcn0JaeobvMw+8UdXDl+8shLg
CCJBU5P3wCY1NqM7eo00Lv6JRh9YmZd3AxHiaApnyjB9mNdLMmdzNC3+e+zsFNQdGvXS15lyprw2
df6iGgQTZ5CI1egniLVPesFZdzNITYM+PMzhXQ85rmI8Mkf3GHvj51aEkxF0UW/8opUqnvIlgvic
kd8GN7YMy8oXo1lNAQOXgi+zzFOGr4LT+skyOjI5t6PC/ponE+ipODSap5gRz50hs8LyixLpNQ1k
XFqwaHWOR13nIM6nA64R8pWaS2BFJMtubBvrLUij7FeCo9HekAe/gpnYjq0A4xpeYZSA9oVgGvUd
h+nyTKpZmsMibAr4RzCVtKCMsGji2teGzCecLg0Da046BP5o53ZWCa5nU4gq3OaIPh+Im5URskUH
/26BmFz4Zevl3yOtj3gVrSrfaro1yL3rtNkvxAyheZL3iAs7zly8yYtRI+Tm2rVP4mMNzxEDM+l8
mJA39G6I2XQJWfCVqOs2mDLCzFCXeogspsmSflhpWPhGD5j15vPX5X2pZDENYo5N20133vUcMTF4
SR5WnZ9JIh4iyf7ZpYj6u9rRzmnOllu9y0WQ4fO4spHoH+kmfVA8G3QQyAcwGfSZa3DAn5WaRBgq
Qrp0fhN789USh5CSofEFdt+LnY0v+khL833nwjKo1qkNHcNAI3xQttbT4o5Zyw5WTip6dOvZxADa
TzuXPfGr16DdCSnjv3x+j+W65PzZu6NiZ52xaWZhCrMQ2r/9lgw4APQMdrvq3+qL3Ju0h7QVw9ns
YVyZGs6/Y9imAWiHkNkf8EGS5W0fm3tzJAXxg69vupL0L8TbWOJefbN/FMZambhU6jEfpEo12rqd
vfXGcTgZTIDMTixBrQJbOf386xsfPGM0d/XXBglhdYeDBvCbTo7Nt/WNvB3+LnkaTCjHDUvymNRl
t+s0cMs+mtIqJNEZwCv6inh+jjs9NHzMbkmJOFgH8DV1S7RT0kosP8Tdewnr2s59tNacgc3RHbtd
VkvtSRgtpzC9zu9JcQOfGKfYPZYM92zlGZeeNVQyKFF/A4l3msr2LfwmA1Mld0IGWsAKWUqg8oHL
GBZPiQLjEkRMw9o9aaYtoyUBxHFcMWDbqnMA0Xx+u9b2zcHDAkVJ2EzUsEHQD3/7sKQFEX0cXkcf
vn34QIshs+Byl/N05Drr3zm8Dg1EYspo8uO4O2gxwJhxu7QOez/pSAUno8/k1Cptue2r6ktIZHLt
c2hEwaY3EG0+/47vX3sYtOD8HNramDwOrX5AHnXLnmImgHos9541jdvIJESmJrHmTIPge6Sh8sH1
TLQEJu1akyzcw0mGGJpqMRvkVmHkLVfseiphnDyF1yjlpgQz3pwcC314/zMy1Fq9pgbjHFIa15fi
j1fNAbEtHDDd/mgbjR93LuN1nmdHHbmV718umgR4NNFOr9qF117YH9eRfdW2sKA630FFc8M7n+76
iPIiko322BfU0xbHvlPaeMPWKLT05vNf8n2jioKNViQ9Wc4qVCFvv6YQYbyIAUXBMHXuru8N70b2
sNGhXVSPn1/qgx/Ros/KUIANa2UYHFzKhZ7MCs03Jdz+Lu4jPdxUeLu3rscJ24qz9ts/vyCOzfXH
Y/KC4uTtBbEYCa2pQJqBq053IHaKk5Ba9V7BJrpAoJUeuZ6+7j5vX0kblQwKNcww6yTs4JUEQGq3
tuCZAT7EoT5TpUE/EiJRoHTX2UuA+cs+G/v5vrYtjVAJ5ZnftCxFCGo5CryInaVxvQutob9qJ49h
vZNGJlJ9uNy3KZaFNBCg8nNUtF4NJTFq5bEe/QeP4xoPRPggZwpQ5Af3rOgxIswGbQxEZPNZ00/Z
dVEkVJ3KEshEEfGdrZ7bLXpO4zTXp8U68j683+JY1IgFBH1Fj5yd9+2PFtG4wZwa8pRg6EAzWRj7
Scz1ry7MbIrVCLW4QGLw+ZPywcvOSqqzzaMPsfTDNbv2iBpogRljBeKhXJjGnBlxuhwZO310FdRD
DB5519fW+8FXq5wOxh9XsStn+dJwWFrxr/U/i3GkOrExA9qWY3Igt5hpvL1KwxmwF204AJB0qx0O
cOIPU4PiuiTroy6xDXx+7z5YQUg14qXmeVnDDw8eehCJwhpJdCDtoIQfjrfkoUIlvpMA7qIj15If
VGIOXCJCqjiPob86WK5YMxzaEwWyY934TlMWs0CraCdTdpwmNYGohtScGzqptJ47NW/TJNavhrKY
dxlIOFASQ47t4fMb8MFABxEG2EqP4g4dkqW/veOgAjyVZFPvd5EWXrtmWZ/gbai+dRIMt2+L0d7i
jMBCVKdJ+sQDXm4sHdD+kY+xXuZg9WGkw3iNcwf6F+fg4FGS3xAnCHx9r1ems0pa9a+o8/U7NUct
4LGm1Z6cDMDfRlTT9NNtEPDe5ADMMATlOnK2DIvT9vMP9cHbjKedUTOyCJ1bdHBrWiS9hWO0SDa0
8Lk0oxkUmG2ciYEQDjTN5X5Eo3DkRrw/GK3aEIYudMKYsZkHNYmba24+4VlBLbqkp1EY5YE0MQrQ
ZVVQF6YOuNIgLuJhaH/8428L2IIjg0GFwic4ePUiUIYNcTcDpXYmbmKmodeajh0oGu3oZLaa7oUq
tXr+/KL6+3vskhco+abYNF1Gym8fPyT60dptYlmxq8b1Id3r3RVntgTfDGeHFbza9YsfK28FJnPu
7WG2t4u8UHrZPTiTDma3qk24oLOIdWJLI9M10Vv1+QQsqRzBTyG7uUImNn/pM9f8GXcWS7NBFkC7
iazJ2i3KLAjn4TRv7+Mx0Sf29Xa+hO3VHjlDvF9sECRwYMGdYfCqH3ZiNAJuatwAMCH7wdo3ZpZv
OTS2WJiS6vTz+/ruUq9VtcO5E5SF+Rr8+OcBENZTQUKKCwtE7+4XpU37sBmxg8ax9U8fWE4odJXW
STMDCPfwJUnAkhdypONFbzwJRqnCU4CGpS+QiwdTK8NAGXV7a+hlu/v8O76XafCwugSbMQI2LJPP
8PbZYWOA0hpGi+9BAborJbgzY6azTKxIdULWt31DMgwsi4WhGCMJ3CtpW32RscLx1EXOaZaq9qqt
1uXj80/2bq+0+WR0oXmHV6Hwinz58+4LrzAqvjrG18kOL2O3J2MG1uXZ51fRX0v3N4sm1Qvy5VU/
jPNFmAe7l5WRk6EqgoVI35rdXSLxkvpwH3N96zDofITyWj2KyVpVVNbUoB8ssQXtSwiNoAvo/oE6
YeBH8FnMnrwBVtd896Csv1RphVstLsfSvdRpSpTbMRPiTtPUcF24LeYhC6AVcON0Vgus2bSCq0Xt
U/lSaXaM90rpUC9QzMNWQ3bM7IYmVLyd2oJoYTn07qWXosVnuk2/eCNg5VIEmonoN7B8KbyzpaVv
mGT9UyslMk2drA7h09HDUWb39CODMa6de+DmsThvYjAdZ5HK6GyPTd9C4qDobE8xQg02SIM8nSEo
aQRE5az1WlCPBsbWngGjc1u4M/7DJeKB+AXb3PrqqWn424ItUZ7ERYHPmvWrRhfYYKFY8du1saMo
Z/TUoCEug2IYupcwD/XvzGRa7GpahEGx6Cc63NZQqJuO0Cpa8PhQESc7WvTTcoD1Mb9XCa13W5k/
EmXqZAd2qn8i2JiwRJpm58uko+7UmqzGqQe2q1zB1uUloxSZni1pVhYbG60Uihu8CneM0CBACypY
lAVzDvdhQI/Sw6uewYqLsqXycxI4FQFsXAIsWrNu7korasS+rhAKB9bQITsdu3L5Vtal+OqCbX1i
LJqPOMmqCQOfzVhtgyhUhUHfjvV1ZE7jD1eH27otvWb+3i346DZK1cVXrVe2tY2zztXgc2TwL+AY
ehhLsTqGaNZGwtFGBLnxiQMUOdv3elSeCPRCzQl9ETffZaqWIjBTAf3Y0aglApTcTPbBpkwVx+pO
/2UmXdP6IV0K6EbsjdpmQhjQsAtIOF+llRG0MerVJRq6wttgO2NyWBRY6v2YVHdEF0Wl1aeqWyMp
0JuNM7KevjdJali5jST+OMY+zsfphcy42LiI9dDbid5uzS1QHJVeVNrqmcYG2zw2LHI3lR27lZ/H
qr9EH1Q+pLHS73vG3NW2zfFWBT0O12gz6o136xV6fJ96k2f7wMPDF6xS9Uu7DCNcRmTBjwVHNRvj
pFzQuaMFRVOTEES4Ua6yrMBldhdvJoyaQSNpACMM1fSvhsXssmkW9YPapj8tMsPAHkxkRBbEQFt/
cJKGRdcOqtuV5kLnubNMbszQdqi6G3CmiiTdkq6UCZI490sO50jIMSyReo9pkOF2oby/rcpWj/lC
4xvHoQFQvtRlfS7nzvs5j0PEUmDHRI+J1o6zoMKd3uPfLGPmtCYo4cBAwFQGnWsNAhM24mpCx5Ls
isoG0ygBmujoqAkggny+UL5fjtexB2Qpz0bVAu3h7XKMybDIk5FDvgnlJ8g6E3+DVi/HtqN3Rzc6
SjhGPJpKaDJRF7+9TBeGJE6t2YcNFkw8jjwu3/GFgscONfeMZ6m90XN3OK/Net7ncaWeGNrzzOB+
8qHYoeFadHUyzShPdHQse0ayTzXu+68VP0NzZIv6aPN0HF3iPnGZDb3rL7S0FAfGpFi54IiXu0gv
na+l7TK6gPXXnDNBg2Lu2NN0y7oT3irmtEQjZ8mXscQRdr4KiGw4LbJ5YCACMerzn+yD8wv1u8Bb
CAjMY5t/ey85guYlHg4Q/kVqvHTMuP0KisVTVcVHTqDvCyB+Ns67yIwBd6zSrbeXQo5Q5VrYAlFi
bhoAygcl0ZI08pOGj33dAyHdV/3s+syNoktI+NX5wKj0n9a9fAg64vSnOclIxGNvPwRhjgZ7JqKx
AvDPfpxDfeOq6Qlaj3kFQ1keqWzWA8jbgwOXo+xl5CJ5Yg+/8zTQYHUd2rxDPBhXkSiKl8lcslO8
AziRvCQ88m6stcPh9aix8dBwWsOmczD5yNhkNPgeWI+0Cqp7VtQYX4tyvixFDBrAC52TMVzc25aZ
1LZxQ7a+z5+nd2UG95faloOSvobgHs4eKjeaRwj4EwkqThUkfeGcGc3iPFtp+nNIi/Fxgh388Pk1
3z/DXJNTGa0FU0emcvClhZbHhd5Wkx8mWcosLalPJ/QVKEcj58gKd4hEE1TwUups7xa1m6Ov1Jw/
T5wh4RmxyfjVp5mBbTxBBQIEszHtp3H0nP7ciYf2ibYDARdgYWhAg1tJLpYwZGvnzTZv6zjqHxIt
1e8IdUJeg0Fk6feDVcuvtiZB8U+JdYVbKfwi0CsWm8oi7jAwqoZ+gLaQ5LGUhpn4NmK9NRiq+wps
OH4OhR4hc6JMPh+H0rtcksGNd7o5WCiTurS4ceFmDxt7aksnqKVa9hNxGEmQ5kaEeLpJy+fZkTG0
cUh5L1bL+Zax6whveTaRmnRaijsk0XD4+6PQYmsPl334RVsdA6jeLg2jxNFrossBKYwiRi4mtGhe
0qTakbWFh1nh/TvWNfjg3YK/CNnFkTo/xmFVwlSlsy1DURBN+VNBjt7FVPDttGFE04RUojzyaH9w
PdYMerbUeczXXgdgf/TgXcODHI5JYRUnkkIH4lZD4eTUha+xsgU82OLYkvnBk23gYqGFxV/X3dVr
+fZpSyxN8j6hv12Wq4kNjTwWcj6QnLTPFZSGHZFsMkCzml40KQQc4gFaPEb2Y+2J+QQBmLsdUrBF
qVakzZG17cMPx0ZPbgfFtuse9DE0NboegMDJV3JKHgwc8pu0GxwaWLa9HCmzP1hWkK/ybpMgzwT5
0CjQ9cUYa4bDtTyoBolS6qLuF3GOXJP0HVXF+xDc3ZEv+Mo3PFhNDQptg3Em5wxy79/e/r5KYYxb
fMMhBivgq9m2w/Mys2NzV5v6YHNAD6Nk54y5/hArDbejF9ZiIzsUhUGcJMN8wRu5EpNS+lmbJiqy
H7UbGjkzzlQ9oHXq7iw6cLj+W1NNu6VQ7jV/03S2tOX67WClmdrXdVr9QmPL+LMnQ9k9sqS919tT
1+u6dHFpmbbBT/n2Ww68uFNIg88nmKv5ltCQ2tGbLgagkqW3JR28wD5naH40IAGL8zUMGnCGiRPG
bi8aRc7r58v5B6dIPg+cVo+SG7DzwfGukXXooUJG7lTWGTQCl9HThqlYdKSsxz98uFmuBizOPgy0
sCYfzicb7KJeTUaEL6I5OQFAUHXbGcXpl9kpSdayS9SQDPbS+HmhAdQF0obWuiKEoud0onEN3sOI
TxPIRPXGrOziVnC2cM6UyfGbmryVyu+defpC42h6SHJNNP6SjBN06hZAMbL1OAT/w/yUjGD4rr5W
2tXfFL7yZ6ZPDrW4sMpbHLfphTN78U2Wo8nd2FrXhjsXWgPRpGOoHuRSo37PHARhPoIi+1ceQpve
zbGKeDX0lADAz3+f1/b5m9cCeRxTVvZ4+vnAA423D0zUOW4aJrXlIwuW1Uqlrh41CDUj4piFaALN
kQ/05vRbVyMGgtVpmoqzmjCBb4kVGl+ywSyjLxw91ogsBoj9hRZOxXM5Y1wGxubQp/D49P3WaZVX
3TlOqpwtO2rS/LY3/A//71+vHaz/buO/q4rn/C3/7/X/+O3jt+RfnIzp+XJUR9cFA/D/+vhN8Rd+
cjwpHOTxvtGK/A//T/JPlsAqJ6nJ6KyzW/zbx6/Jv2hdYiHxODwxrrOYeB4A/z4DAB4sD2z0vC8Y
JkANugz6bT7Dn3siPZqxJUVHB1QxNy/JmoKD4LU41lo82O1/XwarOAoah/O7OLgMiDGMxoupb2zk
zxeotqLTZuxkMODf38bO7NwdeavMt3NhF9c6ewzxGRxqDN6rw1IszHA5hzA5Njz1KTLpkKPhhBey
LNC4xgXmeDCdQvW81mNRp+nGbetYnSW2Qzyhb3Zehei5LOzuC46bwgVrPpnezjSHuXL3mRszl/M7
r8yWxh/QQGuDnyQM2q0gcUlcXaPKYkOEweSgf6YxSFWG/Has6aE3+y6RKYrdeelNOaBy7h28805t
Jc543mAMHH9IWQ8DFCAeEYb3BT1UJhyDMKZBD+AUz6SAcV4obOOpYdCWjIFKcD/AwRNU5GTKtDlG
mA0+baeRPppvt/BOCDOL4NvTLzHCR2seu+Wbo2TeGD5NX0OcdE3Cf+c3XSuivTAJdUfqPiwkYdFL
McBXYUFAUiMC9I6Ti+wpTO0IOUHlZIDlLFK5LZJARic7zQn4NQOBm7LUt/GEqbsEJAdVydrwWQDf
uuSrgYzGPU/vKsuU7iYb/DBa88XFwB6fkTgHHj/P+OLhBodJU5wXlswfkCgq+zTCrZls0xqpbx0U
FnvZ95ZikKxHpDA6ySQNPp1fAAqae1l0pX5KUzFB2D4tRE3MygCCWloSo3mpCle/N6FQTgT1RCVD
GtK20r+rKLUbhoiaI/bcc02CADPdZoe5x4t/jBnny58l6pgKASdoLOrDFBDseaeYhNLZhBNuIo0y
B5c8RqlnuzqZu3gHBGvOiO0tKzVqvo1e2rtI2OLoYDtZGJ5P5jQUt/UCtfoMdwhNVKSUQ43BhL1H
yy+MibHAXU33074k+7VUt3M6c8FMyzNxhWFjNM4rKb2MrjnOp8TP4T2XJNdh0tjS/jZsmtX6OBCh
VFiCYiJpPWLkbSDS9jXDu7qXyNvKujrX0soDg51YVtedEmQlSNsYcrCMWyIg7LrBsbMOPYEm6nUM
UE7lTrWLmqldnrzB0LV6TYzvxW2RtXbmd41rZpeq4Ge7MSpql6sm6mpto1VU1HdaAgT6ykJJLe/N
psW+QSoYwSzw3IqT2Qb6RIvQ82PZZdGWVKqEUCV7JOn2iqKsSC6HZKaiWwhxoy86MahWl0Nkjj3I
oEZ4Cub7mAhCit2lnk9VgUTmDHLmMl/NkAXcTe/UtgzGtqddgaR8WeI8WJQiAG+fNG3inODctZsn
T7Xt+CUaRAiwYPGacrhrssnM6a1rqqKPFPd59r0CU9edI43N3K9pxFGE1WchZoveMy4BMrzgZeEw
8Gn8Q/a+HYfJaolPavspqoY7szC1pr6bvc5IvCvWrKoJccvqUU5eqOaVU3+uamdu3JelAxO6nJYc
eZr7vq5Mbb5T1UQ9A9LMmAJmkjV2rnRwonSr7EXEdYCZRLVbJ4USvmmdlBinzRiDy/PJ0RhpulYs
pd41GPZk0EmKIRQcn1HhEZDeZgIFyFrKRrsFIX6zd9rOEdeek2o09bVSQy3fdi5+NBh22skE91QF
TaqBfBOa6OtTm4VDkoqkKWtf5gkJjb3rhOZZ1tXNeRmJKgsyk5+DrrmEy52bpj67wRwuAItpL9av
RDLCwenRGg0BpA5yETQ66RNYtrnxzofZG6IcrTd6o/AyGoowBh1OoBwD6c/3lbfbJbsK3Bv0qIaD
JlWihzioYWw96TtKK2TJPWOIbVH0+GFye0mONGE+vA4jfN1mr6SIWKvFP6pj9n3R5SYJy1gd4Iej
LR/uUroWRw6fb7flf2+SFCoGZxNs6YcNNScFpOiEXEZTmkcGYzGdK6FO28ZqLmDYDseky2tT8j9n
3fX2MUTWmX165FqtEOO3XyskCGFa0C/iqaR/j2Ad8ftiVVVQOhJDUhFhuzFn8Zyt7q3Pf7m39fXr
pTkTsIoYFGVAOg9+OSaNgx1mPGMM0vNtOmb5rlOV2AnRHFNOfnQpEJx0DCFx02k4ONGzWVvFYHGp
Javs61Fm8UUvYcVGUXvEVP7+fq5fhu49BRsK7UMIBPlNeesYIJQh6LeKHa7mC4WF9WiaXem7FdiH
ck5j8nHzYvd6P//nuP8vfS1t//tx/2vWPCflzz+pXa//x+/jPod6ptoup3Z4E5jOVynYv3Hf+l+M
LV4F3UwuTCY7/++4b+l/8S/MPVcSJGo4jyL938d90/wLzS9bxVpWeygDvP+P075Az7v2W2GRo0BA
03/QZCpiUjL0ngc+zXTvLHJS1uCoPTakebt40T1er8IT+Xt4JQ87yNgz2JjrZQy0MMEQTpZLx6ZQ
zC9/3Pab38vG/2IFuKmSsmv/97/ePvzrZShaUP2s6ites8OOWWcVNRVHjEHRwU+mYlH5gLq0E2hb
yRkw8varVrbLeZXJo3Me+fYV/31tyiJsATAlsJofLGQF2Oxc5NUQVBH2tpdcIVpJNh3IJiYEaN+W
bTczONgTcZxPALC8CGVaI59KlA8AkYuWlqfWG/nkR+SeRdv/w96Z7NZupFv6VRJ3Hhckg+2gJtyt
+l5HOhNCko/Yk0EyGGye/n50AgWnXWWj5uVBwoOEJe1NRvzNWt+qe6ttbrEAbxn2f/8x/fXbYEOz
8XGYvW0U+u1P+cNV4oaGdK4REpKdSf04hHmRxBwP3Xz4+5/z56EiY8t/a0gj2wPv8mcNZDE44UTs
9rzXIL4HcMrO7N05uu7AWWLn6cdYjWYt3jIS7/Q/CSL/8kfSI4N62U5B+3fp8X/+kaPWhd3JItwH
g6AaJLfkSnZklv39n/iXbx2xF9Nxvnabd5J2/j9/SieXIkntDidZUAzvxg87CLRSvXr5+vb3P+k/
L2aeLwYCgPWYS+K5cWznT1+at0SqphCxCWu15yxuiNbFGQgDHm+TuKpKj7Lj73/i/+ETZKFGGgCT
O1Ref+aE5KgIRkibcu8thKtnlGy7mWDpf2Bg/OUh4UBEsAn/BEINguc/vTde47m9W/BTpKWSR/rH
8lgFuYU1L5cXjtW9SmCa93//l/3Tz/zzoZc37gLJVO4dqNFIckhStcvuS9W+/0OHpYwB/wf/MA39
68/kSOJvjRi4Mqv53d34h5eOMoc2uqBZd0KRXJpi1fcYRubLUrQ0/qDBMckbtvvJP7yEf31uEHL7
pHYhjoWx8+czMW0mERaddvbkq1SPhnjpjwp8RczxGyBqoLu6+/sP9y+vBCcg/9iSYpiRh8el9sfT
Bf1qMlSbvoPIHnVnYx1Xe+ZHhb/vwkL8w96C1Iw/HfoOGm4uMGalzLKZqv3F/NZ2agm60oBdAx1z
GoeVGFBVCL3+oN+vslPKH5kc03p1mhMaW9A6JOEATWQgEp09jMT2x1zNrD0xTJemvxwUnkmc/sEi
jgohSrBr5aJQ2syqgVtQFW57sHvY3DSfbWNOHGuAe5ZgmOV5HIOWwXqfT0FMlDWA/7pHsXLXD+TO
XC0msIkoXTMpf4TrTAYhjdFuWOVFVDHqxVliJ9xbTbo65yKLZv3pEotDkxguRIZOaFb8s7HGyKZh
TcSX3deTtc8JxHprG1apFxhTVx1D1Q2CGPeCaXYJxslmRz9Fgg8SGp52HGPmlFc93LykVrqMJZOD
8qawovF3n2/qnFIsDvdTF00mXqnZzT1ZtxlqMSdQbxgfMJkXa4HlnfwL6M5Yo0n0oLVmAGT3VnaH
TMOWZz+1htfEisJgF9ppiZIraNSSfnE6urN7IJvZWbLdxhrko1UTYRekW7IHeNHW7DaxapeVjxBm
CSnLOnGcg4UmNd2tY6NfFxaR6SlimsEcpq2glaBIr/qrFTDc2ZnHURzckqldvBKL/RApPTG1AZjz
Ez6hpqtvwT77V9Y09UEfQ4AI7aeJ68J+cDsPQVy9LLVzWsFIqImdcNumBxGVGrT0Gq3OkXQng1U7
mwn2FqI2znPQkj0Vk+LErJRrIp2wtGmfHtguAM0kjt5S5W0AjRfIltx6Z1sV/84S2i3245SS7kVI
tP2jKERIeMBUelfDwPe+NUXkO18nRR49p4smRyMtklHG9H7da0h6E1B7siGj3SwTt7z1VKGWI/uE
5AL2vuZJyDJYi61W/lPfJ4Q3J7Ls2ivOdYqNWkXpsm/6wal3ft94H30zUDB1YQiwslRShW+d1u6v
pMnyBdHeakhgBj+aI2WxNpka5ulXo6V4dpxuLo9SigaEVpUQYAkS0RaxSeFoA/In8Hy3PTbfPPk4
1f1WAY+RjH9fy9F0Kp7Zi0EI8REWbBZFXouctd9lu3pTtkN/qB6a0QZuKEZWL+yfAxvzcE9Ewilo
2vRHW7FI2lRzDJ7SwZEwSMal+2SBbke3JFkYAHiOvzAKDUukj8VosCQz1glQiEyJ/VskRlZwMCEW
QsRGKSVIqER/ebWzWrswqLiMBhd/ZzyKfmn3NVnYRcx3Vy5ntnqRexxkI9RxkSFTKVIV1/GOVDk9
banIyj1YC+/Ncy2mNH3kEixy0HqGMQT3W3cLPdPA1s51/Y5CzXqDllHc0bp67mnLfIXhUAxlftFb
qK7iKBJO+OJICbm8Vta7nsySHnolnKdmSNfoZ8mQBGsnChCmJGVo99FPCWYDpjVec9aKxkYWw+DG
Kodt/Zh4XXbqjIvOs7Gm/oft1v1wL4OxH67yyh6f4IF5GVSg3kE+OeokW8qdVXIpH8locNILie94
BoM9ZsW1qqjyjj3AMue+S/NgeJyC1oHBEupemHMNFDyPvSYv+9+KsrTnZ9GR13zm3Wyqw+QObvgr
ZWqSHCtq02LnjIRFxOMi5mwnAEMIGNp5YO5br7Svlx5/6XHGST1D9E7r05oHFhEQUKXgMJAke2GR
iPAAWo/xLnmE5SNFtPWara6uD12ovH0U1D02LsDel6gCrPe2tudfPlC8b9AQvjx5fZfdKZi+6r62
6u6zEI366bVyenAQsg6bAC98sUbtvVo9OIs4QDR+CCLOxR3Wl/CxqCLxm4ra9W2YmHDuF1rE4qC0
NwSXbTJ3J5vD0+zZA0GP6QkdDKAIpMW5xqlan+EJqFvRBBILf0FEWzgUkzn2Cxoc4hwzBI2gDgY+
QnLuySYME3VdRln/HJQpJ5bpOBkBo6/uIbUyMpKE59WvDIM5VqsAeetJ1w50nbAF4xV7UJZ+oZQa
tq1AL15RHzv3jRiFhHEyVul+gK/8ay4Lrzk6XSv1ZbE45hxi7QDOAa1DwT8KqzNuraQHcav9j6kM
2bI4YHbfBrtyGFq7otB7VSwgcVy1PlRDLli2ZylZxqnnZwJgkrRWqDtJDnOjAXSza/FoALvwig+J
OBvsUoTofd8hlh72leeiMDMM7y00OqNMj60owgdpV13/PFk6Snf2KM3H9tV+VdQpFFh6gnspBX9p
bPv5lJ8WVOc3U2DN4U5Xs3uqDT7BQ1sM6b3l1lw+RbNkb4vH378Pw2JoDtzCIDuQNHYOlK9eTrs0
acr7VazAFvSgl/Bs4J5ZqLbdjhs8UEuBXjwXn6h74e1Noo1YcGVMWQ/lIpuf2iEj53aZq3LcY96Y
AVYtBk1QHZnqpplGe5Ouh4pAwkIm52Bo8l9Z5SsC0EUAQko2nvryMSkMx3IsRHQa+ES/i7DoxT5Z
lpIwIb9x+UZlbw4eU/3kNFct/z3lLHdJOAEn64Jo9VkHQzWBwOtXPxwg3sOxAc1v9l6CfBGRW0MU
a6EpmeNitb3saHvTJsqxt4xPUpnz+7lXEisK3K8P1i6EgZMeYM2xV5bMnJ1VhB9Yr5O31tKsFcup
hd6TuLN8WScbPFiOIIjRnx7bD8GKvtoDAHAJ5egBbxDzMzswopnx/gydKkmPfZT3j1C012xP70Jw
eQhufzo1UzhYO6VUMO/Rz1XzAY+MdRSDo8cdb0h36Q+yXg495goiSih5PkErJY8hlzPidzfp19iE
kz8c+6bMQNRRfemDXsmCie2MRKo4D/tAHgd3JcbaCA21bAxL9x0h7EAgx7iiUxtSIrMOQ7JEUZys
ZuACVyOGAALAhvMMAOh5CbPCukiaCtLUzMBg3iN6UtbtlHaN2OeKWBhZap09BtSlYj8lJbHMs9OT
J6jGXB1kj1z1uFae+SxCU1Kytnmqd8IvfMThOiK5Jsl90ezcbI2QiLE2o6zqy/S2QIUznXFqg70e
0FNKaNDKvsgbRWwPPzjL0Ww383uFgwKsS11n5jz5gX5MUrfRl+g7PG6gyc1elZEUZSHLhSQWTibv
OlZP7snCXuWfA1kX+iCLjgI4t4f8x7Qm5qN3piI8NHYeBnvX5MF3UhfKjweZZBko1sn5Nl4TPfnV
GF1ak/KLPZi+/tUQK/GqnRSkNYsNnudsBWqso8Gzdm20qffS1of25CJlf506clJ3sIHU59xm7RNh
MeZl6NUaUo8rdQ5azR/dq9zzd6UXsksLIPHCKEYNBULPZQszl37zAMCoACECaUSTQ2cjIyqNcvCt
Wc0lYnlCtDOkLNtQRwWvAogb0IMlDfsDEuloOpCEym9Et0dt6jHesHb+4HQg7dh9IuVfNkVH0PgT
YU5o4a4Q9StS5FjH36yl8No9862ebcZsw5LYiA85+RVZlsRaW0h7UZyr6HJJFmMOduL7T00wu+VJ
2V5zg8lsfYMe2RUHOUNIR70eUdCxaXctwky66SLQWfMjWRJBRdTW9S1fJyEdpoDIBP8hcx58PSw/
s7Xpm33Deu9JI257cpyleeEGwvgvJ538MvmMnSHNl/EecSbSfrB0veBZIxowTDTaVARP6Wu0dnm3
S8nsinaU2PMXQbDNLdEsW8/BF2tib82H4WBwAVAAp7h7qBXRLtOaknqkwlzTAHgt61vlg3qjw5qd
H8IdvS4evb5NqY4LPnxi6ZsL2GS8OgkF68PKCQnIYjRtcYxQAD8t7sglUs1VGi+L63SHHG/9N+Qs
iEBtOnefaCAM2s1M9ndTkdASzGy4w7gbSD/nc4/Uk+3U6hjgaSHsdFyFf8jnQcJ5TzVRpvnsT+9w
6dUaR03n3cDik83eDFP7VAAb5nBWuCtimIYTyScJSMLLRDq4cmeOohejiuwToZ+az1WduHdEvlXZ
FUdk/T4ssm5PeprDJ3KAABWBcB5/6h7tbCzSSWLbhIa4d9s2eQ15EMoL/Df1j8gyoCZ0Uth0AKB2
rhkrMIrEbZK/2Lw7gkdCoq6yQUSMxFE3HOyzQL8VB6pbizgxPJMUYK77XQ9kBcWj3aeXOmMRGGeq
B5LQ8L8pGz4V8YpMcL5i8oMS9HSYMemNjVnd87aKp6gRXXUiYFi3e5L3yLM3QV5jHmdRShsEOtLC
OWUFJ7fi0N2BpmNJDdQyyE49mzzCSRD+PyMF43T2ptB7p3Bxnb3tFequTRBOxr3RmrzBoCCR0qEU
uOqMIuUHcUlBouFEjvjDqGDwozMbp3cjo+a5pFuqOFoLIrR62+9umQtGnDD9lhvbKwfngJpbXCjY
eXj43HToVh6DFQhdmLbdT5yVxH4BuYceltV6XJCATvjDvDGsn+1Uuc/WaAmUDzqUTwR9kUJlFyyl
aa2oGmnPh8jHnTLmHxlK0i52o2r9qNeI/iysQ8700eNRj3OiYpN4xJP27c9e9kjnNWbHxKTlz87L
zS/lkOd3nDO0EAwleuGd5iEvFuaPLqku1MlwAydt+d9+YS3tXbNId2FiuOK/abE/BXv4aXOwL5zF
IW+Qv/RXJopNgVhkFZYNDAqXCZvYw8AISe4qGgyyv4Df/coFDKuY+GGEMrXtrDBvUrf0QQVQ3MfO
tCBM0G77No6VvE4Hi+Di2lJ0nFnoOx+OXYtr08/63eCz3MLaOU/YNRf6scNQ4xL0a2XF0Tg2oMTS
8zYJCYGfzdEHkPxJfTA2O6p9QC6J8Pk9ijbFxEPQOgafDdB0G5DA9SS8RryMQdV9JEm1crXLPH1G
WEg7UySQqXaiT/ynmSoq20V13iU3dVNF8hQZEq8ZS5eMLRa6kt+cwc3elGeplyRwkIxoyD/6nCL4
sGKNfVdtDdQgj4iL4bvRpVJf9g5ihw2dGiYnNen6ueSLrndF7XlnIq/c7tK4QKh2lk71BkIc95k1
N1dsJTwFHdHKpzNHKgaGDpUfulBHycfJLzv7kGvSt2IYAt1jSToo9bwr1y1OqS6opNcV41KAhbDA
c5VSgYqy7B+aZCVVnK6NWK9EcxAfRNjmELuE8dLT6A3qzhXCeY+0drCpKEH1yMHsp3E4jsyXFEOU
67FeWnFKgmBc96ML9I3qoQG7VPeBC/Af42/40SB4Aw641osVg2Vzf8CLAaLpR1OI89y2ENlMiFvv
SOTwugNTrLU6dJGes31X19EFipjIB2C7mBEs72xedVAwq3G1sT9Ya8LaDBFsES6ieDYvG7u007PB
ljbEjhHlcZPKQ5Ek6RLnYFlrdVVj/+H/Qd4xXby03iYSxr2dR265vPD6gN+hIT/mo1tLfgzQ8Tq6
6oeoFee+nUl8bcnzKGPXgIaJp0WR1pQ1me+dZbLy0Y5LhHNRQqvIj7SEw01u2Vl9MUUDFKAB3ibG
skKrKNbwkIFEISBZj32u2wipDGRqIIEy3ad8feZYuIh59j6QYn2w0K2pN4tpVXGsmwyL4yxgwmDz
I8pwh1EX1zUareFkI3nGE9oVLG96MmTDvVNP8wtv8OodEV+oh6wdveJMEg4VY1MnSAV6T1m4ujx/
/lXarXyj21gWjgq9frlo/S8RMc5oi4bUf/PcJfjRF4QHprWLgMi4SLRja568X4yPK+oRFD84WylX
FgTazvjbFMze75V69x41vn1H+kqKDipPwxeurTaI3ZLn9GSMaR82vl9wE/aueiEKDs8cLtLoHrxV
+cZgIykh7WWaShqNzbgfbDyccRdsFz8ys76NZWf3IvbUFjcW0l58rWATC+Jj2GMO4B18Qj/bxds7
GjEhZM7U/QR/mzwN4dhnuzpILI8YFgzTR0CTy89ALla1s3XFuEn0Rk5naLJVfg/hbFT7fs3IPpTB
EDjnHHI1TzTH7F5PUgEixlJcsODi/b13Voc3Yix99d20yIfOsDMoI8ihq/KdabMc3KMFMBTZS9G+
LB3LnDhf9fyseu1muxFOPJ5Cjy70bAJwfbxEHsjYeS7UNS5sjnN3MhGngmHFwOAPx2fse51DCcT4
83p0KwHGa8yI/0zFnIY0+3n+0G8yY/yuoEpjbSflR4bHdzziXPaWo8i9FkSJ8sMfVh3NBCI6250+
til0aPIhF4r4ofbvlhWl6LlyGX3wEGXpj0gw3dmNS4vhl6EeMzeUUe5vLBt67BKcBrjveuXCIGyr
4j3vMmBjzoADdW/PMO/jFlNweOZoNm9h3fjp0Vo8cs9mi9lTnNYeJtcKcRu6xaRTP9qubX+5iWU/
kbynk4MPUZwvk/nVDsJ398KJaW4dE3iaVr5qCBLigP6Gk1Z+OoskEzqvoAqflpq+B36rsd8SD+Hj
bhx7aIFmyscbrwu31F7oiz4W8W12IloPwh3uUGfh9wJFeEHU0MS4C8Ntes6XUmU7EMTpm5RNdx+R
Wdoj3JyShwU55QIYcy7uo7lwSIKKGuecytKgFrVNfStKwhqPBW6kaHO5hC/4Axfe4kGCq0QfR/uJ
1scJj61PRvGB2f1KRRPg3TvSViVEXLEj3wEB0hBHa8ThCXPW7gATOvu2otSpjo0jMqy1UaWeMZB4
fGnI1H8mCF1wqvMhtEfF7C894KwAHi2xZd9T+YVfUySNjX8wrX9YvlgSwmft8iU3yC0PNsZKXO0o
EoOdzkXwYmbU8Nz9tTsfK7iTX2ybmSIVdZ6SedpX3nrdliWQyd5zmp8gwyF44baX3adR7pocdBcw
aeakjNL71nhWddFOYvpFNLH+ze5caJfcNP14ie2VZmEQk4iO+OTtO1cGsCZLexqsAwzSct53XeTR
6TC2uOk5Jwho7sblHLij1Ncu9/MPNEhi2hGJ41zIaSR01lO9+7WZs/BOdYg4aaFDzM4w45I94OXw
DoSy94hD2vmymIUxUJoD8ZkNLa2SS7BVeAKFC3cZepL6HjL2ont2AentzIUhY2+QzpmtdqUunc4P
r9Jl7AYm7ooqVTO7/RVFq+B8GkV9LYQKSP8bpdfiALOLT3QNeO2GvG0Y748tG522gyga448qg5jQ
PY7ZhRIRj5zWVYhO2wkpAUO71edW+sGl8Kvut8KzspxzlOUBp+aUuwg++ZaO7lJ6za5hZg5JrU/g
iC4M0Jw9st783caYPcS0bFO7q/2BtzhIBn2HQWn5Ofsuut9ORry+lKL5GjPGH7qTYFsLS91a+udM
Oe4vB+yo2RdqmG8r5K+G2Gg59VwEW5BsVwr7UWZkL8aJuw7lXiyZYeaR8lgANkxyczDsMxf0hj7Y
GNZs3t0ktRnoVaVh3DExWjz4fciIQDKzcQ7UDooI2U3vza+S4Yu3xjV6nuo6TXZOwuQ+9qkZ/StE
m7m3H6M1tS/0EHq3WEete5CsDP9TqiN732kFjyGooB6zUKq3HPhKedfTXGl2Ro23ijspsLwfEJkk
TTyVC2901beOdbBh+bM+60USnrKMPeUxGpOE46mZy+mghorZeNQylIlbNFjFKSkYalz7v2PctcP1
eFMyGBUwp8nQ29dw9d/r0BcCll9pk6RHt/lAPSLaA+Um1RfJbtVL1dEXHIrFS7aO2g/yAxAC055Q
kAbV/eR0+XQIEUx7u4BpsBUviWICklTMdgiZswd4jqFKfeKQejSWUPoJztxeFAIOBOqjXUMCGVuP
iZkXpMg6+o6ixQ9POhC4AUDABoR5ba26oTm9sdvccUi+htseW2qBaVA7iMxQd27XgIkSczWWyh8v
4PiKO4YnNSO1LCzSXW/JpIUznGe/3LWvh33OTrCCFEdjfRyywQ93hAagWrfboiBxCoDFM+9tLQ62
q7mUx5VT4agCK7nLK+neWq1sPw3bAMICGNoEABEAWsZ9MsNsq1ZKoZ1dFX5LiEBFp0RWcJsfMZaJ
hTNuSR69Kon6U9Rl5XaKF62EnC5pXS3a2zPV8Bwc6ZMZ4xhcPOKSMjiwT41Bpf5sMdHWXzng9fCo
5AI7QJBoKxjw8FPLu1Y1fn+i2GdK3zL2rK+mzGL9ubmACIlzqtaN1UJbdiScjRezU+4P7kztsBHo
uG+bHOrakXV+VZxlW413tu+N4y1gkbl/zEoKXtKofQZraRqYNzQBjJHBapiR3rgKSXuVRZln+4pb
2j3mLB3Cw9qOkpyfYbZRt1e1A5tM6EdkS/nPoc1z5rKAqTccxjBxmudUq6MX1U/kbkc3aF6W9AZQ
kUJ0H8lMHAfWAtmxthtE3gIgCikbM8kXsfTWsdxvPHgNiDuqEg4jXIhEaBgzn2VWE1Y+y7V+F0Ew
WAAXHMEWfTX+e6/MWLE6yC3giPDvMRmgqO4v+MkV0nJhXRn48ulBlVbxHS1t+TbnCOtitVbjV+SN
qv+NLgY11hEeqOe+t5xWNQYPAhPhULW6rqsDqQxcEWvlinTvVzP81ghl7XLJcKwl+ccf2SAmQVMN
9DJICuJgVpwQsmKdGPcyD813V2ckfHdDz+QVWFOaPLOLyDQ91dR/TG7A+SGyANmuUyS+eyKNHsEw
vSZckS5K1g1NWrjnjYJsM0rGnHGwetRLh4Kb8qkJYXDEjJ3GCwgiDcEZVlG9rtk4NHsEce1wFbLx
l4dotbt8h1Bdrk9Lbsv5hJyd177orHLdg+OyFob2vsou255lJCkEXpoxvPURuPeC/9OxrEYpLtTk
RfchxV59CMRg+wBasiLxzsxlTJfuUJ9XzUcUQbN6Vamd9xcgQxRGd5p6PqgucBTtexLWd3lXoOa1
gNbm25y6AvEc9QkjV0PcIzfW0JDcqWB8arRhRK2wHmzFeiQaEqQ1Iw1/upymcUZmUZfRMYGlnLAo
coky6MiFIDheZwMxBKRdtA5LwnW84H8aFsqQxwLsyR5DET64xZbULZnbbse0WVfCGTKFR8FONR1N
y9Z8xxon5NVT/vCb5pp6EjiF6AkFFKadneEL3lWL6124yaSDgwBww4CxwVS3txn2kg2DZNtjo23r
Jca70jDwaGeWqF7Th9OV8Azn2xRptZ7sMS+iSyyFzs26aDxWRVDZR6J8/QzsJGSSk1NsJnAXG5LD
+Vgtmj6yYP4+9sRQIxPz+Y+7Zbu+qLQE7Jy1PlTB0cYmytSZ53K+6MrK/4IOEH3ZnZ4g1CBawGlk
AtH6N/QOUNs14oUuhl4Z1C8eQ/7sPi3nSn2HjdufymEq6tsJ0399YRiYYvvAe+0ftBtkd4yYBn1g
joKc3hbM68CHM7ZvXhfaVyip8zoEFxWZhNYDNLTSu6hsg5eV29zySbdEP3CY7ZCpvx49VrsuyZDO
tZ1KSvmV+ZZ1kqwUs7uZvPjoANCjU28Ol2JzL0XUiZ03o/3YMbpgCihzv/u3MOz/S5j/y0Xd939X
MO9/1e1X/6Hzr389/lLjZ8W/tN//0tmvf7FoTds/Spu3/9K/lc3S/m9UnWiGNz0iAOTNKvhvZbON
shn7AJBZVMw4dTZSTdOC3fpf/+UhbN6cj3C8OYdh7aLn+t9GRvnfpCSi3CXBGK0wLr3/F2nzJmNG
a/ZHdwEQRrLVInv7x+G+2ySOfxDdmbAxAuxSRvj4PCV7BC8lMKExX1T73VrDSO7RoiqkOxIbWbxE
E5Q3q3ecdzYOQ8mimHMyritOfQ5dSZQ5mp3swuDyo5qPiODYJzXRYSdsngHxTjlhM+OYMvQVwjpI
0uSCw5TMIxGlCNEYDNLCSmaRyrrwvLIIdnno0xcULBj93doikySCZcqv3bTQCEmj0bBiX37fejQ9
u6u2ql6GIOW6a1FLujtYmnBpJdgocVzE2meEYzAPJ3AL7coOOYX/xepofudD1yGyZ79EtkNH/luC
v0wfDTPem9Eq4Hfp0kduBLSkv2QUu2LXWvy12nF8tcuhWcCsxxNGnxesWc0XA+Z1PBsP4XC85Oy0
2TTp6nloJ0KVhJuz25wIHP45uuvis8mznZOlHU3uzqKaI6NfViw0T9OTKGfFildHDDuaYOp+0F2Q
2Npg3sflP2ySPFvLhnQ+ovEIYei8ZTm19cq0xtGzQio3RdPbhPaN2UhZzIZpUF79JL+kZs/u9Pyc
gIHp98IFeFc7NOZkPbjp41wJNhQIp9R3IEJhxXWZGw5OKvDmLIAzrseICSq9sjWG5HK5xDDAXqCP
xSEnKj4R9rxPzHwsFdMnW8+KFOefyFMIfEDaHr56JhvMySHJ5bVNhuGrBLWkuQln62pFQPhL9qlh
uwkiiScjWVGNoWFmYOe6vwVIopgL5SkIuTlyiebqPWPr/Ug9WRAlS/cQgy2Fq2Ub2/YfMo3ynO1S
44rkomZHwsK4RN+gb0r2y3bs1mlAWkzbWaAqkpA8AIbx8mRqBgKEOi63VuEHaEJsxI3N2e9Vin0p
0cVlL1P2FLmxFkvfhKnIW96clVAYlxBb1BFOanoulYmIuJjF8RBy4Acd0mS3bHrruqtn3bC7xmCX
3Pba6ZKDsUilhjPdLflr00c9iUbGK6cLPFQlmzWwBIv3c3HYMRwit7fzQ1vyMF6tG8zzmm422TRz
EQ4d5XRi5DfuxvIQVU0b0MOXTnupQgEfvzC+RNNRopHYIwktrRvRLJ7zhv/STZ9W2Wzge3+kLRr6
EE8CSqPKejEVpi2QCCyaf1Z4UuvXsfOd6dbKFl/RuojCe2so2qurZprLlUJ57FT0uaaFKh43MH92
nCNOoEerdmZilyeVdCdrnqfpVqkxMFeqbByivsox2JKJIoHAhiHcJA/TgK7kye2k4bEuiNOLCdHo
7wq+RH6MHYx08ImW3ntFeZMexprxLyia3P+s3Zq8Hkuujf9OeGDG4KuYqtdJOD4bDraw1F3Cg4rQ
s5u9BouNAzDQLM9r5j5sK5pB/3JNWYfoYEqoeOTeuO6uZP4t7uAchTagUuXqI9pBOX4smbs+MU4I
9I5zt8jJMiJyhaAc1BMHAubq4dGi8J8AgYXuQzBh5jxm9H0PPjzniu8941DCwsFSlUnUdE26zTR9
p86qj05ieJvzqkBBmEu+UiKNJiwcibdp29K2qJ+8Is8fWTBBCymbNT1PixU2TNwMMr/NwrUmR5aQ
3kM5LMMX4dPjm1tm6isPCouAINj4n2WKcYOF7tTXUONgEs/vHWpBVtnQHGmoSt8Z9jhlerRufs5v
Qn1I7E8/5dWAkzBHZLi189sKuCH5CDsHH5YYrak7pomta97BbrnjGRjcUz66aRaXiHpuMidaMH/7
2RrsGga1zT4aq/aOXRcJszJWXbR8Y5qty1MxhkQL5Skso50Jq7o60oKFipG5VV2WquiamM/TTW7h
25UvvsMM5zD7W5JdREjLPcK5oI2bapZ0AZGQ1i6FkfKGzky+V8HCpJaxvHp30Yp4h2lpGB+3fjV0
jx1u0Gtv9TVDcLuGgFq1TuPuAI9m0b7idX6lvGTNaZPDSZqjk0/vDQqcJ6HR5ewzWdjLjU05epsT
1P7dDtuwqiFP9xls5jCdOpsH7+xLQ8efhLQ+DM3G+hkyYTPu4eDOtALcOcxCA4ZsO0aktMeNZJAh
u5FpNLtdftWSTCskKuRYLEfXSxlFJk3Eo4TYx2mQrpBgeyhBv1QHAwrzIaur5b0bOKjhNxYeUe8U
9jxcrrDSyxDdiR8zalAIFCTz0R1oweBlZjDF4pvJ2jYBkZqSfHbkuRUsbHfrzHmGgHac6kNWLAgJ
M9Fa16wrkCm4RdRgHndYm+20s/b+uWTbhI5VWQZ10TrRzrpm8AHJkud3mj0MRHtyI8Jnpy35/sZp
iR4rlzxGHNR58VlxMze7CUIyY5Rkbe8H9uvJbilsiWBglSEqqmq445mwfhaM7BDz4Shn8cSn8UlF
44njFGjEPM1Uf9phEGTcyFsTsMiOVffI4us52zabawkMEYkednxKAJa4NRROpu7dsmUhRLXFtZmF
F5jf+X3KCn30tdV3fIWjPf4Pe+et5TgSpel3GR99oIVLAlRJpmDqcnCysrKggYiADDz9fuzdnTNj
rLH+OG10KZIJRtz7S0BZnA5AQVE4rzz3C8R+j1K/TZrCMrxnRA3EEJjE2a7IFYTK436RfXMO6pZC
K9VYxg9WMx8sephLd5cN5FiuWTjb8NMWsFRI19HHxCpOdl3lNQi9+oLTPerohs/qKkS6QBVLgmJt
fEwDtB/7heymYkv1CZYpfDmk69hFjcSgyjib1NClMnFgxRzydayG7sCpNYvEFQ6/PS1WchXbbiwr
8o4Aanc0DebYBij4O89RGIpDX40MaLPPB72HaU3be6R9+nNSTjPtPUQPfx0UYjwMfQHJ6sk5bc79
Qjjt7dlbz75yxB9vKYz3iuA09NwZQE04zNFv0XbwxZyR+qcxAyI2Vx7Mz5Rmu2aH8tU5q3QkC3bQ
OGU2/M/iQO/9+uUoOByAHYOeAIItDZ7R0ET10GtTvI1WwM9H231wj8ATmRyKFT6buZ6R2eRKlXcO
Kh7gU7jvk8li75BSNg1PtKIVf+asATADFWqee1XLX9G0lH+yYYmq2JwCpMMLfPovOWdzDRSs2tcx
b/VPJ7R4LGf48S2wQ/Sigqg6STb4L3S5KT8/a1bf3MrqiX7jhZCMzgqmG01UkltTWH9Rua3PhGys
h9loOl6xNOxfk2k015H6TUSFXX0DhnOWF7cfAA3cPot+y3rK3nVQe1/BmJGuuACL/BYr/MN2rHR0
Hgg5IHA7T/Nqy3QZfuLUGy7IxCx32+VlDW2IqqnZtkMNk76YNor9iGrB8xzohniEDJl7DCs8N1uz
CcRvHyaXdNZKBGhs1Che4NrmQ5Mv8BVttoSPCq/6CMCkRqQd6xo967b2CtQRqz4SxUB2ahlW8ztn
GrB5tuDE4FwOOri31QkYmBx6dBLCQDyViNvTYtPYSmqAX9RVgmrZJ/w0VN6MHFgMiEB69Qt1bd9u
/blLy2TOCR/YuPZgvINPzN9+55svJSeGoD2FVgDUlmvwqssKxT1OmbHbRYO/HlbihRgW0GrdwHiC
s3COLL5OyHsgHRaqC8FAmpqqOwhvBbhD5ZFBl1mqapPWqIboMJTKYWCWpYPLmYB7UkzKCsmt17k3
gAULWYO/SRgvaZ8OMyppV5z4I+kbMnADSw5zFg3MbYtKwaqoek0ymgPcy1KnbXNQqFSxu9FBynhJ
FvK7b7m9Baw4iWITTkzsRK40qPSqsOVynxq0w8sy+WQUzsy7eK6Uy8iKhw5DBykmXwNPCbYTZ+Hy
EcNk/loMQMLNlIve53RoelQnaUAWmMDyMCekSjkf/JzFI41+3qcKb4wQ7OF8bxhR/ZEO9giWs0ZD
CEoS5m85oRPhLliNHLcpIi46haMBFL2t0vlnNcvU5SVZVI3QmzBkO74u44HQ1dEjU7EGxV1R9lLh
mpk21B2rXofLj0Ldm2SfyGVa3EOkH7L2iRBZ5kbHUypZLHFyoAo2oA6pPjAbqG6ofXPY+FUbGFDA
nDW73qtLiJ+ClHzKXjIDNNizGrHvNQj7xsKztStLF3UNeuGFrSPTxM6FroFOsMbZoO4Nb4D0qaO+
uQRLSR4AsRYWtpHFSPF6gOBVMZIo9Ev1tFh4HVqXeTOYrLpPAO3aW3KBX/jPtVPWQDhGxkoazGuR
QV11XFNLCki8mTt/KvfNWhExs3RozOPJafz2iNA8xM7UVqwI5aS50M3Vq5nF1zQaSaGpW7g3UlHa
PcNM/0JScVedUiJDCFSvBQ47tyK8g8QsGpviKfO8+2htnJAOu9m4Lg2j7b5XIySD9scqusBv4wmx
spC3Vs1R9AdltSCnDox6gvGyRboTbBv1Nvf8Xp+qFAAWlnyYXiWSbmMvfBFNCEl62z5R9xhlr+SP
DGYiimqWGyKtawbY3CvVRtdW0cd8X4CR116HMg4W5VbbCFyOW1UWUbeXNY/WTvkTqql6ggXYoSzg
+XWdPLfivrZqI2YlxE08eSnogBonyNwpR2u8b+ilS0+50xOb3zd1JQ41qbT5EdVnFhwyLubuPp0p
BjqsYSaaC+xXURy4/wsiVpjz8iSKbD0cBRZnUrdTHfh4m2+/OixLm+/QBvJjtqnTGR4Zs4kSsf1I
2n+oahJiJ3xClu6zjLzmrWlktbxfsMAFwP/NWu5Lb27yg5j8HAccModuV6lMOcnqNSz64ISDon23
T0WcsSD+Lc15tfbB7XqPh86InBPJS8w+w9p54QOqxa6+h5Mc1pg0bciVQVO/dYwwsY5xJvVSJMaq
7WKHmIIwcnRmjXjqJ5vM/6quUm8nwjKwYiMy027vmmkajHGEJgMMyZYq3E1Ers/HeemC+UELbU73
9dCNzR2o9ULgSCdU8ZIGsqaDtkgnJIcoDZCpFHD4wXVaWTbPkYOBYaOp0Ft2E51Z71pMqjzBJ5b1
draFh4AH4Wr6MoqpsEJm6ZEwunWUrd5JVlzFmg5ykvBAyWiz4BS0t43O1/FcDZKipUY6a5fgacjC
LTu8KBFY+UN+sEsU34kNm1lu0BzmMu5zNNqJj4eg/E22rfERBk0jT6Lr1zAG88Nvgu6LMSTEkD+c
ldPrgRsVD/9+0Jmjk1WOs9ijc2HLDLHUgkaJqcVKYgURMH05t1billZI6/Vql3nSD73AASYXXxyL
qhn7Ixf8yJPmKeVfpePm5XUMWkveKCPR7IPKkdbOQ6FBSKRVtGg/V8J8cGTyUe6daHGIDltGHdOn
63db4SNL3ky2o3AS1+UXEc+IAQSOznGrR8Xoq/rVQNs1gjnEvqj7+9Bvg0dzyZpmA6c6/gpx5e9J
2J3Cvc03yk8WtaL/aXnFXQIJzEiYU0q2nfEQPxeWicswXcvFxeKD++Tgr6F48c0uWoAArMGEe6c6
NCkBBItEEb4XbrFJhF3iFmv9CDwAm0EgAEkrlOjNWw1/l211Xzaf+Lo7BPbwBvfF2tGdY7DofhQq
jN6iqdVis/o8tdsUadUvq3Cr39rSq8FnDsGMNhI9DadEMZ0sF45mg/7PIEaft0KWIdwrhjkCirKN
q2otkI5F0a/aGG66PjjFgj2wq7lKSp8MERV06CD1YChsU0rqE5Utln5XBfvBUUfZ8jaOzURDqa8U
W2MWLoyi1TSPiP8Q4ozlhS8TknI+32WYaUIfi7HeI1vtGaQ6k80Zx12bk9nkGw1KnY0hfPa2fTpa
izqQeT7O96BbZfbSIDcPqkdEux0dGIYF/0eZKHSI2FURZtad6SN5GzA8Zb14NqsIl68HoOQnXlpW
8/cYrjai6ND1ugz1tjINBve0gDLbtCNU8YvVNcgCQwdHYiz9yi3iLAQvErtOKzPVm94dpaYTNbeF
a+xcPwXqzKd8KnZYfo2RGyCq/UMd3ATGk0RDfGIXnFbcqCxwt4ggUPG921rYD/blQGnA11TraLrW
hJWFBzdPPZcftp8F17ZC4vrTT27KhKrqka3ybi4Cr9sDDKBz3jQS5xQzbjTkHBeVQGT5nUd0ElxM
pC05RoDAnDCmdZZJ7gxTe2Y7m3m27arcjLLR8ndaKp3iQfKr8aVKmwHwEuaaLQH9lw8wtkHFNiAo
JjDScz8YqPP+hTyssNyuxIvmf+zCmLENcXgv/nMg0NojpUVZWqPZjArYq8KdyoeMR6O7ciGh1kIu
WsIVc00OibvivSudTL+qm1RqP4VON5C5Nwb3JnZHkLAAB4VLIcSB1V/iHreN0UOwr5pj2q2+PI3G
OOQxVNYEx4WW/sfUqfwRXWGRrFGC9BSzNNvEke5NpC8hKTlcEdPtM4oy8zjCDGkc3QoRIfTnEJwD
MSjrVIto6TYz2t0e0Solx5vFodNyHzqF5UKsC+Zkiz2cU8wQ+rk3woKyjl7Ow8lZR7xP2J9zZlhZ
UaMgZWs1MbkRlc1aZvU2eg7QJOAhU35Elsj/GGXtRWBJlfEs8o6ewdISjZ1oECbqYNB+uMcWO8vj
ZPM3bdPZGC7ARGiUZyLj+G83FAmA5uI9tnaHUwr4P8xIwnWwI1X5XP/pwnZ563GmYC+itifcTNgt
6JKZe/wKKkiLvxYoKG8hyA3UWMpbAAHspbdj2IsMI1QXTt8SQTfHue0IhsF0wJdW6lnhOndgP+m3
ta8o4BcCRQZtfbOmZTsivapr1S45JtsQg986+PI1RMCBbWr1gilGbYylrrVv3Io1YQ+i9QPz6txj
M93wNLONL45F+vQq1uBXhxZSoMOw1c8UjFSGS2J/yZFFQp2Ea8BjNpmrOFQ8/9e0DcI+0UDsV5cF
pSOEu8x/8D1GV+AQPp1pUPPzEOkRMBAdOMy10XuPBmX0LS9uSTl1S77JW6YH3LpChaMmrLZAgFkb
3fxOVJ7PjoGGjVKOQjYbtawMmIZImURXQth5HHOgP1xlhVklRVUDd1SlCr+MIkJA2CH5+Ntl9fCD
vxZtDyARGYQcFOS0elzfhWpIAcgBornKCt3iB8QW8EmsfapjSQC12syGnl8oW4pykgNQvkNDFQsK
YIsbd+sawXxZItTxoJxu+cMehfCJJSI8N1U5G0mL/jUup9C3t6oVxnK0CxcdXE1g+V+vNf0Ct18L
XeMJ/LqJ65TMySUC7hVVF1khcCoVxvXC9SUqSVASK1GcfvlJYQdlRB4AkKhTr2+q3opkL8nZaG5o
NrFesqyeCPS6qTl2WGz6dINckWhEYWRM+nBhbXVDaKCDfOQ/YiOUAfDB0us/p7NjviH+jNZdszr5
k6NMDLS0LKMboMut+FNxuAOHzOiOwXEQJ9Lx3bjmCe+X/I4WubxafJPczZRa/b0YG5saMmR7T9Ru
o+svg05jyeoHWK+xttMX5eJoAbB1LL1F18UyLyNIkHtGwvAJfwgxlUQP8CdxPEVyk4H7BofVb3wz
plsm/4jkggyymRz/sNIDK3Ykg1n91rSlBMrxNamGuKvG5sjuZz+zuQWnNGNETnpy7ZfYTIl74cmC
l0PfXt4qmOg0QAEuHVV+9ms3/C0luoiN2dTTn8Bdm+qKe2uIYtu8AcDAMBBBYdiNV3QHkXFHfqRz
j0FwCTYEG5QfflObTzP717B3hauKc8/rOxPREaExHNP1zYV2EluuOgc5P1HRf13RrePWnDF0osY0
1bIhOT6/Tk3fffkQ+FWsTdm/ka6aIZYSdff9LyX9P+T8f1i3jrr/Nzt/GNvsS+n/SsL/+yf+Nwtv
2/+E/yb1hSTY27Z9K+n6Pyy8/49lYeskx8TFJ0Vk2H+y8G74jxeSzxS6FAjzC7fC2/+bL+b9A0p5
i1SxLNf2gtD6/yLhobr/GwkfmDwgqGCpzAAlJZIuvCXj/BcSvsNSPWJSlts+RIO87C1ZP+ckOR4Q
4GOngMbYAqebu7DnsbfT+8nLzUNAYAChSsSOMMF4UD5dSERZ85ra2sdvgD57DMqGa2zGbt12zm4p
1zkhJsK5CMcegKn8LweC+hGFjTj5K15VolCIDq39Tz17f6Zg34zpl+phpqgQGe+yLl0fiXElEGCi
t4ui7PyOCcdgWe8xvjHVRifbCbJHkjmXrTN4JISU6XEQMJ7wTo+eEf0qNQExQqxndsGzYXEEGfZg
7HMmhYRp1tihRnAuC27GhJBQBLh5u3ZoJtNgV9dpgzKwr66Ln+FYGaMyfGHTkIk59BUqVzN8W6Yw
PeCgca3Y6Ytp3gAGOnbsM028EAJB/Cr78ItgUmm2mNQxAcPRvrNlis3NtQT7gV7jgAcCr1AYZPVm
kbiTjyKIjJeR33H7OMHiE1SlTjKaEIVJu4Bz49+f0ztOeCSyPtmQ5Jfg5goyP4s1ScNNnGEoZmzP
2+6DCXTfBp2R5J0Wv9ZqyXaGRfPlBhcqXbt0TVXPbsZYS9jrOvYJnjn7pKlgi9BV9cymtG8ZZ4Lj
wWxxoOItW4siIcYm3LiFX5mbQGUpRzTmIeCwkJlIj4H9PullPJa5blA/SX1YRP3taOenq9fLwECd
oKzUf+s68hiKOMu3DCLyMq/rnSWe8BGVLCFQs7inO/DkLY1fUD3jSDEcgaH6Q1t5TxhvGHxB991Z
HhGVYqGct+idW0zMBsLJfb6Z1I795H1LKfaGYXwuwQq+kv7uquyhUuuehrFDYzVXFQW3O2bgp5pp
/3G0I+sHBbmLvmNVJ+Xx0/OznOtlwEMf1lZsZ5VIfDnd2WVY70eriR7J7IhD9IQLKLFOD1ERjGdG
02YfWoaMW0/9Rg98oMrE/GISoM8Eb0yGPxVie1dMaHZJIY7u/bUFXapHW79pe+Svw5Zr7GBw6nMN
Qp+YlXzqb1BGyDz8oiFvnhY9+tsW7cdtaDMOg1tN95EKID9hdqkfB8Jr/VzfVS1a9YWQnkDZR9xg
WVLahZnUZb28QiDBz3hDccaaSU2ONNOj39fZ0U7r8GMyOucyTx0REvi/Jlxy4rVs1Wdw4wIXgTFt
O5SkTI+TH8RMK0goq2HLoPMh5gZvkJJ0oZeAeo0bUEruYbElo/bebLPsONoEyDCP1dtusEH7Ha84
B3L61tSqDBtGRoigkliiEXIZEb85hbQ1MY9afK+HAvYlqkmAYIEHUq5R06VFn11RUsxnjxvxUI9e
eyafw/9E3fps5Haw7bvyucjbE4nLHFT2RPwTp9p10amJeUq0x9kJH7o22nc5b7hCQJhWbAnDpSUE
IkFr7N+F4ywvDUK7InruVBNBDvg9jA/uH7f6S2eVvbGNuY0r4ICdh0X1IZXmGV7a35u2uxydNQiu
hWNZm9sJfRIc+zx+1MV4VRNc5NAj8PM5YhlXNPPXPAskFOHB7+xLZBV7Gbb7uqCRkKK4Y9g6l3Tg
q9bP3wh4HbpavJ2egZQbHEbpFrN/3Ab52cN+hlV7E/UqWceoSrIC2wgBPP45VV7saOtHhrMBBxud
COxttlFLZxVYpXhVbSYRFPnXRjQFvDt2ttqq6pNIw5XMF6eDRMsCMpCq+dFrkEBCsYoXz1RJ0S5x
UTG+5iSYG2PzpumexSFsbfCRnjC0J2trfWrL5JTAej/AnFGjBDhiu310XDwLUa/nFy95A+tA9545
HHGsnRbAdq8lv8CeTeTHVQvBFYQukNYEZ9ySxl2FBYlTIEkkl5cM+GNPvqvZXux+LrZVVacHFFPM
bvoPpYfz3hxBtvi+LYfCWd+nabS5GLwsnrUc31FXA3bjhyFbHcN/40XTY6maLy8bsx2srAD4Zucb
EA2raV5OhDZIJnLQq+gGdq72vdbWYXAy49HSvX5MKabb0jTy0Kzhc5jm2Ew7XpiJx46meyMVn7MD
JioG6l18LAMfXgZE5Ba4/YmhrLZBAyUOeoDoiIfH6YfpAW0cil0tYxeYseLDvifl39nr2WEjKq3l
bcrkcKjr9RjOZbX3YNl4PExsrrYYT7grEqs2N9V41iFsS4n6VeENFtae4Ax7k6PnRoWe32Vld8jx
IWzwOH1MvbY3xiCeG0Q7p5a4e7T5XJmZWtLjrIp+DwibcnxjAURG8kRVU0Is5XDKnHbfdH19mERv
ngYyvl8G636yS4Q/CMxjr14HhKalmaC/c899+bkSNs4om2KyK7vh6tD4fkg1z5aCVMv7Ko95CK1D
IM3oEYoRR08xiCPXAw45Tg8gCpuKxVbg9+Mt+HtULjhBDEVmhGdkJX8anZoTNvHqjRcTsfzDqIJX
pyz2jj8k0u1DbNWslV3+EGXNH2UHMdmiXBl5+l3zWWzQpH3WmeD3lgvlKtwxu1ty0oc02H6zkDsv
LU1v6zfa2t9s5efBFKjPJl/+yjuFq75ZVZoEzGBk5nPcxGtYENCUOTfV0ryJOp6mJRt3nOjvMz2L
erD2wNR3qyjPS/UBVBov5Uc01Pe+Vz9I3Sfu0u1pIOPLljtX34IhcN5xYD63pfeUVb+jhvT7qN5l
oIwN9mKruuAYjgPnWHXjhz1yr059PA3dA46tg2wIO6nIgcjlghCetOJN5QxXhJTmSbZ+nAELbopA
EXeXvbtgeHFhgh1P+XDIZxCUUDmPHV5G0vkSgwiRZACwTAqxd+C/ULyc3OJDS283mtg8MFF/IX1+
MAE8amE/4+r/wIB+8tzxvh/cB9XJx4EHZp2LGb436mIMvn3SB4WCW+xmaCDvaDCxblsLmU864enz
LCu7r/PsgMyb9meMZ2Y4iW3dtL9IjKk2eRH+IlLPTvqexyUcuBmmLiRwgu8aqA2i7B2XWLeZqj5N
UjK4jiVStMNctfuqNT9hNdotYeSYcpb0UQZGcXD91qKYM103cnGfwXXplzA1DS9OIa9C8Xf5UmTf
pC79yvOpTNAacFkrgubwz7X7aMRhHLR66+cqRaWdX2jD+CFn6gLRzMNltLEj1R+dRxdtoxvHsg3s
uKugzSlPcBOHYHw2U15WINUHsxp/B+qjmwAmZFgiw0t/IDjj51hOzQcPWgOSIt7rar5HyPjdjuZz
wwZzb5j1D4OZOJFMhV5POU+NOfCqwFVm/Iy+8YyD7ymceh4le0ofrH6+yty6jlTSKg6DnjwAPkRn
h7a83Wv+oYNpZt2XJonuOaLr4liUP2PnkmAX7lI9tJe1ZuBRtb8dXZJPQO6aC7E6No5qET3Ak4GI
URp15Tv1SKPkn9kqE8Qpxqajqg1xfLUkPt0X9Y1ycAm7d/yzQwMjxkXXS6SZ3XV9X6249APa6EJM
I16l9SupYsHvW47wNu/m6pxK0Mgs44KXGiGrL0PKrUgMZpqXY2xBPW+8gAgrRil0cRWteITePJh6
1UlaZUwXGZJkAkPOXVfZ9yxJYzJ01Sf+sysx0sVnqvJzwE0/iAlJvWAAx/Eh76AEiXAkumXrVrxG
/ODwxfPofjmdsA/N7EPMprZx7EKDo9dyLI7DjOA+zKryLmNlMGyXex8mvrmzqe+6K7qqTCyyEFme
vPHUzUI9L/naP0xEEm3IQG9eDG1VhDNLEueyho+jDbLoyG0p70wV3UBD0CVLG1FCv18xJlEV/ULY
lO2GjESwnjN9v850M8PvE8HWhxN+QKLiCYAaT6IuapAN+8sSc/RH8/2YNlVWXttamkmJTX67BNAx
JHh95kS87gwfH2Dohe0JrclKsmIwqqNSmfW6WP4t5IDgE6wl6httotyhKrxDsYHUta2s6FWN3MMT
ENsWzRYNjKudx11IvBSlEgDmzaQRn0Tdm+F6+FJn6QUPS86RZM+ARFXQu5Q2z+ghhEU7Qoi2Cyun
fp/1YsVZIMiD9S3cXWUkNFETy2e+NnUbyygEK0VjKC+e9tMHVVV2gpxM72lzWpJBGOulGvsIikzI
vSZW9FeEd4u4wWE+WSXDABQdJ3GN85yIHtw4RoVpdvJnQspajF1tL089IYOnaGIhpnbwNbAq832G
I916/Ti/rUzab4vOLKRpI+3EJX5+pAjNIaApBTVNUV8p6QaO15k071I59rHVtksCzNxfao2vf4HJ
fJDwtbfnSP2diElEq1jZF+UM+8Jqr0v0Xre5YW+G5i0Iuu6LVIU0qQJpcJOn9sE2EIdi8vlGgo+R
SmcRwhSNVVNQV4I/BkLwZogkdMlyHwu0GighvdeOusLtsrb1ZuB79q5twU7j+e05zRoa5Um12WS+
4V2qXL6U6K03asbuQ3Nww9PafA4Nz1eqIENV2Z+wu4DJ9TB5kELhnX37Ri5V9Ia0oHoaHXPZmbKy
YuEWj0hp/ra0X8T0abTnLvCWC4v58iiJpkyGsf2YvD7dT2hFz2Ki0661bykRdTbfBVgez/SPlVPS
VHBUpIuWryahqPe1Lk3uWWb93hDznhsEmSYRF1hg72dLpR/h2EnU+QMpRRN8NrZTUMI5CA4BO+EW
LSA5HD5pYV44nAyL95JO/kAkieMdqYz1nxxo9oMMpmbfIZwnCUqu3oeNTPWpo7PgyqDm/XZCNdzj
1i9GhkBnfpCc6ZxEufvHQJQLHzwdMbjKRKZp89RgQ5CHrBCPcrC+sxk5ujza8pqjMQz9gzO0cJeL
OjUrvi8Y9OYQBb3c4QqAQyY5zDij/AeotTvv34jeN5JsUNQi0P/miVzAEJRxaMIpO0MlxzCF67VE
x/jBB1/eLYiqyA5wF8z6ytuTFle/1J7mYC1RxEpzfSFklnWhThdkOygO23lgb8E9+7lQ+XzUqVP+
Ui4aijUCOUbGqdCuGUHTHfSIW68LIBRGCdESoVDe0kZtkmAwW6TlqFGPZkJ5JT6ENKSU4bNxSqJ/
fGJfyBXI7MTHfECgmeqRepCKiwaFoZa9blLZB2J1o2L+r8dPQqrIesHb1V1bv+0eK97jvu4YG7ce
lpYz0T5zkHittB4Eo9+xcBp5Sw3GlshenlsXG2XkO7EVzf1S2wvTg+Ua0aau8ddv2zmdn4kSmtfY
4Z8kb0D690Qh1W+GsNwjMs312vSkGyJFr8VROWEXUcYp05d8JscLIqoLHiEnvJ90zJe4ZiTmEoPq
QXJa+T15RGVwF7hese/sUQs4sTyMWUTt314d2BtzSQ160jO2Z2kLZJOGE2trpSndxhTjlBFsR9AN
JxMRPWKgyJDVHSLzzoAe8qLfWbQ+ouizX6lFGU9NK/s7XO2gNaxWG645KtdTYDCfUANfkZ2uMcVb
9drv7TT88vLuOI0RSTxjh6zbaImBBQM45YTj40bvxCUT5XIkxu20lCxMpXHX5s6LUqh5pQ0dnMnd
wDoyZreYqTQQB5fZayshTrdjr9jc14WXrOiYCte9ci+C6NUtklSM6fYT7+Joe8OH6wf4k9wEXg8n
ny+PoWpJO709Bh+ka22Ro+wbcj/GFE1sQYP9TNFxpK46xODgoW/wbuLpwsP3wbXeEXpPzELNFTPf
9BIm1uNETeXWXN4wBj4Jvd6SYnaFDl9cs0nQfxIksBzm+qfqudCmm2G+8K/e2ncvbIbTnoTMv2bg
YPwwWW6n0BvczegUoCKTXO8oDPJPEakn26Is6U3Mvucs/4E10We3qA6e9uatA2G/1TYFuYVbv4Fe
VBsBpohGF2qahq49sth2T2HeXXuTajW5dxc63jf8EDPdhGO5dcOICd7E7MnqSQtO81Tlq7MtW/OH
3msEZl3RXLmBEzI3UWyVYIDBTEqaJ8A7iKcOctfeMUQ9NLcDDw1ctcWIqhEcWu7G95nzTC/8gt6M
i9LeAewlTURkdYitFcV2velgixaCVUb8Yzrzrl5LxAEQCrWpBC4ij1iChzW0LpS+49SJXgldKpFP
uPlVsQLueEC/OkXN1u15pJELi7yn70muYjeBkHRx5hZ1W24L56cfnwwbift807zfbMI+YuLa6RKA
92eECwkJktw+3t0SZb+C8CAL+tahlOogelkxyI5TeEcyJ8lvdlzh51aBuFvDqYy9PHxNhXeFh4Mg
VlBEA3kGtrMfu+XLzKtLVvKOB5si5cAnJWX55cNsMzfslpoI9Ly5L9Ozykkp64v0hFbsyqR6X7ng
w13tl7CK4Sc5FXOM6YszPbtOLaRZWER4HFL7qHVHdxHpGsVMTIvtrnEtjX1bEpldKYtKSlaYTaek
e+TWfytTIkIBHWOUzufSFNdljbPaPlrs/eyIcWeSlsGCF20LyI0NttObtt/haWwSsmtOQDUu2paA
40d1j53RVgfCtk5+1HGfkYXMtNRtHaPkvJ62OuwOc9CefZN+MecR0JGxf152SAliLL85Ui0UXC0f
DRjYcKor9lvSmsj/CvxtPbfLAS3uRgsTBGsJvC243+Mc4t6gCi6GYYHou8kAwdkAyo7IlzKA9uvq
mHufjM+MwNw5ZNFTKZd59Cfo6j0+/YGyux+hkBchmxsuZmubT6onBzTAvMxISQLKUobELDa2G3eu
XRzQNLY8y67YsAd91fbI1ybn6e6Mi99w4NVU/VH9ESuKylcgtrE95ZJo4sj9VOrNCrPtFEUPJmIy
5Ia7QLpiO40VYaMxXvSN4z6nxRlretzB525mN0U/dcIxGePbo1I1LKwvhnOqxCypEpzBj8TgpMfM
W+66WvKFl+N6t0xuTPrSYzPIS+mBtnLI/27N5YENBPPa/E6QwdnU75HdX1uJ/QyECQtlz0jQO9U7
1oh9zpriC34ogsDAOlWnYqRbJFuMV8O+EIUPnUEotDnemQ0a3maNV0R1NnWPXnPGAHg0ivDQErp2
p/h983h0KOuruEMyveumvUHLFTgVQ5B7wr+wT+tXcIdNlb7K+X66RTAG67Nlj4D8w66I9hO4qMAA
kmr8JIAsixlQORNeYFPIbrkr5TtH0YaZYwMGgQodQ6K6FkykizvH2tdbe3Uefe81HPutZX96+nfV
v8K0sOyxDnIf9Jy73brcKVIXA0HAwkdPJBxBJfjSh4N5GxaG9n4wwNxGYttbzjT2yfcF4z5tT/Ud
7PK/adHLS+9qBz3v/2LvzHYjR9Is/SqDumeBNBqNJDA1wPgul1z7GjeEIhTBfTWSRvLp+2N2dk9W
TqFq6n7yIhdkhBRyp5v9yznfqfO9YFGzhS/0TOyyPFSTeJTAhS7YCOlDBF71BVvY5J/LHJmaGO4K
WrxDmHb5GW7uTUz9srOgQV4jeHiWo3PbEuvQtbhImULzliXIwuqgx1TjY3uArLuDQUFE9uCfEps2
FCjLBsLOQ7YgzIIyhFhUwUDZziq+Fs7wrfKA9TEvG/yLW/bPtpHxCULpfMM4SxYPLsIJriCmHz6V
jEyGG8XRiO9yPcl7yD1R1k+gMUFFkLbF468OLDPeWa6PQO8W/WDsF9+qbnPEboVBs64TV92lC2ln
YEsY4Q5PhAdc94q2pm25OqbFAfMVvwPDn2984x2orVnVje8N5tUQfzQ2rfpGiHtsdvtOHPMUMrw2
U3gIXMfs8TQ9JwtXTehe25l91zSvpoOKo+ECWv5Gj/2OVApUnrbDbkAeTMlyrVrWoWmPyOuMa3E8
eUUQHRiFZye8byufVyuUCMgG874BPecxzG12iZ08NgxyGbPEIyzS8KFcVvWY8SZ+L6UYCKUNzOQT
5FxmSiGsHBAf3sbOWXFoTaU1h1lxiaPrTHjDqYAuTx8StadwqLsHJ/TfsQqnV1q32c7p0vCu8qPo
nGJaQP9MKeo3/iVsyyviOe/AgLRuyaKULCT0HogcYcUfbURfO0+Yx6rzq31nWcXjBOf92PjJNQgU
tB+BvYs9oLBxRV/XVNmuruXVKAuSE4Z9g0Ju20j9yiz7ue9Bp9cmWV4tf4a9MzvFdgrHCYks9dJv
KL3iNRh6dMdW/jwj8+T2xt1DQ/c4ZeFnaeTREeONUUF6hGb4NhfWLdOFl9zLT5Y3nZwmeFiyWEJ3
GxhihSMDf++8JMEDoubToNncwsvYJOhh92Xbv5QtwVXkbsPa7SXzYOhhZd6ai6Px2XjIjfdinH4l
VNUbWFvdaanz7wlMHpYDXGEjlonjYKefWfAJmuTB99KcKYR5buz5ksbyJaB5tJjIH1OoFFwK0jnQ
3l+1ZK1clZMItxkvz7ZrWqQyFlYfP1iKs0Y+eQx18qMIWOxBNK4cLsfYflqC5KpaWMrXJcWxPfMA
wtGF6swDH9U7O85vLN+dOXVgfcOKrJIzkvwzU7foYOpxPo5tpHYhprwtEMNjDaEsUR2/Zq638JbM
VVqDa1iKxX6Jy4CYDqNuR9um4EETv12bljEB8qaR5GzQ6nhY4dcFXPvA5QsptBGICTHgHtvK/ESs
Q8WpMtK8cghWi44zkriddh/PXnebF+7dmrMLhojHuOuD8qrvmvIct1DpkmYadtFA1JSrXf+knP5b
lCyENcSO2Bl8rTtLlwfyXJ/4PN53KdMbRlsJBZdw9u2CqXNZGI5Fdj69q4KKsjOzoXnr2mtT2NmX
6mR9FbRJdyZ/klp/HCRDvRmfuJNaOy+3vX26DCmq/cRcgWvSV3DGUF9XyH/qvFsrPqTduH4H7D9k
eWNI0aiX0D7YKfPYIa3afRfbX/mUvlklZV6XZUeYVYAVXVOQ22Gluz5o3mO2SPeCDmQXMJ96xC1S
7ZkkkaPQ4gpAG2pd3EWywqhHe1dmEwqeMHtCEv08+9FHMdioWbslvKFabDaIG/iDdYh9QgRZW6br
l5qeOA267tqKre6K7J/spV7G4EYPjXfVDYy4HeUzdJ7te1gR4e3SFHe1InAnxfv21UNiO00CV7ho
sWzNRltvNeLA99SulqOsIdttE6Rwftl+c0C80v0st3Bp7uZEPFpIH5nT8gcI6qV+mlpcH57PEiNz
KQHBC6HkDL/yxt0l6KL3vujaLZNp6iFofggWqCJKynPIW5iqrmQRoCEQRj3GKQwRHF0vCpnwLhMB
WgMZjXsse8sJc8H83EMhOQV5qV+EpS8lUPtv7FW60xSvbrRuupSK1xCL+nFM0+bKTyNvm3XZZcDw
dYr8FDB4UyIXb/as5tw9wcPlVYJCcte5Jr3CfHaoIxRcDMIudVQAn8YqFwGl2iOE4ETTi0CCiu19
MzQ4PMOmO4f2zRzbnz0DhcRyDpZG/+pW67iKTw/27ElsBhJMQAp7Txq+xRFiRH0STepe//tarLvm
Z/XUdz9/9pfP5n+uMq4fWPy6NE76//X3/0n8+O8qr91n//l3/wHMIe3nh+FnNz/S2xT8Vr5Q/LNe
f+X/6//8Hz9/+yrPc/Pzb3/5UQ9Vv361GELeHzVT8p+KrLaf5U94tP/X7/hPkZWDlArlElbZcI1h
Y1D2XyKr4K/w4RVPEYQ5IL+OS7bn76gTx/2rHbguSirb9qUkhe6/RVZEttPOBsRkERBj2+zh/x2R
1Z8it8huFMLDMEM6lk1a5G/ZhH9UWOXaicgM2Y3U9CeYkcs1H5IR08EyH/4gPPsHCYt/ShP7/Tvx
jXg10KXIP2m5egehLukFu6IKRLJNiEtC+WGn+aH07e8Kls+/yir8U7rXb99QSVcp3/Zplf6cR4tf
xiQSZFSS5Omx6yf0sZR38685gL5NjggTeWwQMsFYHVqv//yH/Ucvq/JcQuNx/fPyrv//Dy9rZJy0
TlRKw0he9E43spuPktu82pFPHBf/4qX9R98tUABgXCnWZOU/5aZhNu4rJJa7hom6eLOirsJ9YFbF
tgE1Mf6LCLx/9LqiOOVHQzDITPJPibSpMyemLupdh4ruKJF07vrcB5mQMQSufcy6Tebe54K//fPX
dH1A/g+Rx1/fT8mbyd5DqfVKWMWCf3hNR+Xl7HZh5ymHMK+23QJV5bxX7o+oKzQz2iX+FzGG/+g7
+spGGBmyNVTen15XUQUoBjpEanZlVsN1IHchgMVrrxHJE6JmWvTYDJd//mMq+SfVowuoWSL5ZYDC
3wNX/Onh8cF5gjBF2dFbGusLLiJAq1LgmB44SaAli+iS1FYUUo0Lrz2wHlVXSYSUz5rsGNU8I/CV
7K3mx9midt5VDhnzTr+ML14GdnHbpN24bHEO2Fgzq6G+cbVGr5E7Q/XddOgxWeQLeU+KczcdJ6Gd
8gXKPndmUBmSSTSp2fXeA/iJdXiK4P3OQzXfSZONj0lf99MaelM9UDJD4RmguUZ7NAfN2RJ1St5J
Rs7Xxk59LuNCLt6MTUpHKAlyf4DFltYNXF122PV1EKf5kh2mDo3nQfSet1JJyzCfnW09Z9l4nBu2
11AkSmausI6ZvWTgOmELjKb86otues+ochTboTRnKim1ehjDxjsYicRx1yTYdHaJWcS2ADjY7ly3
RbTOMBbrbDKnmOUaHG98iIOKdoDpcXawCn/5NoL3TbjxOdEZyzTuRz3qDEpgZK3E+a7Ov8UKFtOm
kzxbuxAjx4thHs6yXEOkxCOsKvDRAYjTvaYv4GG24/7Wg9YELE4H8soGqPETDFBPzRuE2ReakRkR
eaSzZS+ko87Ky8bolNUAal/dJK7w5UwxE4oy1A0eahwa8wehVxiizTx6zjuERVxEbIW1X956oBOg
DwKWmHGLT7pKXilUapuFifCiCPFgEzcPqMJtC44kJpNpmwzYyqJNPgLifrfy2PgHvENJcsvyGB3Q
xmJex0aefZVs73IB7APhZy2zQ0I15e2KNCDMxKlJu+AYZGcfIpLpg/zR9tI0OZe2wa6NuqAGQ0EM
JYMRRtKWL9mxZGV8g83Ss96TktejYugPRI+NRsmeIN0Fs+PNHwJc7nwToBcEuEDtbo59No7tV1tj
0ELTBXkFBWOn+pGRCKWoVLeOjNL4hz1YtfMkgylyDwGKfDkzbAJgysQnmcz7YrNI2DQh3AqGcZ2M
Pvh8dTjiBlsgYPV7kmDKvvZ/DYVE3JBBGw5JEVsMH8cwGODJ9qAUoGmZ8bn0W3wRduxii2NIsbba
Ss7vCVju53maKJsZVUVm6ze0iSQ4VNYTQAsUJasOY5Bc0ltn0SzguhA5EuLOPLoUfqc+WBRG+J0d
hvjsItZpIsNj5J1lCM+00QPbCaD0GPsXrEqbkqFGcoMkGf1Jkc3OE/kxy0vpFvMPVMfOZwi+/MPl
FPnRihCzT8ufaY22sov7uErs750OqJhpPT8Z9zAAJbJp6NECtCO6ugFp4qYqlfWg2iRyN2wt3R/k
oSLEElEln0h7I7EGozKvZ4lV4zl1+kGzVV5csYl0nv9yReIhd5EBTAaoCvEWEyYbEQlKqvzWpq43
u1uf/ExkqKOssg9nMOs80gcgPk9u3AA7yJZkn9dohMJEEuySV6X3QbdaJ9t2QGCJ0TyLaC8nu3lt
UJ+jEen5B2MR5HA7kzblK0ELKeB+LJwtVjzBND1hd8Y0NV5AeFoygoxpuU2EHVCswl/mqFhh2fbV
ZxOSPg2Sy0mfyZHACcuagmaoS0fvvaG/sglWRP2866JVcaOZ6T/2GOqh0BAny/MuZflNEyIUIqB1
0vIgWeYMzB0Sq9977sJUvYQ+UF8jFmvRm4RLhP3KSqCdd048XyKI6zOJKn78CHKE7rPkx7oK6MyS
O4BxQH1LTXxEzlAKNB22ZNDa90034HJ2SbbpzoT/iGVDu+eb84pCU8eV/QJhlU9bxPgWpvCmswS+
G7rD9OL2OV7j0ISwN6VNMAunO/idp5JlDZOoVnXsm60ZP09pNKEFMjMdJNFWTcU+TTzZ701hBexl
NPqZ+GfYjHH4Ejd+HEMqJ4XssJBFVRzZ5nvDdZ8VC+bwhnTLLxgOY3fTtcFcbvwUReWVg3aa5aI7
m/Y+b/pGXnPm+ikfxJpdgIiHsDzluaWbH+HcMKHgXLP2JJmlBqKcZdvV9Qy2VF74uRai94ZgIqUj
jmIGJusGsn/Myc8Ud5DiY70PEPZ3R4qUbrxWWtjzObEZFh9aK0wZxxKw08bfcaKOpLCFgWTgrwe2
WVejQZ8JPEaX6a4B0vVUB/binhqOvnzjjeIlHlL9K2mS5NGYNL2mW0M7NtSW9aWRRJycoIRUNzs0
gMdsgnG5dWa1fvJkyopg7GKfsbDiWx2QreLxC4O4u64RUkHDc0ocTJplK/F3UTvpYx/VNRmHqfR/
jEHbsKWKQ8IhUkSL+6n0+g9tCvmaqipacxS74Ieeq5rzB8bydwP42N3noW7pGGMnLk+xHfRMIKcq
elXoNRhZ13EUwM/KoundVS4iaUdZ+bXLrnJ9v81SXKGWazQJAcVy5vZPG5TzKgqmncq64YbJoV4u
Jqsc58mdkuBVxxM4xqBhOrXXCUa9LZGUo8AOmuHqM15KahIseBlcLVKwLIvTKR/hvTp+eR59OZaX
unKgcwyt15dvKaJ2heDMX2ffVg3n2EEm3LHPDP2v2Am8d2Y44SdaCOuWnTxm9KRXzi0kOKAdQGTn
k2enbIIW2CVqzxQTI0kf14ZBvppAMC6w0cgwiKxVdMXFtLAz6skGyW3HY27HKU9CJx8fAyZ5Xl9W
zOgjy6FWZNu4HuNvjPaY3tGIrQsAih8Exon1TTRKXAA2IOdpvQTrBHothm9upJYvnFwa0nJSiguB
ZqnZ5jLxrYMCNk/mXhkH3ZvB+AprGfeB+j4FBJEcfVj9xQkIiMKYPwCdYVGl2/6sg3zKzxOBL2hR
q6yNDgmTBSwZBE7AkYmQQV63HQym55T14HADVmBMrm28hGBmsDc3TC0GcBtEa1BKMOmL+WBgMqEr
WoUZOU9em8p3yVnFQGbqsxD8sdQFlQGgYhY3RZRQqOn4LP2Q+VAfJs1331kIY419MVOQhvNlmUfS
07qIq4hKZ0X9Anuckx3JABzD5ICDmdlMgwsfpumjQX0ZlTotRI5adgI9ixtHv5gFjd1RKBgeTM6S
NHsDSE2oHXo5IMg/wlRlcJ55xF7R69XfLYLy+HHYSHeQZ/x6RQMJ+7OOUdWdoeL56S5LElLppiK9
7Y0zfei2Kh+XxAtd85jCPKp3Ai5CiCiNOV/fm947wMGYj4sfKOvkZzq5Jes0+6aUW71hj0KqwX5y
ULuBNAXDHi5Ov80j2YYkIRK5twGA39xOQRD8UksNR8JCTIR0p+tg1M0ZwIPcgAtSspflDSSF+S7p
kERDCPZii1gzUqZ2OZ6UD60lPm7Ban7ep8OMu48FKLRSSmOCJYtai88lzZY34sTAplmzn34FbTbK
vVO1gvfQ9syFraBm45u3weeQhO0TaZbEWfHW2+QH1lm97wu8UmmJ+YILv7NPiw2hD3tCbMB7Rw45
CcZj0dlU6JImYyvkNbT2cA3mvPgc9IB/xQgP9T2JjCNbYO7y5MrVeaCxsNKiUHLBESIWtytfFiBi
7R66GCxVRXOBLBKfaLwNpSjvIxu6AjIC7b6D8jZvzdxWb7KI8lsqMqc6UIjGl6jLuo/Zx1F1wMOd
33huXzxDJ1nYbktDzF7Gip+deoM7Bs+4FX/juHIZ2rlj8k5AMGJFgcXlnFopblYtIvXmZIN+0PiH
nvuYpJiNjxGZgXU8Ycqah1lce2VFUCbKW3KACNRyn4Fb4h9uAKhV11kySX+n2ign7iMNB8jhIpDy
GHGRPxQNvt4tO5/uhs2uFNsBO1sIWqpgZS8pnZ57M9AGQI9vbu1wLquDU6s10oHF2I0gxQJOZ5RN
8+63jvb/uy//gl37D839Onf8fZ54y0jwb3/531X/2f0Ajfz5x2Hib7/p99lgQO//n45Ly1n//ffx
n6Xsv3p2yHgQ2rHDsGz9ProGSvC3v1iB91cKUkdwAQgKaODJ/84AELZQ+PdzDuWwJArpRUOXSST8
5PBPkxVQNDnkdZbWLJ7nQneiPJOzzMLeYRficrw6U6CxWpuypAn7RY5u2tv3kfQcKn2rzXJc13XZ
lZ0hRzFHjw1+lUaHxUESN9O8LYJwyNqzP7O3jRCITZJqwIujxOs2GmOKe+yKkaLzSUtPZtZ+sdph
Gs+Vq6oyuQUKNEMtkFUH8xY5XcuqynAN3TFpcKYLsjXWt0tISNgJq9rcfdk4Tcr9TPjU/KOXY7BQ
ufdziftlARFMlBubVqrIpSQLrEPoB28ngluGgath7nWaPaTi0xqvE+ZgthSi5WYLdai3d+NcOuSF
heTTFPHY5rcN/Ut61qS14PSxVNrWP/TE6vltqSfiINww3NWmGPxklzlGJBTodWjwVTL1QDVBQZyY
dcEPKqvdc1c3zUM4es0L32Hl5Lec66zLgVxmBB1s4XWq+uRF/nzWDotxTmYlkmPU9eMXCXRtfz2X
ibrXS+TRQhP5HGU3crHSY+6qYHzvw6K9YqTs7Bet5GfedzFe71klArYjwVfo0uvwiPXcxkLqOK/E
bXXcBD4SI5+lmYlnhDBZv82nnma0Ilc8gdUC1jMyo9SkPHb1G0QPgDrDbBFGv5Q+SqNh8thP+Ys+
GF2SCkS1cohqHeHkib1oPmUexvnjZLm+FE9dwvMDcmKxsl+U4HEybbFDImCfiAW/s4pkisE3WH67
hVEixBW6xCHjnUZ3et0Fos2/24PEydizorPTEk1O4cXXDHmBdU4qfBoHm7YHs2fAHrxKccfAtb4b
qB13WgTlVs84dwJU5NBSDfHMs4HoalNRfaPBhdJLoqgE6oX8fJF1jKPLIiqH/HiBnM5lTgf+2IoO
uT+7V1MxdG9CtzCvFjWDzMNZl7wALjD3IRg5As2bJX1eOvZ+W4sYr+lX5bCBp8urzfhQeazGF1Eb
jUmGeWC5R9nV1tHeRXOZ7KtEoxOYY6LbegJbt4Xj9s6N0xFsQrXVpZexLBQPTKaUfV1ha3Wv045h
wZ7AbKCDqEl0yNo2twqQBzA3cXKsPWr9quqyGj9Lp3APNi3NKTKzl4BLSbCMoDCOxE8+weikqik6
l7x11k0S1VKf5LyMkmdCIzqaRNa9ln6pkvspWROWIEzienH1QRf90uzbRo4/jVe7byEN7Qkdo/U+
DkO+Zu4scItIeSuQeizFUwgoY0vmIg4VIG3JoV5szcM5iC7ekT4NxTTBSXjdJZUkfnCISCmPh6ZH
a9X6XrYzKLHDfTiYASYa/LgFwlBWj5uK8nc/DEtwWnAs7scJdzCeXTcPLrJxYvvBthFAbnpEpvEP
5brd24qca66Dug2mE+GiOoeZ7lv5fkhSIhQSutSTETRHMOgsEd2wwC8uYxCkj1gw6rd2jOuXfhbm
bQYribSOLmXHIQEvsROoH6EUExYDwAnQ4b6q8eWinY/OyzjJ40I47f2I2tU5UkVhYEW4hckO+ba1
HTIruKmbKbsQAqMIOUHxetEIxt5gr/MX03/qYFRfIwJUt3QXHojZv/VlHLH3i9R0qIfRv5CTAzRO
llz/R8wo7bABwhch4Fqwma+W720VFfFtYOdlgWgZNSR+gUqgbF5whXgzuXZ7p+bs2I7aau6gmfaS
4tZf9lY5LTARY4MkzeNa3IXpmPkXFGjeaxRwfG9IfMK+lc0zZcnUCn2pVjTTZpqiyfsQXZ3dL00M
ny/KFZMar54c+qCiHyOAJ1P5VKsZjR/xPE81xNBDoa3J3dlgCR+TNiEQFzbIK/zQ1vq1lMwbd1NV
A1NndBKrivN2XvaJmIuIuHLAqttymT1yPWqAKENMinG9RK+6ZP62lXNot/cthS9j2KzT9cEY0RuU
Fk6mTqIy41Ejh/mG5AxUEN/D2Fs7XvsRVWbtqUqmBjsDrvetC9N2F3gjXFPaM4tcq1SM3QTIk2Sw
R8CJeOVIB8w/Is6nsxWVHflGrFWmbQNV7kF5zYzj1ZU9G7vZfsD7RcYR5mH5EPq4hmmP5/jD9yrz
0pIUjOy5Yp7xU2vHe084l1qK0MnmbS6Ko71+mOI8DMqD5uOZ77MgEXiXATfh1+l1dtd4RWPvIzBx
l3iQw7j6eE24HwWpNDTceMRPIYlf9knXfk9ngv2Lfg+USP29VfgOj3ZfcvvCjYpPIu8a56RHG5lI
7Q5Eg0BxWRC0WJS7GNgIbeV6hwZAc4tbaErL8DlsB0mEekyWQdf5krBg0Stk53ptQPijrcYt49r1
cmbGaO6CFGIRyhqrwp2kPMxUwcAZryqETcQJVXZpOPlAHu4QwLkH17aXw9BzRLD/cQ5+KduShEw7
q4k6y53xHLDoELxW+H2u4sEGzdQLaBPfDSbuHKt8yQVNuhWwnQN3vHNPJDF+Lppk39xRM80cf1lx
NEvPqwVjnZon81zvcywbSdQX0gVAbDjyrZpkhcw5uVWXQhXE0gJnjYuQsNpqsoqXkPysad9a9tpA
Y+sglIqG4+Dxlt3Cli0YhNC8KH6oas0RjFIWAU6SQVqmfGQWzpVrrqzWxV0FOhVKDLPQHDt6TOMN
TR3WFKgd3Z0BNIRgGr3FIbTJm+SPylm6+EQGQMecA271+IiG2RQX2w7z+yrk2Nu4Yk2frmwXf0Ud
FOJBJE1DUuoQcnI7lczeIAH2zlZLbtqXCJHHs90sKwQ6k+GL3S08vT6hQI/J6mwkD9r6yFzCFS7R
OHrdXcJRxTS4N5h0yoyg2h5NTboHZTLek4pachnnxvW3AcG96VseJ/H3Mo0kIZ44ZFbULikXN4Ml
huqasE/4bWPXedxTra0wasSW+8VXApu5isgfg9prWXcxj5hPa1P1XpvOhtaZry3lrrFNVew9YS+s
t3p3vuot26v2KWzeVcRGiBpdrAGMZYULDSiWRvmtATQCKInBFVBt25rKR1xLwDNUGUzmaRGd+QJR
sUIiKk7Iapz64YA4iT2mXwQ+o9MmZGNltcY7MvlvJuC7fdTstbeEPL4N6QYHPJ6KZZLpwhveYpQu
xsrViTAp72GxGvEJe7CJ9ik+LFjWaPH6rQxyhnauNeTFzjNVgJN+kKQ/sUVfNdG0jwqheCCwQoYZ
AJSOyUi1Z5oV1ted3bpWe3SXZVHdZggNoEusr0ZjcFDsMQaZf2lfa2vrT4iHtNajtcWUFSz4xwSp
UIitgqdR9JZzriYAarucyWt9GKsM5JAjhO3ezmTEEkCKs4/MJx0gcCmIJKPWHXGC9QR6fw5drqhB
+PGJ0XRE/H2E+tnfexWJJeeeoNojE+fosePp8Y41WWXNZ8seaol35RBUewuxQQsrZUAqVyyK8MLN
MuVrapgIVuEwSjHvpV0MkwKWPsm1BhkPVZ+pZrliI5kLRx25zxtGkOY7exrPOU+hQA3aQNlcCXhj
+NInmOEOo1OJmzXvyEW2FyMEV4tVY3Q0ZHzsrKxVLUp6EwfwXNsyPxAEL/P9PNnpCZ5kOJ2LdDDH
yPUaVmEILxGPtxDrHvtJo8eurCW4YrcI6YOinkmCpxAbHFqiBArejtG7gf/neDwWwuSHdkybX3Cg
kY2aWXnP9XqjEi/axLfZgCXjQ1kL60whKzHtSQJJBFP0xYetHpg2OfuVCL7D+auJlmVHeIYakLGu
6FgV7rmVASfgK0q+uRUxrtdcu27DtY+G/j5IbfdnR4uIFllkw6Uleau7YhfmI7NerPhzqpvkehk7
9VBCukwPVS0TTO4M5i+0ne224asTY8n0iY/FjDk7vSqWNJQ34Loq53rG1Y42WdfWF0v5wT2zdrPz
77LoqvHLjiPINlnTuST/1qmh4oTp/H3OWEMm7Vhcj2SwYcpj3O4Q1/Pdz722RZtfem/uxDh7n9lW
8opum51y1tTlAwBd/5WfGT8+QnI8gWlDJAlnkx4hdpc5Ysw2qvuXkdAa1nMe8TR7TiV8FmjfSvfi
4Cgk8zidivbVuEqnz/nAqGinQDqD72HJhZUNihpSjjqm52PCHeTF1RQb274AicXY2kyajRC+Jeo7
xWX27ma1jo+SZeIzzArb3jeOxRRadUE23opJRd8GwYu8H8dEQEksh2WOj0sqIIVZtZ9NPw2YFFTl
KheaPSI+0gxnwzElxeZxWHwbeX8gXsqR/EWYvkvzykhv2XVK9B8u9xNi7I6wxw3mHsMzrVDhAsLH
/BI5TAexqEPJONYGEvJV7LutBZIWwHAoZHkHrig/4UwOjqlnjXtWZT46HfaazhSlW7KcnVfLLkue
Sh15IPxwaHHosD3ZZCMl3M5DDMByjPbtnrwiB1Vwurgs5UipXY5tinhgn6vJxtubazveq8wPL9S6
wwdlaEI8kkLgZre4jXqCZFFRsymEYe4Nwj9QPafOtg06xMkRY5kW12vDJxqeZV28JTwL1aXxHFoK
AkCSGdwxuXSbgL08pNFSzweiKwWNsFG4waSESFrp6aq0gvwHywCaY9yjT2BDI/s2m5Te+2mo7ibj
tBfp9BUNxATzxCIO3WX5Z5fRZ+AUdC6iijXiSEPQ7gBX97wKRXBu1tPwUbtzfPayoD2LYkYTHQSa
2MxCL1+LW/j+HvFgeVvEcjzi/kHdWWSsGbdBxdxnBxl1eYSnGIwjhIGQlWg49U85wEtw7YTUiM0I
bUqQaJzor8VLuhfgzKM6665O5Jb8xJZocJiuL4p4gqcBQQazfLoXFLASWUGEID8+YouePz1s3E+W
kc4rIGC2u91iLRCWkv5YB4LsjMkkhtKW3TOXfLbc6gl+8mYJsPJrAdOA6lJJ6rWVixh2ygzsIRF+
HBEZw1QOnOAYYjEJd0CckaWSPhVcQflcAw6ZHdwMYsDfC4ynQhHqiRwD1lQ6uM+6EY6skxZbFuba
BtIaWfm7l1m8cXbQdMEuT6n9H5yWKvaepjqIflZjFr/HxqPnnHhKz6GS9WMmogFLNJd/taMO7Ku7
mrVszCaiCMVe9LZ9Bhpud0dqgeaHo6T033trVAqLQ6DkDYDrZm1VBW5sM0yP3GjeN1x59lUwk5sA
HTUt36uwDuZzh4yeZFwvfAiExPU3EDz+BMeQEOp8nmoPMrdlfJLxzHDtzVHCi21qJa9Io6zfF0mG
/QbedHQfLwNcv7TQdDwhF8nqNFHTacHI/TKFfLj22si5uM4Tvx+voKdYPopXa/wEHOpeXGWR/4Rx
8FYSpP1jkbIpjjUzJRj8YXxEyBq/xU1kl0iXzCzQ9MfTDbE73qlHUblsi2n2nkoj8Ff6ZOlgPUsb
fUtJ7B+470PnWCuUGxyscXmAMoZnpYUX1j3YbE/bHU5yK32C2cKT4/SW8Riht4nhbm6VN1wluurv
iEEuLoPK3eQpdTB2ODxi7idC1O46JelVYIFEtnl2qjl4cgGdwA/ws6PAYXQlYz968KwguLeht5kd
5MZSnSw7h1OPCu/MJmi1GgyiPkzEh75YS1KeynJYJTgxTe9hMOjguZf99htZroXz2ivfiOtGMwbm
sJDwcmMX+fnAUVVi41vHEdsmCwO+VRdGR+7K8Ckhq6TbkNvJ7icfiuUh6pPsG7xPztt13HDpyNDt
WWrURc92Lsz4xcoaT1ZeACFrST3+oKRCP4wStfpquMyQYA6IGkbR0a1bVndOpJgs8jGYQlI5hHUE
LAVN5ZZxonMhwHOESOHVDQI06ZAc9II0oxnu8sWall91bab7gFtpvs2WeTUdVoznTOmSccJuZnzL
8ODN2yYxcK592HX7zitYb+2WUplun3ScUbc+srRi1zJHvTQ9C5AXN0klgAh3Goi95pBC1eAXwO2R
rlmKma9Q3c+mKu1vaEkg2zedTfJtQrADzE/QGyJ8WBC2ZhtEctK/r0mi6nflHPWEstDkooVJvNcZ
/98tYn2PeDxvJI9NpRZY92DW+PnKJgBWB81y6zKl/MqYsuS7wKf/PZhhgRBcEy12Q5HfnJSIoaun
TKnJJlbzSxlF5rGPEG9zKCJBXVfWK2gmmYuD09TyOFdBIhnF5cg5ImuEb1a58n3yVX6Tp8N6CioN
tNyZeUD2huVPcGoaM6DpYQ61Ilf5qO1SCL3vbfwfHJ3Jdtw4FkS/COeQIDhtM5mjZkuyJW94XLLM
eQABjl/fN3vTi6pyW0MSxIsXcUPiAp9EZJ89MNvveT2TEo63SFWXyFuJS2h8Tm9NPg1mB39tipNh
c1fM/AM+xnvoYnbXk634Td89Nd+2bcvxDO1hmt9XNxp/T33UfMwdBboNBQCkTWvgZsHgrVcBrQE9
Sc/je75azkywxEQ0PB1F5yKg+CmhvS5eTxynbfeSVgIqX7bmYfXC4hb5TWQxh/cSsyhkp8X3RuFT
kXEK1P2TBEl9aoK+/b3plmQ+NCJ2qgKoh+0JCgREz/YG9gQtaM7qn4vchY+xooXjTYFR8nfUjTwi
puUnCisE+GUr7tvRLmdipf4lGFz/ifin87sa5ume76t/yj0pzlO++XckWWR4anOXljhKs/3vlijc
DYdu1/O4Bv1p9dLsu8Cl917prc0fSKFgyTDzmv4qQW28ZK0oz6m1LcN1PJira7z0ti8WVJw68aaA
M5kZE34rCgQFr5YsqgfsDV9evan/KDk3FyqmzEVT7KIJdxesHqH7/yw0FQhyH8+TLY9gRrrfEjGe
xwjI5cuQ4o28Iml26lp4kV8S5xvD5QDc1oVmZ0tzttHk0kYTYfrcyzzecCtI7I2nWk0d8UKQyl5S
i1zx8u+6lbu9q/L4Ll294FcbpCxcF7XNSH8SpsJYejr8RmhsDG/QKC72QjrpdGyqEel54DTbgaeJ
T/PCndcTS/+Y6VtvAXJsNh/1Glj0BOEBg2VWpx57pfD5PqDZ/QWsrQVFHbTTfNi2Hq9AlVmJ3B7J
+hnM7viRrjQgFRobAcdWziLCJ8EAi8sFQ/hMpK9MoolL3w3+rBrUNcozi+fJncMXHyfW8IjJh3Qn
cdjc+ce5l36A0gq6axCW0cNUavmMws6vwGvEecg6hfGPyArx41TJq1/0Zf8Z5jXbbRpDHtKaiKlP
be9H3PeV2W8xhmHslyDwXK+Zy2Tg4tkcYa0hWzpmntszB40gTGqAMrh0JQICsHn1BPq/fqlhHUH7
0xGRpSLoyZTzeLuH2vdwWKa9A6GuT6ujr1D9WTThe+uNwAIEaoJU+GZxVVEhjEOaD5fqwA8Slqng
zstoebUh6a9GRv511bX5s1HQtucppd04k4EAqpAL7+zHt6QaJoTirl5SmmfYYZjfuSW3q+fDtK7Z
cTJygFwBBfiC+Qy4D2f4eoQbKr5xWSCn0IuFqlUMiDKM2SPlnI0Frch9f/0v4pJzXzjQ97ky9csT
HePqK5Njd960GH9wrizJjIksPaaTSO99iUmLUI7S+cmUGrQNqJm2PPj9WMIrWClP3Oa2DA+TR0PZ
UQ8OMsFGVHm/RE79PoypSRrjxf+c0jo/ss7vftXZllNSgwn4V2HdCc2qEU11cLA7vYCYheqBSOn8
wyC6PiCdY+jzaA6f+DyuduE0rFV3hixSNdjOES/3WMlW/YI0sgBoK/PsOezzytwB5jfLXW6mHMi2
6OyTFwsys63EYfzsu1hReO+DAHpWURQTFI68CEpaqBntO5+MmPIlMT3YrtkpyiaIDgr8Fj4Wv/WT
gbXLyFgFxPFkIx4WDuGUdReFyf7RmcbI+4TposNDLRvgs+Umpz7pXIFlr8I2BOvL+nb09kgVwR10
7Ya21zA2VLgiZBIfVWvvq4eZO/JXukW6eKxhBXYXRWmVkzAPY8APqTVIOfKq/Bf+DsMCRkzjq0ef
jUuHoAgSBkqmLgrzgGrxMqFtdqpKqm2ptUi0qFzuvGU0QbMbpgMzoZ3yHQQSIOFR09GPgS5XYhkl
8pNSo7AEawkYDboaxVD03tCTHuR6Ps08/a+bE9FSlPP3Y4ub2mHYh1ZkfJIr+V+MZYMIa67DD/7s
SMu9B2svQntltzT+2aSVv5zYrG9ReVtTKUgLFlxcZse97Im8cUOioOZaBnqrf9bUxQosxm2uX3yV
sfWUxSgDFnU4oETVBy8BAbn2WpWqaZNtM+E9/hTF4E8msn9p6WsPidlLI05p0wPSw2kajp80Wsnu
t8rM1nxvZtlWDqKQ8Z/ijbI9agIPpJbjOZpvpB634K1f2fnv0OKUBJg5qugwL2MZUF3WEVIFOUly
ck3jFGr5glzGhWX+01tyKueOHyemlXB+SMlN5I8rlK79zKsGVWrMR97wnsHkFrmrX3/iAAv+SEuk
4hAvbnUmbDD8163sUHYKsip+RmxnW3khSjllF+Zw7zqWciz2fiBZcrRyKGHi2vChDuD40zAz+oZp
euqe2DeArcFfleVvvGjCAZUnAGrLF4nnli6hbnzHeZBuV4eA/MnH6BQ8ZraPWVMSLXabHRHZfnqQ
sgjii4vCaI4RnGK0dXSP96KSfEq3bBr/Lb3c5NVMbZdf+aUqGIQuYC/dQGRPbnwFwhy137hvS0Ao
8jp3mtBEK9buM2Uzj076f8H99pVumADkzeVMym5+bTtKFvBsrB99UzEYrQXNQ5AdrDddFl3M7iXG
i3AJtFhJp0ToFAAb5+o/xHVxGONeLnTC9VKdgrGrHjYS6wvDUT+THrfh7bfALA9DLr0Tdez+WINa
UF+Y81RHoT+dZQ05f3Toai+4deLXWRgR0l6H5o1k4xodxhpb2cMg3Lm+4Olb9v6CC5XSVueOjWz/
ayWsw9O7TGu8QlPU7gPdeu6PijTDlHSMD9yD19UPyOkvJnEGNeMrX9r63S6OcPAGdymGfrZD2CYr
H1ISZq87ruIszhY1lFScRH1Qv5OJ3P44Y77x/OBY+Ml7j4gt4VWk03tY+s7mnrncOLODMw0t+iOr
m7w4NrWng6eN6YrJPgRGcSy7YSxemVQB/pD1jtU5pYAMzGQQN9P228Aq89eEdVFf3Gcj/uUD94gy
Dg4mzZni7ptRghI9qKGnquG40QYYxCfAKnH6GZITaRNfVMaq/5ahEx6ueQ8NxqJ2Ti8O3vwedsho
muyyVF2Rh6iVIPGvasB/zOmfKWzJ+VRbSnm6zFWyxW7cT/NH5ReZfO66KSw+giJd4ZRvhhH0xrcD
xr/vNjp1HqVksk6wfE72tHbgmHYwaSvntLkOcV2Qal38KbG8wbrC6MDICwjH6eeDGKkFOwEXD2PW
uAjT+CRHjPUdbjTzqlnA4Hvl0czLN9erMkopmgr05Hbt8p7e7D2IRGVpfuthKzv7CRw2XW5y4L6n
TzGiNNSSzndnADyCG94joBV8jyAkMPdTKQ64teCKYLkUhxItiY+LopIXCBZNSa5gWcaIgIatnxto
4MvzVOVlo2E31WlG2gZbTpgsmMWnW7C6zuhgWHpktrNgdqX8ZHXAQJ0IdGB83NHZgwwHHc+O5xzJ
Grg5pcPFHY3NOn/i5MDTuGO1yzoQyyf9J/tbkmUmS1s5OH0zgdmT7MFM42l/xJo/3zrd6qUHAVUU
dgq/O4W98t2NCi+7Z5DVzQEORZ5hYydSQJ/uEBKITMea1yPlDa7l+UNf/tmJsrGHyHh1e2DZz+HW
+lhHLr3O3OoRIc1bKEcc5vlCmMOmZGnTOP4eMO00JsHB5HfdOY6xDCdq9QEOElHxb3agLssZ6294
tzm8BkvVEEwgko8myJo4i7lI5AtMRUa5uiw9ELcFdHEMZDcidcBQzNUZ/0jxdyjZjd0u662BiLtF
aSP9U704uT8TDOgzd3sl1OL5J6w07OK5KVnlnHLUGI/bOBYToHax9uiBCjfcLvsubMtpT/7NjneL
0DnNuCn2rfDC9sJ2Zwq7lvVEi5bjUVRVw5fRsLCQozpbr9HJGYrg/4QaplNzHhweItCmmnVwXa1i
/mYFUw/Z0SNqnhElEf5wyTe8JC944BfnXxlRSfWmeCr6/3QmWKz88wtt2QCrFjd24nNZ3gADeLK4
eUlDYDq8iYgWlS2kL/QN8T0skIGTCGRHdarxlwxHka/OjCSMFMxSDl1vR3t5PT7Sr8ZXnMshX65T
tGL+Ls0K6xCSRxU/x17c8hrN+wo81N70c9m9UobXxf+ECYr1nA+9093XRcMN1U8tCC8ri1z+KWmS
ZNlF9iZz7zJgWZJVqj+E/0wTgjzjHIS0JRGXDV5cKpLI3dTUfT9MnWrfHMmwvB86N67/KxfHdlB1
18ivcObSGoSWRB9XlbndhQx3O7+Nnm1SC1xZ+CWMJS0IEmoWBbQeNIVzEl3Xxwe8YWP2AeNe2ovK
xYKxnB1BcDG8sEOiY0EPX28GlP0zFeE6PBrdh5SfNcbNpn1U99l2FzeLoftXUh7UH8eCs463xVhS
5cMwEcljRDkKvWepjPLtGJvMUUk91KvgVbnly58oMJn8BGA7+PcIUVyed7HDK+C1VoGoTy3Dg6Dw
we0NuGp6WEuS9hPOQ2ShGNIkW1QHvw+Nq4Sx+gAxv2loUBItMYSW+kw3qzWdDhgsrmg5nb0QfPC3
D1y0rrpqkY7CwUs16Djpp7Vfbq18Uj/AYPCjf/wvwMmjo+bOPpLs5li4II0wnC1gDMnQyJVPJKNP
GpWXuWxacSzQwtIj5sQKjiVRun0ztkwJnIm3Lh1GqmViqvBuGIgN2tWWPbasr+JfIPn0Gu9H4Bfm
OoeZ11wN1oX0ROdXL56JEgT+OXQcT1E265i1NDulu4g7VpzjIHi2mhfmflO0HiLqrPDrLsGcdc2x
Jr7UvPZt33o/OD8wVZzYs2/NDyCvOSb7qbAc56ZumvU+ExFoh4i2LUoT3IZu7Z+qtqL7ngCtZt9B
T3AK5kHdsYnqlUmTgbNG3hMn0+qIUAnZkxEsAlqcoTD9CSFPhSRQJNrUEx/yWb9vS39jOK8EL5cf
Y55bdV+7s7UHrpjsz1YY1CB1Ajdcm4+16Niirl25ZsRCxr7wj8rKyv2nwqWfCADa6AX0JecdO5an
MJukwWJS+nyRT+XapMrsubPqhTRkOI3LMbDWGdoDcqCe/oBNpcuZad4fbz1rI1Z5FqdEBso7ZJB8
IgSTBn5MJiXi97TbcJoU+ReQ9m2anqaxW+ovUBkMhchQRUf8uJ6493v3blRBymlqVKt9ofU47GXl
lCCexzAQhwrCErsoDOquIErQKPtD5YSZ5Gm+redfZdVREp2PvEnx4ix1jVm8jQfybTTApX1P3mjG
rUkTXz5ty7Fy2POA8QAR4z1kvjuqR6aohhJaN8e48dzh63OxfWDdqs7YT6hVg3gRZh+plFRHHnrb
rBkr/ckEXFanKYyWo1Ejf2mMoe6lnEYqzsNCOuxYApx1i9bNu6/clZTKZry/+ZwPn1Nh1EtDnGPe
ebmw96PuA5X4EPrwkw9OGT8KL6dtfGgUBzuuCLs1pzTyCe8MUeMxagMmHO0hcAan06wvpvxHSvsi
aJoU8sy3nZD9nvByyflTjrOMef/oTMG2MiFz3o7oWwBCtofwAsa0InHHSOuAWQIHqh4X2uSOQ6pX
SIFWYOosKgxzjptOzJWiECjDrhqeW0OIOo00O/TB6pzWi214XPCFNdBuLLwALbrEzlWWEZactx8K
ps9TblhbsYrR5edQlaSLJy+4+l5QqBuw0bu4Pg0eQaD446lA4QkgQP3sRxJJRZA7f7huqpOpfPfO
5bexd6aeHMHCm+g4diz9gtZX18Ghdl5sJaWn+Iu953ZqJrhIQpDX3ojPgt+F6OhxeXjMFsBT0tu8
hxi+B4tjNOgLxWvNq7Msknx2G/6QMhe7aYPOvkeqlZqhe8Xgxwnxs2UyPoTlNn6E2IhvUCciQU2f
Jb2O4Pyls7mKGwwfO9vQvzI0tYhnws1ZysZtet+4RN72vezDPYJj/VGWwO5F2C5gH7NgfWK1k3FD
G2BK5qCi/hoyZXbv8xm/nZa5/CIBTiIwjtzspIPVDkf+e8ydWR7yVPjFYzTCUG2yEWeLOxj/HcMs
vgy1BtwOptG7DAQz6bnPU/ILHhKjyDCmyLlo+A0PygWIo+lI87oRC01qswHT5GASOHjNYfRreS7/
781FVo8R/iGc7ngpOI/ewti5m6s0fM5lwRqNDM3w5gC3QSDZhvzBq5ZZ7gCbcVEa6uahqtBlLi5u
kn3kpUBh+yrcCNN0Qs57EsdbEot1fSSBjFMihH0MSCknOGOx4vBSoTEPHRQgVArJEaMPfQDtDMKo
WqOMbRtgbF566IlshZG6y5q9/D73qoJJfcEO7+eTwneLaHKCFqQ+kbKqo2fK5eRFW3RkS4ZYOBIc
J1JTFpcFT8bTGrbtdY1zbuvlFGzok7hY7b3ceEwZ7prXWrC0RzGINhBh2q/v7Fow7WqCsHnOyAjI
mW0hH+kGjxdFkFCcNyLNbHQ2woVNJNrtmEp0I0Cz0hzYFPrtI4qkdzdLxZaiWnWUCNlHImGYrxPc
hN6l8CpznpyKAmqNOHtJOXsuox0Aj22VveQaVbJum/EOdN/wgXm2fS1g5rxHm/KSCQ4CyxP4VOei
uZGF56q4TyPQ886Wzti+KFN8dCe652n7DMIfeUNT0s4jTXTupk5c03BR/zkoPBXHSxD26rJKks9H
D4PDe0e6/82pbPdOaJY+p2WQh9q4LEbpToUyJ3y2GulEKv7ejtHPsJ65ZAJuUJl1t/se6eR+nEvT
sb5x3fu5yIGvYWf5iLQO5WFoKu9AcjoCD0vAgUJPSxIbCq1fXYkP8BS6Y9M8DbXFUBTxkskVH3dy
c25+P2BnKY62dk2yTNE4XhWOlz0Xv+IWdl/sIzjx9KP1MPMvod+dGYzb47BuHQvUWGq5n2z7yee5
uitSk5Fp4rZxGERcPfR1GlIhaMvg0fJywtvJnpO3BDupcxCR1UAYtekbUvR2PzKhf1gywFe22gOJ
8YgbndehDmYSN3Ge1tNz3EewO0uPImlk2qPvleGj4op6T6WwhQZdQz4tXC7Oz2a20JlSOuFfuzCa
n0N+D3ve2jI7upw53yte1v4gN2YrjVXuD/cvyNOtbJ2kKzPxoyXYcYbKw3BL5N3QO6rBYJW8Zz9B
BUBvGCsB5E85bNviMJ4ZqiH9Fck024lVfuB/wc9MX/Oe0D/hg5XlDey6WJ49th71fu3NtByQQlSb
hOy2nhmcZuYBv3k3eIXvvN6L38YIZsUF4ul2GsNt7p42bC4AtGO1vGdp6zxmxFxYUPTxi4uGdHGW
Yb50LBKI8M8mco+k6dUpQ2/+xoDp+88AvuwrCqQRYGb1GCfgRteZZxTQO+hUUv9JamoonSCfvyl5
mC554Isr7/9yeBvKxouTqXB0RwUPRt1DH9LMFOLDlFBYF4oeFijc/K2TL2FBOaCca9ptSPGTbv9v
UrELPURwzqxsTy9dCi61gDnRnBwdk17MZOpsH43twxJNcuHPn/nB1/A+sk2Nf7Mll6zV6oI9IJt9
3D7OIkmGlKFTXCiERoUXCibczL6DmgQ++rEp2ycLxRyoME7E6iV12D3cJnw3DcKdT8O6TVIniz0S
ztNMwVIRNhgN0nWkKVMK/CoGc3dNqlP1EhtyQ1U8hJEuxv7OjXGxaGbeSo1TxBeHFYE94czCmP/6
F0byhttKNerxjhtYnO76MfCe/YXK5BcR18o5ijAaokuHxKUYIDkLr7wFySz6Iw6QNCRGkOgsgr28
iHnBvzxmKNsi84f6J/wtsq1ZhH3+aDl0NsqbRgLIAKQMXsQ4Np+qCBkUo87zj6Isevt3YiikZrMl
mcvZJf6QXgSisPoj3z0Mi2JvMH7ewLgcIrsKxOuIiTNbQwgCFGud02Xeroj9xUvW3AIjW+lY9dlb
rfWvKC9wNGwzoVTqj4REHBURC1neU1yBQeqGxd2IP7Ok4ErdnIcLVVj6rshmE77lih/DyZcQFv41
01QJrAP8/Lmrao79c2yNDn+j1c5HxAxMr00Yxjmvkr6ufpq1xnAbz2xpE5u1/jHD46u/yNT0lrf1
Grg/+gGR8J7lC3SqMF5M6CbN0oXdZbWgN6l4GaHx1nt/HXz/ggo5vDGUSirnx6q9unFQ5XjTHdc8
50trYxec8NxhqdK8/3/asgm9pF9JKnz57oBcWVGfQnkuG/QVBS1TltJvWcRn7iCi5wZlOKESZ4Yq
AoxVpuByRYge2ZKvSMm79Ydq8eb0ie2oOPrAQb4Gj76w1jhO8yfbJmbWDVYB+wqw/AM5qvZHOLXQ
5SEbBHs6Wkx8zgFHHccRaOA9PZkcPjypdQGYWFObBaVoqfdpmTZ3/aLK8CXFfvONAXkuL4Ft9MLG
jhf0LR5H+KLLsq/GKMM3t1XIeIsTnJUflN+lMPOV5VoQnG3sANvWxbdjwoiDqgwLr/3cloEMHfKX
D+07wKfak9/eQr5msvc9B58WufOIxYpseM4PMPvSm/LNaRSh8cZkLtnM4iJcG3P21jyla1p3cDyo
fMnI6Z1HKpPMPiDb4BybRhGRZws5LczBRKiwZlURdbLPUOVneWrizTYfwvZwGAI9xFt1BJRcrL8L
h1qQXcW1vd83jZxIa9GPyucu7Oz3Fsba7GTTqoXU34whB+18w7CT0x4RTx6s/wCiomHaG4b2q3fc
fLnDFx2S74gz64t3sh6xbLjMzFP8t2f5uD30VPvxgZgLPCwrFrDqIW/zAqLXlAEHPQEHMd3JuZH0
Dg7/OuAuauqYPTTO++VMIDmOLf3sfvsfZAHEvOu84MlMkzmQjbn6oonpbTal04UOxoCtUo3/Wmfr
uK40sIoBFYVr17jJRKco35hT5rpdHnNDWqvbsyBUOsTCY5UiwIMOTq2G7+IGRukEQRbAp/wVGNOb
V2/M6vIAZA7a8o7bS1D07D2mob5UlVVfGz+pmr/KcbLl4OtIDJ/tgO1gRw/ZyOUabBWmpiGMVoxL
eej1w9HMfUsT1iQagLyiUWv75HZq5q8dpV+6D3bsF/HiQK0I1DtiVRkcnGjI41OhENeZkJQdcEev
PhDvfZQTKLvPcCnbNKlJkDb/bJW78suFXML83GoMvw7YpMTDz/6i6ybzrgy+VH3KEGHnRZoeP2on
PWeG5c+P53VADF8OCufruEvTSl38CgvUzulu+pSeF+foDgikuOOXhoVl3XcXQebqjjMpox2D3dQV
nz4uwj6bviq2ikmFF8lLJBcmMk1zeaURa3aOQ9yqo6dD977D1j79GXrLGXQwXpkORz8fZzc+LkoZ
XqKk0vyb8AFL7QKdxRd7yddXkYsQwd+t7IjjbP5Q/g6FJYc/b2txkl4DIXwMEDL4kK7s1usBes/N
PuG6cFEjGPnlPB772oLtCmt+AQdfjfZhANJZcyh07QsW2PQqe797XbHGpkyTw/IYkB39sIbVQNJJ
ICHTmJHkZVHbz0+eGHDJrkNA+06EA3a84LfY7irPI1SCF7fOCYrxmkQiRiGYdlMTd+VJO8PAP6o2
e6H7vXwCFMIQZhdZPKPuB92d6qi7SmZnLl58P857sJzOCnsFTwpDNGtTqEbbtEf8M84TcCnI2qw+
caxXTME/eneKCLvWdPVtePLkLqsBjvFgm8q5UAItI+j66CHHNmA/vw/TvE/6UBa/PBei9xyPEbyf
vGKTRo3FJCizpFi9HnGxHVSRdk4SLzjgscDE9b6I0Fp2JjJZf2yVm48Pm1FMcUTdzIZdoWIVRZBo
4dvl7hZ/LlB638KcsvA9bNOGcxBuF4Ryj07kEy+T+c/akTUgg4NLp6+n/F3Gq3PjFggwXhhOmuFu
wsF1w/3AIK2mgkqzeqHLfRu9/JgCYYEkkrNuK1mD/4Qz5kSEi8f1O/dJ7N7pMJ5+NFAUzCX0t+nN
nQPoB44Yy5Pfp3l3hNIedscmtOpsaCxYGJ/dRj0ZlJTntir0VStahx51aIcrqDae+5xbtW2GBS5Z
HV9ma4KLH9T+F1wOqiVMjjyuVNU/Mx3z69oX6dgMh4Bkx1c4ZuW5IY155lHJD0wrMxcwg+h2LVZm
u4tLLISgJh2n8UM/YBI8a2oa8qPjrdzfGtp81EngbMUuk9K3ljRx7p9CoLkHB6SS5KU56W+KeRht
meEDlL+NMhLIIv1diS7P09xb8RnnrG1e3QavEzVrBsFDEWkjv5GzNuY9LRkaWnvqgXfMyTwZVr02
67k1TWAMD9LHQoBaEI+XbgSzlcRcB16HuETV8TQAF57Lketl32hu7tKJn7qZ9rWeDRIWgsILXla3
JMa3LGt7qFtAIbtuFONzKmi92CrRXNcpHQ6zmvAdjRBPG8KPewG7l5DHRFnOCuvrannsNBNnHc6J
O5VD4msuHuyLQ31cfdk8aT5zew+BM4kkWM3rQBU5fSUmE/j8Bd7NANEcCMVivfeRgwmSug3VKY8E
9qaimIB8LzobUYA9Ssf2CD2dcxkiW4okEBquWTqm/Wlj/XUVWHO4e48EgI+4YTA4b2HJ41tUXbdv
iCQSXSopitzljmWfLMfAX88FBnHy1jN1OGUoFV1TbBDO1pndY+VV6GT014i/BMXzU1wH+W9/wJNL
p6/jXeQIJ4+FaNiFO4maiMbipb8VuaKfis4ysR9wTV1JmAHh80d6j1Ubl58WYOarL/1iwyHAluIn
9RXLxWjlekfK2UnZNYWkGJZPB1gAkH71XzGOwbNON1GfGyLANPNR9HCS9IV+NZrcoCL0+NLCj0oa
3MxQuwzMZd0Lii41G9qLZpn7XFbr8GytV6c/CraiT/3I/gU7Q8AsVWE4QshvPZqfJ5P5h5bxr9sV
LvZZ43QMgHPbeF/B3K7pn7bt0nu2CTxlbeuFlGGMWUAYG4nrbEtcawBNsJ0+jU1nS0LvWCHEurAy
5DQo33LttOV5TJ3g4LIT4vJDrQfL5AW5DHN06YQppSAuA7AlmoURrFmKf/NgaDoTOVr/rvYyDlXC
KyKJRkKGufZW5yjxDbyu9GaVsEKscxrMEGUcm8DAdwNBi69IbMTBHPpvtavNk1O6RXC4gZH4SZWi
RQXhyvFAwrgfEhTM9HHh7vJz1vTE7ALr5/yA0tlil0bhktCSvcHW/n4OqukHQ28ePYTWZpemG7z7
SA5LeY3JUsRH3bG73wVTTzrJUY3Uv1iTlFxQ2dINl8UblvZIcKjBxst6NQILyxaNMq7Rdx5SPh/6
jPNg/IOPoL4z4UpLcdtO9DlsUH0Tity66RjoIkQnKNUjXo8aKpzSqGnZ0pnzbMv2T+c11bxDNl8v
/Gvv0YOeA6ShRQS8hgjQ7kNPXO1xjt38KjzTnIUN+w9m19berzpe1svcTz4Kd89blDRJSDXTbg51
hkoO3+Fqb8NqQ800CVrjTOXFLLNFeXaqf4WB8rLrF3/4t+FQVRRJ8oEl40hhNAD6epLX1OVa8TaH
1uGioOKsCw4NwBhyARWbrWbSeCGwTpbnOhqqZ6E6lZ2a5pa2nN2ZGJVLsk6/m3zdCmcHkTPAXUZN
qN//JTSl7yB80BJHDBPLpDFOAAsBy2p9wMPNbcSRk9UnEmx9uAM5UHEZbOCZsb+LydQAC0l4a89P
XF6H4YPMCMlzDGoegHTuTtF5U1N23VZBsYxBLl57p8ElFKcf9Uri5+UmIs8fOgxW0mhseTsKj2T1
Wa7oF0AIi+3dxVHDJ5odL+7FlHnsUdLY5SQVcQZMcoFXnIcmlNFRdXa641uEvsCEMPwDq5S+y801
6Mkax19ZF1Kx6AEIdjNhVtteVdKGp5CdSErFX9Fn5DSwzmTEEPEXTenNrgZk9JPDEebYjqncy1hN
kJ5l4c7G85wtJKZPsQ+uOIHIjfku2hxoE6ZWnlGJHglCnDZZDP/JYOxfLJ4EavJoYT5HfBTY/NeY
TF+qyA1oLDQpJSLVmNh2dQ+in/oD50uZrDLCq2txki1v/oQdg+5ne8JLF+sfUetk+V0e5jk9p7wA
SlTXat0usw/CA1A+md+E9ZK8Nw1bKkE25tLRxEvgLeyorN1mtjcx8i+Y/OwIXWJ8SrHaXTOE8S8B
QuZjyAER8NKaaGBYI1w2DVmjozM5t2Mzh+XAwKE6Nj4FsDLjm+C8lGo6kJbi1JmFhMC7rhtxEhAw
5GOMU4z4fkd+dh1xiZX/X557n2+6Y71ATwnF8DTTRQvV4gsvmkiQnefGdMKvsf6hT3A+D3oCKsB1
Fr6NuuWgOkwP3zyILUWWdKw9MlZKj7ZcVf+I8UX+hePl83lCaN0NbT2dtm6yDzhaWO6aOd0OJAL6
pw0N5uKvcjrpZaP4iH0hAl8mWV4e+LmIV2t9MtP0Wkrwr2z8kXZsd5hswM+1ZhI4OKQTPpyMZ/Pf
6vTG+U3FCSXudsPoTUcst3JyyZQ8h5N+InQUXYzrICJVk42ZojLHZ9GVxQZ3LL0vY9nOENdW9Tow
05yNziemmbwtT9Dt6QhTEKGA+gx0aZzr0OVeoQHjRUdBDM4mm0YTJ14d8Jv1TeRzfao2PmX8Y9It
ZubHV8fN4zC15oH2hOoe3xABM9i+Pp87Ol32+doQTtMZUZMwss2VcVMdiIREf83ok0gdjPL2uHAo
FJ6Nw5YU4EZMCtDMGDhJGrz5je/1P8ueQnvUtnCmnMTT9dkP6cD2qtzUnAsRQXmWxW0wlLsQruoR
0C4AAcaaGTw+C4D6fySd2XKsuLZFv4gIesFr9q3tdLvtF8L2rg2IVjQS8PVn5L2vJ+pUpTNBWs2c
Y7463RBELFT59e4EY887aE/0EXmjNbkf4+Bl8aFilNxsS/AsSF8EW3W8sBrQl4Oc22T4g0Bh2yyb
gzLdt5aynSd8pqO+jvhJHqusoO+NDEP+J1v0KPgRSfqoGtir7R0rzRn28ctbqwj7qoL/MUxrSeTx
YzqZnn8FKZoThuqPiWXZK3UmYkbfz8LqjKw5NxcbFhsCPdBdcl+1QxTtIDpa/SV32ti5dIsd+mwr
3XvWBLGvh4DhzQdiVfk1xQW5NejfEMdyF7VvnUUfZXN35+j40OX1e1NbGeQDJ9jjkWX4GLAhxfva
TggTXXkuxqT4zE0p/nqRH97KNA7c6+JUJj/TDyBk5Hafqk3GLIHBK7PnBzJGvd/IK/PHnp/zhoQd
gHIhShmxE3OnWa/D0XeSI+gX17sJtMje1nOHDj4DM/EBygwmhnVo0LywvChZC9l0ZIqU49FxBUla
iUZhmFKaTjBUKdbjaZfwL/yvrODXsDW34nQr0nykF+gcrIwyG+JoN+dUfLhekJi8iwm5+j5KELxs
hR3Hx3mU0d7zs/axGclE46sBLrLh0wxYihDnHfvazJAh52X8MMXS/gsjNTWbcg6xMtchFdpKFOP8
mDaICtaTvYBLIE08vYiQsdPDlC4EtkKHRXEqmo6NcpQJBtlJgoT9ukRpebNEW4qrtXgoWQIeWrG3
TNaf3MWat80M8Ln0ouTXnhA7cAqHvTgH8DfTK8wrYqpm21Zig3y3bE5ZOdiPZV53G1aWya1ppv61
QFLcr4IEyde5ob6IICYtPiu6AqlfuNzDYGHYWkSAAa1kbpYy0zZf48gXVN6NnAkS90CRcMYW3jym
MklGnEBVs53Toj0EYy2vzeTeCX/u7JLJbSJ01QWVQybRJVPUDWp4tujo/TVdfxQdZxksB7ZaMy44
pf2X2R+T+BFxBB1d22Dzvcb4LxZG/SQ6Vho/Qj/F7MJdB2XdyVi2v5OWi6hqbSWRG36WzuTJ146Q
34m9KKlUEjtW7FIfN/y9bMsd38PIRd7zK24eDgYkDq57dsaYFLpET5s+78np6Zit8HH9JnxB4h+P
N9T5gibdyTgGIqZ4bCrgn6lb7AeLOuMXLbRPj4M5gF+lK/7ZlHb+m1e1hP+uWCKZeDVocl6NSeH7
NFmDogJL/tBz0kYJLWIOgOGv4+t+J6LSDq6WGlCp4IXqAzwCY7WwxloxI7KjYAVJykVuFXt2vlJi
nK+8KGobBD2MonKKNyWkwY7ElXHcLxYTxVWlfChCtRcXyQ61RnCSM/U4kRPhpcLYgali9tIbvt0W
fQFwxk1I33ktE5dUuUiq2qdewKfy5FqYSg4Ao3AMgD7ACNysRmT9JWbKqin1tRBx7W4FPqiOFLt6
APngzCa/jHQQ2b7yBkbeUjP+WjWFR1SR11j4geWgxKXoGtt8YZMJvDeF/+pbBXzQrKtquWtHDkFM
0D2ENWWc+4VDuiBq91HsmOPay9FnXgQNdyiHkxPauB0NTLrL6KXIKwHt+Ow56mkOvsbJhM4hHQQN
N1onNhxZH3Jv2LIe579zVLQvHQsu6OLsNBATruuSkIb1XBeF+FcOdUMq2kiVdEDZIKv/W3yjFVHh
5CPUD2S3i1qPbrcIWt/f9OVYRazXhTr6VBRspN22r8jmRdDFq+/jbIlsU8VnmuBF87dGy3dIK3uB
Qdt9JGyl8ieiwsQDw6Gl2HS6izp4PGy/CB5WufVfZbrOQZ8juhNLTE4ydoPWBTA9YY8oozGMChTO
EGIPHSmqG2BCDewPBOwwY/PGd9+ssUL7pf1KfAMouDduRspUfvaxM7GUnNG2jdNEQR3yaqRJwx4H
vgxHiOviY35HU4vyC0wXR/MO7hMqUcX4VkDaNAthPYELR6pksPzhFTVjFQaLRNSiEU6QOFXLBXr4
BNZLoaLa8Mc3+HCTmLkM+c5kqHa8fFgungsycfe9TqsWAJthLNE6ZFMddc/fuQpUqmM4OFhSH4ke
cIeb5YgEkWQY5qhGe/4RQK934cvQ33iVpxssJuckdVU+BcbcE31Icvxlwh9d0YoPm5LknhkXCpUl
6Dbk3XeUVx/+cdV4n4jk9z1otmBZOzEXzj+9NhbBCku999AG7MsZnUxkLf+w4EcklbBbIxLLLx69
qhGYVlx/+oJCEl/TAv3kdsFuQoz2Ys97svwoZqbKSnwgLa0KtveM5ncY37hQGt+H2JeiAx4OvGgC
OFyb5RXaJEQT1WkJTH+Bz69fuwj5MI6S1JR7GDim2BCuUpEcPMn6eaFfXgcmKx86Ft8T9M8oWCcI
Q8BFoE0TiAb3A2Id0obz8T9ef1xRVu9SfTm4QQFWjVFyJAtrig5jQZTzAePX8tYu2kz7sPIt/5kw
KnZ3KeJVYqViGC4r1Fwh4/gIjMIn9vKFF7ZPw/jWS6ZYaxrz9iPig0/ALmxOuIqS4hSGWYI3NrMY
gPpT7+i1jvrlE1H98E2TQMyqGmbocMl0DxoLGCGmyNV2Cw3gi5MVC/MCFgv2bsBgJrcVa9Q72Qg5
ebLzHBtxnHQQlbJYydCMc3EGu4EDqr21qchRntmh3BH0oK6Tw/V3w8Kk3WvslP7Jr3z42ZFgV3ZE
6t55Z8sJ4S3FXuR+SSgVkYNfu26xJFhB1e4yoaLsoUQnLQleaMKjChB+QrAaewGBIXfMsx6I1CCT
Kvwo43Tcstcp2nNBeJfcCICsMBTryrc/oGxPP0nVWIepbwjNWYAbP5cAcQeWzX3zL7jLbtem7Dr3
CWOBV+4oSi00gaWA8ASnOZu3aWK1l5Ja5go5gZ1B7Pm9Yk6IRPIYVWOyFQkDq3JHD0rJNUSmavfd
QDOJIH+BIdtYsX0rneXuzp29skVHZSb/4GD1PBER0W/gl7U5zce0HHUCs3iXoEhEJlXxrKPRBeN9
TOspPnhNnD8FAdojsFxO/dogyf6NvSSCWK6mS9723X9TUHgOWlsNYyO17SsXqWZ9qeIPG6vltMoU
ciSeLt9cNcL1U8PEcg1ypMfA2TBxfmJXg0PQMezkTnHGfPJ19uscdZML96T6mhfL3iUTjkhK9MTm
P22DVNpmbst6g34IQSdFe9NeptSGW5ob/D2KGYe7jcIY8nExVoQfGOtk1zYLDqX8AIVZR0kaW+ns
sYkx8UvOcuLSNm3xlmsyBCO+fChnAS+EDhO721SwmMSr7C2WoK0JyVyeAqSMd/8FwoFhEMeabbS6
KdTy6GRFV/6FjYBdIvMnhqGeLe4H5cx2DFpd+7PEXXNb8nn5ybTw36zYssQFVmNtXRmb5LwsbAM9
xh61Z7aBjcbmzeR+xOXEbOWORdPTmcW9aDH0cCkSwShIYGcCGO5mqUj3KXFk7LlYs5QTXo6PXMVE
hC9pXJGZUTlklLaO3IuxHOVOKmlfAl1wP1jUQSAdeaIsEItx/cOIGOJojPECIUR/n4FlQ3+AOM4o
0YaM/4vfsjzyYg7oxjx17FB7+isw34m7TWoESaCrOq5C+GZYZdJyaMJND2kjYy/jyV/bNtkWyb04
e+gAqKP9GG1v56bo4boh3DSVwhzHwyBYliUxpu4IUOoJ0rQAZwPsqMZwi6mGwo1dGmsiAMxih1tk
WpMhzfTSkGj9ImuV4WJrcefcymygNE/mWe5IzwLON9okBIBhWNy901UkLywO5gw4WmH22jKNBo3j
dCq7UmukV51hagFHShHBcU+khN/Gcf3EynjpHuEroryCiNdHl6kT7PfquVLeqWGrzrMLehEJl5VC
6vYH3ajzMs9Vjh6HIJYNllcM8wm7rpnoEQ8n9aAA3+KnQlm4QTs83NOvNQrJ2E7d+p9aovoh5Pr6
8mQfPU8WoaG+ZTiXigwhs2MT+87yt2FN7yPsf5CE8rY7xDLR4xA49fsCEN1sW63MC/NEkT3HeFlE
vq7q3Naf6eKQki7sCHY/emPFZGMYsaxrn7nDvyhPK//Lp9X4Z8oZW2onJ/EpGjIcUwQkEZb0TrBe
Ii3z5tVBF/BXm2l5pU727jcWE5uSGOR+EQeCrpf2LdRJ0/0ticbOf+gwcuwN/ZIWp2jpMJ2zGOLm
Fez7FoSyZeTvyiitwYWIKvrXmiB+D9IMgAabbq591BY8F2xZe/3KMJA3czvggngILO0kj0gOESKC
PZ9ZGs95FHyEUenfJsspmoNW5Xz0/BoBhDs3L36uEVbZfox9sTfQo1ScEPlr5918km0QfbUKANVv
jRPjp+44RllmhnX3a4Iqbh8SdBbeEZYhAHAPRHEAoIabCbMtGvP26x5PM//FQkWuB7Zk9z/luEH1
JO6UD3IfRg89ZE1C2L5DLYRFnMyccOWJJDpJTt5rYOY+hAMi3G/t6vDgxR4iE9HW0ZZUAZ7yfmzr
tS2EcVBueN0WwAANWDPFmGaAYCxHgjEQMqrRD9UnvA1XUufMqf7qXWUMt3IefqA1MP0zT4rTvQMR
VLAjpngYovXEFBADd1M8cUYAgOlILUSWzchehaRN9yKOz4o6fACA5gDEwu42+oeqmKrsmEk3/Yek
XdQbTmr3icJ1PMXNIu5z73j4KVTV/mnlhOlCpqk64PAYnntAAfs26tpvDfTpQaGb6F8iO81Rr1hu
fA0Hd1IrPoXNshk9JLAqqh75wyzeOMlulAhVMNJ6JK1hwZuDLdtRAq7qBskfv5pXBeZvsuQe0GLC
ePpxE0vw2p+c3PwnFwqmhNlP4j+ojM5ppnJyT53PUgXxEyx8cr5tJ7c3Abzp9wLGR8HwTYKuwGwi
xJqv0fmk2BOQWLJSEbBOAhgrVzFZY7YRIIXNTqboVP5gYpCIAC3t65tddTz9KxdnTXsZMQG2m7qf
YdIEQ9bvYyk0A7MGzRAJ9kWeQ+vqMWL5ka6dpyDXJQX5wESw6QLahiUnDxaPbd8FgFv71m2OtrfU
AdrXdvo71JTjF5lFDIB1J9PLhA/iO4/ZtafblNUdGjXbZYfqgTOdgE8kgNP6cslu9OkoofqO3OW8
n6Zb4gHPNmt8TfaBASoblBorwHcTkdvxktdkGcgOXcfeU6ye2OFx8EByS+yNcdWsDhmXLsJlnuhq
+KqLOiQ0nOBgloZNHvynlaxsLtSkoG1DVMozc4dCquSGCasp36ociuO2o0qTu9kt0i2R6HTRadLO
pNV3Mq5BUBRJ9Wtj3nM+vHBxkDD4EArfRnwLxUeEBoG1KJrZJDvBrHRfWPpJpi05/MbCFnG7aji6
tr6fsJdw2qzZ1x6HbUtPX12EmbBY5yhdb5XTi34tjBU8Mf1O8m3hwLD9Hdxs5AGBJBoOe0ob/CYQ
F2l6tXtMKGzcDWsnFHvR1GXWxotHbAqojTBeBrlY2bg893VZt0eqSms5LG5kWa/1AMZ7H41Zmt93
9k56WTwLxB5ZzL4694b5/nXg6VH7gsRn6kCf8ewmTfPhwvO7vAPaIoA0T1vEyGpAcdKEtsNKxMnV
TzZ15KworyY7A6OF5LWIfE/v7QB41XYeHQMDTc6YKzw6dchF9XxsJltOcMrcchsj/GZ4hqnj6HgB
xHQRjexSKhcL5ap0kmbbeU16YSkiX6qgRREiPb96j4kfz+hwmuybbVb6A9XThkJiNNJsNJz8trBI
1qgiPSBTVpBWZN2PS1D2X0U7h/ogJ7r9ImT2uRXgdnYpOws8sKWAbhAH4P3e75gzSe3M27ztqHXi
leexC+WZatxuiyxUb/B8QSHDZwF3iQHTfRkPMRLIV1MvK0eTuvDIIB6Df17WjKMjlF/oggI7Z4ri
4s6qmRUEGD9ha668YlF4HHrNRCUJZ7vfLi5zS56rbnaSTSQXE322HEhgW1tmGS8QBa38OcwZXryw
SKQiiB3w7Aeqjjl7WzgH062bZhijaJqOFftE6DOJ3gdZwy698OcTUnzAb1BGDzOeXwK2fMlSo3S0
wDhzf5NtG1r9nsswD+wVQemOYvDewWRBODKZn4jvcL4whF1AtjkOjjbU9nXPlnXgaXhZeGyL44Ae
ARfcgFsWvWwYvRHGZr7ho3jth4WhAjNDzcdIGeqc6lCIi2RC84/OMkGl2PUl+/ih9t4lQTDegem2
vGS0yvSnhdelT4hTXJQSs2E5nZr0yryIfZlMWewG+MBWjK99Bnza929DbYGKDByieAafufiWEyv4
g2LGem4KF2Wo3/uQdsGOXKcR8kkGzpUduWmb7wZE17mvu35H24Vbybcr96DRN7xmGWj8a4S/eQM6
wrKhk/m5v0bjUj5mqnMXPNj4h9eFY1j9s/siOqdRhPPxB+qXmeb2FSF8aO9DLI98TaZoGYtPBej/
QBSnPlCk/DRtIh5DPQiWmnOKBhF5gTu8Z3HV/Boi6dD2YnFHnmeHyTkXMzgV1g/um8civT5O1WK6
O8WnJ/wYy/g17bn8cMPd52erIcZFdH/beudPIyAbflOF+vHjgGS0e5nSkdD7CF7l8hrFxEN9diBD
d3UbA6WNnYaQRXehrnpcmPhuIqeb/7gu3s778usfjEOESbYCTFuHSKySsWu//GqmzmjrsSfcu5UF
CYBxON68yWNi0lDcgLwKbDSVdtAdMNam7rHrKDXGKGBvrhr+wVVpzd1Xay3TH8vCeA7SSuFGGvQe
qEgQ8jQoIuQst2acF/AR2cLNkXoQkUZvs6hSXp0ICs0zJAyybZQTugfujKVKEbyiYdkycAg/bZAW
N/yaBbCTJmaUtPQu/SIS601FvQA3x8rHPbgC+npwz8V/WWxNrJR1kT6Yoa6mbyUjRHZTGM4C0s3Y
731nLPVOlyCB1yOifPJvoCh9qtCFsdo2OMZNGUTeilmd/8gNIV5KuleEJ16G56OOih8AteoK0Jtg
xxVy3CcoxnJT5ZzTWyqJ5cUXcbGZO2HVew83/7b2E0yliTMXeEwgsXAw2XubYvstM9jVV2mo/c9h
xv9NI8zPNNHXbxyLfo/e0crfbZIJXnA2tE+4Yb7RpJofaPbZYYI2w/C+KE8lUpmDB0yQEbzfklXZ
m+AohAD0k98tzKvIHuxuDW/dnJ0+j73tYBXEdOsqtW++H4XfPUGQO5Q/WXcoq1oAvxjdD5dhAkOi
UbkcD0MSHkI3YLHt3zE+yBT4lIyKs39L7hevuFTnHzCTFnSLIPHY8WFecW3k1Ggm8/hxMnb90vOx
P2HXdk9UqJRiPrggXGl2fiu1Cb6ldFsMAkLH19jW4XxOvSwUe4y22FYmawr3Jqf3Q6EEJ0vgynnw
nZrmi0ph62do6de2Ar8LcxXlqJ6Xq4vknkoT4jOrdCRmOs4q1lZkVW5829PhBk1R/tFkKnsv6fo5
5Pv4IWvL/qVtc7BZ1DPFxyiGP0QZB3xdBYKGvvfqq5Mk/mcDyOUt8yYckGKQ+SGc2Okv/vy3zSKz
l+kSEBjUyeIQ8eJtPW69YdUFrnhUdYfsJsR0dyHn0lNbM4Qjzq1QHWdFiJ8U7fCH+mPedjhjdm6T
xtNP0FV2uLNgruwamAFylaqc9Siyb1SyFiK5nl+LIJOY3FJrqmN3Yw32SxT75sG+N1noRnh+MwOG
EoFxfHYrmTzbTBJWXFLlxmfrxW6DBJNTTyLmkSn9dvYJCKwyQZ2FxbyTrPra6KS1GkGa+Dc9ZQDg
/Lk5WWOevs86fMFqZe1c+HxXG9XzoSYX90lgJt8vZTPro9MACeAsIjdZIpWuNwQuu6ec3weCEdsD
Z+V7xmcTMzqUGX5Zv88cwydwd/y2bJoydjxdHn007DGXg49M4+ZzWR1kltgfyB+IrkD0zFJVgP0I
u2UsNsbzI5/ucfhGmtm/xrJBClSG8gMhpnusAxjE5ehqDxU+aEgk3tkvm6Jsm5NjvsrBZK7Cns9V
T7Cs5Oigm6ap2jSeBwWrECYEwGsYB7uBXTxibBg3Oovi54xlEy29Job0BIaKjT359hk5PdC7EFRU
9gFNlvmrp3b69qRTUc4OX+gNp61bmgmtapXE71aUoFZLrdty/0sRQTYEr9GSUc9GaCf7SoQsFkBw
A+qlgx3RAwydPhRE7KzB1bln5BQ0opGYxvvOU5JTOjX5SWC04aMu0HKrHBmH7VLqgD1d95qJtg+Y
euWQoPHEggpYNHMfOVEwdW7hcRymHYkIfXsEfdCT8zIO/VOcLge+63jbqgU5oLBY/2Gp/XaRBmw6
R1unKTcnLNVMK9twkP8iJ+tX1uBy+fV8qwt05eJlmeMo2oyhIfcE4kGPlUmtaT9LLjSAXH9S+t17
wTZ23X0lRHmISuqJHI3o0+qDaxYofQYXkLqnOHU4VB0Q1g/2eE9hhvq0xh0PwRRVzZViqbwG0918
HiK1+Elah+87KHEgxUUU7kgK6YgiRLf1bjnWf1KBB3PzGdAiPoMdcxfNyhEpGOHCol4DEOUijkT1
UjSigHNZlO4xYtr8GQnVnCcxYkGnHP6hcq9/q6p5LO8OS17dRPB/JuxoZTuW82Xa8rHpVfongmO+
GtiIPiZRWO0gozvZyqRgXdcyiLWNwabhUs/9n9pyyhsX1nQKqLTalQHLsxo7sn0OyqN+priFJOcJ
cCHE7tyv0JIb691LbQC6zHL5BuOBgGt40qXNx1wUsws15/MJZQ9q60ziXkAUojZZKZgeUNuuKOnj
DzWlWAnGRhyQAQHgkCUWW1mq177saTYJBOoRHwV3ZOpi8m0TBjmHzP+/EZUu/7KciuutP6fOg9JL
6mJoYGY0pAO0eeXB5jJ5/QNxZfBWPH53wasasjdyUN0Hclzks8/afFP2UwR5nPp/WpOM3Iqt1y+Z
3JTVmNGypiT4VjAbVmz4u3tlkf1OiTu80Ot/tomX7HsJ9hhHPRUCK1IiCCr1xSLe5BR+rTqTNx35
64wtNmwABnTkASKMX4dBW+uz3dPyq7EjAbtNNn3kEa3nT2P7nId2BHUqzu/C8woFkJB3tOgI8h13
uPsaeIaQnaBryy8lnWy/oL5fy85nsA3brNnPkMye0k63z3QpnCWhbvVfEj30qh0XpAS6rhi1tOR0
rzkXBHE7AH62/RJmw+4uV1jTVRI+agELamaVbKzKQt9BcPW2dQt6H7SsNduM0D65CbPdDrPWBjFx
v210rjA0VFhVbam7dTiNJELIJlLDNl9aStkGdRWJXO1mBFjJcTK/A5tD/+gZi1xBE2NtNR9tlpLP
7d1BHaidYN+kf7TBVwpFL8bki1I5myYNz5w9e8hxhqfCsV7dmbWN5+niYgvP/cOMJvvUwm6P8RCH
eu+UxR5C5F1+RJjn3R7uZk9JzTBsJ1z4i53CubMmbQxpTNKRw2MwYMtcHcG6WcecxWOztwbGg74W
4UuJK/tFeEG2ifG/kcsVw0ATvftRqt7+Y4Frs/ZlbsufUftIbri1qt8i6M01R41FtvFITNfaZd5/
94tT7JPAUXFyjPlDPYTl2TcknCodMeqH+4ChA/hOMoS0yw12oRxtvH/XsUMqzcf2kMsIo0DOqqsS
KTmSy/RfOiGMwi15kjbG8obqGEWV/MPghf/YGN+qgc1pXFQnTALxqo1M/yGh0eNRmWZG6wvR42+6
mF/T5F4jSN60vUHLjRDYDzYzTKFtOETlEeNZ+qRYOXzKxLunblSCsfZ91+BOGccnHidKLqDre5YM
TDUiuyJfx24fugjyp5wL9WrgU6yLQnvdGmECifHouF7vWr93LA9zdUoYelBNpVlDIBCI18sCRn1L
EEr/gwE71iyz0poDLs5RggXCm+ndXMvbtsM0/TZKsrsc+St+AxKEP9q8StZW6wD6d/DqfLW6MOeK
6Yy3pwSKwHOzCceLxgOO4DavLCa66Ergcv9Cn5g+mJ/Y+6iMA0XQVe/dxqjpsmPhsM7e9YvvY+TB
CKdXDjatf67jcxVNiEk3Y2YPf3l8nXpfsbF/c2Vu6i9b6/px6Zb2ScB8eDLITujtVOzg7I9Mccf0
g7A5ombzSZWKbWC9Ehan2fTQ2LHyhG4XVs80jj7xzZCiMUH5hXQPwqvvFL2kMmc9kZP7NdLnCYRS
Pe4NVEvWy4Lsdv6rcl6BRQhIs0ybkImMSwbYcNGyPudzxM3LDyhldRNm1EA4lrY45a7IYOY1+c/s
Zg63KtrqYAeQJiif8AC4ZmvAiX2QRketpTHA7bKwrg90h2ik5ViLR8eA3osGX9LYlkv0kqVFAFBO
I/Z7sRn95hwb8GyoJkZPj1tkD/U2GRwrvqCAccP1UFbBNpeBvTWKvhu9IPzCIifyb0fjympp8Ipn
l5cPkRnZxXZfqTs606F3nCOfyCSBZ1ufW3vqs5vTQNQ9WMQO7OCU9L85As1H5jak95DL7qMQTjzU
mDAcWDlGWIn0RneamY8NnYBBDsb+9egzRt8FkVg+UdkE9xzqJXzTfTnXm9SuQ/VoBuyixNJ16G+H
VTkEAAKDLpd3FpxLb5dtMLcq8gn5gMPVA4VXv7K6smb0OHe/75dN29r8yXz0BIgKWtYnOCno9PnH
WxejaTBZFUUWmU392u2ZQym0u2k/H+kO+JjYoeQL/BImUGu2Gw6fjg0ovi6S10PIUcBV1zh86uTm
pUWWyg1yqmxSFLOMnPMDh4GVOsxEvdR7jlFRYBJGEZm9QU6UyXtSjTr+NNjih5M2CPhxrDSWRpqt
4c81hvuHZEJ3jx5gMIeMt1NWbHUybYHjaBI7v7pJ4tngqCE5wW+LSH0ojkWai4kMq2WxB1KVVEfu
L7LCvKRo43+S6MxDBwM7BUaaYPyi8dD5P/aPdvgfYeU4mEAr5NJvUXCUoVHPWZmoBEUFHXERAMCD
9tLtGCYD/uaqWZ4RgsR3xwrZl8+xtK3+QHprgLWy4QJZ0XY5mOxaO95UoSIHKUXZsMIayyQsm1JG
xsii+88ine6bqNLVV3raBIg6rAtqLjwl/mroAlUcxsosw07HfvVJfIZdHa2CbAIHB9C4caVdyAP9
M2mJ4WwW+QDZTor9rIQXHSfIagkizpoqE4SMe9LeSFcCl4dVU0C/+gKMB9bjyvLbYThXQ8LMBjV+
U0PVivLpGScTWuFahzTNLnf5+FAMkwgOVVfHZhdZ+aKw1DX603VHiLwrSqTJv9CvmEOPHxIBftmJ
7qW78zka5x7OiMrVoVW+a3+JWkxybPHoGPo1zo502DnQu76afEQO4gO05napAvdJZMF8p2QNCJr6
kKyUI3KwaD52rRdmO8c1ZXXhPxkqQkQVElwOgJAQU2t4J6Je3JA8afNKKlH/GArt80cRPAOaxPPU
vu4rD4xdzAzGcRUtfoCgjBK2tA2neda8UR7U4+8I5eeXSDr8Ty7r8AgDGZb9K6KE7qMtsxaYLeP1
W00I97/YxxFywOWKiLVERPrA5NCTj75yKXW8aNry2GXf+ClEf7SYp67CNpWPkuOg3GtTZsWuJuzu
JwxJxtnkuA4JtmBYmR4KSG4Zxs+czwlxuDqDCAsJp7Lc3N8sRevO/5jAj89dqppxH89d9AMjzsZF
TWYig0VvoGoOwWnYmywNm2Pjy+ZvD06ESZJtkUbXL8Y+2+zVvnCQTs/z1FrvvLbkPaEPItMsGuUo
jn2QOA+GPsXf1Y4uztkA7Zd6rOVw55eX/s5XBTvhjhEBJg2M/qwslIyvhMcX1ibFiEFzyAnknE25
NO94ckLG/LRG6KgdN8fDMgmHTs0NPdoiMtm6B7IPpCC0qUUqUoau+k6I3bgEQZicxgDzOFe0KSDd
OA0GwrBnU7kRtRW+LilGDv4d+D4IB00bgEqjIy4kKOCOCi1YgXdPTqYZ2pVhtUHPFhTvFSR0c6jG
sfqxygk52sg0lmc2nxwMQyCJfnyJKxXnvJOIV6jlxQu/aM0WoCv7E0Ef4o8T0LUdGPu5qI56jdw4
r6Nx19VtYO0iut5mv3iM1Td4Ueg3Pdv3p12H6E3jbLWx9PW4vD/zxSTtuQzgAZ+QvWbp367LKrm1
iBZPt5ZRqjwm4Bhz2LDErmGumJwX0ObQtkO2e/cET0qzEdvfTXSjYgTiJE6xLkuKwJXhywQO2gIW
PxV0EjeJYutsw9jM905Af0JoIl0yG9vwmToEhKku7594GG0mFLVVE4ATyBIfvBlj9hWRTa3glXJC
TVw5nNt6aV2xx9kCq5mTEj9xz8l7wztQ/XGagJRbnl4sBKmGirQhGwz2GlcigRCKg+hIGHqevnYz
w+btCDBrXDMw8J5yUGHNRvE3vKYaHtdm8vx0DSzWuVpDbuNGSZfi0gw1xVbPmLX67AKr694YoNYX
a1hMimPLtPmJRs/fKrwZw55ZGs8eC7B6AvoJGdJHgH9hBmefnJRTw8kS/e1UUYl1plyYdjq45tj/
zBAv789cWh8VG0L0MgSaOYgm8fPKTW3c7g1EWDj/dZOKCJBV5TC0+5aeRphAsemFB0pAHa76znZQ
SUNfzp6HoubbKGbHkHfkh1MMfydmdjRNTdxvZ4OHf+XAOTXr0qr0vLeNlci9zqPI2w8WAzBX8eys
WqOGn8hho70Ly9ZcHGQ47XfLBLlAwpB2w5F5uJVeWiJEw72nZRhSM5VgYwzjhOdy8iL0TB1FNmZS
CYcvxCdElAl7NugmTGEdvupQp8Y+sAgY8i92uqO6+iEO84Pr+k3wLBkv2yu7G9vlQMY8qWJeY+rg
MNv/4+i8mlvnsSX6i1hFMIDkq3KWLGe/sGx/x8wkmMDw62dp3qZu1cz1sSVgo3f36ib199wWAxJ4
8sCY0pdO0mdyLDaktglEfWkq5b2UBCFpmAIDFX13ui/VIeL2/6Oahc0Mf+zm2Wjwa65auCDzxYlK
8w8v8njtowGMtEpguRB1EOZtquEXrMYBTsyhqSzvD+cCeznpmIm39DA6+gf6RWbvq4YXuup9TE8d
3EKmhyJPLl7jaHOtuYkNXkLE3wRG3uWUx95h9gPajxmt0NzSJgbjB+V9VVAoyWFAKbLYpCYbzmcb
xNo+B4LD+DCUv6OHDXqhmw7XiHYhOK9FVCIGdE4PErHM6+7aQAphoiw0Q3BSJ+4L/6bweXRNQHDc
2YEJWC6kvin1/ap/SjAH7tOZvf4Dm2ZeCLzHp6oWH2bNcnfVQWy8zsMIaYX2u3rhgm1Z15U5E8A3
7IMPVjDioJZ420s/FO8kULv0aepNFyQVyvfS4txl8WFYVw+ekEnWuZBIX5VxE7jOTykKarYskPY2
ykipIHw0PTQlNq11jjC+xyARwxYZi2CLUYxNvh2kxcdcaBKthU1J1HbQo5GdmsnGmqQFjLCuDvhd
6DCcxRo+Wq3YbIVznuGFnQkgVan1L6tJQcXFyI1UVeVjmvI/H3SYCz9DfQHKxvbUZreqMDflmbVI
hgp6WVlMX9IuGlC7M9kUkzjKwbHslwhxex0W/oNTpcUBrxSchqoIPiDG/AfdyAG8qocbDkO+/2k/
8yVAqXWvI8+mO6DgkQMPDXWDzTF664zO2WY+H8NsmGKaLYpEQM2PeQa4ys7PcAtwN01B90+5XXYo
lSlZtGaYM9dBkhWnwAqzXZun8q3yc+5AVtckjRrYwIuhJiOOP9CP0wV3grdOXIzIoIbCYFF3gQUm
jcjQNu7poMb7TVKumxuKv7Oh8s6JINUMRAO7miYew+4ELontzGs3dLhJwRdckiyW1xir28kXlAuh
R8Mr8hBJcVeq+qdn2uhXzG3Ti55twEdM4oHzXSGo2oy8/MOWo20hRlVcFkhjapvzETA3eNXDit9e
zd0xtTXMnVJlY7PurD4Z9yxwzXCl86IDNctkQfKF78YzX2sKFhGTM7XRXtybK8+pVfadTZrNgWuM
HLkpqC0QAgWlhC8JXigcNkpDI8MNLWNwHVS8AR3AL7YHy+siS48mKIaNEHz9Vjw+iumjNVVcLsXc
+s11NKJuOKGuEOWQZPQcPvsBXoZFFBJC3UbGg2zJSQCnSiGd2MvcGvAAIPMEGCdNJ9g6SucPai29
PlwvkXuBR/FYnHXxvyAiQwYtQE2Pyh9OEHoPsckD+rBC+kc2LMyptsUhUYAmC2g+45XdcyTbpanp
x0Mmo7+uLXDF6El6/OMFr8+HcoxBaZnERT1xGxWiR7CCcYanHIv0qrQi7xl+Frsz/t+n73VZcZxN
fqC+7JDF3hLSUcANQmpX3VuStfx5R8o41yNuXRJeBJAJopKQBRbie22/wWDpPMMfC1jG4dWIcPal
KtnGGSPPmjObpWTaxYEPIzfES+9xH/E1p4EZjmesB+iLMbCglVNazrQjDTToZVOOnb0llWoFWxuo
0b4KQLpg5Yi1Riyp6/REHqKut13GVmUtWkX/RCBbBRjFN9qr0z8aMXz65t8KQ+Hd6wiK3GsngyYL
RBAjcKr9ZOIkUaa5pTgG7ZBPEi2zCR3E9rGhTdEivFU28S9wDsDLpT+FXybgMgwmXZ3UqzTIc/ZN
dti8mNQQ/s5TCzKbJifueyy6FQ98zxGPn0373tscdaR9mDpzMnQN3NtDPbUJvYFU7tmbapppCOIp
4vBispjc+LrSQLcBLdnNKzywPBExJDMG0uer5xWkbgsin50O406Bsviz+MN+lQi9/rmcUmM8cmgS
iKYHziFixwPria83CVZvbHy2VAEFL0wEQWJQTSMfRAC8Ck8B7mZ4cyGbHD5PZrYfagBYS91OwacR
Woa19NJHSgjvaulCM50ai+VCqz4xlIJmY0IwNz1PCqpvLPwHlFk3QbdxcDVh8bT9qcJz0bc+ChPv
mXVXORCarBw41KL3c6gZurbi7NgijrhI3ZWb7NixGebetSSePR2qAoyh1r6/HlXHRwgCieyXLLUq
m01N0d7dFFP8Iy86mODxOPw4U2xsxGVa8rwVzPj+igUWJ04uBLU5EclGCXGaBtw1v4cqg0UTKmeP
XcWOnh0fM92V5XpLpYZbueOnK+yq3oD3tPptlvtWsMQuIl02sRiwqNvy2++Yi4QummzwHiIr1XrL
GKfx85jkVEGS2uvcbSSNwV0zhDf2awKQ33wRPLkMmNBeEhBX4PO5wnqSZ6ce4x8AJAbhQyaN5ne0
uwe8vBjLLYNg9Nx7RETWqhIkyWHRjP7JlCLxCyjUOofM4OpyWsuxgjDr4QBkHd89fKlMpPIPyjDr
OyYH1z9MhRX+jW6f0kKV28nvFAt1KqirRkqB68LffXbykMZQDJSYgALcPw17VNYqkMU+Md5VLcKt
BeWIcCsGtTgyDNgYXvKNZqA12qzCmRTW8lBEmLGIUKjpmf+b9xRgtVXr2cY7t4mRnq0lMfr2h9Xr
aKwYVWp31Rtx218RarOY3XlXgl0Vg8trssWHdLYiv3A/jJDYzn7KUgQep9FUusN/7LPlGKb9SQ9k
+lcTRpNyjcSk6mVEtu+OC4LXb9rA5DNi13nLJ3c6NrjyW8CxyrvBZqaMhraNuttPzKYctA3rFeBZ
GAnhTPbxjn6C9s/sq/THaBNm4aHFOLm3iBSLnctt/TIBq/wDTBTWt9IiGrtQVjFfeoaYa9Om7qWM
FAuIkMMUfM1QGU/RpCrjVLR1/h3TBf/P6SIqv2qFHRZhQFHEQOOns4LYLzHh6ZYKyaAx4Khp0/55
2AX5uhpJepGsEP+DZCR+caWXNz+asKOlxPu2+Jvg1JqRTWcYKyrYbw3tIqT9kgdKK/Bkz+LMzpjX
HCEYZsl92u9UtXTpktHZecprkObrrJR41JThsMxsFFCvZ2iZllo12At/lMm7nOoJU70Jasa8JXUY
Sbtp/Jb1TdqgAj1cZsGd5DX9XK5II8LhJFThjiS46YgHa9NbeVMcs0glf9CpIvgO66RBQ4GkNNsT
I13NT1iznNkkSsqLNFrnFSrmPaumF9CLtzxJx5sxTtQ1NKM44SaD7tPE0ZWE7HRp+EglwKzHbJ9j
vd1LS2OywJ8c71vdyg23TLbDfl0/0+kz3dnfz2teeBRTjp7xhWXRPFLLy/kM72atWlq6UlBTG+G3
03sku5ehdAacCmm6tGPbO46Ehc6ybHE6Z75xKP3RXJmt+znzQVmHbvdcg6hZlaD2cCPQZYd3p2Qd
i/LIBrYmNhN4sf4gmvDOit7/zQk3PRkdbALm+2QX452k6TkPvpQEjhQJzapMId4uwirPOVX7djMF
jvxywSi9G3H54FX1VnErhWee7SEOlxi4vkKfOhoAkZ7CpKpgPiCF1CcCTi8zN/6iIw8AT8toVsQz
UnoMx+S3MuHJTVNvHLIgAhGewmQw82a6YRekD6Mx6BDy/eaI87o4Zlmf/igVgftIi3TX0AJ4NXQ/
v0u+lCuesR6ZIHf+4sk+7bk/CTPEgEbfx4SsIkq++89TZneEovTAWzbhb8okv4r8uTkGtV+fLPJH
ROTbcodtq3/rMYWxym3ra1B7vK4b+JCG6XUvDeVwgDPImADTmfh3lT9p7AXLrimsVxOb5NJ3pbWH
um3vHN3Zb2EayX89qbZtY9EHhOlA3CzRZq+um9Yftuvzvrcq8sYWa2vVGPkzzWD1dq5NIgzkotcG
EBSp6nQrCvWPupVyDTgCES9HkjhqDQk8rPBCu9p2UHsxbW1DSAkEXpyWQh4KjbZTjh2WUQU3mI3x
bKWzTJzzWidvUIBy7NEMjrhI+k0vZLdzZTmcgbhC8e0lAgDtQwiJAeoieT78asgme3gHE1aXdPBZ
6oz+gnE5uHGzyAKS9eRdBsd/7smSnLOY9CuncjvsLdPIv3Hg3kmMqE+7J3kTxD3G2Grc08gUvlVZ
sDEQ0T5dnkPHqS2sbYUFgkgpai2JuXbHB+hGPvgjabmcRW70fwT/SKnyZsydsb1xxn165Zy8Z64z
rMDRIkVZUJ9KShXhMreo62hcb2MCqz4uyfsw/btby6k5F2AKkk+1W89ehvQl3XPAURp0RrEWVZDv
gAXXN9rGyH4Wg7efSQNtctHtideZ+ERUkK7o+ebR1rXu64QL5JM/xUDHgvGsCON9GhlPBuwS5Ykq
OHppHFw0YPt64kMl5c47ZcXOzgW+RqE3bELWyiWyTTTMv4WIJ8z+nd7MoiY4NfTvwjDxidMfK9m/
RrAQwqFHp+QhwPU2JNOzpAyc0lsjepdNHS4nSvpeMh1TATq7tfcD92S4ZjZ7x0XZzIQSSMGhyOMM
tX6itnVXEoKTWLiqS+H7R7b6mlXxFCsXkEArTzV4Ucw1BZ0Y/G9kpMRqc0kla/eexqV+5m8iF9zX
3laQc0dgdvV/pmMGH96A9TEe4dvXtVs46znCvh/BDYP0i01mVc6ReLGnmtiGaxHrtEqKTqm+vou0
wnedQo2bsW566StvELX1rWJc5XMODQ9rudrLCER5rvAnOBUKrMS3UIPDvOauyQK0reZPc6T5Ywyx
4LMetI4sZLu1M9BDKCwsFh589X0dBh+DC8a/4/V0TyI/+UP0xDGhEt7/ZlalGy+R3opMAekOZsIQ
zVV1P5aHaM3ES6MNyjydPbUH3K+yMRe1DKrEAQTRUBqFsD2oGWJvXR/8GKdNJgPefijfyyYM6l00
FP9/kJLC4E30nvSm/iDYx+zOwqo6cBrHX3kkrWPT6H+mxo8AEe0rcYR9rC3KsAeqADYhmLml6CwN
06OMLqywCH/abMlX+LNI8ufmtDG7rryQTgE4kTUsUtqYhGiVyrImHM1qDqBe/d2lqXNOfR1ehTum
mAKNeGn27hvw1+gNAYalMx63q2HkyeeAtPA0iobsYAEVvoY+eaZo4EpPgX3LtSe2zTQmN9sQ+t3K
sd92megeINIH3NVQ/rH202YbBGB6GQRtEl5AJC5EScj6yl4v0Xiql8ox8b9mQ72ugtBaQnLSG/Q2
eUv4TjAtxxQfYtImLzd77V8Wgv3C2DPYd7YzIdFxLXY1wuDKyrvwPuc+cIaIPjycieFZexQK85ym
Dwlrl/1N6osgzTi2jIlOz2lFHvMIVwXODb6M8Q14WhWtZMCLc+GarNq6yHZO05SoM3lFtvcislYz
ovvFiJQ4wZVsj+Po1wfSE/W71/CAlMKr1yjB01cTxU9gIfHORv4NIO6X6bgK5yli3aKwCOXIuLTu
IaCLTedO7dG2FLcP1+BGyt7eiym/P+LAa6qrYNJnlsHupBu2U8AvZPDyvl6qIeJl5rttsNB4vq4J
AcqDxtHw7LmdeO26RsKJN4EarkPynd2ilDyAjzJ15c5vS3PP6C5249TUNGPwvN/zZjIZOyrrU852
uM/I9h/qmadPwJph1YRSr3ssHAJjctM8TVXR7cpkHN/J6Jc7vyvBuPGL9WAKshB9Hms1n4OGJbo5
GvGxCSr7JbV8flq/TQNkJf7AD4RGfzWazFhmRvwyJtANKQoABSohJDnLwaQSQmuosiMRLYyufsQa
30GKBMbqxN91G1YrMYThhza7C8Aw98lKHuSywgvDo93K+JpXffFKTg3jaw6+NOhpnGVl21dfZYpI
w7bR/M0s6lTKrupXjVfnMKArmi2MPrxT4sFGEc7xD0XbzjcMl+3Aw5XcDoSNkxDFtC0hk/BQxBRd
oj329qqdKG47pC17qgdkf5WEiR2v2B9R1og5E8uiUU0Yr0PLSdhCF/PazLtoG44IoXxy0mWZCnvC
acmtEtbMBfYsq9841t3WHTvvrRt18oshGEcFEK+VS3T8byoFNgDOjGbRURC8TTz7vRuIsy6CyR2G
Ffny/I5MkkEId03j2SJ78tmXWuOJcI1wIys3vCSDjHF280xYU2f8Fnd1R0mGdG44mmCNcYJnTHxj
SS+AQ/oipVSDIA4bmo+Q6oQXnqS43+wuWuFH9DdN4RrbqBDiL0gHwB4PxDrs/5jZPHRfHArdif1Y
9TOG5QaeYDiBsKCDOynGjv5fWnlYG+Y9k+vQ3InHzE/g0wxe95OHspfnep/AGmKimzzaG5S/oksw
xLMZ9d+uXZibylblvUpkkHCDmPEqEoLFb+RTcFCFFeNBk8RwmAO5p9g6uNRp13x3XEWnIfe8V0JX
/WqKOpYCPLxdOp1sPgh1M2fBAjG5Woao19+Zoi+eVdR4EojJu4REyT2NaUVc2bZZfqasVX/JUcYb
Ki9Zs2Vmd2sV4AUri5NfZdn4noz+UZcVOkcMeullDkZqKifDeStxu66qrug3USC8h+FP+e8YOppX
VpPh3raL8G2q+0tVzd2hS8H2l9Tc/EQ8nNdkOzg2ptZaxGAyHmgUAVzHp/dZZEZ3wAzZ/vNa3W/4
74Uvhm/yHK5diuZ6aPoHqMruxuKtT57Lm04yFOO+jLi3h4K1DRKk1V0S5iJFXeyDv6WL/4ap7C8l
zL6z65IXw94JR90cCRXmRfrLxp/TPYmNBzlX19/9SG0sgt5hBI+1APIc/UPJyq48A9TnNGq6aGot
ytdZW2/E51AvWtoGl6pj2A6U118D+MbZIwteIg457rs2cNYRw/cGyhVceWhmtE0dcs+WfRHdLaXr
S1p3GiT9WBcLGteGJ6CJesNX1KRqwfAPKOtBt/VQmjAz/D/BVltzex/9SB86ICPtgV7EfkejTHFu
IH8u5MAzawEKt4M7lpcG524SfWZuTwUy0TO5yKMx3yRDxAsTSfjNbZuSyGzKnhYu6z0D1rmlZMyH
BWXSOEoMZMRuCulIE7AgJbKwgM39v22C7Iatab7FzEqCjMmBRzn+oSIOwx2+wmC803DSyxMWomxF
j0T4DFdDMOnDSKoA7z+ayJplDkZ600i7oQjCf1Sw+CkN0MJq/wO7mVxpxnKTLz35fNxG3gl8/19b
K+FHauzug3VItsr5ZeVLZ/blOnW5FiNk5ncflCmVoGNULQZDMup2GLmRlQZHoSkIezfKUm3HQLQ/
MZf6/3cn/heuQIfKdHCRHCH9eibWUuxno24S1NqApRX7GQofmW9Utm7YNz6FZIt+wwb6aVaHEgpe
4fxFbt8gyCCJnzh1AmPh8s0ho9LWe49Uvdw0o/cFqBS2fDXZ1AsBkdnZFOrxiYoZ29g1EIdTk2nM
wFRhS0rwx//ApShxThVxiSXIn+Y4047zPHSAIEiYxccgGet/cdO09zAoM0K4dfOZcCodyM/qVUQ1
6zOFH+k+IMZ7YoXabQ3JPJQULtbLyTHKtW91yS43m6ZYB45q7sKQ85tRRPI4ZYbrY8XDK4i5ocCP
h5Qi+ZO05gYyfLzqRjc52FZhr41x7O74QM19gBL9kdWptSY+l6Fsl617yVOjw8rJZCZvyjbqj4RF
JYcWEooKnYkAyayS3YjZ8rONoulHWvl8q/0uu05qdjkTaLLwa1NcRStphtZF+e5QoLrqQuc/iFYt
TRRATNuiNb6Ngbqb0dbJzoMe9rDpl5/taKHfP1opwiKWSFdu/JNh/GATUFpHSYXjYtB2QvqejBmE
jsgDYgaw4hbGOKYWgCLlPtLSBuBTpk8P5NZCxxRJyYFPdioUQA2CVS2zppX7NxLT3QsB5eZc8saj
wTPbqAHjbm/vAMHY2xmvA6KRM53pnNTfc5sa0CJm1P400IQscJiWZcsohcgYES0f/XJvcpmR8A/C
2D73CkuUifiPcTOXb5pXU7AAoPZODIL8tEG+5DMMlb6QUB6e5jjq9iVXW0n+lZoQR5Ijt6Fn4OkF
5MDSZfDXNDLMm76Q+TYJwuEVbEp3pOa6uItH4wjwDQeTK8tdNomgo9DUWhHcDRd3B6RmeF0puYC7
W5BPplSGlzcBa512G0pO3S8GqWHclH1HOyAOZHGUOLzFxjJYt0M0YJRuWORtewUXmTvb+UCqTYk8
J3oAAupP1Ew4ln+ahtEDnTEmLup7m/S/IDOEhTVMxvze8eKtmyrBxROMksqLR2pk4+CSei8ffPsn
BGch1wDhrAN+M3ZAyNCFS9Gf65rBOmFEemHXiPLUFR7bvySlnu2HmOLwhAIeiU1cDbVaDrhPxqMd
t7h4KamL0hvOG4vOJN43v7YUpr0schYpZ1z+bQVqOE4/USLxPFE/Gs8LAj5YmEU2usWyUPwyENxk
ftNJQ8hiSgubmFo2QEBEGMd0z/cYJzKlQjiTAx6H3TwaZ50/gDL4YjGYNdxsNC952XMWOI9GbJEU
7GYynca08MT4GIqgiZ4G3Eh3qEkYJOLMIPwMkWUNK5Ch37PtcqewdjCh5KXf4s8TDeu9ADDSvjDE
g5jpBfM/ogokhfy5Gw6NnsV8gF6pXkAvg4BrWFaDS6gek1jqidC/gXVl80tuitvSiaELgSXLDP7a
7kBiMuB1hfZVkl48WkRb+TIkXUFpkR91+U6DAQN4P4IBI/OpAL3BZDe3g2yJpKRl9jFgUmUsJCYn
F7iQaYHTlQqOc9LwV0lMawbLB+l3CXvPQjpje49nliewVwTsPLUTw/aoDWgW63HyzX9Za1B+QjrK
PCZAAHhrVgocJf9IsjVtMgmIeIXrHoah97wL2RzF914JqpNNwzOOk9BFuLakKItVAwxFHQsReDtK
2Mx6P2Q53DtvTMT3g2fK9Kub6s92B29TSMovFin7hRdWr+1M+QychE1NadpwTITp/Jm65+mSx746
g31wrrSyeO8RhzlPWHTQlzbkkbQWmI0p8gVPtnWLCnxNwO0Kq9P4BG9q7iHSaoRWq6j8DaZL4a+9
goXqCtkLRwbNRtuhzodnC7311+iyV4qBAbZEAVoq6XUyDA6sFD19AxM+YLrFhR1m1oStth6fYav4
R540DB4RT/N37PJUNlCIiqoGWD7M9DoAv7nILfudlyMCgy6MLZN28JY0499kp8mGthQee7JHW3eK
YFdjrGeUINiA+t3FT/guKFvFgRD/s3t8HXwZQFXLn4nj+h2M08ElOLoYKdeu7OFGh8OydMmEg4O7
EYu8+4+AYsAQSdL2XbYu3sVxaGgxh4S7LvBZrUQvCepBOaRgMbI2OKiItUqV7qy2zbGE+P3WogYR
EKWsL6RYvJvqkOCXIT1cwAqmYUOy5AOD43BGtzaPaaS8ven64sPpuvAAGY9OK98Iqs9Z1cE50w+v
VOi85D1W9t4Mkv8mHvZbk1Q1SVrgIhUGmzxgIe3ohZX5J3+0xrOAMbjMK1PCCiWzhqchfqlZmLkL
p8MfCvXwjrws3hAE/TN6XfUbhULf/OoxpIRnQEMgK3Fw+EcvF+rKBOA3j1Fq3nUPb37GVDpawn+K
4b0ChoKUUAgP60qjCoL0swOfIgdvBRb6vfCbv4C9+gaUTfg1AU76F9K+zctYOzcXjOEmC9W4sH1j
xzYM2bvwubBN4jinXgpCZrLl4knK6jUy3KeeEXMvoKlsGpohL2AcMtapHFHsuXZRRo6kDUJjU1qx
WqQI1s1qBCN/LrVbHHnMosH5d3aECd6KWh7hAofEX2MzZi4cnsWcT87CbyAW5wPVpSUnzhpFmZ0D
Tr0tBhOei+yu0Dt6HImT+9mQg1h0vf3ms1tas9YpFgTWr54KwosxWueUmNyiJ2W9AY3Er6rNu9U0
e3ozjYFaoQSX69mAHNq7rfoB2tdtsLN2m9Zx3uOJACQ17EvmeFCSAIuZYFksBKbnn/CWyoOrsR83
gtKsJsRvpxtyzpYOXvIIShzFwTBg5M9M4BGMoy7to4eRel/GsXxnJX50Z4ziokkSOpFdNNVefE6T
/s+qs3ML9aCttWUjoZr10Q6LdGt7co9b1VlJ363QdMJ4hzU5X0dNjIpYudOm6hrrhuTvH91kOoLR
Q2sOhxcQOg6z0LzWsTMd8Vl+xaL3CNo04LBxK2/wPH2DfWTBFtEgiY0TQAS1Xg97YUQUdLai4dab
aCk5Je+cEuaB/g1cPaPyVs3oCFJ19uTUCy8u60+B53gz1BU84HrANXykmNOTS+1xN/DNAMMqxGL0
sfCy4HG3UJCsp/rhbWB8ZZydcmfdalATw4OMx/GEi7qp5KXG+4kfXcQrkwZcZDWayZlWV4LcM254
q9sRD8OaNgi9iHX+r7D5+HT+bNwbpsCDbzbtDnzLsGz8pDqFdvcasHt8jhobqSnF4qhpGm1De6s8
e/wRpstzwvFPHgoYbzAgQUAtmg2UNTBaxPN2cI6ySwsnZqs640eDK15QpNVhEiZr4UvZ0o3BUbTz
ksb7oVAQl0iWDxXl8wRdTc3+KQ+EvmAgOxNRplncNdni+FNZrW1nCve5Z/DaZXJODnHZI2+ABNgO
nilYYRBiKMD+w4pMaxpr6SZwSNZSlp0KCg4N+UmOu+swpuUuBA1P9DzGsWMuoHl1REZFcqlhDG1A
SdWrOlDJayyMH/Ds/XDwEwNYJnnoP+zGJgAZSNVbPP8VvumEWm+jHN3N3FBXi3A6jHvmau7Byu6P
8GuMXer16kb7SvrJgx5/FBB/fpfobYmaqhvlD97JsvUmmH6dKnHQiBoSsQ+kGOiJmbRhRTBRSkvu
dYBukZp9dvNz210EvmXcuW4wrgzfNcabdDsiEH46dif/072Pd0ZE07TUadRae9a/POuTz751wqvk
VjqiK24wE/hnUg4n1/ZoV01LJ+pX7AzeS40RnxsWIFXHMyGh5acYc2zYVU9olM8+S7L/ktbDUR7U
2Yr/EBzMeFbTUcxl9J4YNFX7oeUtEeh8moDk92RP/+pB66c6prjcAT+CZJD/mH6I7yOeTz6dBdda
4fUyo+JUF3XDVtTKMC9n5rqgoGc54/zIF67rq8009P4ra2HSHHnPk7Kns2SbWg23Uu0FJ/+xZO8T
1Ef6lMBwRJEpjmpsuACVW7ywX6Fllq/16JgVpI44e+V5xYHExo3wGse/UyEHpC47JkCjsvCu7PCv
0WNsBAiXn7O5rw922VkbTPnVM2XcIdXWFDGtLJO6dhkRqSwY177wU9FP3nevjYEprih9SZtfBSFJ
ecxSJlvmOnjwRdg+30ehD2Y/vvt1tAk6LFYl4Zp5tEdI66ViC20V/0X2pBRtHgaMFY+REBX73CWp
95bNVLWMU3o1XcmVVTfuoRzCTd5kP62RA7WB6x8AD5QTf0xyZQSbov9aY+6PJHogLQ2c15Bc9MUJ
AhuZPmm2U9w9foY2ukorflx+0nZPhh+120gk7QtX6bQ2hwr0h1N0+Ycnpfw1R5H+4i+DoRIn1ZpW
uuov9MJbkhCGWfd999Ha81XLFHFhZIu17KgCiGfZ3qWltn0HqcRrfiK8yEtWVSmBqdHcDW6pTyzH
HpXRD4RLxrpmiPXaxcq45Ar5YYI7ACEd99XMQeMQxN5bzURmZOyiZNE21K71WhVrJNhy6/amvzba
/rHvUK9sgZ5lk4UkQqL2mJll9trO7GF6T1PZiUqq2RxW2Wtlc656RkS4FdbvrveDLQD2f2jdM/Dq
dp1DGTsmGf7KBJz3nq+Jc66MeDtOpL8GuwzTVYsIvmpKC4Z10g8Ga2D2Gq56bfDiLNibA1IRDL2j
WYDldGnqyZxHe3o+uxcydYPJsxkOdNh+BkrvAG8UbFeKCrhMcMtS4lheiAODMA9NXN6U7OnKS4+M
X9F2xDRx0uUHVh5s2P2LQTmZhCeiSB1hUUBFn6GZbCOv8hm8y1bTzQZT1ICxt+0H7IblkO3Mthab
2nOKJ01CcF0lD60wLeh8anOG4UJeIyfdCU3ahxxJ+41/v97ajjFt6Pdj+LY86Hx9r856ju8+PBpG
EhjOBQRn9ZDBLeFWP6SSk982a5/5Agl6OvPxpXQwvLNldX95ptPJYBOkvmcqb84W6UN6RZGOLb//
alyXsMtCi+QeDxYuahlED3WTISoDsQlPG6FGJuoUdPqKh/BJCUzPEz2FCyglP4EuqyPgmWrdTTHT
on70jGcsjo+Noep9J5NgNUYUEnslc1sS/UxFw+XojM4Go8ZLLMqrUg1XKdLoCHYj8nYD49C9Z5tJ
TmjEhcweKh8Sf9tqz3iOieYg3rKntjDoPr774s1+AOnSgDEHi2a+M9z4aWa9gxMnq1YR3uknI+xu
eQZXl6HCXKPVmGvl1+l/Jj4Cjhm+uJ0bZNsRAWvNCdLAaMKitKbY0qVz3uifkr7XFPuQ2lhg+k0j
nESPmr5EJh/KJbNCadejxrs+RhOrTIL/G83PqZTjbQiU8NKLAO/yAAa3vWoSp9w1aQyzKYQqI/2/
sI1PDl5qWKfsZzL/m+eA3M/wRrbWYLtnj6N9a6Rkfkc+F2XI5QizRKzx7PKkRSztho0K/eHFd6Nq
lbh++kLbwaFmm3O2vdr+R66GVV2fhh824dwHXA/qm+r9NTu1t8g3e3K1PIp8sjfTiFunmlHUg2Ea
WH/hBl6Zj6FjZYRMrUTxKc+OgugAdPgSGM6Ayg79JbMpRzjMJKHPOcT8gzcDS+STq7yvoPDae2PY
FwW/gBUX0vwexz/+xDjokmPsw+C3GDgWeNrT65yxN+l7egRSvh2vYVMky1GJ9mNmRYf8QeU2HJrk
kPRRJPeFi0u1Qg9hlkcTAxgNmg9aD89NK4//R9GZLcmJa1H0i4gAgRC85jzUPLteCLddZgaJQQxf
3ytfum9E37bdWYnQ2Wfvtf0jyapqx7PWHkEbdCRaIPkFlMsBZFaYlbl30pEEdpQPZZ6dR6h1fDKy
cr64hYK/Jzq2xSb5cONEsokV9UXjiSRdsvBqvAo116/BnA7v1kjz0Jape+izdXrz4P+j3yEXXfoQ
nULWy7WyVOi0ouZuSCPwP7DVMdfJ6ZapUlQ57bAFgryq03ysDjQr6Qeje/8w9t7vMm4uMhqmP5YZ
7koA0OPsJfwys+3y+38ZH3R1LOsgxFdoDCSAvFiT4Uifw8R2NUmesG+P19SmYfFSIdYEh0miBp1D
r+fY14zMBDxRITaZ7nuP1UyrPgzpiX1AQfSTyhGknXXA6Y3hsQl4B5T9s1LRH2/MM7Sqzj9WELT2
c7jgSS5FLCExh/M+YPQ6rFwkjm3Ec1OPCmbSTIgope0H/7q57evcGfwNqVsM60G5/rVDbn4vtfq7
NH14rGxX7tl/ZyU+wppnGbXttAKLeS5k7XxHuk0ojbol1rEPEzGNBA288I0Ng2k1bsDJ/oXWS75S
8La58dS2JZ2bRwanYWsG6mP4w8O/yG5zPbN8e+nbVJOmJ0oepLSyYaEexHaNi7NscsxyprNYYhdz
x5EJfQC3OFZsd1w++1G0IIVIUXFYUmxZvY0+q8qLmqYC20bX8DWFZ4VZccjYCSIw0AiT84kcMOyE
6ggroD9XDRahbYiB7IhzrWOtmdfdBz0wRHuhyATyUsM6aKcHhT2Lna8z2ux2H8M4YYm8tjlGPHe8
W7Evg1oJldyvdfKL2/b6EpCjdjfE0sUJicqeR4AKb4SWFTgRTIEfRlnI/FgR6xfXTtOxzGIslwP/
uuv26T+Ik+M+pvzyQgj+m+RGc1oxsN/MdHTA1rcmdmeBH3qAmWKava/a4IXb+3AtZ1hjmK8Q8GLr
pY9J2IX7POZ7idUdg4ae0GpF8UUzTH/JLAt8BtwOUKliHUasfry4EEZZpqNDsvhnvcCmPMOGSAEf
/RissP8jQ0ZW1s8isQEuRUEWbY0RKRbENRSTDZpDeWTx4Bf7ysO4gZk/895FaT+KpUGGXBaoNgT9
fUx70vzrsxqwJ1hSVHexn9TyWNKsuxkzbEY8P7u5GaMHvDbhfYdTF2wxWEYTsPhdJC1KvA/+5v7o
HZJ6ydiATR+p8IG3QpaDHcMMdzbrOmIB0WWCKmfVdKGNft3kq61ufB/Pu45upu57LsInoiE+bTyw
SAHUU55jQH5hXpsus5eT02IZtK+oYl/9dkVFOLmGLUATZ9lpiAxp6xymd1D18a5Dh8Fmysn7ze0K
M3syBO9JJj75VG8KON7cTeoUd2ui1s8mgFjY9hOWtk5QoLnmzZNXunYf2QU/dWFeaB5laZ8Acr51
XHj/UvQP6H+3dQ76nkcwHvYEv8ltwYBozpsKjCcUFsXpy7dn6XZRh4VHuy03pYKGMjreYvr4THOl
d2SkhjKJWCz15b643UQT+ISUYcwRSgs2+x3J2E3rF9wi44meKNjgj7pQ/5Y1+hkI8hOogUUyOLRc
4VCqcFsOASbQlUL2/SCVYHaSeD8hEkLfzIv2IKLm5pxZG37BVb6TQaO4PVRh/osXyTMhTxoVPELs
4Mm58FPjtbLHoG86eVmggJBYWIb5gfeveZ5JZi5nIuc+USr+tuAxWDg10AAHSmKCp0J4lwHn6wlR
tT4VxUApiKCWjw1evGM/0LLm9LDqirS4ztgzXqJ43mWQhI/K9Vl/V+5/a+ocrenorazgKpqpQt/K
RPy8TDQpqJmakWrR50jTPoUJzPlKi9YH8ti5CU9TuMIKNN5304+ZPtAnCihkgg3ahHI4cgntLvWK
1YsyTP0YdYs4dfl0ozhQDxcLS4zAj9nxFMWV7VT8VMTOy+SLdhfAvcUf66DhVpOYqfwx2Ny7qQcY
M9ChGd0Aq8u3pmkNyD6V9dehhq9yi0RE361v5bKfi2Wtry6U81eFVNteMAugV9iuP9u6ncCXdlHy
YAce20cWum21n9sS0kO21ON0kOFKLHbH3q/pid3U4jp3t8PbWPM6l/NLIVy5E8b+R6ho1tvF4rZE
H+Lmp1eaH8GcE4rtUig7eKRSjGwS9MBuZjI81XnMD3B25d95iPUlQafD1oj010XVu+OQPEwXdHQX
O1gGLH3TEXhPieTObLTnOUWbrDD3lG6J3cKtoBElxIFRazqvukYrja5yqaa7MqjgvHkqNdtKRzVv
22JyxRazAvXbyyQ+ONbbH24B66dmuJz33armV7RW+xqs8MYLYtgnD0XyUjnux42JvadQot+nrojf
sD8PRH2yCXO4P/SsKF19CV0TnblMgLwoZ7XHbo5gJ6hleYKosFRkkk1BHjpN7iRvpfLR8a03XdkB
LxdYKiHWrUgPJ2wWU8yqAwNTwZx6UnZK7j1vhSM9qPJrqavwt6Y+6CVYK/+DLle2Aqa20UYAg+Yp
spQFbVlWpWREEpqvaySBGMABeEkddO8Fv/CnqVp9GG2wR62gH3ElqHvgjyi4lllJCJpTPFkvoUry
lxz82v0UgS1DE4OdBRSymA/5MhNYqSdZbhdl+79Ry1a+Vwb5iZPqEIUM2S3fXafOl2wPbgLUuyGP
dgJaZ/gOMuLRVIujmSLZIt+Bi8IKnUfLziUmcsrrWD20a/kLnni6X4kTE41T5pKF3UPdr28tcCph
WRmBYaKQxlm7nyFFPYxVixc7nOB7h4Fiv1hXziYMawMSIpPj7fd6S5q8+lNjBdnHZjT4sPJ4JcTq
lIexS4KTC9EZz2bVfq5hcQzy+inM8n9lyCFAAJ809lAQTmANwftLT+ZWhCEVpeC5U2zTDEpSMQLa
TSGA7pseAY2AX19/2CEs2ZUB3EaH5YDt8DIdHMb+s2v98n61pO171GeUGxZFOolPPRayU8mUoEi4
La8j/e5PFCW3fGkWVODR2EMeD/KKfMPorOrx2JJmvktBCv3kMAXAB4N5Qk6OGT8q0T6qZYlPbKUF
DixC6Ots1KFX0Y+i4vtK7Q9XDpjqR44cmKyy4EPgMT6omTsCjtaVFFjYfmk2CRHFoyuFM4OVW9mN
3qmNxLsXz1VLpqUyv2bsOeR3YUdlhypX4hln+TO1Df6lv+ESEhE9RNqRD3gE2WayWKaZ1ivB1GfJ
c8aWckeVpVA7nPQD3R+jH++hPy7vZhy8/9IQE7CIyEeNRes96tHjfmPgOLunJu7Cneza+rGOi3nn
k2x6AWEo48PCP242ve9byNiYnK4sOfWHL5XpDtZm02tpK/GwFglfVz8vTiQjqwt3QTYkoSAgDq7y
tlfncsvqiEbnycGTEJpqsC+Tkvr30KXBL+4xw6VMF+eorVdc42wYQvQOJziC1fL+IOJnP+7iYXhH
JK+WvrlXc3U/BfaxZZFElD4mMj5VefWyNmN5oMHj1q5C6GkbT6EPfdehrpp6qnPNxMtfggbQNN3R
bBWo4mjNT56DAxIdxzpCLC884vJsCRvknM3aNGBhJ++lMzO/CM8sfe3Vl1f05jAxrRRb16XdXgYq
OUxzQ3EYnR2wOWK6DNl8njMD/RP1ql0XWEYspE/N7KUJkY7Bd84OpzkZsNZML70wzowG4yV3xjRi
PBUDP4vXFXARIM4yZDIOQExT0UNNpoW1saNtFIdKoti4B9BkjhJc5NHrE2y7q+RcMBPEMkkNGaq4
JRlKT3Do/cnYWj4CSKDeW/NR/MvUWp3HalIOux2Ou8alEWQ/kYR7jHCRXeFTxQe+gdXTUsu/ltTf
PvGgH2cScCGpgm4z8bQVE+HpJbR0qIOfqH5iSZiMzAhr+AEN6V+hUwTxwaumYy+dk5B1RXyvefaZ
LXDCE2lA0KGiIdUZnhfgYKwEPJYgXuiIo68NHwrJqVfg6mR2aQlCHdUz8CkWmwcse4A05gaHd2jD
+X4lr4sWZGSCgIvkhykRxdSPYthYTdie0pb1Ab5pP17f5NBn4b7rVP9ttVtXtDPUS75LZkywWxJx
PHSYI0b7AUwJs03Qju6dojf7EhelE7/SvxbulWcAsDbgU/Y0RIt/HmHg5zBIE7uZsS7tLMaCr6yH
srcps8C/N8ky0LWG6ftQxPmaHHG4Nx0aUG1vLYNs6ct5QD+ZRT/krwyAs78HhImc3Zio3vXOXHzJ
TJQHnyki/GYen8azY/VUHAK3p3wUnhYOtZBT+yqW3Dy3HXgqEFyJ+oZ4r+qnDAEzeO1lwF4JyEOb
PVteBu0+TmLdPILXlox9NEeP+mIJf84HKwtH3kS07K7PKW/UU174r+w1ibb4bhr1G0gotA5umUPS
Q54QWEamoToaYUxQCa3X6o6cqE99deNE3PFnudgJMYNKXzZVCBjnOlAligeuSOy9rYWildPCHOnA
EsmumME2Sq9zd11C4VWvM+gW5zjkanKTjWdNix6CS4tmrPV3V9NHdw2AF/0moioOVSPT9RHfZdHt
u6RPl3euagT40dnz5k8U9PKZS1+tjlUQJUQbRwSkvpb9g1O5pUe3ezmFX+SaW/3oa0+uR9YBuFs2
q4c2uF0yWCt6g9g0wjosgX0mTkIYLBcBb7yW3i+9deagmnn8BqRqxi2XuxeG3Zg+89Y/E1WUv4Og
oMgcG5vc8Yqg6TUpvPEhZ5FY3aUAanHSYAw7r0VXBw9eC4D3nnaE5oXhr5QnBqCJY7ecyQ0nHmDR
TZbxZ9+UEdwqyDEjtMeJ18WCnMDbMo7riqc1EBQLjKrV3o5TJ//ieuhToujq+n3pytF8grRTBT9B
7PFgCeyxSwoW74a62eRCa5jrnetsSOc7Fu2LpOGXcWsLTj/7bOuuVbspGYmwWD74uzqXwXTBc9b0
sOP86IQFrBcfxHtpMQ0oCz2G3I3/FHRyfLAMMfJPPgf53SQHbqiSHeoeeEt5gWEzPFaT15zcW5ik
demf2jgaiR1BI7xZ+4HkfKColVRPNipNvlturNNziPuYM4w+ab92Aspb2r65jbv1SIYp7JN8+jcT
eG53jcyUOWDAmYf/KsfG6X8FvebTxRWTKO+qQY1nG6KY0h3UVbcs+tThSXbS5KJxHLkvWLPnFwKJ
4P+63tKIHdYrGHuqbzKmnwfMSwL7W85xMfs59q9VBmN+15CBKx7cWtDYmC6iuPhYxjV0mixgS8as
bCsERFobTo1bYPT1TFrikvHTl9TGdBHIqiNvP9YVvZBDsdw5mLgHFs4y/3TWBqU9aOhDfjR+4mCA
9YFohfR7q/tiXqPPccQ7vHFmauITJPgPo7XcNXPivkStbs4yD4ffqYhDBd9ESA9zJbmwa7zClc1z
iLZQ7xbbjHS4onigFxdtfkQUo5BvsqmbHYVPwIGDnbgBJw5dLkOX4NnGz9x++2E6+twUCkvob2ZX
f9apO/2hEmr8WksUzYzIWzXOe1jh6KFdCvfmZrvwEn1OeiOwdFX9iiPcNW57KcBygFQt0xGxjWqX
embtAkUaZBBReX8V63/eKIfpg76JtD8Uc1vcbB5ZTmuHmfOoOHaTG9x3jOLri+9hgyshHKlmQ+5G
kvuniYcyI6vNU7bQvoCPjJq+jTc6dP00DSLQ3rKrRYNF2x+uvTOMAYJmqqIHFw5/AlgiF79ahhnY
ivDsvGNGl9bFoGnPeEyF8w5UDRYB9RxjBOH1RlDOtp3HupoxrhdgYy9RiUnfICEVVGhXRYqtwE3a
W52118DB86EEY1Pg1T0PnXkrDXwFeTP4fuix8+N/lnDw+EjetIUgLy1hF4flJlaYB2/pXeTM1lWV
vES0tx7aBNfkthuhV93l0ygsLQp+k511xA3hNLLn3+NYHN79LgeMptOW4fVmtDmrAGIDjl0AP1RX
qT9c//s9bW+YilJwmk+xYHV51R7WvZchvDkMh6UVkEg7Vpt4++j+eRi9KiJznZMApx+LcilaA+Za
+C3pOxvjXq4ac7bezRjo3pw0h0LH2T86MbzoAbkyrB+wWwa4QGMvMoSBPZR3pMhCKsJcxcSrR2Xu
4B18dp7q0Y/TjM0K64qdv0JX3XFJLZe7eeAF++S2HaoXRiNzVfXUfpDvmLkqNU7/WbnC7Mu81t4X
97b6nHM7YfMs0xDoC2bt/l0TLc9YvPjhzu3YSB5FmkDhCrPoXNRd8lcB50dDH/UVMHZyoaZ5ulO5
V0PK4U8Q0GHc+x32zoHYR8F+DzaoxE7QM4ix7OJvQPH8rIIXoCz2eEbH7ICZvp93QSYBA+KhCrCP
+QELWNKK2T71CApfmzrObh0Xw7hG1zAQMLimkezKwHeB8Fsrx+rYQx9gSdQo9z1qbqhmIFhIi2LN
633JlrLexmYBkE/ikjmu4lTZFtaoin66zt9m3J0/8lHFj/xnstfDuTvebKZL9qhYbomNGP0hO3Lx
7jERU7MhHzt8umcnYjFL0HzGcwjkFK9baqTLysJfPnwvCD9EZr3ncixZm0+3DoL7qPO74d6l3aS5
H5Bgkj81Gz5ODqE4T+HRUWV1YsREcURropcpVXnl5LuYGGVa8Zrg+3typtznlYMp5S2da3Wn1DA5
xYa6Gqe6X1xmHuhUGSj4mXNfb/raUV/cTD3n2XVZk365EEWPWJ2qj5FA3fQHUy7kM97nfvalBq4n
R3zsenppiiWj8GVWeHnCRS+7TlP/Qc+tCsjoqPbZB027kKxmdt2FdObwY2uJV1zXurD4v26U1s/R
6Yo9Q7F+4TuR2DuSeuKNthE6x12GhnPOdlWx05bpF7GpYdnhkIt5tPiRJ9cEjiRJTm32YEBGqpAm
R239fm4CtkxCZuGDtAxIFzCMtVw34FQW/FAmzW8ACZ/s/zvCRopd20ePX5KYAKyb1X9DL+KXFZgg
9+yzJh/PF1foU7KI+AzsfmDFz2Oyd5fRpFd/Zp7elvjs68fChLAfkLK4+1aTCcEdDoI1nnBLOB+t
CnsHh5eUikxdJMjgqh5PLvTLONzT3BDO3zF40gfH46cndijH08fYDI7f7Oi66r+gY9MSbjQXEZ9M
RX9NB6MuCARZscUJcRMLwoAvXFAEHYlED+ZktPGiQORnGYRefG6KXJVb4fDG2KDBYkfMVDjtiXet
d0jA61fae253HBcTIr10C/U/40p5Fdm0aYt5L7hrAObB+ZNZU+xKmkJXArxJ73zg9kzOkeoUhyHY
Kv+lFY2Zn3Pynm2xraATkRMrTRrJgzd4unuus2VidQEJlRCBxILKl8BYMCS+PaPH2jsMWYKS5AW2
iCPlnYL/Eu+wKksIFUXbe98GmHy4GztuzdsCNsmCXcXL4woElWqmixffdlRtJqQ2uxa6SMwYrSa5
jLti4jvJ9oum6YrebR4H5q8DocB0l86j/K8gdX8f8S09UcWtBqr81nZ+CRwXPdhMCejzgQQKCOGq
CIjXdwjyoR/P3U4ucOWqzuCpxVU9/ceSKMv+RJqG4XtS0hXBU0Ef4EEgZCa4MIu+HJ6zYGSZ7g9R
Ux1h/3jyBY0cXv2k/OaYmcRBEzBJTTSO0jptCcufQpd06b5oi/aKgaDaW+OqUzpjO93VLfrTOEuY
U6rJ1I05mfIxr9091cPcpVM59f0eY51/QEqf8FyxCTRwcYqxfhvmqCzvSjeaWgzuq/s3zoz3F6EG
om/r+LHHvw588NvwwMjd2gGySecBQPgmD2tWy0MVvJPkDHZEJkZwYo1zdQk8c6lDG2ydna4ir4EJ
V1WQQBKQC/h4RJP8Xud+2lsoHWMAjixdIXcOjSMuJg3cW06R/fZIHO09rBwd/nb7rLvHEL4CXdLt
EXsCfSeskQof388yHqCMzSz72xHdBlpgkPF5FGLcgxjsmGp0PxykwaKOahlNL9zgivYddhuuA96y
VpEdHLjVaLnwFjA2CqNtE+DdXNoZXzmM/3Tb0peJh1k7S/lMVfQaHe3IVe3cD0EiT1GbevqtuiWL
kN5ByPye7TLDBGwgTRU357TWlxVEGXFw5YqRmWBN82dc4V3wDEBrIg8W2IhhPM4cWDVUWOtpusBV
zDr6+BquPW+w45ijdiK8gTDb2JF7GeYju9aVt2PPWKOL7CkaqB3cjBYvYYnFumzJzbmsoCgHoYSy
32s1DT9BdduDF8gzl05FcG4YSSm6EoN5b/M0PubS880hFV4WYeSSwVs99/HrMJbDm9fF2c8MVMH9
lsAZbnD3yPuL7XDCZV5K+8SlPQNJks0YEkppJl7kGXifjl+lj1uEU2dIszdnXJxfiETLS5wWQUK1
RATfFmwf5K+7BJ7cc8Kw/mPcGLGIsyB8A4dN/1FVTuPyWIFCv9fxwH880ASfjtXA1uk+0CYQtJ8a
qN1jmLXdvvYIhm4Dr1quTsF6kd5Rz77NWZf9jnFgeQc87ln9FGmXQEkSk8raox1zqrkz94gU9/Eb
eEpHXpYgGmfuPRVgbrhWsm1AfZdUorD5YFfnjnF8T9ZFa6pcDTVBdYhUdq2x4FaUqVKsSeokC7z9
SFPHVWgW0ADcaNVml8d7b48dMJmfCAXFXyRBqndW0pPdd2yvz6oOofoDBHpZBauXCyNpWF9SNp//
ZW5nPyLXRvckGpwFCSNaaL8WQELj1JuGb3oszaSvq0ETajFR8a56yC2bP/qBHW1/UWuDQQUTz8rK
DMxgQuQydjGPgbldEcg41iGcRxhigtYx15m+3HbLYp5VUDb2E3tBqqko8JVR2EEbxp83P1gvto/W
DOpB5G39GsIyTB6duaSRViR2pidZqyH2do2ne+59iY7bvYB6mQHXN/kpH7X8yALa6c4s6VX/1nN7
IXReiczbxbTGKEZpDT13Qw5yAjHjAOf3KBM8JV2Q/yczz7zLoANwU1j3T1VU8QUbjPk35O5wV+RR
cNVVmlZHEVsqkWLCEch1U53/rZf+hm3119RSseOEDyphufXQZ0kWMxtyJb4u0u3EHZ7n3px8y38x
ji3IRnHWENJq5yg30JBF6H8HdnDOhOz76YNMWuwiuzOQAnHvSB3/tBEv/8c6qNF62UqsbfxXBn1Q
3FfTWKAwCfBeVAfwSsFol/gz7xePd/+uoTDY28SAx07Wrrm9Z+zATU0+nhFhLgoQhlSX6pWq4JWb
5jkMCzyx06Jjms0Xm750BM3G/bh4JSjxNfP9R8wuzogllSv/ZaYkg99jKQjLJH40PVheD89Crcsj
hcGhfqJhqPrVNCmS6hSnIcSHXOcE0G4/OwC1OJUaksy7nviL8xIIgBfNyUupCgHtvnSxfnaCGAyy
U0jAeRvLmSPaWxFwAX5eZjFID5XIFleqmpgSNixOJwd6h5YzbC/+vJcE0imFDVKPtf102Ahm/lYO
mngYclQ+pye0ZnDRwl9vm9+AWtM713D6YGFEkENGWrKPFKicJl3ert2OvToZcKSUWb0HlKBBBMc6
UtwFca+GHF4g0Bm94ZUVd3eSldNnmID//x5gRFQoJW3KkF8vFKMWMB3ARsxBS8YZADyTpZQl/SAD
cUzvs667AWzLYrPUvWeMHLDuVaQ1WaL7bVCSkSA4glUuClYHNZ5kLHsrtKEz992ZD69vw1PtNSQ1
0m52qMCL5NkPVdmDD+FWAg0W8En4eosd6x9QufUxnaQ++oaR+0fJ25dkpJLjrGLBZtLqvP4zF74o
GO69dWcpN1c7mrv5Nk6jQWjNRgrX/lsnEqynqmX8eMgdpdtHIZzRHDqsYenWs01QnZ1+dkPi10Ej
78u0xDBJ/x7BE1p6TjPff7CY/hS6PwGW/OpIko1js2C0v4ZTCkU3LyvzCLaaV3lS6vm+ZWPgxptu
SE34VhG4DF5JL9RVusH85OyxtmEj1JCsMPzF0yebQFgMeexik0cxSvFyaEfcV1y93z3uIPXzWjT5
a4hiy+yGbvyHag6udlGQds9e3xXtjm6F6NrwXP8i7rjCTCa/u2cgQyxil+nN5UYyesyQ1Ns6vOZt
yj+Acg9bkNaFCFBn73T6gfVaDvs0W30TfoSeWk6gCQLSsg21hIh5/mZUBYTfpjTn3tel89gzA2Hh
8Hw5P7acp2xEWSnU627uVRrieon9txwUII6oPG6qS87ufBtjTB71bqoL0d3jps3rX02Ge/Y7CEM7
UluI6X0bJv0wbcvcdZKnzCEgxGY94IZAHrYV4VcL0kM5mxT+mPgkBMSSDFNXXJ4xH+l7MQdAbdg1
yN8xnXAJkSS6jqn14TQKj86KeFEz5SDe3zteUiY/cYtuBauMQxms7rfmJxqeeKy6geaC2vXMvd/T
ffxhJQL4oRiF9ghhukrtWUeRnEuHad2TQqBtWLGHAvcyBKu6ixbIB+ApVnXf0KqiWAMtSB/xvkLP
YX8D2PINvSvDv8YelEtIRCSfJJTPENUSglDleCkiLENnDrQ1fKHA26TAUZyk586s2SNWFPX5j9Xq
N1udeFgauTBmTfTeo1IxqetazX+Rz7GxMnkuuBaQG3WJDEkJ1mx//Jj/wq0X5GgU8Tz2b2WVNcG2
Rg36WjiLWYc6YVZzA1vmt57L9VO1WocnKzOfcHSCk9HeuN4ZaRlLc3CvhxDsQvoeeO6MmLF6ZfiX
GSMgvMZ6S7xWmYk+Vyoi0vQgxArEY+b0B/uhvBIuVpAUb03bpsnjSEb/QGUGwPS+XF9HD/rerZXZ
puN7MFdeto/tAjuVkjLTDM+8dgoMz3XdtJ/CpDyepGCyXxwx0Ve/TArBpVopn6V5PHjyHBm7hBGM
tShq1Yphog6C54X5wD0PVGN8t9EY5Z8YjCCYzbIr6YyOEv/FtokgJ2RKRqJsCr4E1fQXcshkarmv
yvRtgNcVPVNHyrTFkxP/Xuxsj7HvEVKedX3tvJvlHpG0+uQCu5yQf0lRRn447KlnBpUI2H+ABIZt
YLmv5dJ9EpTI59cyqqal27RW8P+8KaSIjlxt/wzssm/O/ZCeKxg1kJNGTbCuqTu1X5mYCbykzILb
dYj9/CcBOHk3L3QzXrwibtnVlUOoj2JcuYBC5dPHLB8LljKdge8iuLQSo2XrRXPvHAbbZuqjBwqh
uXKTAGGzW7Z19IuVs34eA2EhbMja9nbPx++4d02spu6XB9/HeZ8IiTvblcTXVnNIB2dPeR38r1Y5
lj4G32Z/FffT6txZeBGCPgx1h5htu5NPQNnugMzVeKPivtSPURxNpOGYtBz5D/1JEux2IC3olwrP
dLv3lCKPCBYTQjbx4on1qnSq9Ml3oLu5+UzXw95ZexO9pEVHpJQ7TLJlxQn4A3QX2KqczJyz58+n
9L2e3Bb/ccTJTJ8CdMI2YazfJauM/qyslChn5il4T8Fu4LMo4S6Tp3CoyuRWKKptv9ZTvGMmEv5/
cUOAdws7mS0x3B934TKMN59dEwQD4EIkAZELWJG9+oNDTYVhCwr3MWRNOYl6L8F0jeyUFHMAMC48
JyK7MWqVOxBFQdlND5NPSNsCMPW3Ptu4NzzybnkouJ3cNuTuEv1uAM6CtcqEaQ4spRMCrJS/Xuap
bd7roetYeBTjkuKsvGE7mW5x9B0yLqgkfEegKiD10up75ASbH6MyFuXVK8Z86A/uopXzqcFuqV96
jOEyDinvnQvULdx5xuN/I+Ihn75BOKi4GHN5fhTz6JbrJvCxcf24bljwuXGwxACJ4bKtNF+aIQLE
wo/4SwPAXj9JC4QpJJ2izsbXlp7AV3a3c0qFQpT+A7A9ls/GRAF4b5wKx8rhM+RWrPA7Ud8p428a
njw6CPx8+b0MNBpnVcqWlViov4mWFA+2clNGCBYUN25Smhb3ekzbnyqJYgQAT/JX4gbhIYwsWtNt
/b1csHfL7rPL5+SHFV7U/p54UVATia+b65GTdN1bA5oBcjwa4EsiDdJACSCI94eI1t+lk2lCcVzs
CPbRQk5njebQkSO21PtwdqdTtbr62mVTMrxh9pn9lxskoDsOYgBZsNOjWWgTGRPOkSAjMf9KXVGd
vbJiEvyebknm1HdoqzlSVhH+0EzEIFpEQ8ZqqRgPJo7UowlseRaqNHvjFe5/ilgfWXqc+djR6LUx
d+EqaKZCFsOgtfJIHsgpuC4mqnw9em3DEDTybESz7yDvBAmSCoITQA1Xrs+dg81qF9Ry+mrSeo6P
JVWVC+ymJKYzwS9QI7Yg2RvKBzk8wDNA8U/EvH41LMEwinrNWizEIHi3b9lJhTf4JTeMjRUy0m8s
6KL1nBIALRl6lgjkGueiOWXSdqyOFn3POrLpiOTIxv8zZqF+j5zRCwD3LJNcMd44/ItDs9insOnG
O0w86kRjjkN2pxQYLpoJFMESq/gm+TcgXuPGrp/+oHMgVu48fbrkoSUKE/FQ19Z8hXM+1+DEZSml
hrCJX1kw8RnXTlQ4HGSxJN7ZUH5OJrcuvPY1jXVNxR5HHFbJseV+ncBGueBARV1MIWRXe65bKz6M
OND+tsSF2xzbkS1oigc5gI+Ov/BUh7Msee5tJ3/hrmyLAbWhMOgC64px0j8FxA34HYrFzaJnHLD5
/drXVQvYILLOk12jiQozE4fu42y8wb1wlhEiZArrvju6b55K19HJh9KjI2/ICdGds0SIgyGIcaFU
d3kIgoWdrJOH9wujVf9lQ3awW5Q48ReVpc3faWNY342juLUxC6ptG/GxPtOHmL/3bHG2+GC1/Mvu
YdUX2jLjaz3Sq7OFeRqzhyooIiJK/D9nZ9YjN3Jl4b9i+HmIIRlcBzPzkHuyVCWpVJJaeiFkSc19
3/nr5wv5pZKZSKLGbtiA1e3ICN64cZdzz0HZ4AHK/eQD7wKjSaQEQtlHduXSvY4z5hoPTWbPjLAM
EVd09Coo8yABNqj8onWHCira0ZqFuANUqO4Qb7WU6EEH6NIzQXlKWtWy413A/STUzczO/hQPZJa7
ppsHsnsxKR9KZ1KYM85kQfvdDJw8OA4xkzrIKLlm/12DdjF5mZoxCaCgUxvKEubgMibDoBXV5ACu
qfGg9KhrqluBnEGmbDqjpA9TOWiBQGZf6v7UPzMMEMzV37Zadz1ji305MUbJWFQ7UrcswK3l066v
wrxVP8GXG6P47Su09puXSECV96V1in58BKijlMEvl2A79g/0z7hgYL5H4PJHpwNvjMJaxkjvE7ne
jAyHYatukEJkARHECT0RRh/MiezziZq+M++6Qi++R7VW9MfYUCoaSFoljO4Y85B1jOuNDAjlWzsD
wilOtIvC8FvYG3is04Ra6FQetBx8nNn+/c9//Of//vfP8b+C38WHIp2QMvoH9FcfAIG0zf/8U9P+
+Q/cuvyfz7/+55+kIbBUmjaMLkRtrkmFiz//+eM5QuONv/s/RBJkLdNX5Q/faqtqR+YzHFM11b5a
OvkE037MaTM4jwx3o7oT2Uvt0LkfE/paEfCk+7/Gvvwxuk2RG60Il5lOy5Ud1MsfQ/dusgbe/W+J
Btxjpxml+5fGTEu71/tsyo4IqTAOXCUhIcUbV2Yo3zR11RaWgLVfGJcr6wY9ICVUhq/EismxziZk
WSzAcbZtBe8Yjvyp+RBc3V9Tcy+3KyCcE45mUDOHA85Gzv1yUWBTlJJs8N4IgAzNoyM6C+LI1jCz
Df1YWk+bgWuDay4bU/tg6sydQoRvuimvs7ApC5V0U3fovBbqyaJMG1PEqjuCAiQ1JT5RQeA6GeOy
/zRone94QUZi8+7+JhafTKiugFLYMV1DN0Bauc7lHnQOaDaDXn2ebK0HnlSO32HP6/eNrkLVJQhq
/pp0PTjfX1X+v76yWqHpqobAClVMDMXUDGnVr6y2mJskNH2r+ATVIyIWZe5k7/qEyULGiOd2SznY
pr+Mxuw5dFDnWDFT88bqwrANrFXnv1T9cvUOrGzdNGrxyS+G9jnJhPkpaCRMF37ElaWkxS83KhxT
FwDzLNcwpAm92mijC4WGgFF8aloyyxzgx5ZhovrQJe54qG3V+Xz/YJefU9MNDBK8oWNil7q6+Jwm
hD3VyPjDM6qTzC2ErmyzUMeAWC7KTxT86RtZhMf3V70+UFY1KeAbmk4QbqqXu6TGwUZpvj0XCSH6
Zlasf4UNFWy6Zsr8881rYaZUxhxTg/d06WOwzUqlxOY/0zoXnwkU4S1hHC2S1Sim6e4vduM4DWFo
tqNrBo1We2EpBkPgFqVrKQwkx/lhr/sxyWkcqIB05tdI1pGVTCNt2t9fV7u2G4OFHYuviB91hfxh
r+zGVACP6m7qP4O+8kpF1OmhFnDxBtRaENVuoKiPhrn+kVnaV0Nq9GyTpkVnwIexosbbWgw+DORz
LvwvH6AseXHd3li5xDd+o0XCSRXaouioqovfWIVlMDSQVzxPBsokmzCzKMsxL2085A26j1FaVF/v
H8vS4WLdto6fws44ElzI5amEZMuzEyrGs87dBhjI/EBLUQB8tAWDs4BF6mRYCt17xk/aQ4Qk7vb+
D7hh6PhLjd9BdUuzxMLQk15jTKQL7GerG/VzajRUksrUB4zbdytLLV92fKQhIUH4WQBt0GWIy80G
8eh3TlZazxDaubuSudoD8HtyQtr5xzwuH0oivw3zr2KnaT4sG0UBOKCes9P9PV/7atPVXJMfo7Jz
1Vy8ci1iLuD4R/NZGVwdvtvR0c5lmv7FND2RfgEVa5+q044Z2Whl5evPzbPksKjj8KRzDJcn4M5D
7ZqlYTwD+aADqpijvRupPx2cOTHf0ZR6n4I1OvidJcEhTvlwf+PXH9vkeeJp1DRCCtAWl8vzQjnM
DDTasx4TyWrxUIyQPoXzTkRN/6/7a13fJcu2VYTqDJ1rT6vtci0kptHdaBz/WQXOeFAbVyZ0oXkE
It1uc3WMj/fX0+TlvHiYbLCVwsbJMJGsQiV1uWAG4qJ31IwuX6Bo5QPihrE49XQ8KQ1HvlkfrHZQ
zxkyN5BITQEyd/ZsifOEqN38oYFy8l8FYHuxAdhqf2uFrpRc/diHUb0M4yc3NN3393/x4oQsCzw7
d8G2VP5TaO7CDPtm6iCM1fIHfc7nE3xh9alQMm1HMy59DkJ17f5drydU3eKTQNvrUrFdrKcCOUIA
PanoTroo1OYDg+uQiPrw/NOwgF3cOdzf4B/v9eqTsEPwSqpjw+blcPvdhT/twUsUAJiqB/rI7WfX
ULKjYej51grV8RyJWfylDEaCDtwIHKTM2uQ407neqeQve1PXx5VHfemA/v17bCIGDBJeQ3dx/bQU
PpVOh04JvEyehWh61uLXEJd++Ldf0oI71+EoOX7UND7mAGYgGYYZ9ZOBQJHjCdROP68c0CLX+fOD
gCA5QuAO6aosLiStOg24ZMsnCbK030IIDUjBQKcJ4zRj9T3ykYCIKcxCZoRS4yQOZqeof6elHoW7
PjPoNN7/RTdsRLNd1zUdVXekuVxeIldVBoL+sQUMYKUHN9amT3BLTUfqDuK3qlEwur/ewhXLA+A9
0FzLAumsq/rCJpMO+ZuOMsdDBWM0tMGwOA2PemLR3K4EmPyTU9XW+FRT2X5BXbOvV0xUl15hYaLE
sbz6nL9GDLaI25suRTGmCZuHcEync4tEHcSg6vjFjeongn0DGq3wvdSt/ZXJXg3pr+BdqiiXWwin
npBKglycvs64scFAQQqsOX8HPQRLgTXEGz+0ok+TsO1TJFKQIBkVRiCzP+4f4vKjOaTMfDDIIA2e
F0qrlx+tMeAyJGtPzyU/HbUby4S8xo7e8/zZWw25guf76y2eEctxLMM1GY1WdZrh7h9P/CqUC/U6
tOECV86O4/YqQ54Un0f6jFXArNsmzSYe7xW7XDh3liQb5ckW7FNTNWtxcy1mE6j1O61ntGp5sql4
I/kxwVfUGs3WMqtxD9disWIci9eaRR3bJA/QLN2UTI4L40Qtb8qAe6JH4NgOncOM6TTzvZXSLjlV
allPBwi/FOU8NlrZ0rAH17CNOzo/K5sX1z/EVaEc0XlLTYeoYfGBcxVoT83Ml4eyjzq8o88Wts8Z
cPKMl9vqmr+MTrMY6+0o+O1EAElPBs9aO04vdh+ZzbuWhqv6hcquSYEEFmE1+jYIqZYDmBfGzacY
kF/yXMHI4e9U+mruz8aAeHOvAdnH8YRdrT6XkLaGZLAVUDkILSCxBxbdhkRo5RQhFB0NpaaeG6iB
EPbJjJGe6RQXisxBIzXyhi7revQbI9D1W+aklOBFDBAzf47B1qcfCK2hIxyHcez0DfoR0HLft9mr
O0Ju7ppCQFVDOqdb8ohf2awOXA85BCBKVpPTHE38wdrQXYQNR5/LX9RUnJWPJo3jtWPB9mmoqbrG
Xw5fTjqeVwsmDaPbSJFlnjqM7Ue4cstPaKIGK6tcPWn/Xoa0WudS8NIu9lXC3hKDN888sBrIOFM0
PNeGQKjF6AVqz6V+VjI4FtH/Dhl7Qq4kLbNma4dTshJbLj05P4SU0gQeo1F9cY3FWz8mAr5L1AG8
wDWGz0aVRoccWWovR4ivh2BeUkBGRemR7VYrh3DjeuhUpSwqBTZ5xfKoNYj5ijLSkAxhsnBr5Xn0
PoPGaD9IKxyZ6TgD97HRiUR/OKUa8+G+ad340uQzArsiojfEnyfm1ZcOs0afpwwgZZBrIF6Bg2a/
lCiL3m7BOpg2lWcSCK9qLWKFfig6GyFyvvTMZCLMpqP1KBx/Mg9BPARfQfJD/n9/ZzcuDV/UhiaR
mAnemIVxxU04lmEWhl5joIhj9M0Dw4Mg6juAZaaOHMb95W4ZM/TLmgoAnL8w58s7U6vJ1NINC73B
SnlGx6TGv/k4j3FMDrA8oJKSllBsTHH5LvDpDkxOq71X6+rn/R9yFRVgzFTHKTnZlqwAL8OS3hgB
D9RB5sGgqiOtPtqj4zGnMyZ/GWiVzpsKySrxfWwA7W1JnvRoZxUUizezYyrBr8Qe1fK93+mwrcLU
Us+WsqGzYYpdrbmBLjYFsWTsxdE8lE8ziKT+faXZTPq7KhxHzTbzO1ecityoAeCAqIWb8/4Gr15w
HlNBlZ3Qk1BYGIusH5JI9KN1CjEOYPXfkiz22PY97K7ghtD+u7/YsvTDO8pp8pcJhJiiyjLxANSQ
OxGPBKR5qcgPIbRCPxnxhCU7cSbrhFOzyUbR35wPOrCBSgpz9S8lajzpO/7R/JMOFsbf2k4TPSKY
rZUHNHz1nzExrLZigjcsnpyMkrvNDbOoAC4scCpUZnqbyIMKcxbgtJGqNQK7+WzOulM8tjQ1/r5/
Ojf8psWpcCykgEJf2vxoxTqldiXxhsntd8gKmSBi7ciLcWOHUujNu0YEyByWQfz5/spXRoAeuIBG
FbfNA0XT5XKvTaohylRF2KGFyixTPHqQAfzsoocMlPfj/cVuOEkCfJPkiwk/QWX1cjFhMgyglRUq
esIZzy3zlVttSv4fjxB+is6RbegWidUimh8QeOgjBp69Zk6oZgJwBjuqagoannAqQaTQITg0gYPz
02x/f4O3viOhmWqp+EtZrL7c4Awux22NIvYQE0op3+nFsYVyeBc6LJ81DK0yHmVsA30ejvdXvo6N
aTlIP43B8j5oi8sMhl0MnZskXusYhf0+VCj/7BFFCT/pgU5Td0SpEWmLYvTfbroylpLvPVk+czuX
W65LQ0y14sdeibzLPhlKZTOBZn83jrH1e0SCDiWMoGCmhVprufLmXxmvLJRTnFdpFFJQE/JzvHp0
gY4HkdPNumcxRLct+Ls+zroPFWCsZivp1dX5kuHQjdRoA7JJrujlUiaYjpz6kO4h56wzgYemkw3k
fBNYzbifoN6j5atmb3VEHKpclVcIfD9x6+WidQpcf1KF7aVwdzyQZsFihSbQJp/b6NjS+1g5z+u3
lyeBRMdyqJ+pFk/D5YK6naGdk2QmTx6jA0xGIh4ex39XFjIEqJdMmzzK2H2ZQ94eMunBpKN+KEY4
a95ozfJp0mxqDzQJMKuFURlWnBh+4Bte01busWlBdkJLke+M2hYbkLrqS8582srury6vXJR3St4f
lnQXpx35UGKOqi+8tImtEPBuNwOWGYjXNy6huwfBIWzUtpnZpxro6lsjO1anVUmkoRP+4Isvj95Q
tRrvHpswLtGI/1rbiAfA/lEUT2CyEjgygoZZg7cfM/0fCx9JE4/63OWas4KEYxb0BHOohjGQUsV7
Xync9w5iJ8dAUr0BiM3iFau+cWtdGUnS6TJ0ja+7WFWjwTEEreFNaiZU2KiaBmKnwKcYq4XgaO/v
UZrKRQomzxU6SK4QjznPz+VqWWp3saLkhmeUeIY2tPMtTXvtEIXTDwGZoXd/uVubIw8gXCTw4EFf
WG7HJFsE+ZOAMGLKtq0eoZOngmfJYSdYSTlu2ausrQqdcJlIeRGYV1o1zAYNFi/tUIlQReeeFNi6
D7mdi3ML5P1zG2najvJloa4YjnZzmw7eiZyLhHPZw6ihPoA/NnQ9AfF65oBunstiCzPOWG8qxkr8
vRsBQ9sjtaGirYt2r4FKROBOLvWvVlhw9PtM7G/4Z2M4MqHZm9TDnMM58Rl0ha+vwAFuGYENjwLe
jRorbvzSCPzW94M6Yhh4dgAh9oA/Ycqws1Mek9JMYaKsnM9VoIPRSeQEBkfa5NqLHGYGhF9WUwC5
eNa2v9BzrI8MpGZPb7c1x1I1xwKmiCUsTNtonbFS1drw2qJqPyGwlD20LexOUTMbK77x+ntTvdAE
RUpCeAKcxYZQJjAVWClsAtRe3fphq++7yoDrOerFiiOUZnt5YWWhRGXq2NGsa8xLEphNzTSgDXTf
AW4VQINs61H7BYB4f/CJwPcg6f3dJErmY1RIWe4f6vVDz/I2vXFgR6CS/1j+q5hCQLYE50TuelPo
zO/S0nhMSohuKbH5KNEDO9RDGATur3l9k1kTZJGNjRIZO4uwETJG9AAnyVdBqe5ZnUdozOxBoM9o
509mgcxyM/QMYBfKz/sLX9upjJ2wHNmMlDijy3vROENZVaCBPCvOLOOxNBoI0qFLrpIv9xe6ZT8y
m5dJFWWEJZSiV8y+mgT+IoQfwkO6u3wXWeHnWuVo7690y3w4RkNWbfmAyzwzCVs1mvTA8cqwVkCw
WS1qlFEdP2jDAGVcklf9xyS1s29Dp8a/Td7Gj/d/wK0zlUEEBRpLJwlYvADkrqWiZJPlwRw1v/eh
B0TIiHz/7T6GfI3w0OGm0K1Zgo362DYUG84EzwzjuIfZtK2cY0J58c1ehnV4P4HjUXSmSXJpI5Rv
Z2cubYQtgZl+t405f2CUqCaHU3/dP7kb14Bg17F0gH/yX9KIXl092wgN8NOu6Y3lpOx9VcsO1LjH
bd9XiGuDPSPGRnXZpFW68s1urUzoh8uxbMHHk3/+amX6PBIejs9hZDz7BmVSvHPzlikP3lMoa2M7
O0Lr1+3AlK01n27cDGqTtL9oSAK+WN6MIuqZJw072wvdnDEshe7W1KbJrhuc6Hj/fK9fQcItlyFP
nI1KQWXxXoSx0v+Zu/SYHaaN5U/RcMoMiirUieFaUVAKvL/gDV/KthwaRLy7/Ht5rEo52GUZ4160
AC7l3jx3pgu3SSRQUByKemdD+3F/yVt7tHEyGqaKFZni8kuSNwwVvGzCc3s4tgMAtA+GzuyCahcG
HDOJu+Jubn0+IA6UKS1yUOAzl+vBiD2rk6iEJwwddAG/CBKyGUGSwXm7r6YrS7IrqEhdlzWidhqr
Uu2FNxem+1Xrw37nmGOxcttv3QSoPkyKQrgUe9lj0xsNEkDYV7yygj25cjPlC1oA+S7oC8DtZqM3
W5gYv0e2/0bIJo6FOoSwHQecnwHSbxGjQV+fINBHoK6B+803jMFaX5rC/aprYKyNkbmIWqZlbzYX
nXAQukyZJAhLOvPXF79o7bDsE2qgFKyObZAEO8Mt/JcOUpJdxWxmtBIZ3rBPHTZEKvcuHxLc0eWC
sBMwwD2QZPZtY6BvHfVnPdf9M8JEtNrN5vP9/V2hL+SpQvRKQgkRMGi/xX1Q43oyI7cTHqQ+7dYM
YihugBruomFgLGEkNtj0kYBwozdsUoW+fizkkM9A7xdqh7AZVg78xvOsU2CgScTjxfVcfOURocWp
sAbhIWnb0DV30HbfgElhRNVCF/JUD255aJhjOFUgsZ4dK04P94/kxo0l55RIFHhzANTJL/Tqkxv+
7PhRV+tI4Qz+MaKb7o1V3ezDqghWNnvD/wkN4CotRwfgi754OqEPFBCUdroXZ476wJAJjKhdZ30p
4jn6Pdnx9NiKXl3x8jdOGNA4AAAyAul1F063dU27t0fT8HIVIl8Yxd1uRhcCDpdNWqEou+mhFHwK
WmhvtnCz2w+2MYTdys7lvVkE8byn4HhM+mHc5cVnhnoyhrSPBGhCbfFb1Az+x7kP9fnttwncjEm5
VbbpIZm5/JZFOsDAV2jC03ybvksHn2lRNjqT+UzkiZxO79ttx8X7glTha+KqLtdDoXhAPJbuV61o
2a9RMSwP/XjlqWD0YOXtvGGmstGvy+yeUHIJCoW9L1BqIzU8lcrtFrLXEeHKFv7kQA/hLr+/rxte
ieADCI5MQQDPy8/56k64STz3ouTVzACqv7g9Wd2G+T9UlgQaDsi8uo6/suSN/WGc5FhcQt60pZky
ERPznDm6x+yW+q4uzJJiXwN7nwW96f3d3bgRlDJNqtP/bj0srKSJEHXzYx+ZJ01idEyYN4ZNgCr4
jsk5RrxFP35TxGAdBjgNSDEn8/n+D7jhB5iRc2i2cRtAXy6c8BSldh75JaOV4TArjMcLCX2D9Aba
DX3U4CcCuZNsGcxyqpUbcqOki7dlxAnQNUkRGe3lp2WGuWqqIkwJg0x7YkzQh2hOtVBfmtHORrxL
ceDni8LkadC1eNs7SHk7c+j8Nlrb2t8/hxtegVYqKS4oZwz7z+TJKzNLRkUlq1aTh1lJtN9YRrYt
09h8ezD/epVlJbWHiaiDHT95MNXY3+nuaCD7ASt062TFF9t0n+eorL0uytdw3Lc+Mw+LzU2iw8UY
yOVRGzlATpeh9YeBkTDjYaqhcXhxA1P7RNMy/d6OKjSAtpba40rQduMuyeYP5RISebi2Fu9M3Cq6
BTFl/AAFRH1y8kY/xrGGZkUQrb3ffxpJC8/uOH8iXcdmPGgZwLQDfyZQuniw69RATAVUK6o9UZah
b9GVXVueUe/r/EOATCS6vmMOzPtUVQwcz0hHM1G08pxfuy5wk3R/ZM1ex00unnOCnmT2pyx7iIn7
KyRC6ynaqsR8H6fSHN53bb425XN92hK1jbNkUENC2RfuhKmowFSVGEnacMyOeapG+8rMmp2tG2ux
yrVFCdOlPCPnsIBQu4sPi0Rri8oQY22xVTU/Qi3KYfLkisLok7fMnId6tlMnF9bE+xf1xhYlkJAX
HDwPkzMLp9FbZRejI+t7I4R0NS9pnT12UZgX2zJJaNnfX+0656BSQzsY29UYrF2uJphZRXYEdC3E
ts5TChXa3i87tGIQ+YY9d+q6dquXEqdOudv/eX/xa/uhnSeHEdivTXVh4ZsLJjvsAf1Jz4wyKnxp
N21qs+yZsbfcTRpE1UoIce0DZXZDp58SI6/B1WSjyKCvQ5THa/2KIqqZ6scBFMv+/q6uPyBPq0Vh
WMaBDC8tbsVg61D4omHuTQTVH4rGmZ8UZsi9tM3dtZTm1lo8ayplG0rdRPaXbs+O7LQE7zR5cAxJ
YEcGDTXs38wpJ2vF2RtLkThJyDyXCazXIv6KUbJvB/jEvamzox9obaUf8lhJd8o8xytGeXsp2PTo
BII7Xfo5FDlKFbKrnhGMYvwAo0h+0gsj30MrvoZ/vmGCjEhIyAlBrGx6Xh6g0/Ro9bnZ4PWwfR2d
GvbsLBrAfBQQBM5D261s7c8UxKUPN2mbS0COTdMe1sfLBZkkVsPB8nsPPcEMsU3HjM5TOPqfCqMy
vyE/oR7rwoGrr84onVgB79iuzPThpKeIzeDKS6RoEd29b7PXzs7E4ZC5AEaiBreshGU12nB6jOIV
XAewauhTsLc7P/FCuGQg4hiPcIO+cdiLogOzg6CXKRRLd74M6LvMGPIUYk5PQOD7lwKi+ctYhTBn
wgZx0BrE6u7v8YZVydAAAAFjXhZuZ3Hy7gi1ThZ1XgNPtJfDh3ymxj+fbLvRjv+PpZiFAbhArk2X
7nKpSOvGPky11oOnKyXdDvyzUALjEJKYrbTXbu0KN2PIMoqsLS7sCQXuDuKruPXGPmo+OIrmHgl4
tRcKHc7KAd4wEptCNIUTciLbXDY9I0g2SrWyW0+tRhjnldo9DTaKqnYYD491NcFVNRdvT6kpuPG1
iKFBuZBxXh5l4Da1Y2dq7RXDDNxkB92JDxQtRbYxQ546hGwZAbQxPNK6hwurcEXq/4KYpWxWWr43
PAWxF++yBiiRysQiHui6FJnjugADDsHv9LFF7iA853UFGR1JjgIHamf46fbNhuQIHJMENbHu8nm2
m4lCw2w0ni2y8Tghu3WIIIE5GQrESfeXurU/ecSkoS7Rpbt4tlDlGhN0o4jOJeGOr7q/8jny9+Du
JigMlP5wf7nrwMOk68XrSFOKDvoSTat3PWljaNaey82HjZ8J9wm9jFOZFx/RF4pOjZTqgt6nWbmb
N/dJGEACTBHhCngBWWE+KYjzemNjRi8we6R/DZYZ7GBfkLSKZb2/v9EbWSAVanlriHyBBCyfmJgw
o6zasvdMprAAoMUJQuUpamLbaWihmWlqFEqCKXKglszmkYQpC/6V1EryfdSS5nz/11y7C+4So0Wy
3gpSbekuwglCc+hoZupu1RDsEGGbn9w+qaaj2mjFmk1df2R5cyFwkJO10rYuL28f1vFkpJXqaVWB
lFmcwAO/Q6lOfJ7gEH9xLSi3UZ2Kk13dJeUK4vHaXdEW+NPNxi/y3i4uLFAjbYJaSfXokVRbu4nL
79pQR7+LXIFVxpVSwWYbOz/efMBA0QmoKa0wT7XEWcZwtRrmgCpvoEEqZ8St8z7P9GbnBE22Ysk3
viUFToBLlKqIAJcQIqcxq9AwKU4NRSK+5/Y4nSFNgXxQhXzv/q7kWV1GLYyqyxktg/q5yse8/JAB
b6Tk1J+8AMT0gbaqCXVzbp5S0H8nNG8BBjQKGJi4HGGZKPOVO3Rjpzbwdz4nbwHZwuIRcKDjzeRQ
qUfIVBwbUpHNgC7JBla5tQDtxlKgh+iGAJBiDG/ZVGpURRB7JpVXAobfa+6UfsqQR0IBtY5WXOAN
A6UoRF+Q4hQpw7JfVlP+QRl6ZFcwowLvH5XGA/OeoV4PS/TXrOQiP9Rcl+LNTxn9VlgVNPJL5tod
eQavakHgY6MpDBF/FMiDAF8K7MkmuLbnedfClfezdOshfeOwLVhn8DKWMAjp5SDVYs0WTUIVRezc
y9yhzI5zpbrZoQoTWB0zq0MEpaDqu+Lsbh0w+CzZdJXUDksMJ3XBsmeeO/PmBLlUvzJ/RNBFb5yO
eUDdKn/lCgp39y/K9evCNiGSAP4gX9JlJ00bpfqQ62deXYnm0Zqb8tCOesYQVpUdB6VZow9Yrgfc
WFb15FQVRT1nGZVoHXS61ugY50lLiwB2eoGKJfq2YdA9xa2advlGtqjUFQta+gO5LK0F2TaXXEHL
HFctijxkXlqc0blq+lM5QVS7zURtQYbdQRubBxqDcJnp7EIa+PvBGYf9/YO+elYxfngeKUCBNcEl
LFHBdYUK75wF+hntoJZibjXmw0ttgl86uHNUqR9GFDutg6+4vn8ooQ1BOistk+BxKKmx70PI6aOV
WPyqQMdvomAjJHyWWSjGJS8vVhhYASDWcjqnZWVuiiCoH0Y6q1uTsRmgFCFCN0y4bh0kpajhJcGx
RGLtrSmt/BE8tTKEY1IJjMrlj9B44ZWIaZLzAExnbzssiJj46Nl2+1NFzHglRF2+8XI5CuukHnKe
njD1crnQmNA3yvT+HFrDWH9IMjdlOimcUAI/NJhJbG8gr00Qbkb1LZpoeaKKsGKOckuvnyd+A7Ax
ShNcchXk3+J5grE+QkTD6M9I5Ol/W/OUfknrMH2qm7Bf2a78hIulKEBieaAcKHAuZ1JnlP7UZjA7
SPJyG7GJqtlbJGArT8P1tabUQv9QxhE4sGXM6GZmTid+6M99X06PdcpYL1QVqNKko7pxYLfb3L9N
Nz6ipF3hkZWpOHXPy4/oxsxn5trcnQVfb3jpk4J4vMvENGaoHWZW6jHipvsoJCJcvAnS1lBXOgdL
X01LnmiJUIbBZsBw6sKMrDKxYR0PmjNGFqNREBv5lB4Yr2OYJKlsmK9yJeqQoMwEGt5rpEpXA2dy
ebbOE0V5hkBHHtCrJ7HL3d5GlH0+I8QV6O6pr0nsk42D/lN6gE67dh4cen/q59yAKo9yutOW7rCt
Z7V3vnUorWhPw+w44phaeqR8UyDYKw+ih/58r6jQFxwbBsyCehuMlAt+hn4dpx+0LrbR5ijkINR3
x0WJ+blBuhwezSiEhfOtXxhUCc+ERn+Ga7IMoYzIjcD7BvS+ouolDzukoFtEbRolZZqi7/OHztbb
g9AiZSVKvb4wAjyuhOPhIWQWf3myiUC0erQm/6yqIEljcq9taE3Zlzdvj1XoDBskdVjP4vvVqAYX
utH5ZzTr9HgTNJ3kijL6gaphZ5bO0bEAh+/tMdENsKRZ8Omt6wMoYX6DMAPcLPInl7sM7SIfGbFy
z7PtMxuKp6o3XU/PaQ4T/wfygMEuCdLOhavLatfm06+9BYw2pDOU7hglJJy8XBxGvhJmm9k9j72G
PpBqZu/iysk+9BqEj5XDqvc3e2M9CjHw8cm5H6YX5J+/uiwuJLd9GI/2uUkqNI0LIXrETmuGy5pS
IQFogmolerzxssKXQ8BBGiIxDctHzbJ8AvAqt8/B3MpRENTO54L0Q53okduVL2CvrMKCRgZgmigi
eJ4iplUHLcwek8ZN85XrdOsIwJZToOZ2SlqlyyOoU/gAaNJzBEhQeEowvsAWXu39Xk0es1KJVqKd
G8vRIbEYHAPYKkcOLpcb8thuUX8yz8EYZ5uwZTCkCCZrrwXauJlUugv3v/B1fAfQjaIF6bsuq4uL
92A0OEtUaQKvK5Ay2MyljhwpDCLaD6vw83dVb1pofE1G/xkGeFSJXORK8tP933D9IvAasD4Di7Bc
XDmOzKKR7IsGfNaoFaeuQa09icIUkQaKJHkAw2GKu3tjO5caKu1ciB/5b5luSm/2yrQzmlwUCYbA
g03P3WX0TI9uYecHBvvX2C2ugxaWkumJzE/ogS2+qVCpO6MZE3iIiSv6ARLKoNibKnOa+z5t3LeC
XdkZdUuZwMM4Ivs4lzvTyqREy0hHm9lWmjNal8omz6zkG7LGa4WJW7cVUBDlJepdWKy5uB2lL9AP
1Tok20xzPogEAc/cQqqs1KAPr4fB2MYjzKjQyaFnziQSCrxueLhvPjeOlxeHtJoEQcJgF/v1UyVQ
y951z23XFYdhMD860xy/80GgvN0XEDEQvOD4Od1lySdKXXM2obE595zH0clytdzUAm2Ebd6n9TYN
suiNfJN4HXh7eFSp/pLEk21efsxoNuDmHxRo00ZNfwTxYDKZr1UnJsraFV6JGx9TFvAoM9EDl5dx
Yad6MGRagI7CeS4b6gRV1ai//bLS/rL6BGmUirlpz5jaEY3nqVMfZ0OJv6IEaKy4pGsX+GeEDCMG
mkV6I13Wq5tZFnMrGFuuzmOpOBRqW3iz6iR5dIq6Pmtk+Mf79vOH4PUy0mdkjZCFRIpWMVn25YJF
i8ghEibl2UW5BsoSK82UwoOT3LZeZuQo2LDwMwjKJTfNsXWNSnkeEUSp3pmDmlR/+5UymZ4VTYr1
PCCOinZN3WTihx13VoAyzyDCaGv4XZSdR30qu4OrDTkEzVGNjtEm1nV0PBEeRNh3M9LOVaPNFASu
+Bq6NuI9R62umvBgGkkPXp9ZCv2bimLcTzi2kFh0oAm39+kQB8kHJy+ybhP5da7s7x/RtYeGwRir
4Klg4ILw8vKEclHoHAS/P2pK/+iO8zMd0/FEYyQ7NBN4XnX0x5XY4/paE6pL+j5qnrILtVhTUQyE
rq0EGleEHHdRjXyzmpsW8lYUId+6PeBShFUMXpDp0fxebC+esjxUsvQ8VpP+xUC9Iti1idOMW9/W
u/FY9iMY5bnGn66sfJ2O0dNnYIdOJXcb/OrlypkbZDVd4O5swQA0MrMeqKBPlAABF4ohycExInQj
qx7t1hkft+I5rz8rGSCjChR2KJxRBb1cnamvqubZGs9mnwmYuZklpJIw7nsqO4956swfczmIff+w
b3xXl5YEnTWKr0yMLp6MDqg0PXd0qG19DKtTnzM2eFL1IoQcu3n7WwjFmi0g3pRdb/pdlzuMAtQf
Jq3pz2qlmnurQS+cAMfdzLFYq1NdHeYfUJgON4BNWkCz63IpG9LmaSzC9lyCtURJM6326PwNT2Og
al4epwlqqskapvTqMCX2hNoP3S1QYrT1F4uSVxpDETXn1g+gvaccZj7Z1eSW8KeVwef7X06aw4Wf
hGGJiBy0EoBSPt9ih9EUI7mJMMu5awZ3P9LfesqG0t0EUJTtJyYXd1NC9Oh0uRTproyV1/f6fZKJ
l0RSyJI9wgGL9ymJgEUhd1SdC8HAOoz47tHIhxTC6bkO30NonG4n+k4GvwBB8R1axJWOrMibwe0E
5+D/qObTP8CSl5w1iVugoOxo9TmbBSwUbWeifIAQ+CaFzfbl/plfPYZyLckeIugMU3NbeMHO1KHX
hIT3bE4CJGuOaGa8yVtITA94FPNghJWvrdzQW2uCKSfSoakG7/TSLRgwbNSWX52rxizDU5lp4fjZ
qhUErQvKQs82Y/NvbfzIMzVoVeKJZKt4SZjq2+moJJ1ZUdjrit8WM1Rbaw6sz1MHx8f9I70uKLMW
wQWGTGxF5L040zKOfMvMuvqs8IXjju5smafBNq3bhpKt4k/aiYDAzfZOWbqf/4+z89yNG1nX9RUR
YA5/m51bkmU5jf2H8IzHzKmYefX7Kc3G2W620ITOAMuzgAFczYpfeAOBemXtojTWmxcFA9Mg2TRG
XbYrd/Ebk05gCeQK1Lussi5+FKoibYurdX5K8HX7BiSx/0F+HykbYHv9gbpU2Lx/mSlik2hKXSJ5
rq/vjqqYLUcpjfzUZXnd0J0etXgbYc42/wjM1PxqtLhGrsSYujyj13cIbBfKj5AmDLb0MjlR08GI
LcpkpxlgR+5sZg5OXPkWhoUTIiayTKZHWTVFZ8PAquijbRfJsK8xaLOeplpHzKa1pqH8R8Nkx/Ar
S2vDV6PFBHOfzqYK4sWh6nW7IfI8NOewABusTVThWPZZdcZRHOvZrtrD/R31xtpJLVxiCNcGdLTs
UESl0TjFWGegcsv4WCiWfkwVMe70yvpSuVGy0n2QqeliDikXk7JKmW8SysU9WOV5qVVx0pxU+nvn
dGybS+FMa3XEV0nUxTDQ+wBP8KTxUi9r7SLyUNia6+GE60rvnMhwC6RYVNxF9rXr0OQOFLD89nZU
MEn4XKOXqp1DYjWUpI2sSL+nM04jz5hED8FXyjNe9CExsX+btpZXGPoOL8EQq7+USFlato4Vnmz4
Ztonaxi50+GDuojCT3Vm7Kw4DdoDKPtYOUIZpeJWiKKGCQjkQD/Gldlr+EBXjrVJ52xyPiJrq6KQ
E2Te/KMtManFBBNXr78LRVOjXR7oZvUUeVoc7zIEOwY/bjAF2mZuPY9fM9NE8iXW9f439hP59DQX
WttdsilSDGRqjWjWiM+jolDOwquRG9poOrIa6QZch+U9IXkYuNQjJ1yI7m+y26eexgexopRdhjC9
BHSAZeE3kAScWsR0x2NT6SMm3WEUZz6Umebf+6PdBKaAhIEcEAujDsc2WAQWMMjDyaNpfRrtzKmj
LXLiZv2MVb3jHIppjNN/2zpMOm3r4lnm7OIRb5WX+z/hjQ8Glg3hE6YylYXl/aQMIgOOPNXUFsbi
mwGl4pvAcwbXU5xV/j+GkieJjg9MjuWL5xW5M9lxIU4tstDatxnCxPBdSYlQf4/odJkf7w93Gyoy
tXATKSm+6gsuathDVycVQAD7hBtc85gLzOBguJ4yTXSPeK5mG9CD1srN+8aYsnBMWs+9C5lrcWmY
CRhVTKlwhRVT0W31rtWFbytm/qUPG8VHnKb7FHm43tz/1JtFlNQxsA+SkoNrzDKZJ6yxaRw7NkC2
wnx08Ls+x3Sr8bNs1971m1v4dSh0BCHWSm7eYsuKJAoaBDTsYxMp9U+z8Waxw2YzfdYRQznlxtyv
nMg3B+TSlxrvFOOXMEmjjBrq9Ip9tM357wC168cBt66t5s6/cl2Nv9yfydvwFwlBLnwYIawhUAD5
LPxRF8GYZsZe0jGPpaqkH7XOUr+bHcHELkkLO0I+uSjxSU6GNjjpitNqGzVANGqL9ay+u/9TbhIB
g/YOpTbgoZBweMqvf4nqBk3oNo5+HHqMdv9VpmhqnF3uukPSPlSjlYRSjyxTn+YEkItv14D+9klq
5MO3+z/kdnd5JM2oashelwPv5/qHeF1DAzPGbnWYm3ATGpF60K2mOPRgaU7vHor0UZr2sJ1V0LHX
Q2F9i419hRMohrduSdkmygz7ky5Ce/xGmOZ6n++Pd3MBo6IkpX9AaNJ/YY9dj5fQM55GVekOdmIP
uya3o7+nFjMpSj/iEJkVdG23DS+mWcXb+yPftkg5QlgJALVASUS7aXlkxewKJG7aQ+Q0+LYhKvIS
4/Z7UYyg2jFF1RaOKwo/mtMCdNYcJBPL+aFp1PhkdyVGcib6oQAT8i36dIh55VV5ylB2JjHzatxO
+876aFVDeFIHTA6zQOhPppY4KxfezemUX4GzFQRw2O60Qq8nMAauEpr4HR6YJ/sS1XV9yko18RMc
IPY4mq2pxt4A/gmAwIQgqkouDjRhedURDNjFUCWAukwzqvaouUe00I2gy5CbnOdaDz+NKI12Z+EE
afihA2mfESkA53lwcehQP3tj5CoHfDUptW0UxJTMtczuNRK9iun4jVwfSCmQZgE1XtyRChrBVjt2
4tBgz3DWmknfCBGJTVPHpR8NSvy3nevGTp0H43EsA5JMdB62bZ1gbVslyUHrVHermSFmVFGUfMSB
29w3llVvm7lMT6j5pw/YD+ICilbyF6+t9L0nYsvPuBxPVdTYGwtf1T2QEeWIX/C0snNv7iX5dTzf
LpglBNeWMmQI/SEgVCrikIdOsYVelT28GoaXldC3Qdq1jyOaUVu17doHmmHRe68IOTzlJsR3ZAN+
+QClQkOWeIyaQ15OQE7r2D1Eop793jbW8qjb2wFwKV0Bg5CFVGBJONXg+I2VbSSnOlc90W+1NHGC
/WCJMdkbcxmUT65uJ8aPIIyK+ecsKP+pK5N9E1DAQuJ0GfR+CGTAaC3Ol5UOaiYKfkKajZcoLBsf
49Dm0Rry+tzYHHSlnefj/bvpzUH5YEhd8sJfiosPCLgK1w7Tkyf0to990aI0jrK4XTpHFXuR+Z9U
1/Mk9YvUFM2a0vjNc4MQELtLtkdA/RIrXn/yNIhKLzU1OCoDWmCd5YDv7p10R50pXZnd26GoJNLD
o4hjc6EsJUIikhk7zifvWDZ2dqSEqH9EQcPxZ5x4V17zm4uSR4bCN4merO9Ti77+qnDCAFl1Au84
pnG4V3NE4txety/wAb6KVE/f295hOGrN9NAIjmQ/9Hq4dCzxWcKC95hBlN+pqKn7GWJqRyXCJUup
ECi+v2WMxVTSQwdRQMT72r4gP1lE29Qx1cA0BuXBBCaSgw4t6+Ehj0Wc7qOud2vKh7mDIC/ltFBs
hKNWxV/Y/Q7qIcUg0r64g6miLos/CUKzMBbVPXF0N3+vSEp/k1Li0prMFpjlmfQ12Zl2ak8HC2jA
3GzxnEofxiFV7b02Vmm08VD+r/2gHccJw6s5GJUnD/byM6okZndMJviKPkLcdDzMAGTD0Ukqa9zO
VR2Eh7gNnJwUPNdmYw3psbhQYNiC75CWBxK5I9P961XpLVznqfyED2pmBAchxNe+tezPRjA6vmN2
9jbpHfA8U79W91qcaAYmwSR+g5ZKpGGai4E1stjXujJSZSFCGqr2E46NsqvTVj9pkTkcpZjH/v6W
eGNMBDm5ow258RFvuf5YvJLjyprd+mEMXfsYxugVFF3lXkRiToiMh+kW+N0azfg1Kv7j7UUCHKFV
hpSATcQrlwl82PO8W8KaLxRwTHXX9+6sY8vTZiU9NG2KfpUiGP6qU8XAT7lsMtN30SN/CXE3RsAh
gWfv17XdNJsJvdAns64LsQ/yyHEewyp0v1qz0MNvZZIrWctNDJgPee8sMnAoz6OpxsmNqag2Xoiz
8hM6WW2y7afWcT+rteYW21ot2+qj4Vaz9lUMZZ8/ODiGpZRUgikt/SIDQ50jiut17EQpGB8iDyhw
rcDYYQB1+kJlD70OX63tCoiOU3ljvdXCphDbDr+hS9PAXdvzjqTf+gqZug198+GEDP2s7mKezQ8j
VLpfKb52/3oQFN1Ngxv2+246VoDezKuMGy03rrrFk1V60eDNSFpfck8T6IxpP6cpiJ9M2DnHKU6M
lQj0ZpsxHEEhwQBKRKSki+EEOLhgBNKIYKSVXJqgN2nOYgkeULbaz531q/DCd3It5ScCx+AogXkH
NLBU5vPoBzUjXNtL1Ynpxarm8q9W78TFNujXelKs7/5Rurlc0QCURgngxPFvIRu7PkoWwqNxSGj4
VEfWdEBYLXmY56g8AHqeD+8civeeiwJfQ0xxJBvmeqg5DeoCcnDwUJNvf1LFOG2wL2q/Z+O4Rth4
1Sf686wCZ2HVUBN5FfgBbHc9Vpq7tUZq2Vy4K0tyMMNs87OlD8oPQ0lM/MpSV/zbCNH9BF41dL6C
Fo93ELkzfHEzPUwh72GDcmxdCtkQoND8qKdO+9ZOrbYGy1483/JakSJL3N0SDklscv1T57Ckrl33
xqUuzel7ATPnH+IK42XSi59KIqqVUpn88j9nhvIRTBLiXAuOG6Xhxd1ZpI2dD4U5X0Dj9JcBh+LH
obXr997QIGzoMgIEobQCEUgerT9qHWVX4VCZVsNFS8r6a5IOWP9WWX7UKqt9Drs43pvD6KwMejuT
DEpsQp+Y+hFP0vWgydQDEJn1/mIO84SISKV5PgttHdDMDfeFKO01id/bG4LZhDdHLsYtAdrlesRx
KuZSKQifnahWVb8yEDuPAyPO/TFvpw9qiO9QP3npyofeHFpMjmUMzb0kO9XLi0nRUKuHpaZdGmvu
t0pq2xuyqt/t7K0JQ78xEh0ReVrpwsOTW5yjFuZlWmRde7EC1I82Uw8PxzJJEzeaHYmVC+IVLbHY
m/ICpGPJItIVX0ynCsfKbrOwvQSJEmw7nSfeVwQAtb86w2nFRsfhst24wxR971uzLzet15keuqx6
YGxksKB9DumF9ce6a/t6a3ZWim+HrnzjKfTKXd5a3Xn2WpzLbC0O0VQTQjMfHIzT6VrRE0h2Tt53
f5uFraY+KjzlRzRQ9XSvmtNUIYbcCZomTjOuncnbWYbIT1qCKyOYfkg+19sIGt9oaQgKXCzs2w45
WqKb3gn6J9oXw0o0fXtGuNAokiPhg2wDmjDXQ4mm16yJBsCldPrfRU2+Hww8YpJfn2ysSi3/eeel
Tz4PSAQZIyk9w/V2PV4Asm+wowFZyUw3f4/YD+36Vq/H/eSE05ra66J+IPcOb5g0DQWDyUW3uHWc
yQhiUXrmxULseVsVJsIBHPuLVYYOMvz9lOxx9hTAjfVsPhhVtKZbcju7VC1oOr8Kb/DOyYX+49rL
aUyXE5a9FzN0x7PoOrPyvVSff7m2sD6YhYiDlfW83Tq8HfRWwIsiXggl4npEL82TDHN3+xLU3byL
8MM5hd3g7sIxnldundvLDssqFG51Qm9HRbz3eqjQ6l0z1EiojCDVdiqyocfOHHkZK5QvVPxwfrgK
hrT398/SrJR4D/0XyRYg3lOJIOSU/zGliSiD0PWC6kLQnCWAGJ0h93uknuedMJS5ekD0zfkLklig
AgAO6vlQqaFu+qh95+U2nswq3Yi5dI2nJBqcfaVCyN9Q0XP0fVIXsXrIAl30u/u/erkP5I+GXYZj
KXAIiQC9/tF6jgiBPUEqiwkRk49Fl7ratoFB9ncVRVX1PISD9c72iTR0pSYIxY+8XELQF5fI7I5W
39tTfYnTPvubsMfNt4poq0cvSbpm7wX99OO9X8kbJDEYlNMhdCzxRA402Gwag+Yi+rp81JtZPVIH
F9+SUO3QcDTWFDSWOS5fCPKDOwu1XMD8S9Fo1rPXyxzLzRCoe0gSrsXtNnSNPDiVAjOsjY1I6Bd7
rhR/0Lv527u/FowhQgQINVL1WOrBuFZBgWrQ6ks2jLa5683Kcn2vq7zocRxKdZdkFj/k3WNKkhPI
N7o1lFMWF5q0vM4Dx8JNbMrKr/Go18hyt666sbQm/xi7SvNyf8DldcIbKdswsgpLTHyTWTemzbOo
K9NFsmKPGQ34vfBAU3ZZs5YO3J4RcgEQUdwklA1uoH1V4OkNciHjZag0Y1ebZumXk6cewiL8Z6Yw
uZLMvfVlhDCMBs5OMn+vj6SEeAwG9PRLge5l5AtY8d12iMz2h1XF79XcxBNdhhsSiy2bbJhxXo/W
e1NsumCvD9k4DztHz78NkMu2Pap6D2nfmSudzNej9mfkxHjQmghwaJ1K5s0icnIJFwZQp/Wh1IYI
JnFiePlT27leuwGAlcGk0uPqMFaYSm7CojDofyko+hxzuECfcNT0IhQfqyLd1FXuQlRp9OGjq6Xu
t1oRjb4JUD/9pDaeUvhFrow0nqE3uj6W0dkuTND5BDCtdLuwgDhOpUkUkT+FiOv5kVPlX+5v0eUj
//qpsmQuURTQABf3HIEd5q19LQ5Dp4insEkicMxqvacTVtAcwn9ntCnxaoWZHRwvmFYe3OvhkZWR
ApFIZ1NjoxPD9X69soWWtbpLI2o/jXZ6DPRcP0/KkOwMii7tdlAww1amuABkYVXfw1RdkwtfoN/+
+wGgR2BtcOHDg1xsZMeqvTAF+Lc3GnxVCx3WcqLN6ksE9HeLH/L8OOqu9aHV8/4ktCbc1cA9t4mt
VCtP8/V1/N8PwYWHgpjk0vFrrmcir6NO8WZXxS48AAxA5QoNyRAF3a5uunMAY/q57pxwD73DPNzf
A/Kv/r/tzoUhq5wEIZJwK8XUFnMwY8MN4iLSD6ljh5/TYA4eGqL4laW+vjJeR6EjyBNHAZ8q0LLM
mMXlrHbmbBxck/Qcx0rtRZt0sfWSYK1gcX0Z/u9QdOIJzWkYk3Bdz2UAoqp0ItM4xE6nf4iVlidM
aOP3IBzd/TwHa2HVzadRuifdQPaKLhtiW4sJdJW+9QSVqENc9DBhVHgvGJEq+4HigX9/rV7FJa8W
C7lPnkyCBFYLqv3ixFghbzlOgfpBWG37PHddsNUU191ANdUOapv8SvOoOpElj18wQJw3oRW5j6ob
p5/tAsclYrzmwD4EIWGU7nYi6DpPNr7nupPET3GUKy+znQJhGpBzFtAMD33o5tCgpckkega7wu7q
j/e/adErZr3kN0mJDC4imRovvkmzmolic6cfagRTP/FGJ2gFOPPRSA1BGRoUtWoW/VHvheJH2ewc
s8IWNGMVsXONCVEDF3XV+7/pZgvxkySKkdaWzASW06xWkWb09JkOrpFaH1Bg/thOzXQUBdKuZTn/
vj/a8vDLCSBK4GmjNMokLA5/ac8jLVTDOEDL8T6nHkJm7AEq1mqjHqrZ1DY17LHvScXV+O6RaUAR
BqJIRzF4mSynEVEaxBLjUHE0z5EGaCYxomDjONX0STVi5RI1s34KlGatE3X7zZAeKIfAdeS+o+1x
fUgNKxAUS6fwmFEv3mpt1++NBCu/0sxIL11R7rIsx7e3M9bEmW/Xlgibz5Vy2hapxWK2+8oqBAi3
9Dh78Juq0il3pWVEj6lLlIY41xpfaDEeLTXpnyCjF5IJbr/FeNloojoTVjCEjAr+/H5IFSKznPTO
9RA+HmfkTimx9sf7S3s7LGUtGGy862wq2IDXEyycGHVlW2jHPDAUXCBx7MI8/ZdZD+M+nsM1/Nfi
KecrZcnbZVEtiKvUDK+Hg+zQhSbS0kfsyMS28Zxul5a98c0o4uiHpXjtMR1de8tMq5uc1V4J7hfb
6XV4NOPc/wzL+T/Xw9uYRHUTYg3HjPf83IFW3LSxMhzqKvkQ5626y+L0OzRGY39/lq/zeGo+lAoA
uRCf8gJwky3GDQs19prQ1I5ZHcTfXOwhfTMdwme0z/TDbBDd0f7NVyLUNwelQAr4Str9LG8nPUYR
z/Vy/TgKy9grue0iycCFaTYRLHzSuW3damtOo28sMNIzHBeyVNgQN2JYYH7tOTf1YwS87IA9YbBJ
NK0+GAm6FDbJle8FXXMMytLawtDRf9+f6NvtTIldM0iQ4YYhVbV4JAY0X/V4dqwjItDjLuus3Ned
ITm4kZVsZjV6n2egXFh+JPxBwn9qiDcw9inWjXSoU/uYuKPr26XrPkWAOaB71ghPrjzrb30cKka8
6pgGynT8eveif1Eoc9/Zx5Q9fMTXWTzpg0RPDubwNefgrIR8C+bBf18HxQ+SBTcvZe/Faa3LeUQT
JXaOM+yCTZ0Y80M1DPknvQxkZVgzDiKyi4OemTi8AZo8TLyBm4TM9dDn7fyQBHr/0iS4q5MjlM9G
VeTPrQNXpNK0yAcTlANHUQmJhiAc8veFknJpyM9IzPg3II0l0JESa2+UQYKFszbkz1aXW76hIcxb
i25N9+b2WuHali4mKqIHROn69cLMfaAVjdPbx7p0k6Onw4zRgKM8D40NBAFqrF9msbuPa1Qb7+/3
RVD5+pGQ2XiiSBilVe31yHbDCxm5IHlwULH+mj1+wKY2asR3Ck37fH+sN7af+edYi7NVodqK7Xjr
HJ1QwzLcga4+OZ19tuES+MLsneP98RYeMWw/SVEHEwZEjPNFweL64+K56uyAFvyRp6l7Uar+udC6
dKs3Uft5EF70q/aSi95V1qlHPWSDRNu4J1CRRFSl3t7/MTcTDfAcMDhxO68l0gSLs+f0OEOrkKuP
o6PYPgrP1hm+5mPkNcan945EkCslZMFjY0y3lOIFgmY6CtEt4Tk6B0oyK7uhcvRTnOr2Oy8U2mcM
AceCyaUBtPyozm3nsi487aTbdX4p2uin4la/4mzMX7RcnXbv+zDZrCOElWxEaqY3IgsY/dROmBkm
5CPb9EXjJQ9egWtj1udrjmLLp4+hSBJ48iQajF7h4r3txSR6Z2RjxGozbaqpteWemP28DbRdNBl/
i9x0VhKU5fF4HZNMSLoIwgxTFzvEmhL6kmZjnSKE+Pd6U2pbzEULP7ZFvGtnam33p3N56cjxJKWJ
mghIIC7L69PRZGj9F2QlJ3Dl9bbTKsNXR0CE24li6T+9giy9OubeDEmv56jeH1z+5X8kmIgeyMEZ
G9AzT8Cy2awGhdP1o2UBpqzV70ZVqdsuENhj3R/mrXWk6kDSAcuPfxZXTplXVue5g3XCsU3Z29P0
xVCg8CQO+tSIq4SPdejUK6/eW+tI94NiD3JQtxwaGwncqk1j+5QYbnhBRb7/mNheyhU+lb6eD+rf
979xebPIqfxjvGUdwiwq3U6pJJ3KsfyiiqF/QK5w+rePHXcN9/DWUKQZfJy8wdg211uGmhKMOzFA
aKmpVGVtmT85PFRbycpYucXemkU46wDGgC1KKZfroRJ1KAIXIMDJDfo02QR26Pp1nKXEDahcbXq7
KFbC3bc+jrce1h2FKqmSdj1iHjamkamRfcIVQhy4aJTHTg+sUwpA9d1DIewkuy8ul7RGVnw91DQZ
nZWIyDlpcf4ry4zpSU3w0KqCalyZxtuPojMg4wracaRLrwSXP1pxXT+4Tel0zokeQvQBvryBZ8kg
FRrr9wEryHFh0NLhAVwoK51k3NcflXZJOQWh4ZwMvTvbmbRNdocWpJoLas2Bn29E9vzl/t6/3SV0
d+BKwoeRaI6l8c7UzbgTunNwakOhb2x4rWdVaFIFoDEPoDjfp7f2+o1SjYYCHCwHnM8W70Ie9OPY
ECGceUvt7VSI8NkxU2OlLPQqn3N9O3qyg0ToTA+Vks1iGEMLM2syxxDLQC8/OFnW+M2c9S+xMk2b
Icn7p6qmceAkQfRSm3HiE6IOkY+MebxL+GPTNL1+hJHT0cHUe2flVn0F7d38PmJHupYSNLTEE5v9
iERXpimnxO7DTQNM4Bc+UP2D6IavWYkCkpLZxh52tbE12srxrbzwDpZVNNspiPRzP4ztsRhT86gn
jSH1ZZ7rcQYaWmchKvuu4dOhFH9Z2Bb6uOlxcWeo6SmKHe5sK7F/pclgP6Kale4q0xweFXNwTsWY
j8e+arytJUBTD4kTrryXbxwlWvYgkmVFiWO7OLSlnTcE6p1yAjI6nrMI1cQpKaxzS5a4MsFvDyXh
7jQFaIAtnuYyFY1plZNysnignyCiozsNoucc9oVYGermhbQl9oFWJR0BEOLeYqtlKL6liKHEZ6dv
om2cKPrJixp140SNcjJc+HymiZDU/WN7830MCjSJlhsDSs+h66sCgiDXiDEmZyTImkPcWc3BcOP+
UJjJ2mv81lCUPKVoMK09StrXQzkKxJfIDpKz0pY40oz2+DjoY+uPTV6scMRvLiO+6s+hFq9jl/XW
ZI1ugryZ221EpBW7KTKiLfP/dxjSxrw/iQvAJJeRHM+VuCueEeLFxYb0JnizTo0wYN+Vll8oZbkN
06ja6eOM149ThA+DBdbDKhxnPylGB/pfmQEQo6OgJ1rxwUN05/MU9hWCMCQmZZWF7w1p+YUOHniA
T9hdLML15AdOUWmJgQwL13/+Iemsb6Ouhd8zxtx7Zla+T8jwvxmhWwFQktYqG8y4Hg+nl3BAEz/F
aaUv9kkxi6ek6BArKRxlg5BBrWwGPar9mdCt2Ixmk1xsLOFWAsAFa/T1Z8DSAaoFZwXU3xLrp7u1
WhSNmp49Y0bBUVERyh2rcTafZj2NcV/KhPfTbvq4peKTz/80ekCDxYOEX7/3zpJgw1dFcKrfcE0W
WxJcPYKvlZueOxXU4RyicwWLP99bnO6VoZaFO3YjvgeEEXA7yD6XWAvRln1S4sd3rtJMfwrzzNlY
4M93keYMj2NQ276LLcJzZEfqJQgx/Lp/Gt44fK+sLAsw3qvX9fXSjygLli1aYudC68e926jRuUzU
ZldN5fTJoqm5Mt6bi0yBiCcByLmUs18MOMzBXOV9du7t0WCDpwMIlrmtN4NnRxl/RpY/QwYI/Tnr
dL8c0c/hUK75IL417QCiZY+DEMhahuRBJbweUcLs7IzO+GkECrYPsU87m1n3lf8yfDMUL/PtqYl9
u8WhZ+X5eON6lVElCAYSZvIduSx/xJftXIdTUM3Z2eyygKJR4z41dhWfgVCsOfTdrjBbmMyfSilY
Wuoo10NVPQz+fvTys1JH06YcnIHysKf8RLTzs97F6Zps8035SALRgVuDTiQYg7y5uL1gnYGd1bzm
PJaO66sJaosNasJwl6JyoxQFSio5dEC187JdbxjdoTFq9yPtR+ub05trPdmbDUfoQT2SLcch4yVb
TnVdtHY2KeN4TJ2s9TY1QJFjRlPdZ6tViITM+VPMPJymqje/0+avD3Gs/PO+U0YpVNYpEYdgOiAu
6ddrgHWWVQ4lzLHO8MYnDQeAjeWU0QVNjvEyOvVaeXwZnVAa5/GgQsDjQVq2DBRwNCbYKizt7JmF
tTXBwW8NXXQbDIp0RDn0zE/Dwl65v2XI80d0C0RFaj8CBSX64iFZ6iKZddCWk5UqD+5UGudidKJn
pVV7tP472rJtbx3HEreOvCjWCvRvjiwFMSRhGMm/xXU9jiHloQnanJZa6rkMPfeAVWBz6ks0pAV6
iZtW1SISGyz87i/soh7DN6PMRAGPKp68QZfF7gRhkainm/PYgI7apr0W7JNBvLNHKUfhUIEGJB0l
TVzqu1uN07ReMeeP46h1x0htjU3YjtGjaNTZT7VZOd3/qsXt9Doe9QqD9FDCYJfBbQ7eZwitKX/M
XCfZ2pYIj2Js8QOf9bV27xtDIUtGTQRSH3C8JcYIInrc55mbP5Llsk5VGTjOJh8QLvXqxF1LEGXU
er1FvavRFucQmPSsNDnmlTRCDMePBWTYbrAz2vjlJwJ545kXuv5cmcJ7RFnM2GDprK3En4v7WE6u
rCvwuHAxgWtaXI8Dzi1pFjn5YynMPNzmKFf5EDaNT8IwL6aSo4t5fzWXF/J/I0ogB7VZWc5Y5CpT
yyc7E3NshfN0Sa3pEcMp73fRKfW5w0gP+BtRbpV431rPCVQ/tKh0oIhb8OOqNRLlAuXMzSS/nxSd
fBDhE56I67uwi5qmwfu4eExnS6HzKzLb7+vGhIidAmhrE1Yj18ODPji5rwRZG240uKaPAIubnRWZ
qEwbVAnDyrW/diVqkw4qAcY2yCdttzJxb20XjToTp47DwKJd/9R20GibK2rx2Pc4WaYwarEACG3f
CUz1IVaIVFrwcT9qtzG/NGVi7EK3d/uV5Vvc5a/zJVNM5NllyUtdBEyZjJbdxC4eVdWaQUQMVk/z
3K4OVt2nmyBplY2jp+/sJ/83KnRuR2pqkSotdmmg5E7v5qxSmBrOE/DVv4pRLwG5TPOuB0/ql2b0
b1mr7pdZ9PPKOX3rUuCp/H+DL6KjIahHZCaa4rGikffUouS3haNnn2O9+n5/id86jIRfOocDqhja
Jdcr7FZKEJXVVDxOdVD8AJac7py0G6gB8VBvcjKh/f0Bb58q1ABA2tHTQuvjplsh7KTqKPwUjyKu
qw8iwu8siO3uMEztM4LlMaqm7vi5Z6VX7vS3thFYF3p6KskVHZrrL1WNYWrUxCseFTxmDrFax1tr
gC2r5U50UR0k8+cQVMj9r31zUGDIDgqN9LKXLFakkOmBTGH5GMXd/CmxnerBCDEkdERu7QMzFB/j
yl4TSV7CRl/3LvmF1EsEHMa7ef2pZaYGYTpWbJ8oM39OCPIfebmmXVMnzUujWb+xV7Wf3Eb5VsNl
f8TBQ1BEto01GvVbX4/ABzQFAiPZg7v+HcGoJei51MVjnnna3pzs7pcaeXSmhyz+MXpW8DB13bCy
zq8LuXjjZEkKKCdFIiSJFwsNKMFNp4kyvy7QccdYXflUdxYEfzcZvxiTqrZ+WKvzz9zMrD3Ao+jg
xN7EkpTlKQjKak+zN3pg4dbqPG9MB6LVlH956MlEloF4ZdNY7ew8eqSXg9JS505bxxLGzhHII06a
GxymKRsO79yB8pEhHOW4gRS5aX4GShXmKVY8j00fhTheAaneqF2JWwPBQP7UDx06MpawV1bh5lsZ
lrCbP0AeEfMvFqEKTcWCGR49Zq2m/c6wkj4BV0nPWTH8FctLzRintVh0MSYwBFjAVE/YbLRW0Ky4
3m7V2KTGkNXFhwqPl/ggAndwsw2o2tIqfdp5TvusBm2X7T29nez3lawYXNZ2kRoB9wRnd2m7nsxR
TsHK6T6U9VxeyOO+UuGCwzQ22gaRk3HlUVzc20AhSS5pAoH7kIwwY1Ge7KretkrTal/430F0sCQH
K0X3HaebI9hF4/n+LvKYuj/OFMMBxQeIKdk4BPre4jUUpWMWnjGYLyq+af6ok8HkCWoANlJtBIrT
uBtUgfV6lBUPaTkon+4Pv3g0/nd4thSZvHymFrsJDAGkbiM2XxpjTnZeP/YnJRcqcMjJ2yaj/tka
XNsfqTpv7w8s/+Lb7/6/gRffbTSh0UZhZb64SVpuGzSwPia67n6+P8py4/43uzBjOCioOC7LjyFu
D2ZdNeZL4qXKX6KH0KiQae4n1wmPZZ15l1wY/cqn3e4glhQBJCoUqCCBsr0+LcJr0lANZ/Nlbsth
j2+cvbVbEM14oVmb3AvWMB/LV+l1EV8FvhHU4KQumz9Z7MSFPdvmS91XnV9odu1jg4YevVFOW0hD
4d5ORLLPUPf4XCJt6+uRKj7WCLislOAW0ZX8Ia8WDQYRpfRPkIv+R+0pbdxJS+PEeonssNhZXR2f
9QY291yWa1Itb0wyDlrwV+A+AR1fqlzZYVaDBhusl7Hvnmun185GaFk/sj4FKeWM9Rrl942dROOH
MipZK4jXJW6h0BsvmEVnvUxwq49F3nm/eQCU7YBCxy4wJw8/QHONO/HG6TTQooEEKc3euPuu5xP3
OiNJ9c5+wUcPQKmXtCdv7BDALlvzcQ7gU6Rl+WKq47Rm7Lh86+VSUq0njJRFJYm2ux46GPAA6wrN
eqkmiLCZXdPC/R/2zqu3biTb919l0O/swxwuzswDw95bWVawLb8QsgJzLhbDp78/urvPWFtzrNvv
FxgMYKilIotVq1at9Q8m4uoxiMndEqs4WBZJFlkOvkO0ysddAwbIT9GovYpFbkdp3aqHIek/Aq6/
/Q7gRjjoSb02yDo3PC4mb59Ly4s0pVZjP29ECe+MYmepn8WZ2ndeGBsGgF9Zi1x+rsYmsf6eav+P
wRkWbjS4J2gmx/C1dDKormJj9jy3TrYrsGM4ZRLTsLCdj0jQb8+FP4aiTwEFFXNFB8zc2/c0czIW
15jd5wWY2r50tH436eVy8OwRAQbFgd/vFap672IF5ucYmP6tU5eSKIMDV9uKbWBLYEi9Hd8qtXmk
vJ2/NDOEkYOHzKJ6PXSptL8UXapNsa+gHbB+EDqPCgrbsBQXkaijasupj5r022H1rKsXYXb6yzpU
Cgw5L7WLCEUquztxyr6VQwiASB1vDUiH7jUwUDW/XIYqHXxTj4G8IyMRRyLmBv1B2vU23vBEm8Ex
ct2Uu+nwIRT19sHIuIDs2Zn6AkoSeo1ZFNouj2shQ2uouq9u3cqPiPhvoyl1bBjwUEip5m+463dg
SVdBxk86VvpKuWPAMnue7rElnH2tqtLnv3NO/jnUlohs3jcks0eBOxUjGw5L+1fIeplxnnsjWDfo
TW55p+m5c73IFC9C9ppjffDFj+eVlQ6IHpIEBTqkOI7VBqhtYzrlzXniF9IZzzK3NvYL8v6Gnzm2
ckB4oP5I8v3dvALrRRSIugcekETWo08pY2yhKi/FP1ZxaLMribCCNiGqj2qT7H89sW8jOBOLLM0W
uql10PVjU71dNgoxzFFE1yd+btnxoakr+vplM/lLq2VX0+qYV2inFX7qrNXh10O/m1kgtltZjkW7
6WEcD92vkjohApFYjpvuctlwaQxw+WopNCGFpHd0An894Lt53TD6HmwuKFTAcY6730OmjCBb6ph3
HeP8G+KHre0DGRvPq3Xwhg/y9Pej2RtPH3YUNT/+/yhAFlpO5XwtppSuMVhDoEZF5Q956Xn+xEn1
wWjvviNXIBo8eFARn9CbPBpNXc1kTfTSTn01MdWJ0dAO9XsrjU2aIKVVbIheqAmetTQXxmK6X389
t0e9JhYSM/uHiAMlQxq7Rzt0onxbGtKIU59WiK4iLWzkS9hOlVueNrOHy1ffJDkW3mrvPqcukv9+
ITz1qxCD+HsOYDzL5vq7Kf3TZ9x8kY+eJSVlXh1vclJ/dIxsP+qlOBNNK/nkTo0/0fqRKsO72afF
SEkLGzfYWwSJo12kyzGZqU7CWKgnMdzQTh13aE0pvlmW8UlaNOOnxDam0CIT+WAXHecbqB1vNj1s
YV6bIul2Tv+U0mJy4vRuJRl6NvLqYanaG6yYjfumVmkhO/pyUiA+/0HU+KEI9O/bEe0mEi9SPkRF
qZEC3js6BmWccRI1hpr6Jon8cKt20zCH/VwtdcC/zTvDTufmMJez/mCLKvtkVPpYP9qlJs8H1Bkn
32qK5d5S60zzZ6da2vMsr82vIPesCw3xnet+TOGvZ4k1KfsB1uX8jZA4nQsV3nEgyOD6awcJr/GP
G8J/Pc3/J3lprv94h+Ff/82/n6hu9lmSiqN//usie+qboXkV/7392v/8Z29/6V9X8qUXY//yj4vH
dvjHbqyfH0XW1Me/8+ZPMNKfTxI+isc3/4hqkYnl0/iC4NvLMJbix3A88/Zf/r/+8B8vP/7K3dK+
/PO3p2asxfbXEh7rtz9/dPL8z982TMd//fzn//zZ5WPFr4Eqbqrv2ePxb7w8DuKfvym2/ftWWUTx
lASWise20aeXHz9ytd/pZW2ioUTXDePPj+qmF+k/f9Os3zm7tyhB3k7CthUmh2bcfqSYv7Nsf6TN
m3MQK8r+7a+He/O9/v39/lGP1XWT1WLgZVjv/16ZUBgg6nKWbSIyCCezN97uB87w1lHSpqK+5+0X
Y9cbkDNQKvlpSv4c9edR3p5dP0ahqwTMGBw8NxD1aP1n7jyVLh6YO/bJrkY9FJ2zPQY8l6XUbv7m
UDTOuWKRYm+cFIw3375QPIATUAsr2zlu4bdYzYAdSNT80PQfGaxtYfHN1B2NtL30T6HEniCIrz0j
SeNmMm/L+f7Xb3LU/2LWoK1Rot4u3oC0+UJvB3BxYeae2Bc7s8nT7ssySFvfiRp8wBe3UKrukpJy
Y+2wB4i716p1Z/vWHiyvPSmGcpg/t+XU2Q6km2YZkOdUhDw08+g4AXaHJjcq6PVGZMo+Hq9//eDv
1tSGKYDTQfOCNPCdqog6N0pLTzjfZfJ+qa7t3PXr9gMo4PvJZ8GSmHB2bXi04+QEmHVWyYExRjkG
s3VqNR8lJEdH9I/pZ8ci78TtAC73MYZ8dEQO0A9Vg9gSzy1YQ0PLOYTj0ymW99Rt/GKB0G3GoVJ/
sIbfXhb/GplSyDYyFMvt5X9aWWpvO4lUGdm+SG6Wi/hanGbX8/4jo4EjfONf40ACIADBSz/eltYw
1Hmje9nO8L/R1zg3fDWAeBo2gRet++QOPFXwEYzs6Er456AOVRekENFoPs5jaxrHQ+3hqWruy5Pm
0jqIQ7xbT/NL+6CcaB9c844Ikn+MRjsJjC85FoyYo8ijKAUIX7Ka3RTYe/NUuWou+xMzmP0XEU07
GcloDeYo9o2g99Oo/ON4fHM6/hz3jnDcfw0PIxTYKqJQx0pvaOI7sZ7p2S49sU87XnY+i0/sEzcU
B3lQouLCubFurMQfm0D6a6AgW/KSvyjPxrV7aV/iT3SShF6onjkn1gcz82Oe34Yv7uZUqP98tOPI
P7WJOq0DMzMnUZoiUxNBmxfaHsO5tvRl71eNH9e+2vrVrYM92EdQnB8Z/bsHIE4jHMWNF5D721Xu
1M2cG/GU7So/ORg7L1R27qkeTAc3Ki6Vr8rX7ExcoUfI/8zr+Mrc6WfKiRpO581dc92fom7rf3RO
vY8qEEa2sAWC5geh9u0jjW3TOl4+pjsxNHV6QSbX3+Sak88fIDvej8MZuKG8UOYkshxXvRqlBKVv
F0TIZpzLkJrXWPjEuw9l0N+HYgIRoqY0P6hxQk1++0LToHfVNHUMlJhPdjW6gWSvBOO6fgTXfHfE
A0Omsglxg0oPROQt8f4pZgENUmq3XZQo6ZS9V9mR7p3WWREY9Ucn/I9a2ZuFsw1FI2MTYeAOddwr
TrVqiAUmOBE6zjfLpbhSvotb66y/Ag8cuVfFdR11V+v9jAD2N/X7R3r5R6VU9jQtJS6ocBcpolDR
OXrTljRK0adSicSuPelP4tM0SEPqxSf6rr2swjZ4/vVxerxY6A4CMNapOZDZsF+PUzQ7W9dl2yd1
1kd9FgCGCX89wvG3YwQKQdQHgajREjxugyMdrtdjumS7JWgC97o8NB/cut69ApUSZDpA3NG5ofV4
NGUJcIPOWZQCBUZQy6m1er4ppjb69Wscj0Ixf1PtocQKIx5iz3GsL+y+HMHsh4uyJjuj69Kzws3E
33wXREf48qTMJAcbPInbwc8LPVeMicVZlJHeKe1F7mjxDVjs5oMr47t34S5OOxoMGnAISmpHwdEr
p0GKpamiOqcvOrX9FHRuH3/w4f/TKFuVkEs/b0Ut/O27tN0q5x6HxmiOcU0M+4H9HegCwvcHB+Fx
HOKcVzGs2bzMady9k8WiJIhEu97zOrJxMJfr6mA1K0zqqg+1wP7TOwFUJzmktaPCmX77TrKENdkr
zFyqW909trXtZVkn6wcvtNXW+EM/hyGbeiPbcRNv4oJvHpeQ8QvNhtLLihD58/LSSGpHT6/soRaL
m4Vd1faVD24JaNrQooXjW0UCtGK2lErBRCSf7so1KdawpD2r7kCjro5fJukgg94zkiVoncl+FUtr
XJEIa/CUSoEMoBy070aKKlakLhTwc9tomzDF6AENKBd/HlqY2PPkJo40aFeB6/DLxsQyUoy6i0lR
atBtwu/AurNhz4w0GlztkFTrVJ51K9ouoSdGa47sccm3etM4xL6dZ+p65lR078I6zZM11Eu1mz/n
nUHnsypAP90adrJqnp9q6SgCdIeM3HdLkW60tAoSl9kV8hP+ZZoe/nBPLAsb/2ltNb2rdcymO1Ao
PGhLe6jy09nkEWfZl4/dmPSqP7jwYYMijocbe0ysC1wQxRAhQYxviGwdTYY2ahbanslMKz+zy/hq
HKsM2PRmbRVSZNPaUChyGX0L3d1nI2kNx/fUybm02xHLVzmZOdL+dWZ/km1OD3WlX78ROJCi8NNV
Npc1D4VkLbfNL3Fn9AXzSLfbjxugUX6Gmui0y+Yei8h0BVkeaMLKiNJOBixS5lNx3uBPdO227lTj
NQGg31/Z8bMvTF0pKQh1dXu6lBvSe1qTRPgVS9YI7NauNd/2pvZbZyxVph+0xVF7YOil86pDL2kD
Z83VhprdKNRA5gP+XYmXr1NQaaayBAUShAh8Z0p8XayI0UUp8JksOykdifzqvp/a7jHXlwr/A60S
wMkUb+mCRTcwP9bWZb7whsYdwqnzxOCPrswRvASc7kSDmXtKiEHP/EDrpFb8fMYzJ8w9g0TRzZsC
z7KxmaO0LVBN1FXFLJEdnsQS5Fm9xL5eVf190sqs9XUTeP25xGF48KcxRlzesefYjYCVQiJPa1ag
D/+q3Vka3DIMzSfXdwdInbhqYm4BML9Ous2Sx/jiaHX9WTOr8ll3K+vRaVQH2rQYMeIUVsPNzSHC
HSYj027Z0yv6MzgNaVHOf/1Y2XgDBwq9/6cx85zGT9AKeWVtrV241jG6XWuDeKVfFWKS/qAP6uB7
aKs6J6I23XKXGIZiAa8oMZMYWU4LdNyBhv04qd2DZzUzy9trPaUKUndw7zsoQ5XfCatK0Aku1Pqg
dy1UpWkkhvrqEqPolurSO2vLGM8laUsVP9+67dcLQ9btVU7Px/VVTDbmfYLwZHoyJ1zI/Zp70NOQ
V1kSqejW3aqGQP91SDNVCfXGsWbfXvO49D0YWUbQ2V0pA0Gpudxn9KVb7BKXQkeoUWqQXHNXfSj0
RteZl9m516dMPrRQnZIwUTD6UJSqkEGVGOW+RjPz0nUW1WKzVta5VVn4Dzfo2t0jdytpdtdYma61
7UErqFBA2HdmLs4GpS1XHy0m9UWfxw5yjzM4l3lLSSGEUjOMQaJ083wLDVRJ7FCLkcA76VLdzYIc
X4vXguRajfTCnOKQ9cbZ2OmeXEJNalUPWMGiid7M+Mr4CEwPrQ8tD0SwR0G0BQJcnc5Cn28tzK0+
6YOckKTPhKJHslGslwSZCO+kLcy0P0ACsQHRJwOyupLkpo7Quizn0K6zwfTjHlNEn3NUA/matWng
1Shm+HM90MgojI4Oe4qp1eBTeYdfMZY9K11Bc6nfJQ02WpHbtFWyXxLU60OR97EVDIpErLRPIcJG
WK7leMqncbwfkrbQQqFnJW4uqZd969fMKyLPVKClJE5R3ZbsKDpPU7esgTv14xTkshME0wZfoMCV
dKiCdR3mJMjxtXpMxtG0ohlwn3EGLKrRD2anzeSybeq+TGAG2Wr5gC54nnc2Sn5LjyqPZdD72snM
Xr94Q+tpgbLgfhc4Rdue08/VtWCkg8HILhQ8X9GwQ7mYKH8XUTdrbXo5Jq4mA7MapRKOrtHG/oJM
3sCr6+bXpB51JIAA2r12uZLaETs9dv1RaHhjoRzoJmHu9oT2aR0VbNGR1TBQ31eHl3aB3ux3CsYD
vrXMxnWZ5mgYTLHJjgRdm9l+Tg79jOFrZgfcmGQfpOZkuaGdJq7u67NLaK2zEcekAiIMjoSzMxKf
FlVJfWxrWjOgGts1wVB5zYPt5BArUkObUf+PkxyLp9HS0UwodeeMgCJZGG31w/DOLbSuSDglPPmQ
jMbcQB93qfqjdiXGsIW1VwRD02dfG1EQeNCdb57jcU1qjrWq1U7T2XbXQO9y1TnQ0EKxiquH+amh
7HW3elIAxuGa+QxcdzyjqQ94AK+MKvGpjio6J0E1XUm3rdKg1SfjeW2Ltd1PXIG7II8XLPw0QA/0
Qqoxu+ukiscN1lVY9bjGMBW+gUTTYwW99WVBNHZm6BSa39Ams+F7sieBcNJ52TeInjpEL6v57jmr
a/utuqUlg7aomm+IaSF62ehTBWk1aFpUNmzdw4y2vgKj3pbKg3C0NfbbQSuMHXat9TcFRYXO17NK
bwNWXP5VmD2RV7U7cg4T99pvcm6IP123klnxJu2LtNuWyZhUsR5EaTZz0MluNSPo5uqrLfWh853J
7PVgoNSKvY+6ioe+MqoxVCB6GD7X9PFzqa/ZHFSusZqhlWv9bc5Bq0W2msvbeB49FWiQOa+4uBPn
HLLFRxN1ezaHM2T4Gipltjzn6qxC2VfU1gZG6pZ1e9lnEukvTt9m2I1Ugx7p/GhrYLClTsYe1m5A
YLW+lIWZjUEpRHqBTjsQJKf31hs8AWpw0JNmP6P/Mz1l1oTJLRjGvg5EbsU3DRgJ1nc8OXeZbS2h
mkD13mUwnMTOHLJaP6xxj0MhaB4qyuedl47fZMeEIMGuOq8rdYc0Ggw8EsNyEhUsOyk1zW/iyRj2
K7HCiJrJMM+9riMf1HuVvmibWtkaqRQvMETEXmlvKIn1FTNCLt1qM6Tprunt2PJHGHWTbySru/jm
4MzXpTQRTSnwXX5KlmEVYavMbRlas6G/wjpMWIuYFdSRPcVW76t5Ls9Hzco9JIIqqrwTrVk/7QxP
nOEW6J6x2GUWanbe9RiPtZ6xmxL6pJFVGvlrjJ6ojR1aHUdNJtplV5okQ6qMSWLwpqo+Q64etets
yZUiOcQ44XWvokMC4p5aubHkQO8q9bRWc+VprTTRWP5qCDmFK2n/tFd0ex3RE0PR54F7VGtfpnHX
TheyVt320qiSuPgkxWgLrHuFPu0Le5KGP3TYYaUZJf9ocBXaE1xW6mXf9a4hQtxkDTPIy04lU5jy
uQiKrHCyT67SkzUuZa2qtDM08MB5FRdVqBtJ+kSp2H2Z55UzKZmbVNsrHcShz4LOfRtU0IoeTB43
Oam1elUvjG5YtVPaA1iJBouXlEpQ6AOCzeEoIFOcZ3EB3jyoOK7PVwpXpOQlchhe5MhMMXFM06xC
64mpMaKXhZ0t36U+e0a0ihFb8j4xP+NCYbT7gisOLuJZ0SkXeU6kPYALifuA0G0BYcDr3fTm0HGF
ThEHpEG2V/NSE1+EBQ0g0DMzHjKiS699LdzRzX1snkuYPu1aJVdSghQ8KOZKtCbHd6oIIJ+97qw5
k9Op7TXEcm1x7enUHLq+3jstjpHE+9griaqxdyfccc2+1km9fFXAPnp7KJDOejrj+v3kLXnWAURW
p+lg426VBMABejn4VppO1j7fKN4nHa2hdDdWq9ZEg5gX7RNVNQn7BW1eL5K6QhRRRW9CuHFlUoZO
XWqAViu1bXw5xJVT+V5lDi90ZOt53/fkOad1rMflKarVWhbWNYfzFYSrCjHdHEzIrWMvufpFruhW
hN6g4FOJn3ZRoN5Dcmg/ZCqfJVwn+ON+TB4qLgZ1JPqK0Rj6R6+bhB5RbPAK3KXqzt7BKzGT6x7z
dbx5WMdTVOZq4freWM5FtEkDdfj/6QqZZFVoCdoH9sDWMYamDIAR9AMTORcx17y2joMedJuMiCNu
9oCScVkFNaiG8aZLKqs8FxmIM5omXa4FdqU0ZmgbtXNbq/16I73RvZ7HwWj2la32TxaC1eOpJamv
fIImNX0Bn+cpe6KBN/moMzclMuyV0C7A9kg16px55cRDx2R60KfFTA4FbghTBJ6zwzrZjDXtBqWo
+lvV6Jm2193Ye9VQrYNNvXI/uhxUPlXo8DnVU6fQK3s39X2iXcnN6etEVj1ifWznoXD8zFNKrQxR
eO/IEqF8V1wH5kqGboolNRjVwnw2DGTtTrs2RifWH9cJq6dmVTIlFJnZkgmqkmMW4FcvLm2jRx7c
UAYWm2jSJIm0CQnMK2QIteQM/fZ19suMkm5gYgyluZTimy3FUWOtkn62VmN8auila35uwK9Iv2xj
+d2MbZKQzHA/x8itG2HW2fLesPpuvLXatqgQcjPSlzbmxrxDiXB4wv9Z4c5dL+tp6WZKsTcS2DdA
P9ouMPM0eRGqOfXhD7DKczU0Mv7co47zdenSNMP+N8NII1v1JACeQI+g6CduKiblg2d3EXN+UgFY
eMUDo1OCOm2t5qveqOgAWy5WtmdN1SsPCrmUdzJ3Td361kb35y6SjfZZPc546lqoCd6btfDcoJj0
qb+mvpTel1aZNKcaLO3ipK4EuJFKlajy12uHDV8s5I4rahf7wlK7OAQJmBW+tBRd4fJszoB95ETi
adttlxy2CFVdCdSuykDv20kLql5yi1hmfT7HNqmv/RQTC+w8OV14twFYG0l+o92nFREhUPjjt4Wa
cNanhTWIC1Ob7fp2HkSdXeNiW+un+bqK4XyTe0tQCLY7LzlvFbP5boGeo5oiYChEVc2VIcRzbsW/
SXfWetfodvqp4r4APNhp6Myb2ZpbASX2Kg+k1W92kt3kdpR8JMaDQ9OZ+kVRp4t2liVcVp/Izwrv
sHSumwS9bKVAtcyqrxFMcCX4uMLmJrfasDr9cenrpwHT72vb1qt4n4sZjymn17VX6i5LBxN+EP3e
dPM09XMbMF64joB7IoNjVhAJjLr0W2FYRVB1BmzjphtlG6VG3CkHQcqZ+qVNvgLgcJJ56MIczXyb
m+f1ojf9el6O4NctXyKAmz44sAjuUHVR8oNMFC5XC1vV8pfFUodTYLIxWDuQ2hPmDYstArJ1KX0X
vN8M2wJzidDJk6nxt0b4t0EAp/V7hbzCn4vR+Dyl+fpgl7r+FZP3LjmBtKyZ1IXgFPlKkivTIU9S
pH+Rl1vL62WuTXaAMYwhNDuzoeiAwBZY0TzBQ20xljKMFRubjJJ6hYrFEI8NLbVznxp0SfA07ark
Qs9Go/CHuNaWaOx0kR8WWVjXca843+I1jW/sPI7jMzNVijmMadXs11SZaHmhd9GHhVEgCs9dBv/3
nrs7NH19FqdDIdLrTHZp4VuyXk/TxGuVEKVXPhCXDK7LLXNt+lU5UM6bx7W/y3D+IwfrakBIKoab
35J6sG5N6ay3cVWsPLg2u0Og4+s3c/Gb5GNrtvN3o6isPkypUUofFcjhROtKs0TfhU0UaXHT3YMf
UR+MmG8XDbo1ALqQOPf50lH4Q9kihQ2ohAk6d/tymPwZI83e12EWXBuIdbihknecisPStbcT4qif
+iStruaaToHfC7X46i2GOrO+57qjQA0n2FfT2LlujbyeAXE5yU3fOZDPm1RZnuvSHkpQZYkNc1kl
23eslZKeU9v2ZVbGwtpLeGXKbshHZfCHCvxG4Nl9fw1XlrN87lQ6neusvOL/yF3KTY1EidAi0PUQ
zYgy9bVCdSmwuvRL0DeEAgTRWNTc71MKBCQsCZWZodXaOeAe5U2nbB+0gvjjRJahNp0Mf5DKPLfG
wUnCQi3bylf7pe19187Quu5rL+UegViAu9fJGkh8wEwD90inb1ploMmLXWRyMNfGToOh183bJrad
b6O0nSacc5OPS97TvToYUYEjr9dahJUeU3TQhUhecmkOT3AY+zaq8It9tWGUUKUGd30v8DZ96FJU
hLyunNudMlniCv6S3BCK6fBSYyz1IEe4aWHR5EtJsdq2PiGnrN1brai5OMIPRZQJj6GWkxrsaGTY
k6WC6ZvS5cyOF0w7qbiqYaaV6inEgi4LZBmTq+lx7D51kymppmbZegY5AeyOl7XeaWkMluJ3pAWV
L+p1MSMObLKP1Ri9r1TqqNy63lB+swdE2ri71tpMftK7HurdY6EFZdI3T8NS1EtA7qURKRDKWfwM
7a/CR/aug6ftLrL1nVnW38upQU0AOa48sF3CdYB1YRlHKxzJT0umVj27uyFV7rlpZ6FMJnJoFWH7
NJg04uqph8PsrQ4I+RXaKAd+p6bOXZ6Y09046hWSUUgARyO5pRbOq8Et0RCVp1BILuVzmqLip3TO
RPLXJI9phv6fT6aX32pVrEel0Zmndp8ku86o09HPJH0oP2k8TP7K2J6+IKtdo/c/5flV5breg6AC
8drG03DQdaSpIirLQgSoMirBdreM9HSX2JAPAsNrp6uGG9ndmsryijpbfC6ww7P8Li3lN92kZrRz
OCVP12R2ni01K3G4zkyjOTNxMjCpjebrXe8K9SypXe1CmdRWBBjprM9K6rKJKNEOX5N1Hh+acYL0
Piv58oixBRhMvXfohmSmlZ9znS8BbVFhxmXeKCeQEN46PMIjNNm0jjG/epQt+Gv5ON/PsjDA39BA
GwN1Vb3vppBsPPZd3wYzIXINMchovplKVq4B7AZD+lQpUo0AODm3xsglllOtHS8qJV2xBoKQWPqq
dOyShBqKF0Wnpjsp56Emn5Z99eyqnfN5U5UFdCCX6i5Th/peF9QzQs2cqyF0ltlZSL5yHSmqGApD
WJsCBm1eZPGlWPrB8s2WTNiH+ed989IUdRvFjalnGKvW3RhO2n5PyJ9an3rHVqZAO/ZlNfr53lm8
/qs1zeiJdVDpqVMS4mJaX00oPbM/z9W1fkIdg/ewmiqefbPWjJNck3kXebi53efpMKqB2ujOjZnA
y8c2AAEWFh9IuTBR3VLbWY6Cc2RvT2hq1O5ktFHbwZqhJEaOEIyoAD4viS5W/EO96nml3MFenZxV
D4o2TzjNXYwig75PDbZSXAxPjmnPOs8nmwunBH/t65TxlXAt1mT0V13Lmh1C+6CAlILJiXLTq8lw
Cs5yZXOujFZbl9dTh2p3WECMZff3lffJabzqflXbzvTZRPH3eaR7icmlXo60tRxA6chaqFeLUVsP
pr4lZRxnow14RZsscOSeNuizP6Wg45pZcUXgcknrth4ZlN9u3PasYVLLizRtxExl0vHvCedxylS/
oY7AO8eZVYUlkwjYth7zBSfDQcf3GeFKO5xRgVpYL22aRXQ24/Eg1lgfAtfkOnJB9Ld1/9ct7x9c
wJ+bkDDGUQjB9ghYJaaHx3ZzCd0tS6u6MmodN5qLfZ5bJ2t3ZWr56WDe21q+1xexAz0QNaYbJp4X
KNYQjdoZBblLTcci27w0KPvR7Q6tZNxZ8gRFA78355PKvViV4oO+6fvuLIxCuqUAvzFGR4DxbXe2
c4XUvFGUEbrW8VdQI86l6SjK7tfTcgxo2ATKMNllWmBrUOLY2tE/gVHyYXN7WK08skS53qlTLy8o
Ezgn2BjrEf7fHykFvn8rxsMdzgWOqMIn2ADvP43n4CulkwHlUWv03N6XnKQS5NsHH/s/vhXASn4T
7AvEubejjLRcgfqYOfBnFeyYrrQHSM35wVQG49ACfA1/PYsbKuPntUXDHo8iVKHocyPseGyjuaA6
ZjmF4YbVFnFm07xUJ5vUmpSe+rJyVadl8sErHuMEGBLmK2+HKtimqnv0inmml+lIay1smgx6jYLE
jYPfbmig9/fB270finUIwFblAMF7wz7CPijDutj2PFqhont1AK2YzntC83KW5Ucf7nh5uEgZYBCK
mpcO8Ys18vbDEVZsBM5NM0RDhKpY2mOg0nca15dff7D/NI4JIJzlzwaAWPJ2nHIxULSKMzMsJsM4
WA4HfjM7+gcAmPfLAsnFTciUuApwyDnawu0y0JoGUBRS+zduCLgOaZWiV9jIpsW3saxpWBjj/JH6
8fuXw3KHJguQedTM3WOWSl66WjwtVI9qG+kJqifaSWe16e7vTiFYOWDjDkgJIKPH+mtZziHgrIUZ
pm4vT60M5hHh4+/Gix/ItS0EGpthAVCVtx/KmotUL73cDCXgHG7aqgzKvJ8/wBAdxwtG2VQyN5sN
wA4gid6OkgkuNaNojdDu15meRazt0O+ofcrGVlipWXf9t+cOjqMJl2CTS3/HULOmzpqoQxqhVmrj
rlc8eeM08/zy61HeLz9UBjbYH6oO29m3rZOfYu3agPqm9mhQVLVxhUNTZT9a3XCH4L1yvRY0gaBL
kbb9etT30WKDqBIqHLDSBPijufTG1UtkmRrEQm31vYS6aWyKzK9l+6eZ4v/n1PzEqfmBAPvfSTWf
H+vxUYw/c2p+/MYfpBqSnd91whtyHgjdERJYAn9walBu/B04FvAHNMMAe2+Y4j8pNYpm/A4B19k8
O+B6gzjkt/7i1Oj8wU0/F0FAgJDoZuh/h1PzQ6j63wfnJqUDuQwkorP5vqAFchQh8wl1KCxD+1tp
zfYXFzmBoFPwe1SwU/+/1J3ZbtzKtmV/pX6AB+ybV5LZSUp1mbJkvxC2bLPvIth//R30qbp3Z9qw
cAqoh/KbvbHBJBmMZq05x9x3ZIfRijOMOylzQkNEn92KKte/OqWtB1Na14grZHu0Mmd5iE2vCY3Y
WB5UJG84u8x6gz6p+/b30X05U/z7B6OSR6OH1BBl69UCFS9q2lhJLk/RHCFJmxbQXTWJETWYhK1G
Mz38+/V+TT3XT2iNDWbPyoYc7eHlR5xJq3eXQpWnIfXUT2brPdgldZKpVMZNP7mvOR3cm476x95b
iQSAthDzmgPBEt16zlOGY97FklbZGAUYm/q7YYzlhkWhDdTZlX7tZc7WnE1nhxbOOxiJPn+wCq5b
uss7QPTHVgVLsIFc/NrGsHCsMPO57GgRlwndnJ66JCehwDNkscFYfVIzuJKK7E9/f3TXdBAGF8Zj
Tkw4gyAB4yq/fHTKlA1056aOys/cE7Oqpzs9btLbsu/6G49GuT86Sn+o42jco8dWwnJBxuW64iNk
x59+CdeHZmBRNljN15e/pIAw3kTF2lyoLLnPitq4cxHM3aV92+1ny5SPvdtqaOlVcXDQO2ypnke+
yUnqg33Pr7SYq5dBRAeeEtYEQ0dnfPlLGnPKNbVqllM+14gNIjQy3tiPLy0jaOfMxXQWk6SHQ/cm
0FBS3fM15ZsytRBqDG106OkfPI35WLzq6ACOheyHT65SFPdq7BkfrMpXrpv1Y1sz6Rk1aDCwHl+/
QKN0NDSquX5y2zE9OknbvCdINsCIp/KYGCO7p0nYuz6aq1PW2OLGHiqG2LxU2lat82lrEDS55T+n
u4rtwwMNJvWDB3q52v36iQTE8V4RW+Ehvd4FKX3cmnGVGSczlcaO0+7MmT01KMkgEPtgPP8+92Bw
c/iEsB6rJtqby3fHNijxVGo2p6GlCOCj0KkW366TMQ27khZYkKE1O0MBoZaoxar6rFMLcbYpGtVi
4zUCIluipbrcwKHop60Tt5Z9q6Se9joYrfH97792nbkvB9r6C9l4cH50LEw9lz9WWsJaukQzTkW5
AM4aomWbmEOzUzu0k+2Q6bdgeOZDqrggMWk/fvBefsVfXFx/tXNgmQGKyVmP5eXy+r1ZNH0BTeVk
aIP1uZhRS94MBKvofl2Z6qmL4rUXRPIDteuI/jEcX3xR9EQKo6JkIi1swcVchV2jeQctaizOdcoU
vRgolN89qFQUQqV1m5eYigMom1R/E9slI8mllPmeCtvs/R7JVLyRpdsfubxBSIM3ZvJA/winjte3
NYTuhaaxX07DuIRIj5cFjVNVkvQXTeZ58Ni3o6iz2s5HsJ9/b2vN+447GXVJNJdEUrhuLs+QMvgU
CABdfuSGPSHKHG29DRsTeTWt3S5Xd3M20i+jtVkMW48Ctr7pxrJBJe1qlHbQg1RBgdoU2VthONMG
QS8ZnXMr0GzPPRX7bbyIDKThiFZMhQVW0EjUtPyY1Vkugt6RRh5S8SmtsJLNOSMmKuMG4zw0NWFo
21noerQbOpFNYZsjZzo01pgdkCAJqlt6mTzQtqHIROfSUgMkgYUW/n04XnkU+VBBlwAUZjDgqF+V
9ZfjISbOiopv75zscvJIBY4J5extLKlKY36pLb18pMsuKNFa1onDafJ9AnT4waD87QNeXcjs+VFK
UIzFFHH5GzSY9GVSd84JS2q+0xd6H5XiGP4QV/W+dPTxg5v+bXLieus5EAwGGUnuNSrKQaQ9d3ri
nhQlHfdFUuQhRWNn63rLR+WIP9waRyeYTeAROBNeG2OYYzPFGhfvJOrE8Y3Eirc5fA9/knq8LXXv
Iw7kH26NZYyN4wqJsUE5Xz7Kqpn6OJpc7wTxFqx9a6LrUvMflVp8hD76052hMnfAYDPpsmZeXolC
smZGlChPY6PVB3X06AaDON0PLAjhKKKPHG9/GqkrxRirBBu+1Tt1ecESnTP0yEo5mYVe73MJznEg
beqkuXyltOeWbQq1xm/RBW5aYGB7L8+aD0bOuv2/nL7Z+lNcYmGji6OSB3r5IyJPG6RA4XuaU4Wp
r1Vwmh3ytlVFWKSoctGhIcshf8ZcpB8Z6KYQSHs2DfTKMV4WhP2Ut1Flf0TN+X0rBZGI0zq8HhZC
PFjrD//HodYwSjdHsuCdLMQPweRFh4b4c5qttnYyqty5rUkb8z0jGkJVIeh4qOfxfrATe/v3CeX3
jTn7OaoeK0yHw5BzncvH7Nfaderm56IrlfcI2fObVXvmQ5sY3feeh4HAeu6oh7dZMX3Va6Y5WmBp
rKHl8hTtzZNe/inpCnqkhhV/ypSUdttMXKJ2zGWjvhj0w+0wTejYBhzVIge9e8ljbgrTiIO0gbD7
wQbj95HOGMethdBzJS38VjUVzSrA7qOTQlQM8FaisfvF1rYyqfrtZIiPvuE/XY/nxjhXbQrz13CT
3oAiWy52dPJ0sS9qGYVpnj8vafkg0J19MKL/8L5oI+vMhowb6v/X2BxdG6VONpxyqlyzONVGlz7o
q9ptRAoUVP0cH5JWKj4VyrWL342hMXEuMHr9XTIzH+MOfXM6R8Ou0K1i72U2WjsiM1FyoLfH0TJL
9+AIuWwKRO63s522b0QEf+RD+9MzY7it1VGTr1K9nhzYOqi9QljOgCgPQVr0ZciW73LQvxV4Df4+
xH+fY3liBHiSp8GpDZHN5aeWGZXejnSVT6ibu6AqjS/JiHCfGOHPf7/QHz5qrmSxQFF642Lu1Uc9
9pJOq+XFZ9jj3Zd2rpevhkUwMNno06gEcwv4NagylI4ctIdh8WOts7+MGpGQfqkpXXP/wQ9ap7fL
3SM/iE3CulHgEHkdJY6Qiji8porPhS0IiVXq8bGbFysYhZPt1Ux2m65Vi7uexMON60XuA8eS/wzc
sO5Y1rgAysfOunfhtHb5+FHgZC45yckZ7el4aApn3FgocD/Yk6x7jqs7JUIMDRJVIs4v132ESgoY
8e2UnheUMphpRitM+/z/YthanFw4yK2IQqq5l/eCPBBPmJ5m5w6Jm18p8mTNxoHOMbr6fv7x97en
//72OHuyhFL1ogBO5PPl1WbKnYormuzMih1WsbrGT029XQWocIVG0HNn3ZvFoDthVERl9rTQ+Kcn
22gzjdRRqJvF6+aXQm+8x8FV6m961ZgHOwpaAjqN0pZo3PRKSQOrc8QHxZLLmu360qlYrOU4gEu0
k67r3baGYHLRxuyMc+oms7FwtI58qQvzVrWKd12T/2G09P++oIeMek1n/G0ZszKcaYk0svPoEtbX
TjjhoqJXN6gkvQ+m4N/nEw6E9DPX0ysdnuvtb1FZcWn0Wn4eG4TZyURvZ9SQs5ER2nwwqv90KbqM
HkOAPCBmlssRIPSM7A/J4sz+NwuXFrydLXLlkOgoW/4+2n7FGl1+QabFNagI0iaj3H51rSkBzWmY
XX3OzbZ/cm2ho+FwnW+0frTPvTYb342hR9tdJbWGzzN33hKhICZENqWlvtWnygteKvbLmQAsNtJa
e8/zxcxxdRGgiL0VkUPYz1bLPnAZuzuCHsQSMiQN+u4ylY9VDreZ7wiRiY/5VXy2lcb+JkRkk9Bo
INcJBtEtMYppl+R4RdXGB8h8ziFL5rK4i+1hulNlXOT+EtsjJ7tZ2PQMisVAC5gluCSXhbjm1Jv0
+VaNIQoFLJ7Iz8aJqJRBhwW5FRkAMt+0m/azUpqNg1IpSb6ozWRIVPG1KBAg6zUhC1M2/tTG2GDZ
avttplAx9Yfas/F69YS+BeU8wx1BxZfjVRAeW/t4WAkb9hqDnWaevDPaTll8RLPTPY6hl06JogyX
6zzfFl2jfvn7y73Ckvz6HmkKaWtiHMZ8EDqXA0k3Cjy5mmjOZVwmKWJ5Dc9WnQ0Zijr4B1GoqXhL
OY279uCLyc2/RbaYtYBsWvFUD4JoTANH/+vCnr0L4WqpWzLZssQfokke0IQZh2qOm0/k0FnYrar0
PhekJwRIRbv7oR37YtO5xvCU2pn3LseJUq4OpwJtkOnkP1o0Rqlfl4XuBmPSadPGGbvsLZ06LE1/
fxK/9BFXw5zjJM8CZ+7aJFs/uX9svIEOZp1pVOJs5rr3bgEAXXwhe/yZ2tA0qIbKFJHlkvQxynO1
adSdrYyY6gyK/IjMtLLeliUewQDvp9B82EfRu/KraY69T7f91FA/dxNulMBtzerILdFnNhv28DjS
UsgvuZJTwwZCrOFBwmt13/EC/Fam9n9ImmdOtDRe96oygU4OM+nyVpu+zpyo95ozaHJlq3kV5Apt
eO8U1D6JOzu3mAg/OkD/PmNRGgcsgVCdUicNkctrwpcUnTfI+qxRtQ7bRkRbHef2RhXjfPr7q/x9
yedUt1YRDVulRexejWkxaPCxtaw9x1qebGxN9hsPW8wHA+a3sj+X+FWuRDlABO91wYUCsoWptm3P
k5knoVTdh4RwnE0coRlMuvm5ajlkWEM+bf5+d384utKXIhCaF7fWua/n41lDPVY6jjwT0VN/VR28
PHick+PsmIzSRdEemxxZjc3kB784d++plXo/UGw7+1SU0QcL+h9/Dp8MfqS1l/bbit4NHbvHwu7O
U6NNOzMlIU4APIisfvw2N8QxolOYn9xaq7ZibdGSmDk8YVpSb/QmrT7Y2P7h1SOKIWHVoTNLfeFq
ZNuZKSpzUuV5bAdMj+2YhGo1fJSa8Ie5AoUh4gDCCwiBsa/PWi3eVaRgw3hO00w7qvEwv3d5zabZ
K8xuk9X2LHyWPMjatSlvSn4r/E7DS9KgVfseEbxasBAhYqyppyq9cA8tqkz8F1G6vAMxQGdu2cg6
AztuEztcZl3eTir5qqEb8ZdQT4Ym34tSWO9R2mmB3sG9DZZZZPUHe5rfGioUIRhqPEwoO6ZL6Orl
d9trLs6ndJ7OgEiinT5IVs1cGi0G7GXbUcfZVYaUd7yRlwVy50tZ6c2uxi/mJ3TFtiXoUkoWbX0z
RdWwRT+s3YxxVCNMUacPSHC/2kz/nMLX30ohizQ3G2kZ4JfL3+rNmo27z5rOserMn4p2GoK56IvC
T/PC2wiZKWHuqvslK3K0wZn5rCDwPki3qW9aJ/Ye9MTrPmdW/1F+1fXct/6u9dvgk4UShKTp8nc1
AwFWll3NZ1zgMR7xdLjtdSgPLj6B7d9nhz9divEIyBrLIvvQq9cVKxi/qk6fz33aekGjWm0wIsnf
9UYiPpgAr7fy613R9wBizhdnM4Yv70pFehZZpT2f15UxgJ4tz/MYuUGctcOxKnL3qNlsav5+f9f1
gfWiIGqxG9Ly8JAAXV5U89o+tZ2Bi7YmQSU6/mNhTspmwOkSqm3yUYn5t+mNCzLqgXMxqaAivj6l
QnwpIEx16rmU3rw12JxMgQWn9q4ZhBnqiNd36tpMWCaLesigvQyi7l8ao/SOYxWLD4b4H545r5YK
/yrwtH8pIf65SelBR/BtmeqZcmUeDGk/PdfUHPxxLLVtK/RpY03j/MEz/9McsAammKsggD/X35Ur
TCPXG3c5W5Gi3C6eVeGNT9sVqtDtpG7ZGwPOzrkRVbFVl1w9S1pv5I8PzW0/dujAC+3WEqb61DdK
d1DUBtLHMtZhaysfCez+MP5pjNGFQG8BQ/p6P7vk9EGwzy9nkaTlp6zu9XV35W3FIJsPPrV1qF3N
NmwB2DsbDA3KyVf1i1qD9CLMQjubTr8c6FLMhwJp9NYqBJiIeVA5YwA/maK8O/z9I1jnscsr87kB
ULdU2tzqb5t2pCQqtWdvOdvDrN50Qp8fo0z5+veL/H57NspZtsLUZ2go/Srj/2M/PE9FyRG3UM8V
fsEQCkv5WqkmdlWzzreGbKYb0ZbDfRl3wwc7HHPtVV3d36+z+rpbNEDWXU1i8xC3UZka+rlZzDns
XMV8Lq2IGOnE64ErlMjDBZ7DRf1ayZidcwc7bwwJItT6IFJLZ0MPU1WDxh0Mjw8zaV50mUBcpPUv
ghodOzr/zLs3nFpgYMPz+HPSrRIvnOIuJ+w3/Wmslc+WhfPLFSgXtgyDWAvILDF+motV3yLYs5ab
2V4sjO1W70GGUEf9IZJ5+oX0v/QgUmQOgUm38VM3W6u1lrPiQ4FPRfEN1CsfRRP/qptcPDKcHAiO
2Yiq5qoKvmr/ufg5acrZ+Usm1fY2r3QVXAe8mTtnTguwjl7R6g8KDQwgP45ZPpVOlalBHZWFFhip
BMwwLSW+drPF5+RHnVJ1wWC2X9HdQvAvJ931l6VIFYAm6G+zinRghPBjWd8qXYeCYp7iTPfLsh2e
IYg78RoYZd3MXgTGSLOUjkhkOi57mirucG9WbfZBifXXxH/5AOiUEVLHBoBKHA6Qy4UBgfAIm6Br
X2AYJLdNU/Z7aAE1iJjYrmImI3TEfpn07T0nnGwfj0U3rkL/ekbxqygtRnQTU5XAuQfuYimGfTzl
3qYYoCT4LoRmMnHpeRxdbJT40b28bkJXGZNvJi2qbuMKGI7DQhklQH4IgHDUKDeW9mJ2Ww1YzAfn
9vUIc3W31DPZcHNNzh7XEai94ESax279MgwtABkWGsPnzSU3UeqZO0ZJvSktV+7VODE7spPz9oMp
6LeSNuxmTpEg8CiqYL25Tg7DlNjL3oXr6+FA3+d12W5qp8v3OF0s0s+t/qCMudzVrs66XBh1MNZ2
9pRALN/9fZ7S1tng4ll44Pt/9apQY6xKrMs3P6hTauCUmiAMj91nB/c04rkuwYOa525WBDEIYhLo
9UZ/W8D9Dz6MnPgBRps+bIu56J5KDPuBms/Fv1/S/wv5ZvOjOnXix48OJvr/ByB0ekz/eEkraP2C
hO73Aiv91/+1/Srrfyo3f/1v/1Zu6v/i2EekxBrzROcF9uz/UW4q1r8ItmDlRjpJOgAJ9yys/0ND
pwxJMZcqO11E4vL+W7np/QtJ+AouVFn411Hg/EfCTeR7F8MKqiPlEeIubHZbRBRQGLocVgUQOQ2b
LryVlXTQgZAB5eEZPzqFKuZQSEKqF6BOduXZu3LI9c9VnG3bIdkzy6oUsSZP91vyZROAa56TReGo
4NYDjtr7WuM5t0uUzD5VyQ3Lt7m1Zy/dg8Eq/XqOyZ7GURp2MquDynwRoruZx7ahKo+diHzldt9L
z76tZXZKlGU3TnKAZBVHDymAMfrU9lYV0hcAiY6NorcbV8PYxzkOFpenKL6GF67iHXbPtC3isJmj
p3meXzmfhZniBJROt2USjVsbB+Crl0YkEzgVnnFOoviDEQVgyXorJ0k69lI2IIlMCADSmILIxu4b
qfKlHDLrAdKEcSgMuCGOXf4sC8fbRPTbHlU7W35aSvoF628R6gssBVnn2QFZmdyUXPSBlBrzFvNZ
/sTeRzuUiQF92pPDS+qUJKz0BJ7cWBEx7BvaehZWtlIJ2th6atIxnBv7izcU2vcpK5wOv9dUYqTU
GvUJE/cQh600oztXp1jBVc0Fvs5iHMmkqurNGGf2Ni4jF/6MZoFCNnoiipCZCphtZfwZCJ6OU3PS
5WOc685r0UYGUKp0mR9JnCvvAQKmiS9KdOBW7BgHablj+4iJuDqmwvnpdUWKypBHOGx0WEgHOoLO
bqKbA1BOdlQHdnbsxCPiuopovl5iIQSaO+IL7PHwhWNcem96ZrrTNyljLKKyVenLGdIMOnhT2rlV
Y/V+EM5TZSvmBiRJ2gZ2UeQdJCjcOl08KTy7FgxhuogNUI1qlV1NANDIP3kYPN5GkqfNJu7S5SES
zT1NKOSG2EzB86MX9uHJzHg/nU/OWOk50bpmtWPZ3KMQTn13iWZWIv1LWSRhzUQddNOSvqaRHodL
XUGqoXLAgXTXLhbRyzoeLILXHijGJzdErYKd9sADPTWqOaNcqu6j0bwzc/UuA7kxpIOfdfOb02bH
eCnJTE7hQuguUgN7g08fKy0MqJQIJaNS9pAPwoReQUMlf0kE9KDBao+Okz8w0e8KNnouDUCsmmcI
AWgP9GI30RUnp2i6nxDudvahM56H+tRaYtcMcxDr7znNiGmeeZ7qm2pl8pn17yEaIurUHABVD5cD
5T410m8LYfqQ+46xUYUTRCZ4RcJvMhRpVTlsvMXdUzSK9oWKGE20vFXFu3XTpjrwqrZDMd0WyKY4
keo76ABQ1GDKBKONjTNN5M3AvvPRSrhusgZkKmXs0HkomhOfzZ0GRiHW6fB/SXP3JVErDKXWDpFc
0PYon0vcCkt1mLvsgf1B0JCnN4vllgNfiAHcZFZxJi05AAKfXkZh2MRRgaDM2p1JlCX51WITJc6L
U0RpkMvSYp6TXwiN0+6SbMbpmqc/66J4xBEp/SVz3KBX27emHb8rkRdtEIk4ByCPt9NUhsCi7qtW
fi2IHNWUCUyXoX2bq3yKj8USGeGYyh5JXxWBfsnVKMxBxaS+urCJ8Nqdo0I08V29ue8mbE3s8eKD
JHXZ2GZNpITZkCe3uG5nYCBYaeKX2IO2BNNyG7d50CV5qKjzZpbFCU7oDxSz36qZR6XhUH6Cfxos
Q742B5dNZUPtyZxeeTbnSH43FvGsKmr0TA011Sk9KPdZMoDEigpvaP1B9YajFc15qDeK2I9N7di+
0xeHOG60TzTAkaLDTXlT6moIdFNEG6VavOcqy8Ab5dryNRfSO5pQ2MHjdgFGwmUjAKH5LvsmttDm
EXbzKYlgfVmp+1Yobu9PRTYdRm/o/WJQ79AkpjfYbr0bN3YBlOhZcxfps4vP2NtkjQuurTzT3nks
6EonWPcCsXTFHSHW2QM9Lub+BIcxXwZJt68t7Qwz/5rWRmAl8clJZ92nyvzDTe09Go2bStb7Ic13
WgeorEaVeRsPbbNR8vadZtORbKj3ckplEEmzDvI6fxKa9t4qYoX19Sw+WrovJ00B9ahvGpLgPAF+
IEK8zTHDRHMAaX0TxUASlKQyfbxKrl8YdslUqI9BElWGXy7Ne6Sp+bboqptJ9bLvA9EiO6uuvkMH
uhlzoSIBRr5imQE0GeIz1WSTReU9CNUHhF4ATMQMObZKNrkzBxC7wiYf8BZ80qZPy/JZWpAx8xSD
hvsmKjT9DDrp1K/eMAI4ZFXr8F92/bS3lM+pUu2M3Il9GCCvjov5VvlsC7nv2/HomNQjlRGooGir
kFHiL/3k15az69XqSSBYBVF3oDXJ50AbEg/dY9w1D/B3btOGHhTxPt8cBz1u6sqjvqiHXorDWJnh
XBVHfOAvUZu8RaZyMwz9Tc4grhMUsl12C2YzIOhxCIxY/RKJ5N4um4MJErJ0jovTv6azcgMQ4KxA
ufYdodw7Hj7z4dRKJ9nCa8z9sUmBjs7mTwBuGyOzdpH+lY0/qdCKRlxWHEQT4BDDepvlz9Ip9uiP
j3bHNCMAchgE+NWFtm8iYfuwOh+z3vT1PnlEwWQGblK4vjWvyl0dQojsti7Jx4lxS7Uy25TFewtc
i537RpdNmDVN0M+4rTpz3HrTl9R1ATLg904my9jMunYkpHnXlopycFV5KGBGKFHmZ+gzYYn5iXxN
pvjWmF/nMdm5ZbydpjlQdK1AUzk2N6qOpjiNh2fOevthmZ6GhJ7yAnsORNgKOwoREOyiQsa+6kTz
gU61GqSj8t1umkPieVseWMDQoNicHGroDu7i7ioxbzLYlqp9thTxVSTqzqD+vDBtwA1r+QDFPVIn
X626Z12UgWMUiGXbw0z7yKGYH5ltqLVGGtQq9f0sP7rSqfylKD/n8odb2Pdggt50bd727bw3c8Jf
GlAHyVgERVVz4trRKD3EzuCGxQJEDoApGR4wkE+taodeToPBSpiqzDsM0nezit5e1eKn3ulfOEZj
FRk/LxARS7uo98ZQOrcTGAJu1JtvuvI7r/KQ6zyTejXFl8cVJTPJLBxy0BQysmBC5veihUlcjc6T
DT4rcPox2xi9hf26pY2aQg9O9Oe4gZil6PK5ZaMxdMOjQo9kmbQQyfdBLAngC1WG+ih3GlZge+xp
+MvTZOj4grsRgZhbNqGs2j6ExjjsF2m+ed5QoR4Dz2pY0rv1FIafPcDLw+dvnWcjfdPqs7dM9/gh
T3U9hdagb3ule0rc9hbf7p1DYQAtHTtO0wtNIW860l1oxDyZQn/mxLuf9PTLqLqPIIW3inenjwB3
FnWnp5Hf8+wLU96Vo3umoDpsF7X7vk7o29IsWQ9q5HWWVwaiw5GiHyiWwlxuoH6TNuGDXXvxkmgj
XNMf7TJ0hm7rzK/gt3xHNQsIzhZIRvemqDFHtOmetgL0byfVNrNlMdQbjPtZuVE8/T0W3wBApTu2
6glDyTQ2xIh9qozyMzi8L1BroxvLKZB26UwBGvOFnr1yiN6knn3ASs97o/aRMS8MS+UF1D5ZOVLg
S4YTfe2sIegHOOc1jGM+JIDZgVHKTWSMW5nbWLeOpRHdm/F9lH6pajYk5kNBKWColIMl28+I+ViZ
zaAF6amgaDDiYptD2+nAj47xssnVemOBW2tWojSC3G0N07yLdBQlDixwGxvKNG/clBdiKWdnXA5V
2gSNjfvJpMhn9GGsewyeEehho++qSol2ac2qkZnoiSlW57UT7ToTvoYZPTvtl5XDGlRu5WyJdjbc
0thYreL6Y+5uI9TrJNFSabe0Q6bCy3KcOw54JAGBcgUsE7hF/qkdujCdaa9O3r0FZwv85zdPk4gC
vsIfeMR89k2L3wvVnnZ20hIVlN302qtR618tEkf7yjinIk+2JVEcpu5EUJ7WggXIQrwcLarESIs+
uzHM2bxys1bxR33eLYKDZKrXNZQQcRKTE31K6ihb/y2ej3JqLLpzDXsIu6sPXR+zYMoKt77J/grX
78I0Yd8aZv5NsYy3kfkZH0ak+bGyDkl72Mg4fdRn41s5OWk4pe1Jw2pT1+Ny443yVW+T59EyxSui
dDinrKVRfoc7x0eGuoNH/GTNBPbS4L2PevW7bJUbkcLftnHjWrkTZpH43ppjQKwB+Gz3iJrqvjAB
YRa5EkAbRwus1jtWfvo6CgoeIR8zj+Oerin5sRra7L7xBEgzaensTgvhpZuhyHoPhk9WintOusp2
IH390I+5dQLTLLeeWyVgh5z8S6SsGDKyDIPU1OUdXNI56Bpl+UJeKN2yYVA2cBDc4wAHn3hcq64D
TW/gPspotLdgJJQ7VPQFAlplBSsqTlrWoVYu5k9wHwhFnKwa7/PM6B9i4Gx5YC2uywdVtza6Tomh
CnUn3QkETdEINDLVG+2uZp+LlKbKlb729hnpXG4YdXlsfSrV0obZbA2x2Cm4+I6RHac7RhpZOdWC
TibN2HcsbMEfm3EgKXNmyg2SPkrvvdQYOXzTculEn/qDHCoaN0Wi3bi6WIgCIGWg9cWSw6tqalML
eVjIx5TBidGVU/6gxMHG4rVnHkXIlescRc1CsfeL4Q4wQ/EVTtDwZJb7SNQnkFixOc8hvhLoiTmb
jVFj8maT2u3JDmjMe6dtCh3NlZ0eFgkSyJfxHO9n4YhbcJMejURWAmnYSsWWrF7Qk4O/6n2IRFnl
V1Pt3JP2ogSp7aFVJnuAYFd2v/4gkurYxws337t580QJqZhdtGPKmD24mmLBHcvlQvvKTFfDz2SR
TeN61HVnT0sPZctxDbJhNH8CqZUYW9vkWxI5pPa5imdyD9RG3uKMZQFznMhpY7xIMM3eXZZl9dDB
nmoWH6q6yI19RvurNXxLa7XmqAxGhR4+dXlQhwgeeHGXISqb2O1qyxAgKdOwVYGudMR9MXfteCgW
x55OWU9K8w8OcInzI608pp8RYthNQg9keivThTTHzlz2hMSUNDymaQwm4aZ7HRaY9tyavYgCZgLt
NkJzwMyUTu28Izu7iHZWBzbbH82CQkXLbMJ81lTuEbG32/h2pwPBGCY0bH7NP7El8GKEQJkJ5Rhq
QCaPthwgfXi5soiAfGrrW42PAShoR1zETTRVVkUDcI4OwjKSKDDowFs7+Lfs9eYOjLJf96rz0Eyu
1YTEzSrPMNqMHxU8xW94kvSnWZvkj7pjh1J4uRV2okl2UzXLm0Yd6s+NpgHemXJLX7BWzcR09l7k
UNUvZn1TWU3V7Sp9aZ+TNGtuhiyKn1agXhK67WIDJgK6uLXTSUeQVsjAapP0DeyQvKW1NT/1UhUb
Ux0hNyVMAwOA/IjzQx5rPzo78g4IebxT01nuc5u69VEnHeMJto3F2a0atRshm15s7NLyXrsxs57a
atTXY3eWj0FhSdH5divxTpZzNt/YZYn0S81GOitNanmPnJ+sABhWdiArgDyAxKnBxpAYZm4nR3Vf
CRjofqqwzAZA5uocpEZSnfChGA8EASnbNp/129KMOS9od6maUPVycvYQpdaUB3uZmekmoRLFAS1T
P+VMl28ex2f0knV8ijrBfsQk7Z5S1kC1zWIzfk/KhPcm+5nVu0yjzKN/Mv0Xe2e2GzmSZul3qeth
gvsCTPeF03fX5lpDuiGkkIL7bkaa8en788isrozs6arp+0YWkIhKSSF3J43/cs530vemqbLdVNMb
F+NofYeUxQ5eQNl/LkrtMWZMDWdVdFl7szjW8GWlzS3XEXBT0RU/jCK0uFBncjR24LJ4xPA++1s/
zG/MymRI2nC+ULSnnbwv+toCFj2m7quDb2JYVRc2zZXoQv/FUh3VTBqMJC07k8Xox6J9W1zwmVxe
0HmAxKmFmR+I7CdmrrNe2bM57a2IrOYSIemSubeOX3JcVY6760wH64kjAaFKNY57xnDOwSNG4W4A
bUyz5rQHZ3nLhnuUq0WcYLy4YvKpg0A9BJOTH6G31EfHX5xtHlzI0DJtKZ8NK/+yyoUSR1mJPtrV
kN6laeg+zE5Dg3BxFdm4fB+ViUgVO4+DBZHAletKpi5ta3cPeQQsk9cn3FxOePIm+iveb3F2OGEo
O4ZmM6tHp2RCYDNi2FdRb69Q6RpxmmHX8AdGknwWpjqVjsX8BYjJFvEhIm8HbKw/NySFeAkTVXEj
5+zarHicesWO26pam0P5rdfew0Ae8tzuDBWdVJ1+Nm61GysXvt8YB2N1qCO9lxFKXzuh7FiSjZks
8moOcW+26KLizm1tLk54rmHAwNlqgS+57Zwc3UF7ND+l8+nXwngpUicjELSd/eey4nRyrM1k3yW9
yL/5Y3HSYT98sJ3MrmuA/j9mCocCFqg5nfrOLr9VrdZfeIaqV8sVLphFYx2qjHysJilJy000GvYp
C7voICqD7Dr8Z5CWuT7r7DCxWPpWsQr9vARk3CJLdr67iw8Fqw8MglBKt3oiNc969dsIkvdo4kzC
4Wq8p5Am5Tow1AHSjXwE1Qz3MIRzcqvtdDnPAQjtTWgK/6MY3PJo55SxfNFOerO5N5Xrf3ZWFVxl
VEjWZrbL6X0QLuOJWfS3MFTrfYj0dZcvRkDPFSwka5grw2nOSjEfkslJw0JdEaxjx1Omsm96qK3d
nNV2TKpFE9ftLXEcek2Mih/7UZqukjSPDmbibEcO097EHsmDvF4V0eWWVLnYZkt/Pc01IAVInKt0
Sk+MtZCqOqnPNt2y4gmyAJOLyH+eF0QNjbPvbCP7FOy5MfKPJ6GIdkikFHs4lHCHFs9dKyO4CiIm
9qkXPdQQjuNWjNN+JF2YWoFYDAaiqJNtsGvJk2+7xQ46EwBAYOsr1Ql/w3Z2uQvG9lXlA8hKtS7I
1kntvqDJapqjZBQf2wQArDEZHydRPxuEsQGbdd4DDXayI/thS3rCSvZyl4YNXroQ5Cgj9SfL58LH
tR3cSjiCp9yohy0zrY0mYwIan9HHDHiHW7/zHgBKgLkylwubNEg+7LA5sYxYQ8VcdiY6gb5jggnd
BtEul3GELig22A4B3A424fRZeDPNRWTvu2asYy2mc5L6PWg+3pepQqwgw+lFpeXAfezdMLQpnik/
y13rTdOG432X5KBUEUaX/Bh9HzrFmr3QNq2ydjtNUbtxrVbvW2fyDgChrAMKKW7lZphetV3VlNYD
wwqW+neV980L290oh2PKaHejL82N4+szdGCxndLiJLWTAqpTzrIKy2VZmYMIYlWX8EkrUBqja986
g8+YOLfAn3IvteHA442ECgZ14fw9XHDXoFfZ0l53B9RwhGIwN5yD0rqvMuSRJoR2O53UxrB6AsDS
Nx2yf4cHSMUkxYtbMjrvox5Knc0uzfXmO3wuXB7UYbEwCMjAJsgdaKnDqMS+uoQkFFk+nJE/mVS2
6oaVguCs84ttVcvqqh7K7iFKzOsI+t9BQg8YLX1lp+pTqeDYd/2JgOyroiueo5+jvlk8UMHjnEZy
fu6sQH2mDO7sIgMQjlPmrQDCf4tsE+ytGuSec1duvKqqTmHdFBQfvJhZtsvZt8sPPKz9KuFOy9gu
rvGnmAQWlSl7nfSmHrInlyG+WZBOhnOAyp5wF+IYl7E8syLc12GwzzKW11OoeDrNlF9OffHKbkZD
3jae2HSKLAzS2s+6l7Ez6OZcjL333qopvPcim0CdhJOOasmsTpFIKSuU7T4qOoG4qqZxMy/uavDb
Zouwl4EbWxb865W4mgPnaDPEiydzvhmTUT5HUZndJsaICkbk92QHMHIToYplp1y08Zo4iSh873vW
inFPhP31PFtMdcYpOSB/ZSBGWE1lvumlt/YNMIAwj2wGgfNudlJr20rnUXKUrFWqhqOE4v2hCh1Q
jJZwwGVz7+RpTPL8VWj59wahZzCrdhVHYsgQkE/06IhpZeOTbtjapDls+Nk+6MQ4paV7sBvq86h9
6zQBc810mo1aUIgPYu12bbkZF8aJMAMYrXOwRwDvmZGb34lWWncVr4a8m08wQffdUJ5aJ7+tsmFN
KABRVp3h7+iW9N7PzGw72dUzfJXDlNnOk6yjI0LwQwNEZCXrn2NBbgSV2eOz0sX4AtpmU/ZsXcJL
dBfyd3trZYt3Cob+Fej0iYxnlgVsuJe4F0puA9UD39fsi0xz/kY00stYtw+0s9UTL6dejeC20Dod
ZsJaS5eJsUo7ArrSK8c7zll3Khgg3c3SzLeYbG6L/NOuZoJqChBCt72etkHTxIqG8DUnwOFjGJR3
O+Wz+MzTWZK8UzhqrXCjM0lHUprEBregi7qZIenqosQ5100C/oqEr+g5pQUxTmzIjVtHh81rm3re
u3mZuYGfnn2+6HI/hZ05GMQDER6wAZcHyaE2KjIsGsxMnIswV9imWDsPrx6H+TjdIsAP12GXmShK
fZLyhoCFFNK05XtAWhEzOL/+ohhN2SMWBFkFleQAq6w0PaUOy0uGwV+E5K1G6qBctPPOpjBDo+8X
r46c9XyduGR8bMexGFBnNQpYcEtG2U8FxP+KQf52Edz89wCvnXyv/6wBuXz1H/Au1/0NnVbkXdRa
WLIvcKw/4F38FyzMKESgCiI+/4f+w/kNmKcD5hQVKg63izD/D3IXUC88pFgvcfPiZ7Xd/xG466dO
+k+iItTFEeaKn7+cZbn85F/VH7BwEZizcb+dvU48hrWUe7AgxYc1DQP1EUfECzrkLNqbgVkd5mXu
NxDunHQTwV0VKzLuhn1uX+fEaalNzyTnvo4i495hd3lb1OQHamXkj5Y3Jm8pA/dN2xHjIfvyxmpN
7kmVsubTpfuUGkpyQ03GPUIOchxUop6sRGBGC5VTXmVD0H9PTLUNy0mcc2gvhCUN7hRsePi2mL8Z
Ph3JTlLjthUGI0sigK8wBSPn+9/LW+jD57/97WLj/O8v7xVBlu/Nny/wy9f/foFH9m/UOD7kJBcM
3cVr/fcLPAx/Q1hr4tOHXeJCLvnHJW6Hv6EnpotEbQ5slcv/Py9x2/8NwdTlHwpA0Gz8vH//v78k
kI9/+fMvieR/wU+x33JR9jr4wP9ybScEGSrh2Xs8JvPxMsFZ5w48pzhH4LHPwnw42r0ZfA4kdYSM
Hh32aReLKLR0h/Sjp5wF27Nhei8ZuG6uqagTEc2IGsttMGZhERdekJ0vcocqjuqAtezKN6xzWDJ0
WGd0mq+KBLg3wqv8e3omXLsr14WOFVu4Z3O6iS58WDDm8yy3jCCliiu84ziplHVRYAHoYVZmYbKG
j1EWpuB2bHI3WHtMBgiMsdPnPrQTvQf97MMo8rPEXRc2MknL7fS9P3g6vzNovskzdLAxwooPIjbX
C4KDeATPegnnG6H+5ORTPcI/Ks4eyRV3l4L96ETVuAcHMsSmS3/tICW+zixVvU1+qo/4ti7rIDvf
g5Nl8NPh7c9woDNAzv32I5Fjs9VdT1oZ24ldaWXt9ZjVrM6RzGyEZe86YCXnFN7RdU/OKtlFwmb+
5jiL3Hm9svfznLMuKLt1ZHjPgwvVugdjD3l7DunePSYJlZ/7r+h0AaukqXulKB5OdV+PZxq1h76f
uz0ZtYgDpLnsImxKMVMlCUTJu258R31PJptETVvrG7ccp2NQCb1hJu8+oqVpbhevn5fVzA5sx5A2
Wtfh1L9Q23nHHqVFubJmERw0xicEL13QHEifUgx1J+s2bFL7CcdcsCXVh+KuLZfzAjKBrPOyAthl
eLlaa8AD993SsRAGWV5ifYzacW2o7BIqVrbwqSqkKib65p6Rcm2wgDb6zjx0RSjWLbvHU5aa7gsj
IGc9ueaLkTIj0FbpXs/1lL4kk2T/voioQ+nTO/HQ9Uh7RIcGIBuyvcsbQLmchXFW+y+oSvxVNGfu
PvClvLS4yOSxjwcMbI1pngVOZ9ydJA5Rxa6SnhHvum14MSBFWvdTZI3NJCPVHTLYNt/oPLR20eBy
bne+q6+TQhsn5GXMzxYpEesRfAs6Pu9n096TYKKaVVrU8m72jeQ+X7ym2y4eg6SYWapFMC3BZ7cS
zfWA+qlKWPCQN8g+3SucnNJVz6eG8f11ynLsOfCMIGQTX0/dXqaphXjBMx9Z9KEczBHZbXzRNTal
HOPM+yHyeiC+mrJMbA1ymuD3s68z+M4+PfolfkJE1B7yik6pbZOyTF8DSzXOdhoMa3wSwQ4p5eW2
m3vzWhueeCGJtruGyhYavMhW9rGHQneHcEvsyA3u6n2HaWNjEZZ6bTCJigMyp07oWVi+IuqmS3H5
iFZh4/aXDVnKXq7R9JKjyIwn03Jw0k6S+eoszHvXa20OJeKCSTJy4TA6TTQffI/W2Ek66wf8/OSc
WklNGd8J+1E442XXy34IwRiL0WCTeAZaAJ0kw22PSRhAR2Kl3srPmDTtjECq79IIqgNJjHxyozCq
uwxd2lFWBauYIp9JcmCIGMiV7XjtLXR749z6drBF68PWGyXNuDPpEA+dX/uMCgsaErRhuBVWYVTg
YaBRt94E0bki7qO5OWrNws10CExZCXY+5DTPoXvHxUUXC62BZKN26QpsngMKdnNgUNvzdGkIjEKI
ioAwOzmtY9+JquCa83v7pzrAsVaJnOwrPZVoCwS8oU3TheG8i0bI6IlBWOaK0Mfqxkus4Mqcek1e
VG35BxxQ7rpOvRY/LQSsld3L+jylIy7oyBTGwTKmAZ1fgzov9HK24MTVvdDDkKI0udPEuj7R9+1o
PwV5kD/4Ua1emej2HyEjFhIvCWbaYxufv/7npQmnDP/7q7KaZ+f3Fvldnmbi33df7c17/TX+9Ysu
Ff5/fhUP2D8q/ovo+Zc/bBqRCxYFX4O+/xplJf7+LL585f/vf/xDRv1ITOW//e17Kxtx+Wlp3v5S
YkAc/Gc1yUP3nv/Xr/+9JnGpLnCtguw2sRCbOMn+XpMYVvgbPF1YrOByL0SWi+T/D9216/wWBLC+
8RsFlhXhhPhHURL8BjgdMx4QRHzVHlXG31/43e8F9T8rSv4CzAXjTHgOLvEQlG8YBIw8fq1N5lCS
+tPnBFhUqEZIDDHmBT4NZzPzhtq/hHuPJkhPbQ2rYKI4JmphWlj5lxqBoiByblgh+eX/sRMs58wu
YSKyI8jDYZOT0+zGrR4S8qAZRfEYrecsvP/Te/3HS/pzXQV/9VfrFC8CqxzePGgjHHiUeX95EZ02
Rxyn0w8CDsMJzwNcyHiMOKHWSkTjvArQ5qIc1xoBs0HsNVESzDNm2/1KmNykrxRo0gHoAU2EEdui
y5c06BcEyzb4z3WpF+yrk+PId6bvnAkXgDxiPke3fux1waBI0/GkvyXfzh4eYLlxT5Lt295RTFkY
sEm+nWDruh6hnhOEmJVaepMhig/yJ26WGpldVBmBtyl8Uu1yqLF9nFtdT9XEpCfObAOBLQmxAwB7
s1D4S4pEuus+6YynzNd9E6csjYadCL3mh9OMAMMQxhX9TY4i+TW0S99iXKwJW8xwZMXsIlhmB6JC
Zz8lrI9WEk213ORwqcgLbw2T7d6YXSVkShJ/08z6nnCUOkGJ3elXgyC5dI0CXhoPSw+2f1t4U+Qf
tZrnS+1S5I+55SNq9qt8RlJwwWIytuR9ZDffYNwXqldvfLdBadXBqXzMotY3zlGvOkS9pKswd8la
k8zG3vKuJ+KgsIEKzsf1tES0VESh9q8CF4OMjWkkeSfTE+oGFPTBQ9YguVmZHtqsfQhalnTAWc2v
8F3R+uJDIk+xU2m23EmHcOBt2IOAWHk9kwsUUlaUx66wsqM3kx5K3RcESMcgmd4HS0/WaVLkvApR
2B1xOn0WHcBH2OcZv06LyS0Tx04sS7rh4M3UVkd6QHLD7LW/EYhEOwKGR8x1YRr1NUopEn8Ple8j
J0GwvxwDu0fuWJtV+E0y9o3W0+Qm1drxZPZCXg0bs8olFXvjkZcJ2zgdCdObiqbuX+e8Ln603SUQ
AhBpan223qDuApEtBaqh1gDCYzfuu9XjDkGH4M3JNoGOFfIc0rnejBA3SPfinkLa1Hpp9tThL/og
fkVCNrVNwZ2EoG0BpZYQLuQlibRvlwEK9zFVxPsQHdOO6LUYiHLfE+E61GSN88J4d7FnJadW9Rwg
7JBCa9tEkbprot601sQtTcYD+7XQPYQGq5q1sEKe6W1d80MRHyJqtwal7pSNU8iNf78VhRh4xiI6
YV617rxmVG9gPzx3TwLZQiIVagLVMrp2AGN+uqVTLZfsSqkMuo4SvnexArYdRc8qa31FF+Yr/uIl
Ut0ro2JhI5uqp2T7++W62H3ifZOW5EOvjZKj4feLbmDvE21DxtbTmoDFprnKSkSUTPZR/sdM+d4D
F/jK2qW746KfUu+bPSAqPjTs0dAx68CJOxTtZ94Th1ybTLuvhkDO4+GfuPWtmcqiKjL3QxkzXrIm
aT+LsjL37OsLCm5O3QkLMKrUllu56US1TkMb91zd/EilwqfZ2H669UmJvyGZCtgfov482wLNkaQk
JdRgq8X0SOosEvNFTURJe1VpbwokLa+KtuOmxZzxFE0hG5ImTdu3uTKjU6VzKMTaaOD3sKlBCtAk
9Xpo2+rZTNj1EUDQXnuS+mkFuay4c2bRwYMuQmefWmYYrJQOyI9EvxpmClxLm+XMmVkqCnEO7VnK
dcRP8AnqCgqb92dkxywbmRNc6hm80W0FJ3NM7HyJyyjN7ZX2egaZrKLvy5acwbWtJ+/OhwpzBdeS
zwCx0KNUUR8zU8cYGSiWa0Mo21UnWJqgFMrvoWWUpDOw5bldGtlfkV5YbhgsgLCuxFMZiOJG2/oH
woHhJQS26m0WDNmXhDIPad1Ut8mLKosHuQzpQfRyuOLVV+splPJVRTTh+ZQnhzKaSxiLst11F7fK
hAqSyCpExkeQTO6GupGS2FChFbdd1DmxFYXcufhP+nmzlMiQ4XRlPyRpcQ+c2HSn4Cnx0xbdiA8i
Skk4J18nu0WoTyb93NN2e+lYMx9ARNIzdA09OM59XVwtkQudkBm4/I4YGJ7uEuTkQkX9lLy3S+Ts
LVASbxLGSbZyjaD/yHPDJ3YbAcRDP/f+zsxTtHAVlJaSzC0hwjhysVm0KQl/C7aXgwmZeMdJIpFj
YnZoRjc92m7Y7ysyft8mjcU1lTYizj7r6P1StjEfPBrZEJbsnlFhXbrMthtIx8zQCgt6EPtI3JkX
7Ku6MAjwlXxiJMGV0yeZnu6Xn00/EnMZrtOqTddsu6In7UZo98wyeDNCBcjaHbsP0czsxAudk5dr
JiFCrmBCJcR1wV9VYg0r2EhFJxPv6b2L92CNGk3l6yGauy9tivFHyKrnjhO+71kp2d4Nc1Hx3bJE
8CCzSa6H2TIqOhdWW7Jxl249VBT+TmKH587WwXs96P5cGD7LnDmpUaCly0tpzd5JhBkLmbBLrlE1
Lt9Hc7FeSKAvt/Y4ivNl2B8TdxURhKtbpMFdOhEulzecH0E0jDe1nS2POMJAHHVleCnHxqGb9iX8
6uj1Yq+lY6iMgjV3aSFFJHAeZxWB6voa5aL/yvadm91ewLUsjtfMGwP4whBHqax+hGJ2Sfqau/E5
HHye/RwHIQK+nORZ5Aewn7Nc2Fu6XoT+tnB5GEOEjhykjI0TbOe8oF3laVC+lD4Rr1tSPaeT6zVT
sO7MCFmDGEMSFYPJa+K2R4F01ri99kLU3ldN8PlxYY6jVp7jKD+uLDKodxnM1CxebJ3XG/QbEh62
4jMInxDR6JGGVdaIWqug5Zgj7S/8Zvf80rHCPUTmCh5+d59gK6/wcU0Z+7iGy7h1ubnWyJw6mt+k
Mb7sQGbmdg7TPFmnlY6mmCapX0+REttZJekSZ8SeRzzuOs5upmVIhExpsw1leCKvCNqV+bpM4Fit
x56kpvsZufDIsASL9ibkuTmCHiOk5a0ltf6NjbVWdzLSJpwy1+12Xk4pxDPAZCfazFOfbQbyzeWd
T6WUX7Hlswj5TLQtjhh+I/ZiHOflVQTG7Fuu3e7MEzmcjm4+g0ZLqDqgs1U5Ty6Nf/lTMmqr2KBD
TtyVypUtmy6Hx0cFpmsPVatOd8UkiI3MoqCLpyV00QfPzCxXo2NStbpJ4Vtn3NeVxQxymu68Oaj7
VZlZHbiTMjrVnYxCrHY88SGTIbzQl76DwyT3TxriOXvxUhV7J0mLe1sqnqtu53o/KI6wShQWabcj
TfbRckZFnqIP3gYfYDQqLkn0AlsjUcVpLlvnVIOQcXemTNADVyzq3VNbK65/A8Ew8ZWYP7CRUGe8
Bl2ahPhG5/6m5BnqxWgXzm6S1cXalCaCRKczL5rOyVGCRNmLd7IxXO1gWNPc7BWtG9KnkWJ9oQx4
H5pUPDB6uFi8x6G8Hizpf6UA27eapNv4MszIN8gtjZuyqru3yEojuqOs4vsTrO8WLIcOhWguLtO2
UjeSHT/9ss3aOmfam43Q7/dYqyW6s0uY9Mqr56bc1ubS9zs7SAGPyMUzrsymCHuSgD3DIs6zEn7c
OTJ/jibSPeI0asJvcz2ka0IWsMLNGGqecVBkNb80Zw92u6g7FFPG3pkpRHcZGXP7DuAF6S8QST+H
XdFcITDl/dfodEq8BEVw5U+X/i41pfvkAF8i276bdiVZwm9u7lDMW8A3Pm1h9eewbxFzYpNJXDQA
WOka2xnnA6qzBnWulLhjwAOOq/lnE5BVlmI2UpbP6JJC1PjR0i9Y++c2JLFlRqrgGmT00qoklyRB
K/nheHN+MnNTHXj+hwcAkeIqGpu2iHujkt0a/+rirEkvN5tL9TfG2WI7y0tmDcsz/ETpbixfLg8B
1s0RUkPtnCqvZE3rJK1g5KjCOzRV6DObyrVi83JYeFDn7bh1ISoMdjo8UH6j2+X2X4V6xkecXBrC
rE2LFW98eQ1CoD2MmTFsOpxEh6zLPj2mfmhacnXgpiORtgrTidRus+ZDRmmxz/Kk3BrsXM9u7hVf
g1u7P+TkGayx8uGN8U/0kOIv3gQ8X9d2YODA9ZoFZLAJIPvO5/b9QvSKTLejZfmG/rzp4jZbiE1q
8rnqdz3eq1draJ1p7Y+mXhmX/iucLZ8/t2Gvbyc7ymI7azEGlcHFAla1yADVhKDaaZxpz6Ca8RhD
MUIp0KtqesqwCgIRJ2hd0LKa6s6k8tgV0fCSB0H6ZBm2f2I3xmEBBX2/1GpP9aZvXaO3v3ndjIb3
wgs7We24OBuKk2Hna7u5wyI1oAHBSpbulKvkQSEf3Wbamp5URRIP4KjouTcdbAredDuioc1WyehE
V0sVfLZ43JZVmWQmt2i01KewyYs9ug3uEebwZRFHuR0e8W3bB54+X9mcpp9Qk6a9zixnE3KoNuuo
NfwrswgGZCSBn7cxUtqIwR36r3tOyeqaAIZ6M3d5xBHRcXXyrI+ay94Ab9KsC/9bm0OaRHhSrJ3O
orRlohjXNH5xX0zDXZ3nzYa4kel6XqovT/Bdk2acByazItn151QOPiYPNAwUllF/hQUSzDwY+1vW
IfDavbQdvG0x1Kh9s7IRNwjCxnOTJOUu6Cy0/4zqq80YJVSWMsiCFV0IgLBB9F26gmPjbBGjUV8n
4IDjImyLoymS6WyPzfuSApqhvBD7UvsDAeGXUSmM5Vu7Hqvnqc6mfqPQNPNs5kH/MmMN2aGTRjFl
kXN82W7k89ZB7hzbXJ+HpBtyZ6+aOfqARdneN6Mp+PChqa+6IavEyZqrBINF3pvRBrTq9KMaWMoG
FlUN5yRKmNXQYXucDV9/BOiob8eu6+TRY8h8NwYGN1FmLxz3xlIMnyY6RArmUiwUs8J5GQQ9oTtI
q9mV6Ec/EhTYWBaoOrh7ddriWDVoULiMF2rywSXDYVbQaNywNg4U4yiuMtNDV92xM+aJaHqbjgxg
fBMSq1Gf2K8uMpxTw/IirhtLbNnXYGlXhvFmKjOA3hZgdC0KdcoSIz0gGkdcL4xuQ43Cs5WEefL7
Sis59DqjN7BEo/cDvLUnJYK8uiiwvJJ1Ab+z8i3rpUNRJ2KhIpKWp6i8S1Xbv3lp41d052P7qFXy
OIypuK2UH+BZHAxuHDSVsngcmqn2VsQ1kYsr/WK+y93JSG61N4XAXKfomaCDYRP65rzTY1ouLMRn
IhAoB/S6x9l/Tz24bK3ZsftVYHnDR+k1w7ss04GJWT99V7MAESQxbcP3r9AsV+6OyhNXTxjN7lFd
vKpjPRk3PAD7D4mt5I6Bdh8PydReAvJm+9qm9Uf7yrTwMFcAqluapHM9oZcJqnBZB6muPqCedjrm
0UuESlajtA31yhqSbG+5NQeFXLJ90DJDmSnWMaD6MvwaUK6jPg9o2tYClSI1gG8MAge6v5yDZZLf
ek+j55P2KO70UGqYeeKNx3H9UISNIrO0ru5qnR0kr3YnDcmNDvdHfrmzP3vHpRCLeUyDcJw3fa2M
N3LN+29hLW6woNeblvltrJwA6XvamPfDUNT4U0qbAZqZv0aA+fdGKpkXBgapUq5aFYzKUDkJ6ACM
MQyqbfrkdmXgT7ua5FIeaCfxvsLifTPq3FqXaHmvCz4l0U5+sUY7PxHDxwLrwKxHrPHV6YPMXON+
LHgSUfN43ArOvRVIeWTol8YZjykSAw0XVY7QoAoCI9vYi2h6EnwdNm5LaGlKALjCN+YQWa+JpLKb
xxZHtcQofiJ6WzGb65q3IHOo4Sr9w6rVvGX5kT/bFfawxEhIFIq84qiibLgu08W/sYPqaTGo/pup
+Qza0Hz0kLiL7Yhr6pb0h5ULZeNZuE2WXxHpI55HzGfHnlCX17AxE+wxTtnadwV1hHprvDBlCBtI
tNQikYVc0w/5jLtm4hHYANYur5FRX9Pf5UvNMDWoePKw2uxBEsAMmlbOQPuCPYVJUOLmZr/LnInB
JYgfqtRItCZZ2ZVhPmncHmugI0i/0mxyT0YDsWFNY+/jOpvrR5646L79JqeWamfkWKuWIPT0MNGM
1GurG/ruJESLSYIsriJAq1gSEOwpVulXVCZRse7FwDEDjZemi880ZPiUAVv4XT7yizjhz0Pz/9fE
nGxKAD4uxACWAL+O/fvWRfLpRF9wD/QRtY3p7fXiZiUOMdD8bishRtrJoG+C0ui+/fOB/a8spcu0
HpKgjcUCZqIJpPEvcojQn8begsgftiOgjshBKqwtoNoMXUmo7yXa2kreG0np1nEhDXP7z//6/7ry
gCHq8BvAUOLBhdrh19eese43lM8keTEtDJ21CaBrn0V5rr8ntetN7N5dy+Tkj/gIlGGaH0VRuON2
CJhubuZBMp+h5kcUrdmil4dEGro6SWLf7J2X2bWxZpffq7t2sUKgDrpwjH9BJfwLeJO3kLrDDcho
DiOPf/1UU31/v8+Zsf7b36z/Y2SoubTFStS2ktLfsU5nDm40UMjiaWI6txGlZVWUSiU7nYysMgr3
yrqsagw1P0Psq+uLoVFBy/+5tTF6w6/u/sX7/Cs17+cvCVLI9Kh6uMb4PX99nx2HwzZIUG343VBM
u8Qx/PaEMIDfiwf3GbtI/hWVgl1NAeXm4/ctUtRGNHJ2n9r+JiPVj3FPMADuUdpb/hVW9mfyzT9E
Zx6qHjBDFONsltENIXL79TdksJ118FlytOMwJe5/v+lGG4bNDsFM599wbngjJibm9Wvgddo/pGpc
qpuoyZQCpY8uhu5YlZQPVd9wuYzK4UpJemXpE/JNgi7Qxwo/vP7n761zee9+/c1tPnWPu8j2gN+b
f6E7dwWsvChjxW2D3nP3DjCt8K1KiVLeGJob+51gcjg/2HHc8jq17dTCimNnxU2qCXg7eQGW1H1V
dQl7LDvLqy0rsDFFYz/ic/CGjEOzuGyDmARkpFQIbT97uOEA8wyV3zEFK0p321M3q3Vd02pQS/fh
zgjbuuUH1sYPOqYC9Z1ziX/o2ZmAuwuN9y6bw/k8j5n/GCmHHCBHiK79F3eHfTlAfn1zXDBSyBkv
uP4ApuKvH+vCYqIOWOqsYE2o7MbIQ1obCWQniXNqphbvWus617jEaKiGPLc1jE0/LY+eyaL/5NK0
ISUABL6LGla0cWN5bocuJSiJLPN16G5r9JWXaBf8rOSPSVY3CDP4VluFbU6F1JjRvA4HWYTvKA/K
BWF2UHxjwG/qx39+Jfx6mP4He2fSGzeWbev/cudMsDtsBu8NSEYnRai1ZUkTwpIl9t1hz19/P9pV
F5bSJb0cXuChColMwTKDDPJwn73X+hbATYvQRUK015sBwYj67haORw1rSgZ8oXDGcq2gIz9LJrxC
alGfWYmkH6CCR/Y7s9M3s+Li5/j4A+hvH3M+wZqJALVVRdiGuvR9MN4CE2Iu05Z+cpy01daKNJMi
cnHoKfwa6XCZbfPghmZ8j06qmzxk3evKqoH5ETE2QoRbxD0HOs3Z0NdzepXbwhj7xzLlJcjuMwwP
SIAw+AhU/TvRZ3kdNGx2yQAWi4K7igh4ZYM72ip2n5zc+8vLhN3QoOZrJA4ikTEQB/7OfxWxFamh
1f1gZ9Kc6LSUua/3OZ+eDoF7YhfZh16iIeEP7Sz+XqsY9gLblhneLMcJjc3olkjnKtSvlzOd0WCY
0/RWn6ZuZqakiVuXLMVzq8ccfaGGokx9pjelDBCea6dkgqdES5i2uTMbaRbUZdnX9PIE2C7iF2/M
kM3QL9n0fywM3nEGbZ0zRqqARsbk30HxvltZcqWyc1HlPzpjnasZTD3YQ1Tt2jtDlQA+m9bTsOUe
qxACRVMCAIa+KzU525oOBPtn+PV3w/31AznQ5SHUMd7HF2C/KxcK00woIpCTdyOv80MF0/Y2Td3S
9qJeC5tgwlLzdWgGDIyiA5a0GcXshEfXLRMSVXpgwoQi4mvGASXc1xK9JMTwQrUubAOn3raHtvoq
E8GoUtRNceqHsslvVdJL2F+tA04WmvpBr1vxRfT068kiUOne/fypMqBU3OrqAMVtjoBmBZHiZPm2
DRVukaprAJgMLds3AXANy01dUCzOhYYNYWSMDc9lMUAyFdUEdKUZSrp1OUV5zF85klxcsIp0925Z
8ZflPyeQEPxxDJV23+xBB2tbh7E/G0kR9uGmctjRMuYMEUAbad6QVAPXxMR9SxSY1yt6dpzzWvuK
qIiOsKjY+3hrREjuDbCTc7W2NL+E0eJujK6gfMVnA5ei5uoqJKr0jJt+Plv/SKD//yATOiXPsmqr
1+5/gU5ofU1/IF3u8+i7TL6/ES/zG7+EQuiQLZjvBGQZZGGgUf4foZCu/8WIS1slQqZGzb7izP+t
EzL/0nkokBGx9LNG6fx1/9LnmxpJ3ZT3Ls/PCtSmDP4HOiHnXdyZTbXMsGWt2GFHkiOI3P/NSmiO
STj24TD6dMzSywFAdSAUYS5MVSt1Zzcx8Pc6C20nKGzTesHAViGUNXCdBInapt8sh0S9zYC64EKa
zN78mb5EGbAf00I/1bvlHlkjI2bB3UAzORuwGjr82PazSej04PRJuqRWhc3NgszQDdyEKNIgdGqd
3LRYc657RdjAFifG314oq7n3SsQ9s2+4qCIajS8nZQx0R0pNeOzChcOyfhGLzGzEVolJJvOFzuGL
rlEQstenVWZnaCDlWH4bCvyytrjUjeIyFt29svD+Gp2TIuJjRnQLr9UAGMQWyStGd2WD420Tsv2P
62kfrhSQVtvz5xgNpcawYQquHhqHYRKiH6O7mugPPgn9Trp4ED011k90AYISOQosJ9Bc1r5V6+9N
B45BwWftpOd1435Vs+l6dnhEFRa0ReM3e5t+X0Sjpcy5DI6vMgBlwEAMIP/YNChG2Qw4Kq1rY+ZX
zCUI6avXSAjt3riP7Go7l8Whc9xaQ4taM4Bd9lMCHpDmG9RJTXmZlznytam4S2Bv0vEhRqZ6itCu
U+OPPozfEsfnCkEsaM2P9La+mEtDYLAZ52xjr9tFheeRH0Q9XJsZWDtIWtK6Swk1xNcZORDl2upM
XfQgJ4sh66yTEmLutCd6udCECWiI7p0mZMTdwmpxIvhs9g0Ciq8DkDI9iXdROQ9ewgggr0hOZxC/
rbPMDSzyBiuwjNaSIUoDQBUOhBQ0+nk1pwcmb1dmCCtTq3zHTOjN4djTITIk1o2l5uc23fqUCm+k
e8aVQypXKDRyKydI7PFotGet0DYU5NslvVORGdFS30zFGpOsf+2j+rztzF3k5sZNpzxalX2q6ize
gW2TznhJd8iLQphjfGv0d69aBMaTFDfpVL72psT12N6ZrNBm2+aBM7MJUfINsvrLskYNUWU8OPgM
U+tgFq4NmAv+53SR6NTVunPjQAZT1n5XeBMijM/aNbbMzq/cQc2+xiPpzdMc+3mY761s2As0cmCP
6o2uKmdWiHBMNqceLxl7mlB4SybvFP6YvtJY57C/LHC7AHI42o75Ba2zGqhOehmhVNcXy5uVKJBg
/vbUDPXg5UBAN8WIN1OzyqDNC6RyyfnqtR/7BpARdBZCm7C1wiwUcbnXkuGkIxpkDO94auJcjGbD
w5qcslDbq3V+FjuUkeyrrux6OsiOQS5Zlh5Rhh0oSMBOTYtkMbsIadvpg7KfLPE6pUSxFyOddpR3
SkHwKnVVLi90a2wuM6Vzr4wFTFzbHwcAnRrgUdTV1GvxbWYt1BpOfZ2g8zaAyODzpwWmMGyJZP5i
ycZPZwpXlOodJnCmufCdlOxhViWWT7TsqQnpM7WYRrUMLPs53McGVxRTA8AIr5IJ9JZ6V0ZMz/uR
cax5OUodciK5IyQ6T2zbCQ9EkNYyigXmdZtq1m3Rcf+F+leRlX6YyV0ecupOdEbnfJ+K1lutJQAd
tOTckOUVNIGLeVpO6KKOao+dHDNBCWuXev7A+NZvTXOvM82IM6uABzCcioiFodeYBeevU83MnBLC
crq9RjWbLb2vFdcikSVSSDqU5Mrfz/l4bobzpd42Z1aJigAcidTUc4qSoBKMVU3oaKAp1Dmz9hIB
WuIDbvIcCuEyVzeZAVTRUMmldirxtEgHipzDKYEk9ixLgktYOTbJma0Q/6I1Z8YK0SCwSmZW/a02
JFbHMNoimwhoWh5DlaGkytY0iQ+FEKjPlls16k4x6BTaUxMqo8k3xrN5qLidygZ7htgimPGnWV4D
z35dnGorZlEEvNWm/WwZl22LRb51kAdN3+ys27pFNfhtPB7t3joYKp3WeGn9ChQQ30CC+tTZhYp9
1tn9dWU2x3U5muj6iazRDyhX0IiuOAjHM+wfU9sQmpMgCroS6jRsiZsHQghPGD8znRNGG8rrFJ66
YjozF3vfO+kxNZgfDJU89HjfVGO6GH+6YovscgrnR72FNLAw72XcezVOhh+hzd9Uy01S3xe453Fx
TnsTSytDpNFNzskGAsurFOirirD1XK2YnTN7qiYWxKmi+ZuMq0LY7sYBTl6FIK2brO4+RuL1TZd2
X+6JLY4Wj/GAe23k6ajRuWT86UOQlz+ka8i7aXHzbypiNXSQgxBXDARMdGjkMT8i1Wu/QaMUT3PJ
oVd865wE7CjLozBSUFcNyjyQ+GojLolmm4Vfa6X7bBTjivGNdTQ/LpYXv4BWhgk7j9unNlp6dLNz
RG8V9JVebeImcpNtbkEQJerWHSHddum4mSYynlvTHsEa1JM8tqMZqj6GWE59UGfWlLzmuT6Sl1i8
oD4en21DqvEFX3HFDARdTe3HsIJ2DbAiSGo2vvJdTB5ss7VlFTp74EWaGZRz1oFo6MxQwvWbmc9a
HedIXaR7CyrDxpvpPQkvsUBlBCgjUbHhp0+TQ6aWVnsg4ntNdykL4bPjzRBh9JL0tzBjw+2jMoE9
E9vtOAH9yWZlbzD+045LCjsUVnXHll9jiZ0Rg7lqeLG0XQVYWqqKuSFEIA4hWSdhF+gIW8lpiBYd
QbA2aK4/IkSh/2YhTGNj0+NNKWKigCBDMV+5iLTVgsKlamzwfS0oJqNp8zNTq9WHwaxUIvqcIknP
7Fm3WfWSZGggUXTxbTNZrYaquW5bX6ks1MSZYPDtF22kkYfGG4OdJLYL91DYMrxsuhiFWKhSiOzz
GSRJQJlnYYkwYezsnSXpoYGNiE7OJ7APz9qCRpSPVQM4RMvF2H7qypbnM9cW5MBo6ytfjLmtH/Gz
Kcu+7kMCndy8TONtNbn2PR1Id9nHtP+RgI1O2G6bJh+0g44pXkVxs3bdFBf8kSccsfrh58VwzwDV
luOxgLWaY2rpy13Ut05/NeWtcTFXMxLYuZZdtMkbxjl7axxBvUwompStpD02bRwtrPWNPhihtiMn
o8Vv54JjBPE9xSmknNGuj3yw+GVpLOxLCpOj+RJwYGEd7UHX4s2CauOA4nnC1gc/UjAwo4+9MdBm
w6osJxc5l8zG7jBOovxOG284QgfHvU6Wen/GVBtFHnVoanr84qBt56GFIbNM3UC4Q2VC4qF+Z0lR
kQD4nSwacVCAn+S+gowM9pE1rVt0JTMfZZma0SaNhpVso87SDfISCLGRDtZ5P9Xo+EYls44YDnNk
OGEMzIadBZZ9ReuzjDkAU3+gI3KhjMHYj+g4qWNe6BS//KQwSvbKk91NWwMJv01OoXTqwFyMAV6I
a7SPc28PMLPqcBypM1IkCg60PDvgFaSZmxAiK5hFK4ldWgcxQDyLa5yDimzstUu+VBBIm+GpNyax
EqWIeeU9Gopj4vb1S9tERslvk0yxAg5COJhRE7Saftvg4thoBQ2jQE1j9TYTBkK0OIctQ3MZArc0
qJaWaBy/mWaBrQqdVLBooEXAi4z6k6gr1Ecg3mCq16OWnJE30eLLovLbWGVY5rQJEA7sHFMo17Ne
LAkIkSp6EPZdJLIYE53Z/ygmOecXzmBOX7NBGihFwJag87Ai99kE3WVSAnfz5TwrXQGzbtTvkHRJ
ugupzTsa8UwUelxg69auTePZqDoG21ABGMyU6lg/O6UDESNskJHsihDZsDfCuKEoIWKdtGta434x
Fd39rCq4/CiXLNdzO816xmFqvKJdN36YdmR3gdJMxqM+GgKiL17ePqhma8B5lsVIfBKVaW4AgUp7
jcZ6NBFpDfq8dYXA7dfAXAPx7Xaw5h1Bz53KtLJvqtackFctWfs8tWUP+XPs+foAXg3koeNYaAJ6
XryY4BZ3GwMRIVJYOJywC/IbQzZIM2SeA76qGrdCNmsv4UqfcXn9NnOaoXEk7gRufom2DYKfZp4N
NcQFRBDIX/2GKR5GUxvytzWEyhSMRtVcEy6ndDSp0viRZ9b9sYC/gBiKKD6ExOvIkaiUeJAIx8ch
3dZ6PN0gOCuvu8TQvhNEVPFALiWvsGWRlF0EIIbzZuHNeQaBES/IVMYAnasCZ6AXVinKB7sYaCG1
RruYm0UlsYsR7qI/OaTKP3X8E/1taNOryguJ3MB16br+ah/+o6bOf+zY/G7s+r+X9f+uCA5tnbH8
5+bOrk/KlzetnZ+/8Ku3o+DZojepUu/g29YZ2+FQ+oVeoMn7l0pzh+yNtduqGWs0+L+6O5r+l2Xz
50kBxtKu/k5fsP/SYB6SQKQSyLByGYx/0t1ZPe6/T0wQEvMXWXAaNT4cYX7ruOm3eWLaTVFvAPxS
5Ci/T/kA/gexkJ16TEXKMVCTwrwSWqtXARK5st/guSaCy4qm9EWghZoPGQadMvjtAv7B2MWJ/+1D
abQx8XTxf2KX334o5koNpOj8tMxzfVvkinioxzlnN2+G2aPrRuNXRPbuvRA9uKyPD/1ugvTzemC7
M7gYdNb+NrrMR10JBzs9lTVAKwSV4jgCofcUuGLktmvx0z8/nK7SxQMEsc7Hcfv9fvmNYqIQztMT
heOqCWA88pxScT+GToX22C7sHx8fb/06fxuQ/Ty934/3rpdnoEWXWGhPmr7ECFzU+gAtUd05bBo2
Hx/p7XBI/DqSzgVcZ2HAFd5NE2BF1SDFspOSl90pVbJiDYkeLj8+yJ9uFN1aUQ02s1xclm8vH5A5
t7fa5FRh79jB89ZeZZPgxkhh5qGQRm/UWCOifEv/5OzeTof+dXb03zCU/Xx6313HlrF1WUYxA1ak
Bn5dmsbWyMboxlngVpZTP5xPzJX9IkMIHqYUGN7HJ/7Hq0uDl1vUBNv2cxD622Pr2nLOBEm0UVYR
sC7x20Vj81ns5B+eBc2k7azjODUFKIy3V5favEu7Kj4lTiKeaQgpuzWi+hr0SXzSqWmvPj6ndwOo
nxcVUIYBTJXDrcPNt8djhJoxbYxO6SSrc0m9iJpST64quJE4hZTpwZ2LdseeHO1rn6lMp3hsGJRh
U99+/FH+8JjwOK7/47Ek3fPd1zsQZKuqZPqgDkD9WQNDWIkSXo/i6ZP15g9HMujRk7BkoMBizXl7
zr3EGlmE9nHQu+jeADF8QAUN1LdJ0/3H5/Sny4sg42fSH9MExA9vD4XklgOlBtzSRPvScSkfbcRS
T6aGt+tQwJ8/X/j3yrNDIl38Hu3Rd4HZhlCAtFluPv4w67HerUPMDDln02GA7b6frlJgA1qwtCPP
EKncC1raR+AENZKcZTlh1izulplWMmLC9vzjI//hpjZV1luNFwvJamu81u8rbrHEqEAN41hFmbPX
Z3h8cJrhZIOF2IZaGR0+PtzPJej9mTIGhrFLzJbKi/bt8fANx7x69aOpWXS90IiLwu9BNZpYn+z+
fsSAcJSxQ0iE4mh7hbyNb6hD+0/Wiz+sV+bvn+LdbcZKH9p9reM0rHm30x1tXts5aXa9aAWUlyOY
r3w3g97cdYQnf3Ln/WGxMtkHMEjnpiPB+90qbZVZnIyLduxwi5/R0hF7bYiAdnx8pf/wJCGH0TQU
UvbPsdjbC93RiaJ/oB0VesFsxAd918WF6rdM0c8+PpL2p0P9kuBQognqsbeHsqNlUMSg4ZRYUgum
yWxjkY/jbmtSwWMRyq3oNKsYHxCY6Ow+WyyeqdKoXt+Ezd0cy/kkzMa4mMDDxZ4uJGLWTz7iWji8
v+1MhuYa4gXDUN+7+x1s3IoppiPCw/k4SrrwtM7yKz0Zrd0cseGIYWNtW5QxB7w7DEnk1BzCyq4/
u//1v30QbPsmIBhqXd6VPzMFf39TxSC10Jid54k6HkMUnEGUmP2GXEUXv/5s0vpiexVC9rl2chMV
L/TmnW3BlPVqlUHJJ9dlvdfeXhemooAVXAauBtXlu0XQgBZUEWt3PsgK6dOc9aBQzBqBuZsTJzkM
O4h3/V5LC7khyq3YJL0Y7j75DH//bjTNWVUNlLYGuoZ3S0IaNwy1SvtcIQ70VGmYB/UoDC8ESopA
Cru8cZMp2ZeZ7Z4lVhldz60OS91y5k+eyz/cxz+vBModLsYqCH17H6f9BNaZALiwaNMfoSVq3LHT
QQPwGPQDkgF/LqZuF3US0QEpMa+uJod7pyZcR8Noc4hVi5bgYMoLZ5zNzx6y9Sq8+6Z01IPrtgnE
HAKftx9OS/SCC2icCz1hJOH2MbQoFE8HvZ/6U1N8x/5JrAZ658CchnBT9KEeUNT352xU4sbD7zKz
a/uffd3Vr2P/Lp39w2ZJWzF5KDD5WKi+3l0vps6Tks3qeYc2wvGmycyvlqSVAd1tm/DLOr+ZXXJv
+779Hq9JN6QRuAd07vN1DGvD+KRI+cOrZf04qL9Y9VxK0Xdqt3psSSqzjfNoRp8u7RCbmZw008ML
zpC36uoveFqrG5w8Er9deaEYvHU+viR/f4/zEYRwNOFaOtzgd49T3wmT9rN+jpubuWeS05rRejUL
0ANlD/1s4UXQ2gfw6uZn9+4fbw+OucZaquve9e3tkUAdUnNbO0/LttmbxN7uaIoBvRK5eg13XXtk
Di5f3CJmbcYGHx4mNz/YKQ1z5AQd2kW3+2Rt+fu1QJDJdaAdhcTZfL+05KWCE3FJz6ENLN9VqXGr
MjSv4G5FZusbncXkxqba21uh7IOPv4e/v2IFMpB1NeFSaLwE314N2OswD9z03NHqFMdGTApBDhn3
44O8Fx+zp+MoiKe1VVmC+O9d7STwYOjNEp8v9lxdzCQUHCR8BB8bCbk0HQz9nNthR/oByAx8pl6B
38fH/Q/XNMch8lB1ppl6pQNl9eNP9odLz1tGRW6MKpruyLubIQ/r3CLD6Jyro++nSisuCpOpTzjp
ke+UqAhmPL5+0oefLOXrZX27RoEtp4hFjImQjwjVt5c9gxcfl4Vyhi3EyckgdGTn1yPhH5u4J6kx
yMcw4oYbo+mzDeB7qSvfBdvetdjR4eLSJnp3ymg1QNtP8bm0RXU0GqjlxZjQMU+1O+QBsFktwM8F
EVukxVnn48jETyhzu6LGYGEoMrsiVDyBKR12t7aJvwzc8DViEnkqmgFu3hA9SxWQwpgaZ3NKUliJ
9MSXsiWzhf/8pEz4e1UOD8mANLoWCuxq39WntkzyPuntM52+7t6iyekQHhAaOyw1cLcNfYmuP75j
/v7ArAfEhMzCyQbsvQ2C26XQF9M6m2w32kRr8jhAz9L/+CB/OCueSlVHuSXWbc6720NNiCtRICoi
+AyvBsLAQ68hu9afkejPaBNj5fbjA/69MLUp+ZjE8YCu6/G7BxQQsqTqkORoNQnz8AnFUaxZW9w2
+ienxmbp3b1Pu4rql9Yh3xsnaLy7AZsy77GHWTiGMpK3CYVFqtVGavmNweWMWjRBIsmEpVi+6TUr
l7dw0+kbG40BAZxtaJ30UaP6FQoDRHWEE8yMUJf4/Kcmpj605vRSG9ukIALdseBQu1N4KNq5+gH2
u3hRJrVtbmcTwDAz/DpEydDkxt0o8+w4GJ373FJHosjV4vq7xoi18zrd6saN6cQQUMbQyZ9l3dsM
nUOmIR5J7yQd8XX1bHy71t3qWPtRyE+FYNy4KJFftXn+3IFdPhZaM7aIsQyJfAd9LFlkk6trZPjl
2ZWtLjA8LVzZzzz88rXJl+mcOcWAOqkiKdHrcyALbV1iO4+N2XpBHo4nnk7TKyMG/drAswtTr5Y2
qirAYU+oiPMoYNS21J7NzuJ7CuaOJB7Gjo9moc0oV8o8J+Z1VAkizMzsus/z1vHY0Slf6AfoMXl6
ORSiNIGrcL6k5EL40tTBf7Y6ib0MngBbTaT4cfEqQiG6GmoeCU8lWXiN8iKxInztKjMGtzRZLndw
jSF3Y5d5p+2wsON6RNX9Te97Qo1drRubbRpHDaoz3PbMGI0UUAJJqHDrdWsdPlCo4fyPVXmmDrlF
4GPWEfDEi9LxuqLkV3AFu6avJvMsMEZGNQQfxxjPK8VckqCn8dvC48kHcrUGRMBMhGsggAI8DX6X
2Y09wrcMN2iZEe7btoAK1TVY3QKw4lgURCPCy0IORMhajkU6YKYkOiqwQol3eFXGsw7YFoKGeSZ8
yNIT6rwMnRxAJ7XNow2RUDCfXDfRwnOMmHm16du43MVK5jyLVGeqUpYdd9Ua7QrDIC+HOx4DBp+T
KubUcwUCmI0hzflgtEbxQEGlw8jMmvCpF/H6lYBh6wmCmbNDr9vyjkVxmvyINI4v2Ezj+xh7kdxk
mE1+WCXvWUCHjXlD2qBuk2JVJeQILvM0cw3JX6dpVcL9JDlO3I6qqTw4MRhGvHtxAzfEQreTO8S0
7YaErTMe4aHJ9tEg3eSMESmquzhLaRYobU9AQdgxPvJUO5ufyX9Dg9cUOSxLLaq0XQLBUAFGs8Co
IX0lQTMAK5FpNImiwkN0QBitmSZVsouwIuIuRNxU7kYgzgAgJSN5P5QFhVIxupgka9T4wBMLQNAB
NpuQIK26cnOIRNnwZKWDrXpQgONHm3Djji/KyElBwOZ8NEdIq4OaoIFUzDS940ZmHBiVUX5ZUwzG
fgIgnx84sXk0MBqSCFziRD1ocHn3jE8RVK4MMmezzEoBS2wq5TmSPVg6FV8yCRGOGj5Bgk3rjZGp
ThZEsq1EMJKG2e31qu4eQgeJ+aXdReONmHRIME2YMIU0uJDRVgFxcFeCAhqJYVgndN245ggSrcBC
g8K2yQLZGJRO+bKK35LaUYugS4Y+o8pSGQkOrUWoA69K9xnuHTNnEnwBabq1XTjHbK5JBJqbihCe
FCPFBbZo1hwzrB1kmmZMCUR//HmxM/0MQY3zhXl/5npwkSUSzCxTip0WArHbSAanrZ9lEQN2ra/b
W8tKUHvkkt6Ah60jNWiYlazQedMTyo5LiAIbJ03/NekziBHaWGFmKLKUigT79XyxFMry1XBalp1o
0It9lFYLAKF+VF4ZSwtyHEyLlAtLTAopUhO2ChLakW6lMwuvl+ntcOpnKMIsPFV1bRktnm8bytI3
VRvGB6FLMnDVQuigQ530K1/AcMOsU73VsW2C8yhKYqULLLjVBosSAQxEVqB3C42pdb3J1eJyq0eJ
feuym7W9pWKg4LdGqh8tQywP2KZtF5REjlQBQQUyCILbEIM4ska9UiGPwio9OEsRzCbvFH8cQ+MH
YeTJyUjLVPgzZ1jvBTl4t+is6280XPSnQa2m58kuYP5bsVJ8tdm6XpmpdO8UyxwvIoPoIw+ql2JB
41NBvKKqQGy35FOSBKqG2Z/AwVG9VrHQAEvKsWp5rj0Jy5e1CXckiVq8rxTkylWFkJpXX5ePe/yW
6TdY5doL/djwKmeiRuKaOlk3cNRCCBrLYjNio8Y+EvCnsa0mXdDeUdbXjjeMC29JnNQhEeOq2ryO
KtXhnlUX7cWoa326qYlKxcbZYTH0Bm7KKiCoK6sQyYrxniRDS2zwSYB0VUFQ3Tepmw0Bz1Xfkc6u
WZLwoVj5MqOL3ihNb8S7HOBC5+ULjBs4dmX+NcP6Dn2oCa1LVWnynFyDOkLvNqnIeKwCMYFfOEXK
TQ9E7kjRQu8e12Mt/RE8Lku/iKVAqBLCTzansXqZmN4Af6944/p4YDG021K4w6GeMhhdKYUEHrDs
MgEqM74Ia6AvxLsGcbmqlv3Z1Bk66I+EgT/xk5VzKc0qQeZoRCzpRlYbjyYktiagGCJOuymNOUME
bg0PmSSVbwS5MOAyJgrUB8Wm3BBFhGlk1vXsh8PIbPanGArtlp4YuGFYGiTNQTjsb9htLygKOyNf
dZqieCbfC8+1acuhPY2zmI1DlLvWHi8LUiKGrCSS0ksXz/ESRhfdYtXPIxmYxGiXfXZtFrbyVKGT
H2illIgvWqVGK971Lt0fbKZm59Mrblhw3PQW9tV0UbDKM9iiXuel0HeYUFAAtgpqtlw9U9mNLGdh
aI/Kt6ISU7ZD5eP2h3BEa+mVpURkiGcFy7nG+kNNOLOhuAJJPqi+oeQVTDPVDeMxmLijUFmmZW5s
srpTdU+vuDWRxKaVBimeDjr8lqW/s6qQmmJoknoNm8myTW4Jed82WgrGCRhJinnXir8lqrR+WEhs
Vts5ZQ/Nm0T/YaKbvxZMDEnuxn1GVJOQ1jVRRcRuZUVELArqRBWpZskVJJCMOtoTy8jrHFRorXrE
N2oURI4h7mMliY9zZMFTX6L5dqb5+sXQYhOtFIgp3qLc8DZSRoKiNkiYB9x58YAjXE0l+k84K9/M
OZtfhBy7OugGQ3yZ2nj64joRtCnamKx/ix7aZF6qdXgZM8IhUKXou/CmETIaWZZEt1ZYIiRY01gw
UkSAbAa/tAGYbNfCerUsNISkETvFu4eEsGt7nOPHAp0VFv3FPIENaDeEZXXxjlqeNWUcWzAzJgD9
C8VFMIa71c1UP+Mnj8ShygmRrOpMm5Tl9yT6YfiyCLVoSG81oRs041xcYyizdywySblL59pcNhGR
VQwg9NhEcYgX/QVgS3FT53a8qU3Shb0uQlITqOPCe9Jg+Rz9FgQUcZjp3Cy4mO3a3S5kmcVbMx81
DdE6NDNK3N591doGiv4UtkUWINLl60Mf2hFZnZl6tIX4jmAHjIBpBWq/4M2Yl1DclvmQf61jfoto
3Kk0/UFpu4eBPCuJ+N5uAMmEEVHesktmzactKn6kc5V+RwxXJMQx8Z0EWFLbJwpdwPpAZ6Ny280d
LR+EQnwnBGRWgGBQO91XCs4VPBVL8UVtCkGZhhsBxtBAI3qjWmH0rU5G7cQMeXmcnCm7M7vSOHPy
PpZ+rUNjdQvpDH41tP3OmjJMH1oNUHbrzsO8s2iYhntjaL8MVeruDIWkMrBbFFtAI3RlU1J6GaeJ
i3Pd2ylsHAIRnSPvW5N4mUS1Ka7jtuuphdKhIGKUCUcFI14OX4CLIsZmI43Z2Rmz7qkwKzKv8nK+
KbipcgwrHbGhIIJR8rtN2Vl7llesA+BBCdBbsKSdM4uB9oJbhu5DiCASGAtivx8yJ9vdi812Oi1o
QJcN0tDhwSAVTSFUPNJ/oC3MuKMno97WzYxE1zW68FaZMSr6UTtnF4yl81d7SdURy/Ji3le6GOKN
kmg4jyOtKsXZSqQbA6WGUwtjJYO3GOlNGyP4ki55r3UDY0HJp4Y2IrA3KzDQA5s+/gkU8XGszkc8
UUSxwwcV+HzKNWhqyUFgiiaNXmhm2YPPu9fqgrxTpntLEtm9s5HHvebaoB+EMePRLVmPHtZxxEXc
zXNy4FtAg+yCFNnEuj7duZJHu83b4tKJ0OL5EiQDFhNHyW/DiL0vYxGi9gLDHawTqYSwgan9Wsg0
zWz65OJFT7FsVbCadaUTOh6j6vCAMArEk1rekxhG9JpnYc++6nVzgXWFdYe078QaX/F3KOB3Z0iG
PqoQtMRN6doPJT85zZgVbwgi1a7ykEuDrYqEWK8hpvO+7VkktnXb2WgqJ1K8vNqKYVMtUa/co1qa
8RQ0TL23I2y1V8BSypcmdQixIJUgySmXcPR6jchB6qHHAdfniihFmw+5NfftlFoN38jYD1ulEOWZ
kExpt1L0VMxFlUD9K6hK15rPpMxuy1gMJ1kLhN1WheLc7/rYfTR1WZJ4UIRrqJyrENUnIxeXeuMQ
XpWqsr6AuFgr3tQn7CarSZkfOmmQV0DCBjaAsUqdL7KLJXkWsR59/dmq+f96uf9iNvJb12plsv+L
tb5C3//Pfx2Tl+e4e0F5TaLu747In7/3SzbnoprTYafbgqJbWwUS/1bNuX/RwAIuYZr4lPEjrhkw
/7ZE2n9xXwmeRgZaBL7YjCL/bYm0/1qnFGhYGFcwKYH88Q8skeJt68tWNQs3pIoOHWUIBZR41/rq
1ZHFUFL61zoBB7Sq2vOlMy8rbAHBGHb9NhK5cRELyevMbDDlTosdkEaaoYrurS92ZnRBwwDjtKBe
3QHI9FF/PClmAj4okvCzCtMvLHHpWrwKoS97aUcxSpa2kmQSrua4zpgd/UCWPUSGFFIo+27u/dog
j85rkpCnPyqq15hxf8BaTTR0kYNAUPrlq1JURPtmuk2YR44EGhkiW2un3DqUmpdzg53fGTA14r+4
UhRoktgGUw9oKQ44I0123X+zdybNcSNZtv4rZb2HDHDMi95EIAbOMyVqAyMlEvPoDsfw6/uDUl0p
MespTe+t6nWnWWVWpkRFBAJwv37vOd+p63RPs5i2Upf7t04Hj/z3n4z/F3vwT2LTf6esASac/xxH
/uWx2byWz/0gf3xgBD/wx/Niiw80Y/EHo7CwMeuuPJM/VKbCJmqAYTOkBiD/DL0ZnXx/XlyPX8Jk
j/7zj2fsz+fFxUL8bbbmIQzlcSEw7DeeF0D8P/WK8Sgz6WYgxnBsdTP/ZZariesq8Ky5bGBmggAh
xUSDTn+Za9b0TOO8HYrPVZVhgEernN7qWORvXQvnc6PdmflNWCFh2VRqAj+X9Pb8nPmFR7w78J7n
2JUhUcS+QF8DrSED4pyKIkB/Hth3y2AaLlgsy7mHCVbdL1Yz9FultJ53KVUtlC1dYLmSjeg+D2oZ
6Ke2CZ1dRifYi0ObR2zX8ZyXm8pocnxx3Rprgyog6C6nOK/JnzeNMlqKrrmfvGF8yhhx4JDSxX0m
8QzeZJLftWk1vNGtZQ72meHlPIE1uDn4+EPvuhtXD+0VmcyuiKyl855wqqzvgMnPvdFDItjogZyn
gzMsM4O2ssATMftQ5sqOC3LIY9u7KZHhIvquyMU5VNZEleUOcMgpoir7fMHX3R69xmgkTZC0+uSq
ekIMjln1ZUrC9o6Sw8OxiLVIbPxgyr6E3mLc+AALso1tqfJjI3MhqYdxV5OvaMo7uHnhG8QPkMgc
PBMAcD4VPW2WXp8hZLBolTqVCeyKdYkWKsel5jjQhi8Akc/0YVkRp3Kb24q89krM5kUVJmzFY2KK
7ooTIs5ra0pg1Q8drR2T6OFmPYmWZ6JKm2dNkMypqrTKNxkBWngAiT54y1M/T56a2O6miHQXdd3S
4uI4v77r7aJTP8YII4MAD01ZARftq8zcgHksPs6xGuPdOgGiTrYJ091JhUwJ26uHcr6BuUO6VQ3a
lOTCluaRgpVaex7UrH4I6XqKJcDxKelEMB2DzE58fZIAgsnDEjdVbPoj0apGUj0UtZvHm1BXtLb6
XKKfAPVRppuJq3iVoKr4vBSwyHajYdk3WYcVghkE3by4DuK7EXb5p2FAD7AdLMisVP8FyqECNVR7
1FPF/bRYbdtt42GujL1py+ly9hPOGW5dToegyEt9UpQLT4iNOyk9BgKSJgjNHE/ItBTluEGVaZBQ
5EC03ym/jp9aAlSJgSyD8jDUrVudDF5BFwV/aX4vzNk5d0NFliMkoObJG0T5qcCM9ylbkBnpkQYI
Ge/SAp8rwdPoNrOu8XjH3UaZ2KX2Icg2mqSe27gcN1bIEP+DFROQ2bNJSUiid4qsFdJo4Grqydaq
IU8bo3sOysJLI2YixYOZVEYbxUJXIO1y0Z0ZVlPgVWGTxv+5dOoWWDH+Wch9GVfTwS2+yXpVP8dG
ilelM/Lilqalm2GrnvBwGZ3tfl3itr6GhAeNecoC6zTEVEuTCW14u1t6HxmopQMV7EgTV8seVtBM
ImhbpgEvM3V3QZIvnw1B22WTJC6H/cEkomGP9bBsUB15kLsmfxw/ybCb36qiYiljaqBu1DB3bVTb
Nu5gGIrlsUgJGciVe6N7V90wjJar99RyaNEwl2nxZFr9Pd0xXTJhmD0ITvjAHslparCyS8yf2zGA
TLPB1dcv26ValpesR8HCWNVm9aHfkWO4StVF0se0OLqhZWyRe056M+aNfZtMou1OUOsO16ofPOAl
mTAJbEbhQO6pbpbNEtA13EDbyt4y2weoHtNf3zrABuCMUd4B57N6VF2el8vdJFZwYZXK+smVg3Gf
svG8eQ2Hp529+IKP1smqioCilHcYhdd7A/VJf6LbnIWpqht8Nwvu/GozayOEFdFOhntMORTcxQRz
XDKGSbHxh4EvcBOO3NtBYSDIA6zTfQkmt1gBqdwoYJ875wWfcPk6jV6gyVp3mWDAx2IIxjGRJFi7
ZG2BghiWp30Q6GwTNi1JMmAZOuIjwU+CtK6Ff6bC2u7pL+sgOxCUTQBZN6I7kU4rUQbGTfMm+pL9
IZQmDXEipxnOmPkM3LJKJzrnzDbhIXcpWS473ZnNqSuSmb5sMfPHdqlFhNu4EDWxSb1CDTuMQKw/
gYt4c8vlr86Q2BsFPs7GRoLolbkVDfFMAFhsy+KMXnZn7oyk7DQzo4WI6TLDOLpp7Vq8BbEpHrDV
1w+FMdALT62w/8JKya4Xgytf1ySzuJxjx5PRGumC+T9geLlJFt/cl5yd851sDSgEyUQreduAUuU8
6tGx3lRcPRzcmpiawzoA/TL7DSu/LFg08oSJz+rMDMWZwjC/l7oH2FH6BRNCCHaoFtoe+e62CLgv
Tg3LcwdI3GH9lKTkyWOMF5bcsGj75k4GvjNtIXdNDHd0RhvIdgmTxxDZ+8RnjMreeCp0yKpGYLyn
WzBdxEGeD7sYS9QTw7kOpAOe2dcp7MMg6kSfvWDddx+l6soEVC5PelSQCE8j2XScc2jIMJhTnIXp
ZqmycG1PD/LKS5PJ3huTlDSo7MQeb2HpLPcjIRZsiVNXOgRBcwFw93ls0uC1xXlrE2F8JWcjv1TA
98uosFPx2k7zYGzxm433czcHcstU034bJEXH2i+Zv9aZBg7udT3EBU7a+C4DMtHJIe7JQ4udMfZ2
CwB2wJRxhYm/5Na9bG06PFHO2jns1Viqa08nyROl5HIEx1ahXEv6rgeKYVnJ0V4G2oOTl/ZPqKjL
/oQjhPsxzPzuNJtF8xXj8sLYbwFYfagG3uPp0Nf9udf64bhPxWDK4+oxIQLDysJx68QW2epdYKUQ
IOosuOFEN5z3mB07XO46aPdpyNNJzCvvbNu1VnNtF8ast4OHDm8LrcNi3Sc+DZPwGFCEUT7mDBII
v2QgxmwESgKUM1b0kii57ZRQVUSK2YveAbQuv5Rw2NmvJZ9k2+Q14z/asfajH+eDuGbIhQAhZgQ2
bpeuKT+ROwkccjJN/r7Khkh49bKsZxrW6eWqt4ld2NJhD4r91IxudgJOK6XLNSXq1qIdAhayGcoz
l8rH3kqcdjRb2uSBMrSldTMp4WzmDAUhWHp6towjOcgyoDK714yh3hn8qOxrwPE12XhaBMupVmky
HOgzJuFRdHUf7Eo7LQkP1S55Bw0ly7UCV6EiBG3qXmRhcO33jPXO7WQELWIw35BbalmclVxfqgOi
sAlXcRLy3TdePY8mYCrbuh6GmVDuNIA3fJrHM50ibnYGzn47kHhrupw7sbuIbVd1043do/Pe2ZbE
MKprYgI3mSMzcQnux+J7UHTJJsLug5SkQCaJ/CdIQB7dlHaw3ROvCKlEe4EValM3fv+AgZSJDTnX
wLoWf+Q7x4+RP9SU6fkhW4qFiYGqUIgihQUrTtHnzPrQIqqc9nkWLmDnSmsmBlDLxSt3JfKt2y7Q
usXPLsWpwMSmrxYHWUVkx12lNrpqy3OZO1YWGejW3jBIx/lBa+1/iYlqYAoNfYFBQyCJO9VmsISb
OJgR5IeZXYC9IO/9aLFXO+wFcFs3QYzcC11fC3YFRxydfzz4Oz3m9X3ZjyBV0fFCKEorOmM+84Oy
aVlfikmkkYlj9qarlyVg2QjAymAhKj4DBR8EA4ZKvirycZAHtDo8lW5rotvoTVZqWZUuqgtW5vwo
pGpv6qQx3b1VjdMDRngbqykiLzhF1LBANDqL9DGPcJotO2JLqIZRDwF56SiNt6svLd+bSQnrFV36
pHaFA0qfyXhoalKb7CTCsROCQ5nGNtxxNadl33JBDIYzqgW4MhIJwLxP2ssGO3teIR9u5QVtM53R
Bg+x6fY938TRwrjrHhuOG+k2IQZGYnP35gJeTZZVm44AUuMI7bYKzzJPDExeEIQ9O8yTup2D39o+
IQ8BIGWIf+jTgMtlYtjR9UerqBTB65mKPfjY60ZkAa7fDyHKnE1lFSxpg9F2zakvZxooMUUgztk0
tp6ln/MymlvpsQMeNEQpgSse0agDmUZ+i3hIhRYS43HAbbwbcw37yjLBwHn0NZEJkYDEQDwRzkcF
WZiDBN4HEQ3BVAbPZe87/XF2ahc9jZOS3THoUEFdGgK2xBCyJvQQaMoRaZAwq6zWQPqd+rAPGYMZ
4gkaQHtVApkjmCMlrIezLPOAnWll+HPYCIKQo5PT3Uz0cUlybFryPmheU6mTHZFjM3HshfR3j1S0
zVK73W1nrS5r7RWdtQOGJ27nccRC7LH3jttKJcV4ZNRJeBsPcX1Wk+seLSpRZz7PSbOlFeay/gNU
ORZ9XlTQTlRFG6sN4gObZsGGQVMiI/ihtdRJqx1p79kMSQcxchGYNLbBTBxxUOUZwQJp90DBm36a
Rkd+DScD1mGsMXUiFx2Q/LUu7IcLhTYsRRcSe3dGmwEfE4vy0pM808l91XooUqrebp8XxzQejNnx
7lzaIJcL/Hvi0fqJGysEFUEhFSKe2cQAwZn0qjZ+8VEa1Xv0Q1SHfmkWZuS3JqCFmbwZnmk7V7dG
Cbh9MyQm52e/M9B1IFY4DxnnPAPLUxmAqDEwCMPS9rlQTvOpylhT8CEi7/ISpyBwoIc9vi0ZnHT8
l7LlfTRZ8VqAJym2BSlx9taoE3Nnuk2Tnlp5Ux4Sg2CO7TCVxevqGqn2IckmK7pgKEnO0QtwI6D2
ILlcmN/NVSML/y3xaGCv3m8PLKXM8u8ukt/qUf+7ubVpG/+qjXZHYKf6x/nw5Wca37ef+m7Z9swP
GB5BLIcmKEyqHNq73y3bnvUBvQdi+1Cg9rXwAfyzm2Y5H5BFI17F7YL4EubDP7vPFpmeyCR9msKe
J0BIB7/TTVs7dj+Kjnk6cZRjzAx4dIRPR/tn0XE/uypuCXCIstneI5PMwp2cjHZvciuRpeh+oXXc
3Y1pqM5Lq2fzn21ZHkgEPstY8l9LwmEw+Sl/viEqFz083eblWQVJeq7GsT5fPDOnn9V01JwwT4Yr
9PLnNjzJ68IQ4XMdZ9k1gSTLrZGR0ZYETJUvkFqyhgfKQ8Fmew2NLlbEfWXoGTKt2+nHJahvsgLX
5pY8oeo4qeT/omn8y1v1p67wlX7t1dC//uPiuZX/2A/1V+a1Tf1vAJoEuvv3t/dZppT8x3P99R+X
rzr7uWe8/vx/3+jiw2q0ZdIGFN1bnZh/3ujiA2hhFnsPg8VqquMm+282gf9hdfPhzeEnLJt7/c8b
nTELFgGsfhZGXgdB/u/c6O8l7kxrPKY4phCmxeqNMPznGz1vmbhnsP6i3FD5hdc4xS1CCRIPKgKR
rvOJVmcacNO7TUa/kRhoLTe5jAfiwP25Rmli4DgkfdMi/jfN9iYZWo+oSmvkG407XwplwTFDTtNV
bD2VcVZO7WfCeaYXD7MBbRh4P1t62/0rT+PfGTbee4nWD4frxVotv9gVeY5//nCh13CmpZrCcuVl
z6ErrLfJ8ozznFqXboOBs28DhPoESZh9FwZVCOTEXrJPS6dPHBxsavv7U5f/CQ8Qk7tfPUAXz0Of
qeznQcu3n/njofHsDy6jP0YpHO4ADoT/fGYYpzBh5Ga1V7Mv7uY/HxnDMj/YdL/8MKT3RMra6gT4
Ppo0hPnBxSGAb2dlhJgoLn/noXnn8g4ExGScYCvWXvBClvvONrfkXVkXhU9bpPCtU6PzpwePAOE0
qoeJM4iiuSVl50V5R+QeOqAlf4ZI5b919KD+xtTx80b17a3w4K6faoV5OH9xI4SzpLij2yyaRB5d
4ZHlYmTD0Ufuk2wrJ1U3RZDEX7qJbvgPX9q/sOr97LwI0FKu1G5frF+Ezz7NFv6jy9vrEmPkSNJE
oZE+Bgo5ZFxPr/kU7Puks//mxfjKf9iQv72Yy7IXrokCDoHe714MbJ3nIgCHPUqCXDSnw7PdGsXh
15/oX7/IOnDmY2FZefciqa77pHTpdK891BNGUTpafNu++/WrrHfHn4YmPorPn883Fa4fZQ2Z+Pm6
tVKrprYgzBW6uUG2mtFa6u4R1hB2tzwVS3vCcPgaf93u16/r8HC8f2HMOMBJQ4fxeijWX//BJoy4
j9JdISBFMWYQflk6xjk9f79CcZQlD3GwmkxisQA5yxrz2Y7hBExGE9JDjgFsd7pBkTPkxPtZRr9M
EaCrEDBHFU4fM1uTOOYIA6KgUa0pYVUntBMx4wIQhpT+XsmAP2hlkSI4QawJW7IgmqmeF9iZri/w
nC5gKIWAgwO10xA+E7kkCE9we/oobXsokoTpZcZjnduPPZeMRhr9cmDhavCtHTmU9EnsVtYh8Wku
BNO/uXp/uXigowX6R/Sogr13NRz/ePEgiDGqShD/17K4wBkyEG6A3PDXr/KXZwpxRejCh7Z5nlHn
vLsDEbzJCgooQD1TdQjakN8sZjxtsd+apPaJv3NPsSa+uyXwMcHEwDbOguv666//8KnIMW5dlG8q
4mTHNzfUkHi9zokIGSZ0s0B6b60g0d/+kB5TclZvdx2mu+9qDjh7nAk8oIh+MVzLvi2OClUcZNTw
up6zcvvrV/vLQ71uIy7HDAhQFlvHuyLAbOelwfhCUBJvaRtPpt4lzuTuf/0q72oNnmpOHkzd8aCx
PrEcvv/mrBbfPwsX3OJ8fvRyete7OmjR/3dNFtwHuj3vCWgNN1kYh1ZEDnyNJIWi5d6btXvFHDsI
/vjkv3W0/P8TFyZWhsv/WcdxO1KXYzx/rVWm5pOv//kf337gu46DoycqUQfhUxDyHK+muu86joCC
nIMfRcKq8vhWq38vyA0OpWvxTnFBUYgAymHV/md18YHfTVAQ+4bnUUdTlfyGksPxf94gXDYfDxSQ
FVCoUJazSfz8UDY6jWmT+XeKZhys4bAE04yD7KRrx/5R0A3ZIcYoL1MvaDhezsHFaLnTi1kraNQI
FSIfrEwEckxe9kpPT2KKx7uZs8Y90Lt2P4xyZuJQ5o/LbN0bVrI8WBBH0cLL5AaN73LmKDKy0pkA
I/wYybxnwOUSaF6oExt5wdbXqjy3szQ4rcg1NDFHZHayR8s7mFEr3HjXpUp/KgJkkwxYmf9GWe27
n10kE0OUOIugPYrF5Er0TXCWd8jBNzF64lOEHViQkHwp8szbdgkIgrH9ktNsSNPHGaURzYmRHYG5
ITZkUaP15CqnvVmZiumJMofhUXrAnOnBz87NmpJ94K3Iiyp2mFI3sXXttLO/ZRY0gkR04XJNGcIV
Ih4tRjMIqDd1TtB1a51KVLYMurJLx0vNMxrZUWW20/XofyJQ61oR703sw0Tbt3vr7M8kXo03yTie
kkbx0hfzuY0kMq7OGKOejlo9+CBS3GIg3QqLsmn2d2Yaf4VRrE+7fvzUsqueDK0WmBuCrUPSyaa3
pQ8x1nsR5hScMyg75VJd4am6I3K93Tl62KdIv3dznCbEZ7lllLZ440Teb1PXn57NSn31PEkyOkea
p8mVT1kXYocwTqueZhYx9+XtSHTWwe2m5mttendApd+cxXoILOcOg9Zx1tauQJQpKQq2tcH/64R0
oiGzIYk6GX80CMd+n7dBe5yrWOx6w7n12uoeQXTH+Wp8du0ZZGkWHztNfF6L0WzsEZGjyrAFnG9C
PqYmuwfOSaa9DZGKLK/RFLt47M03Bj9MpQ0co35ebA1ihlChlqBB2ZEOUGEjHFsnna2YJEPFxl/s
bYuUdA/9Ca23N3ylAL4j6j5K6qfORW69VVoiHSFncMN4WwrERikidsOhZI/Ttbxw3R5ctMuJEDp0
PA+ndWgILJt2V+lzq8vls2H69bXUibcL7CEBpE6SwaZvSe/bqAmtEZnzUZbK6tFIOmZaDEfclFFI
lwyXc+byb3547edMPcZZHunKfuQMumPcdWuPHLYTcZcv4xrv50RKtDdDUmZ7d2LO6xJjeAYuFcWs
kz2Zc75nW2UkAth5g1/+FEGz2A3tcA6NJj22Q3ZuD7iDwNNjyXIwrdEt20iNZdSpzT0hyPKyKnrz
dLGLYFuIpIlsLj8qeUbnk4/tioOCDyu09Q+VkFedVYBRnrr4vDYnh4lbeW4oxM1V3VdbSTzQzjfq
MEqrAU9ck9xVaRYQijKJezTFyY3phjHBFVxKG7bKPvRHhBKhGr6WWfKxyvoThOVqLqx7Qiix0nce
5Z3nyBOrC49p232E+ib2ZeWxPNmEPFQ+StBgOIwT18PMR3eHVgj5g9ePUSyDZSONdQik8C1vAAR7
28V2js4UB3urHkH/AqN+seLE3w+Ix3ByLeJpnsJbMIzHeM0zdtv8mNbTS4KAv4H3gHfLi4CL5ww6
76SeQ2gtKNlnM0ho6THTGmCeE9f1JebSRbLyZdTG2IB0cTLjNSzT9DFp5RdnHoqXomZs2zvMZEeo
yd2wJQ4vg6tCArBg/3eGS5Kwbg2D+BrT0PZWOMNxCsxPZs/jaIbNMSuGTSP4DrJx4uwAQrXuSwKt
Y/cy98v2mo/Tb6dmyS4r6Li7HDn80UCeQnaNfZqoOdlhzjlip/GPTpo9ktAZNUqIpzATI9+4n8b3
ql6SUyrQdF9lggEd8bwbTY7XAzkGH/POOSgztSPbe/KDAJS9FTj1kbrHjncsts7HlP3zGmGN/dCO
A6t6kLyAmOHZdZjpVrNHVEHebZrF1wcnS9xtVWrny6g7+MIW5adQrnHShniz7Sk1zmxTm8NzWajq
zOG49NJMHsL5iXP+l1oYtRP5DOPtyMpceP9IFzt8uZ1/YCiuLxvsV8EFBhrrYSj8bjs5uWEcKtO9
LMN8uKw46WFO7mP7euohb6u+tyJW7nCfEJF6MvZufuZbTJJwjyUsGqEsL3tG/vux9iqYzGPJgynX
plnC6U2HmKjdLDsuhTsfpsDxP7bMJ52qunSYyfRDcmgrxnK6PFoir5n/Ix7arCnlnkz0iW7Go116
bwZs3DObyXiUTKWHVWEKhn3WOcYxUGO+b8wi3vt8Fhnq5QxEtHUtDXzLwBetjM+gJ++R6Rxqyylr
bxfpmszkn/WSw+jQrf9gEI2wxxEpI2UqFdEuGI85akOEGp33mJhF82xgDLhPaCfsplhXF3ZX5I9G
NqYnMwKNAwPe5BTJUnpaiNC4NMp+viH9rX3KZg8rSUopwu5JOtQJ2ZKCDVt5t+jW6nMkgPWjwify
klrecpdNdhyZ3oS/Hx78PqiC+DoMwFmTkR6fSGtevnwr/v63Dv4PUDS/qoPvOdj8VAWvv/2PKtj6
wKgEWByDFvSGCAwoQr8PYMwPAHOpO9e/6BfgZ/thAmN94Fy6cnBc2hiIZvil72UwSmdL2Gj2mc4w
pKEp9TtVsPh2YPqzTUJbyaenJSzfIRcZD8v7JhtS3tn1c/zLheMd6rE0zv28duaLYWg8ue2hRy/P
OGDnS7umyjlPJaQMtHMhkYTCqt586FBMvksvvk6qKX7MBY66dCzahyarU3MnxGDjhHQ7yooURWy9
80KtnhtD0LsyRkJ5NqYAskBgQ0dTo0A/fNVibF14/lJUXmngo6mJHQc1TYmvFfVIT77LjLTxyRql
M3+p47m3PmKyjMEeSB0SoANLarrwgiI7CemIm9FI2EiHEAPzfbI1Est7sEkSK3bEjAd7zIr45zWO
zWmnfUWHcVsjkLN3/ohVFKR6agwnHqCI9kBd0Vj7ycMCdYssDmuVSrCXkZ3qkLWeJNUFB/qCeg2N
GFEJmmQjJMayfzHyiQghVCkIUuCcFleN69iHUfoMoLTlQJnYzrHVlzuG43a17LG16vkKDT2llEua
HDLvbtFhRKxaFmCNL9z4fM7aOt46kBfvS8sliAj1UYChsJtN+J7IYbX8Ss0L78OCK/Hgysm9zFap
truXaYZMc7FFMtzQeLO+hoQn6K3pjPUbPr3kTFf+xACid8iDVriht51TjFiktAVhHWPHVyeOQybB
viuLXagdM9uYVWkF+7lpBloMdd7fBSxf7sFNQgrTnmMBIqesIKqTyduSkqToLuaBIMHuHM0Btr1E
twV1nFng3XLnOHkj2D1BnV4o7gKA8GQo0ZokFxrPOyL3BjnsV6kDmR4QxyL0kyrPwP6bKQKahawu
cmpQYjzkZY+HuyHQG3dJNaPyzJPRo/HSxZ9k2UJ7EmXuPHOIPcvCqW4PPJHU3nU8FHd04vhgEhDJ
akQFqs/t6ZOb6hrmR0Hwb3NWgLZPt9qV5QQeZPQfPHsYi+04+0jM4UyQV2H3SfXV6yBMRcjNZsqX
MJ7arQjoge6U13qXS9Zlr0sW5D7ur6y5EVmV2TvQIc1LGSTjWZKmYbGLaf+SP1C5Su5mGuOfJleo
lzwpSC+jSPVfhUYQeTJjMn9Jwjy9ZjMBipT5Y25AabAHcnZTBBnIRDz46r4epmSTtw6hUAW8/xNI
/Wvmklnn+dmYZanJXtsvBo682rgStcvYKJw4RkSr0P0kX4TeEwqdIjIywUUSzTdNqEmZ425bW5kG
vmtAE+hovPKzHRIkZJAYrbZTVgiU0InTv5SzjQHPqQKFQafxxWaGER0fgwZV6y5MphpBGdWRES1W
zltVSKbucFrjm/SWVr30SxB2O9+BlLxfiNs9hJNGVMNn8N1DMJqED82hifs5jtGeISBSxoOCWYkm
UWfxa8lwvEMpgYbzfFlMUohry1aoU0h5uFkGI71wytaoo3wp89eJANqHlKxa0CDc9yiWCUG8TWYJ
bka2s3dYcqHLre7N8nkY0u4zd8yEJKIoguZYs6KEfOS4RbhTOYKqK/EeRJijvl2aYMIP7NYemmCr
Ns4cNGevIx0u4k4S7Z031kAUqwP1Rmwy8CzJri3rXh79xVf0b32tBxbU3jnUYVrqyI0L95BmVWhg
kUDx+0dH8X93eHb4X0ot7sE7VK91JtXzTz6/bz/2fZrmfSARnFMerSm6oGJN7P5jp3fFB4ZhTEbZ
401BkvSf+7yD2QlsFxLBtUULupJ38X2ft90PlghXJJXrOvSqfmuU9nO/mz99RacyzUFqwT9wIf7c
6tIxgR+lW4Q70fZyPzrOsEUjbW2RTrmHEUjV36QX/9wM/uP16KvxyRiZweJ/93rCk2EdVm6wgxqB
KdogqTAKDLLF/6bFbb1zY337YAQOrMxpuHH+e+Y/WKegMVCX7EpzmgkN6wb0IR1hq5cKEop1kTOB
Ic/CxyxLHKMXW6dlgRFqu2QxypEfir7rvzI131kp6VZamDW5bMQf0OpfW5c/NvmJeKV9TQTrLjWX
4hiQ3Xzv5UF9xq5TFX/zWusF/KFqW18Lzya3FFY4EyLSuws89f7QDXMQ7mAqGYhXO5D+MA1PlA6r
jxYoizPwU9k1DgH5R5WPpiR5bf7Fp/xGuX3/0tyxwENJ02TCtl6GH2YZmCnhxng63LW+NZ4T3J3e
KMvrL7yxCR3cGWY9bQLLm051rOVVynU+lEGc31N/5FVktmTU5m1TPfz64r8bDHDLcUW8wPQJm7St
Fbb689uy2jrXkCrCndt07T4oUv8IpyQgdVhUxO4wbJvsKdyzHaOWbYfpoBajPrNb5sfwbuA//fr9
/OWJ4+0EJiJk5ptMbt8PUkm5Soic4QtqSH5A8V503rjN8h5D94gZ/KRJEqKBfv2af3nq1tfkkQhX
LQaDpnffjKo4+4vF4DWnDsFUmdic9SCu/fpV/nLrYaQ0/XWpY0KHguzdLKsKGxkY2eTu/LTt7cvB
Qtt905rFgKIYBNCXCVRMeKJF7bfHpiCG6G+o5/6aWfLTzc+iwpmJ0RazXZDD1rvPSTcApWZsyX07
mZy9VjNGwLbKrFkw75TDs0Zu9nlahPu5s3T24BSm1Z+Hc0jHkLTp5rmGtPVa0p4tifHGk79rzWxY
9ikioTCKMwn7JqYnbuHMN7A21MIrr0b263RHuTXflwlC94cZjdiNgBYMC8VJxJtTg1y4MmQ1YI7x
eid5yPtpQs06TZ3Z7YJ6mN0Hk2wbhLS+KvvlaKSFxBHUCwBcfqdxszi9Jdptw9nwPIOFpXbGUAy4
edwFmp0gcO06L7KMSzwnzq6D3JpiGSGf/tAIuUZQGcQzVEfZYTe56ihgHu3Gz879eeL7Ifmv6sKX
qmFqy4msqe0Qz19r0G9VaR32xE8Wo7WR0lIMGCyhNXDN2nLeYpMPfad77aojlXUpr9POWt6quSVK
xXCr9EtnJpOxx0DgrEaWMrA2TLpHudE2zBIIZjy71MRKfB4R7aOWhqb3ORMK1I5LqTXtWUjiZd+P
rXoq6G0pVo0qpS08mfnTuBiTEzUcMQjRwzSfRBzFsIbDkTGCM/ht9BPHtkOd3nUshgzEbQwIZmb3
6kxQCNMNMyjZ9lSsPlmkhkl/HYdlVx28WNP0aV1h7KtKDPOF8kfnQlSSMrhNgWJthth3h20PkvVY
wsX3cRO5Vb+BFBHjBbC7tCYIME3jk7mR44SDzdNvfQN+61ayLHqnwGSayT/0XZk+guvo7Sdhx1gx
iE8a0+vUNUm8sDmguLfSinNU2qlOzZcFBw+HIBCG9d3cZrF15vrSIqidwzwUK76eKYcGNRTjx2Et
uw8JkeH6YJowbsjRBgHnG+h6u7A+W8YEeyNuBBYhjg2ApNpdKZV2WCUrBb0NVgz5UY7SNccjX8l9
A8Ou49TlxF98jUf/tAAnAihLG0Cr6Ug4DKKMMHejicMXYU0BkYMkgMNUilB75jnnlhbqzuKWntr0
sgQuiCyhQuTN0ZF+AvC8ewyfzkU1z80YDZB5i6hz7cTfNlmIFaACaoYffwqsCD+ZAiZDul6/5XBW
lBH+3e6SfOEEAi7gthOWUgIAEbPA8eZQ5KjIDpbyObOlNx/CDoX3fpnK0rzCBNaYkYCkcia9BR23
Z6r5Nedvz0VsW/DAaNiKT9yunjqf0ZpbZ6o2EN0U0CMBfYz+gq45LqX+nNkEjAMW8MfkZaoTUhfd
nHDZI3Zsrz5oqDJPxCQV5Y4qaEIhPxHTQJOy9czNjJUOSmXScDhY7NGcDg2AvWldx8bzsch1fEgS
214ik1xITA8+psUjuBBv7xIzh3nnv9g7jyXJkSzL/sr8gJaAK7AZkTEYJ27O2QYSHh6u4FBw8vVz
LLuqpapHuqV7P7usrMxIdyOKp/fde64s0YXTvtPeKiHSSQCrljAp2zgddMgGRpgbPKnzjGMqs3ay
yCsbY7yfSFYeYzahwyBlUc9u+O+LSpK73OpBfmkN0J6T0KebN/HYOAErrM1vUhnWYUwWMIdp5pjn
aombzzjNbHsH169edkALxQ9cBchlXjPP4x0F9QTJWgHF6U4pc6aZM7WHc54xH7y7StbGnqZIGkST
AqtgygaB1jf0jKTw05A3jein5dINWyJ0/moLz78mpMSmUCzmIFdZVVkEPxLKz9ZN5SSvvrmAeYow
4nCQRaAVn3Kug3SHxVGUEyckfg/mz0zp903zrjgG41g9L7nbuGdrsbWzUgD9ozUri5yWaozvwM4i
0Ofbdlp4b3yqUyjSZYc87YQnE3IzNLziUAZS+kZM1WKhNMMUmrUaCbDPNtXSygkw2kcKD7OOLfs7
yBiPQ0Zlr6XG72beUoY9vDN8U3Ej6dopNxzDZndKSruM9s2E7X+/OGVrHxZJPPx4YxKSKLawstQr
uXAR3Y3CbSimS8oGGaG3uNKTdiiXMHAqOz7j1+r+KMMsEae5qUv0rkw+NB6IglXZ2UmPu7/2Ltqn
nHKVAzZVUM9i9eTrvLd2hVtTP4ySlP4IiHzElVsFUFnqmz4SBY1/ocJSLmJ7S6yYyDPE1/VpAq/X
bl04oSeUP6olCbKwUmeTY/+mBoXlL2lL4t1sMKZuleV0Fa5SX8v9MGra0iHNU6GReiW/YhalwYGO
SurLu7KyzhXzBhuStkpYA1RxS1+k1No4zVHtJm8d6nh1rp1C5HfVksXZDmAciHg23ANRJD7tbWmR
PpnGBWw856SxBadUZHuns0fq17HkpCBSBYFFa00eq5HoBdMIGTwMAHze0kddb77zpOiGtYM7wTtV
DQsgKlUNyDrHZkzi/h2uPbRIhwxFt0v0ZPm7LDNpfPGcJoX8U3czqdFWlleTAMWMeCDI+jkSwGW6
avrSuFU16wTdM82NaD3ysX1rNM+9sB4RXQ8JkCErFIgvT00Dke2li0l6XQZQq+K+tJL2nqpI5Lqx
Nu3kWMGxuogmosSZUYEocB0XiXoKyHL9FP1S1OcGhxpNqVPTqe0y6Dw9Zr2h2t+RNdbRRpJqad8b
DF5TSN9mOd5jVGrvI5kX8UdvJtFb4pAq2ec0JbZr6AbsfePas7O1HfOVf6OMxnU/dWaoZOsv5sJo
mLCgMCde56lvIrk1SDKVfJdK/zqTVbXCdtGK40sHSqJtdha0ZAS/91hHeCtds+VMiaIo0RBvVUZX
LTMRHAXPh8KVwoOg5XwIWPTN8NR+O0k6vEzZUHqbVtxShGlufUnKLE/1ItDq8smbvy1CKA8BUi0Z
yshuntI6TomUJ0t9l0ae1Cc64QhUO0OlHglSYXijPUnp89gnxAKMgQcSnIRYfM1WzMzH6itnCuE3
Nz8o5PayjZcUXfPUurFxST1/msNOOMiFZmM13S2xXxCRsnKPUlE7ixgojLh4SIzhVnnsSu7msZJv
RDcnsenIvZKLsTMXGg48kpogLLyegzvzbN8MM8j0FfUnBnXQCWdBKOoGFYx1cGyGUhk6XQuZCX89
cNSNayYWdHgLawl0Xz9KSOWnjlGuFUrEgBBfuAFnvR2/5qxR2zWUzvFZ9HYzbcgwZT+mD4YsrIFe
fI+QQt/T3gvq0OWRhw+9Y+vE9wWoMGdcarzcWKu/qmq2rZXuLPN9qdK4DGW8xF9c1TQ5faRK9m+6
GGXzQFNkp3dDGWXp2qsnr3vj89D635nTuPoDTKfVH5gdA3PeNNGgGFQRBYmpFq2TujhMIqh+PMQD
d94nuQtXg9GouitTSKHgzuyYBJ2T28HTQDs4cP0edhqEeRRCOCVFGUW7xR8ihwMtp8NGhDlzdsAz
kmTTH9dCAd8qxEle6i4H4OjKJTvH/TB+iiVL2B6Off8iElqp7gLG1S84zE2/rQs7y7bxPLGBaMSc
vcgomuxbt/fkwwN0cj90mV8rOF/CjzfSzBHlC/KZ19QwEQQBjvecqh5OQf7xQsuVFuyxb0Tt6I/h
poqk9dQG55kXMFgZKI79qiFxZiPiEkyZXRhOu8QpMo7forAxbRCaWS+NY3+C+xUfPGycbkNmNCeS
FnMNCTPiaZ/SSQcVsskas5XfJsEcmjMtt6uCcLwMbadkUU9JSNNtJbQozNhViuRe+/b0rWqBBwfI
SOpuA19YD2VHGeBuzlN8IZU9D03oRkAZabFo4R3OVkB4Rhu1/G3wOaFIWfMt3yV119orGn0nHlBq
kd7K4mn27SZVcKb/FadD2bg2dpZq6ZkrdWLpdatb+SAJ2eKTAZZzi02Y3Rsobim3cISrasWGBP8K
+rn+qEYgaZDyK/MPFmEnAztu9BXUNDYLe6trFgxPXrcYx04I5wO1D3dDxPcY4F0sf1g28BuYtYZb
kEKkvO9djaOGbROfj8XR3plkZDZtl5hI9mGG2QvN0eCouYG0+c+qOkh2tjNZb5jPoPn5ncA8kM4J
tgfcjPK8VDDk2CFlhXl0MUJxix/N0bskXZzLQ9H5E29A5oA831QGGaXQ53gYNoNTa+5M3TKUoUNt
BgeeQe4Jnjs7myUxbEKTrhQ3i4cz7W6tzcnWqsdRbBIuxsZKmVn8hhQS+xsxuVxi80rxiaqbBINx
VLXql52yq1/1i4XjiwLN4YPdumGHxJKXr3JK2U/xUcWJOc8pJq+aeL2/pgQttndzZ6AA2k3Zt3ur
tOr8u3A9Vf42cjKmBzCnBuwL0M5iH6eeFW1yxXS9LV07dq6cT94QuvwNb911mLn/v33z725MBLp/
knb+HwzXU14Nv7J/DQ/+9a/8m6BtEanyXHIhMLXkX3y6fwjapocT07YMg4s7NVjIW/+eqHLA3SEv
8/eYSFGbXX6CvwvajvwbWg0GZwtB+BZm+B8trvkX+aP+WQYCr0BtCD+Ca6OP46n+D4pfCwSDumPA
sCDXrfgjignhk8TGzrIRg0k6VVsNfA0VAD4IG9vNv6nQvkEbzTXbr2o/JhTlMXyiJIUiZ2pbIjv9
nIekBPJr1RwTROWTwgzeVRFNr0Xa2mFjLM+u5hEH8rRft5MGwyUaNPQhmMLZltkf5uH0NFAC/T7K
YXlMm5R+BZDuhb+IvVGzZJbNUP62nDkhmj4Nr3qgt86vXfEQsfg+65Qaj5Uv23rLZ77YQybC1VN7
zZHN7FdjvCLmrzL1SdPfNknx9aTlfZDdx86rjqLioVqGeuPaxXBYVBvi9XS+tbKLJ8AG03U0gPBz
d7K6O6lN90vNg/XYy2p5kGnsvZezAZUEjbvYoZzM+yIdvYc0V94BVmd3TA1YGC5Nmkdt+yFG3XFV
wpcKjT719xGRNrDmXFUbZXibgHvlnuVC9B4MlnMXObUZDhzTxTTuBscnUDnjfDdAQ9xRPPfSSy1o
pq1VPmw8I55ogdHjqbDGZQv8tlvj/4rPFPxFuwigvte6v83M7dfdaE73mF4Zhu2iPEeZZYYR0yk0
oOQeVIW57mxj2oIZTh/GLHi1kojjrzH8U1+0/Ar0V5BpbttjFUEA1mZ79IpCr43G+RY+v3bSuEAD
vfJZuAzVAQ/eVV910w7QYHmGJ8REygLxbVzg9I+cYiFrXu8lTdwPFDH3nrVHxEAmbw2Nsd6RNp1W
oz/DXKPTztnNZf07SjXy1VzY+8xdxNECLbuxG5vxpXj1WC0y/6bNgyd66wKdAChN0P3owJrFKte9
eS3mKFuXXtVdJn6uG228RfJdjNMyuczbldPlj74qe7jcQ7GXmUKgWPqGE1rxfnRT92qOcnydBl64
IZuNN1q3X1wS5SdDFtgAKKQ6ak76reWKca3yCq2A4DuhEwMQK/qDdhv43tZkjcdorKytx4n9qSFd
7dp4vt2vtHFBQIAb2cG0Gara2jizF13Tyq8vOgBxT6VFWpRrHBIfpTXNexfI65VKOTaywzyZDK7z
GzioKFymRKlDYRP1akki7jFvy31OXBJyrCuvTTB5VdhlQfVaOpgys4b6gNIvZlpdAFSgpMhjT5Ce
IWPRZEqS6AXmOp/otJ1P1mDRmiOgBnUOmcpOm8u6bpT54ii7OXD3MMwVFoHy2OTaPJhGY29Vmn2M
sjO4VN9KAnLoRLlKHydcPUzSegy++fT8CqgLXrXL1B/jscID2vowqQh0hsbo0DGjFwo3nIm/Miq1
nRbvc/FjoD4GkZ/NPAqTr0iKS3Co6xNJUczFboYlDpRzt1oWL1svjuQEyrhhj/HSXstRN09FkgxH
Q1ZFGIPx3FjJAMfOdIpTZDn4AkczYC814oFT0M5Y88AX8sV8mzctceixL2Me0da+HHvnF26zOKyA
hq8CwDxhbrZ6Cya5PqH7WU/MudZG5Q5ySnUhJpp8EMl6pLPpQyRtv9FVZt3R3aLPXGjig8jU0zIv
80ajTtM1lTC4kFpFDUD2GSGtTCPoirzFVusSwF43s8xWQoww6UALUMQxZufIMvzQUPhLnWyeX6Z2
gntXOPKJ60oGh85QJ66K7ibtR2y+PIjODXFvvhMdItUINWlT6cE4zJ5xr8z0K7H2jiNQRqW1pTzx
U7E394p47YEeBnwvt5Ouv25RlArG1Ygw2GfMKTRCrEqRiEery5ar7c/wxbV9yMS4wX6sMcQ0cGdg
TnADB7IWN2a0HQgVHJocWwhY7TeRuenGMIowcXEbGRHgRCS1sFHpPZGeFRFisQbJP5wQJUs4dXBr
+q609sHSPjl+cp1NLwnRQa1Na2fFXZ+J4Z7LqXozok5vuAd+tjXu4Um5/n1f0HPReOUmGaL30pWH
2hpxSzJ8H0cn2BOmPhpYScAgpsCBs34nRnmQXb3tlDBOMuCvolnNegOvKFkrejm2ahTHyQ5+7DS9
d29GqqYW0Wqe1C8D9OFGmKN5lya1PlKHQa0NMAzIKf7ym1qWdO23fE9TTxPJR1lUnpudRWYwUlvU
NsKwann3Z/3TWNlHrAf8naLA5UxkENKFHWZ4L/8kjoKjSSHSfnCifL9Ywv3gZo6HH7lsg1Y3r5za
OQ1a+ZsqGup81XNWTcngIo9E0yH1Zb2FX1Gffd1fprmZjxKJurHNB75kW+A/mHishIiAXO4YxtNr
nxOF8OrO3GBPsXHZgHBZRYodlI8MvpsGKvy2no5N6E1V/AMvbHgheqb3uTOOO7nYxh3dDJ9Va9k7
ZSh58NrRPoCm+hniPN/6cdBoRvXKf8p0dLubu9S91ok6Cb8Vu7aTXKAMqcCjich9rBfXuVNBr+99
vPvImOW8o3OieHS7zNiNReAd+6WLLgUZnC1rEX0A+l+dYjOaDxhNVTiNLd7yJhUspGLr1hsxbpna
edp1S4KBC5FvecEUlt6KH3X7x/Fn8pPBXFvrph7nUPKc+MoiV66k6JxjUFYBiBDRvaZL398DLsWo
383jN4CqKlstwlGn1MjVpUgzf+MJQJTjcJZWbm+dwttz2QDDlhv1AT1eb6XVr7HEPREFdL6z0eGF
5ZF9yA27uPVhDZu+dSagiCUdkbz4ckUYwdsYtoiuUzq7+5ohax0Ly98P+Kc+W7Ew6vkHZOLTZM0n
T06rzBG3uA1cSW602q1DSoWP3OQPNb5hcHCnnkgwxEUO7xFxcBun+cXVLHDVbB+rAelY3Iy1NmVV
2MXzc+UXzrZuy13WT0fcSPphHjz50EdesaWYCrKTmn8LQxwiPa0W7Hm4Fe5nVF82cSZlQjY6zQ34
OWWtvXGnCpW1vPPVhAtSzCf82mlY8UHe9W7zZmbLZZC3yoHCZY3RtKt5ZLF1Q0sW3a8gm9EKs0Hs
LNQkE3Uf9Nm+EM4hn5dyDSFhXQfBbwRoieOeDzHfkS21PTyBmz4AQqAoVRq/avHZ6ZIUqRWb08Xn
UbYGwwMAKZgfKbN69KNm6028klNr2lscdOe0z14yCO1Q0PBv+ZKJS1Unn+rVXVJeA4hMYbW4u1bR
HTVXRROmLfgZsHnFulTDN4tPsFY0RuDKL9HhWULN0J+UZP5e3VRQYUW/0fleXe84W/2lYOxelbaZ
boRRPMLWuSGwTnadYqTnNUZlQAaRHDKx5Nl4K8TQiLwrHeAsnR0Ah8p8zoSkHpeq2IW7xDWKu2+Q
8aeJWNU6mwtvM8r4taNzJDP6T7usnqCwfQ+N+okyIErGLcJA94geml2TMK3QeYFn300eIhqQwgWH
2FnAXtjaELzooO3P+ACCtYnay7Z4G/cgejDeJJt2ZLbOeeMhJbo+Qm0achsYQo2mulXDW4yiv9Km
WRMkU9shTu6Uq3hYWkkoK9/j6Zy/lBXgB3CKr0pax3RaDxPn6ezC5JpUSiOxOnS9Ux1J2ExXsajx
zbodm2IIA/0lOvt5WMob39RMzuSQQ59BRwPPnqd+3zT1s3YTa2N2PoTBxKV1I0/vSrdsABqW7n6O
lZOGfOqCd9p0Wb4UwvrJl9T9zCdWWBUOwrmgdtHgTa26Ta1YONqehRCr7zI+htwtaANwSd2syljB
WHNr2fwZQPptVV8DY6z5lFuOs7VruWxmIx0Y3kpxR5MN7SKe+cVvd8yFuIDQ9dYSn+XVGDL/pfNv
3v5iMu5YoEQMRYu/qcH5hRl/7Lrx2apk6GtvZkr3AEu0a2H25jZe8mo3dLU4sWQxQrkExaUO8OsR
fKBgz/P0jj6RatPpRyhL/NgETTvWBGYDRAyLHpQZNMJfRPdWORjGkbdwMbz57I+aCoku9BzrjpqX
o05qSuJUmRxbaJvUWX3MTVddwaNaVFgNx6y8nUzAArcZMm83+neJGRin1hnqbdzU5oWZxFu5Izoo
kF/AcdUFctxnhja9dablgsmUB57h2IeB1de+Xcb00Nf+PY8ACwRedOrGrtrkVT29wTXkXlGPf8oe
VBQML2PldNFxGElbFY0YARkPAyN/w7Yyti9x0j6ClCQogR+Br7N2+J4k7zkLOoy8rVoV5D2ug9F5
7+3cKi7nrIYl8jeM6u4LaCd6FQhtmrdsuQ08xbKtenby4rU0Mo7ywPsZzODJqrJHnobrMsHUy/f0
4HvYb4HtGS85n3METWyvc86mMxoLHroObX7LyM+pA/TPsVvIJaJfUu33y2JnwDE2i1tlEQOE3yUb
g+4qgnz+ruQWT86QbXvp7pBNj2VGhbcwOcKUr6nTdDV+Ki/YoAGSV3TdNQlDEL3C52BN5atlKmpR
AveYVX5Y58E5tkZmtcCeDhq7OfMDhyqbgscByO9mcd1LTs8ZB1hEPVHsrcDqJpsukh8Rnz6eNV5+
YT0zb4bE+t1Z/SuD0bWnaudeLsuD5SYnt3Q+cL05a4rL9oC/KIr2o4ipJDV3sWm8OSD6WOuVzOU+
QhrJx5KrUPVaBQviYMxCwvYSypl4+N62uPqPnxTzsbUxo5KNmrnQ5QV3e7f/7lOTBT9fU8y3LeFY
pEyRvtM43l3wI/Q7CVdUrQi+8Ikn7/kLgKK1azwH+bHIs/xopUX0LpbBflvm9qaoJuKUpCnVabEL
Thr5FUlYLRDUi+DAYku/WD3fMQq8bXJ3dMJgUqFQ8p6MZMyjCrV1wlL4xqpvdLZA8d6BCSMKsJpn
TDMsSLrSmOc7r7Znpu2yfGFv9dljejmotCqOdWW5CNw+/L+Z0bgUiNG+olTXimV1FonjHMq+k2t8
tfLBMtByieoYB0695LlkWQ0n1hDI+zNPXdlJTByR0951NqvSlW+IX2OUdQ89DN0QO4X7IwrufLDC
qexJg+m5blW5h03osuB2FxKWfEmRY9P6LRkmY9/hGDzwZRyufKHInlGgw1gHaWpctZR+PJlgxO2V
xnK+YdVbP+INST/71jO4eTXunpRkyqesFY9VUC8nn6tAaLXc6Rtduhts1rjmM9J5yoiMnZ+S8O3o
98J2I0ErEgGOHwIrZ3BsPLpLJrM65aKdwhYXxVejbXky+zY48iomaRhLUItOO/AfXVq+iINt55se
qblY0zhEGF/7M1Z/mKoT77E1bcfAJtXaj/4py8jZhcWAY6IVaPUrqMF92LmZSeZW14QvfCEwB7XD
iU2F9+FRWHVpVEdv10D2VtZZfcwUhnDCr+3BAvvO84iwFhCQ9MVz1K8a7e5hkvMvaB9ZWDkSZG8Q
w33F/rrOAUCGY8xxBRqdoEAnMY7QcpQZ1dqDN1HbxaVgQlknBhJdtByqqkQiWUKr4HrvLdusoInY
jZ8dn30k/sK1nnrz2+2lf2TID9izucs+EbW/d7XWu7jsjUNAfPqDKqgwLSMS1mXRroSymSrR0tjd
tnEXhM5UxEdsScmecG/wuzIqvQ/6RnzpfoY7iedhB0lcxxvwv9ZLlhbek9mSqUlFwHElSUSUpbIf
FwMlaUCeCcepUfcC32XI416w3vKbfS2n4X4yx/rBsbR843jJ34LBTZ5VHMk7w5jim4XMfox6xSGQ
QxZ5TCliOCyJmb+WtXdngVrlR5hKNunFSNI9yx1GOt90BFnb3JpgEiZpcWdO2n6zKQC9TH5dALNV
DtevKkqNA51Y5pXlwyg3jpqzc1b1+BhSR6Q7SQv3vTKm6tFBskETcPP+Y6wcGrmTxFXvI88tKs04
E55ioLkZO0dIxmhMNNRtbA+6Y27j9PpLDf8fud3/S4zU7U/6XcHESRT59v/9F3INE+1NaP+X/7H5
i4/w0P9p5sc/bZ93/8AW3P7J/+7/+XfKAm4Simd+V33Z3f40BertX6JncMr+C2LDE+mb+H/9n58m
+f0fuA38a3/nNvh/MwyKN6gm/Tcju/VPsr/jmR5sFhCD+NH/QVHDfIJVXVo3thkMEB9X5r+L/gSf
/gYnKoB7YrAnsxxoOP/47f9uNuaF+8/Nx67Bf/6fVH/Xu6F8fMAR8EygBxq33/ef7ceE4kFXDaRd
E88srLUyRo5iK28lmFzZ9R/W5JApG0TZynNsc66yPK0nnhGRclt9Z5uL55y9oq+LdaMbpDfbcUBX
UyMQL3eOk/b+w1jTIhjg0utU9Jg5TjOcS66v9cY2GC/2S4FDLXMdpY7WqLGkgYOmownrlDMOTx6O
hIhhvCxZaEphLcAYunpuf+WsOG7dCYWlTH89RUI9sA6D7+MGFLZ+Gm3GxjukFt5Suwy8E5oQZql5
utJxOTFKLMQ4h83YFFn3MkrtwfuHloJJg7t5fi2orWp2WVn76ZOBHpI9Wgl3kK9WsBh1VekZDy5X
Dv/oVXVLp8RUSQDk5lRAbx+Ayu5zDJ7+cw/e3G0J/vtVtg6YAfMvqiuJa2NlHqnhtbqoKg6plwzB
Zai6xlrbw8K392LziUkXPDRAbV26DXEnoJzUvU8urZmr+cPtArEcR5zJ+g9I5YBToRuqNvmVo1LC
4FkwymCAXUxuzysXidSiMYBY/AOs+hTfmSuT9i7xBEB429OjOBQATv0fv2+7fm9SpN3+mcGEVUR9
7CzBpkgYn5TfOjd8Ew80dkTsRWHcTGQDuTcs1bJPFW/Jz2TQswg7YzHFlg6CiretLshRTHjHsKSg
qTq0OrHcST2i3EChBZE/xO8q4YVIaFO9/fNN3l7zfqjsu4Hkw/Iu+qDD2UQ1Y0/XN+XQZvvpTGYb
vSNGT/Vr3SEH30tI+ZRA1ztKDp/JgzqnjBsDWXYYIGpkv9Jl8h29XH/TAwGeSAzDO5l45k+F8/f2
wX2Is6wKHW9S6xgR58aDUlyMC6WY2qZpyu9TVUlOZOVE/UdtUYxxome2W7mGnYzGuk0MwfzSa6f3
17IfSpfnfh4Uz/lE9y1trWm1xSG1PESi01veVEHBXGxMMIIF9MS1Texo1boZP85kJpkKgyT1Pmos
lekhcJOGcagIxsS4yyZoCPcjzywVQdr0MGkZ7OVuXClNbv+czEli7BJhTcuX55hRF6GDYHqhkyao
lmtuQTd4k5Hff2T5DFnCAT4RVh2bkx2NysOWb1j0wT9q7VLd29CMHQvkIUxhVV8CWr0x44L/DUK4
IEP3yA4AG8iKfT7pP7zQGV/cLuN5854Mczt8zUUQjN++0wb+wfBwVO2FzmnCRZisrJ/GYDTcmqJP
oqM3wqcm8TH3xA4nUnbdtcFijlMaJ/gjaRzIGt1cRyYfPVJ4IbNwGjp92xAPG27If0cOlCZTC1x9
iCGu4zX+G0zjcc/RcacjvjPwJLkEoSrZ3BB84U/rgGDZXpaLyw2KKWeDFFR78KS7KmDsr9zQCvq8
DptepLQpG6h44CUy+xQtXbHsiYg7MV3pFZ3HBvKPtbHGqngfCpA1lFgH2UnYzXBfUbySr5F4ae11
tUO1Q2675XtvFcsftn3eCQ16CYc+Gb8ry4f2VI3eYxHjLI3c+TFqSbgekttdlXxhJLaj1Wa7IqMI
ODKW4YZm4PzkBxH0YEijOsg6MXdLNYwblFx+skK07cfEUsdlByuS33D2xVvpDOra8WeuMxjFGzyX
86NbIsBqw7N3NWUx59LKi2eVFuNDS3m6dYxk++MZXkeIOKG3pBaL/tBLUL2kkl1caHSm9cP6C+9n
Aw1+JWZfrm5tweOGZKL5rOwb09wtB/VjdLZ8lzlhgHDqaZNN5snb4OVK82PvMclEie++OsATFjbJ
Jqz/Ip9SdhdWdu4I1MbrgbqYaxxQyeONAF827JEicof4gf70zfDSNd7AVWYcyncYIvUzJ4DVrBiw
omZTFIIadd93aNQdgruEQsS175aKKjZrvuRNG32OcbyYZ8oZxs3Q5w2LS2tMr5Jmswde5ungFUH2
2bI1xLwCp2s74G9V9KUZTgPBRZGEnUgahQxppoY24TVvIw97/DkTXs+dHBznMRcEmjtTxu+lIYeL
GnxBK+6tj4qQ80djAGQkpONtAfAkj9qx202dc7sZpDgiT9PCbutng1KZOxYPY3SFqZjtm3Q20WAL
QCHwIBA7PQ5bW3d7AgJY+4yoqff9XBpH/NLuS2MmX/hcyiONSucsZtm2ykeXNabWDp96w7lIp79m
s58/62VZblmBJuybJV5PFfFTkp9nJmovdPuuecCUWp24FzMK2NoqPpKolUfL8sQj7KZsjf+0uhoR
k76VCQW/A6WvLiQdEIYrkLgswO1BnbJD1qJyHihvqLODnqsJnzevQthOA1XpRpqcqdb4QUzHR5sc
yrqOuO1b93LMWObUtdikSeO81YJCXzvRdzLvLo1Z94c01qSWRVUYKI40vTSkuhyqMUMTp8yrEBjR
OkUfXlk4B1qPGRfYZNcBgJnCwDTN2WNwBZgaCxTMMkbPrBfcLU++b0IIyRB6hPox3/W7IEurkx7L
LaXGKUl4GmT0Ae9ElrPQxxbYJ92VffV0Ysjx9xyowblYUjAfmLhfGYOE91nTwau+sVYi1ho5F9QM
tZ6Kmbxe1kEiQLdHadS95Tm7rnXjYThauwSoi/Ugol7rtVTN7VLlMq3tC8VU8mgukDw/8sAcvmK/
AGFLFB5rX9qX67HzDCJc5o9WfTJvOeWKPxnP/Du/997ySqQfFD1xPhMRJ/7Mku2WJGfdSdh7H3VA
4QbkH+IwbswB06PaldKoLzltFjc/HvuHgMaXaZ6yc6Fn/52vhpg3qbDdXWXbOE+rmEKVilnzdcqH
RBxyfTu2e1PhL8Mg22OMww3/G7ZKX9Ack1Td1XGieqcaXf92aUzZgE2Zw8VkITREaZGHneEN64hM
HW8y8fht2soWR5ijN9jRr6QqUOUdX5L2jyu1pjCcWp2Gje456hJ+HpV2YOyXs0sVidoWaB/nmeoK
ssxzybUOpj51T9LcspcbNlF2C4EzOqOwOy0H6sob1cju2eo37WDT1Br5VPQmE0sOKFbjd5Bm5VOZ
JeWHn7nZ+ywG531CLL+tuimwVhKywWDM/pvftN1+GLJyS3vu91JIYw+tNV+r1PAv9F0Vl8ob260k
ofFdjCzCSJkY+zgbabzjwstJaRfXZqBpDbkFc41qk8dhdEpaooS5RecrXiAdLtQKueZbLPULOYac
Gdk3dlW60Lzn3jqhc/mn4tOwG4KcxlgXOz47QXSqbHhkTmh5mmKJJCtEoxZGeP/eIo1EnF2qS0Mh
A5PdpHjYGtElq9o/WElJz/MFCNZgAepHWjYq+9i2Hu3ifV+8OTZOXtyDOdaGPP4aGSX38ezzjUN9
yV5aysp2TluULP/YLo9VmYPiuskxXEWmnFoTIXfd9H+pO5PluJF0S79KW68bZe4YHMDi9iLmCEZw
pkhqAxMpCqNjnp++v1Bmd4oslXSz7ua21abMMpUhRACOfzjnOyX1qZtP0ZU9sDjOZIKcNnAZjCzz
NmVoZQo/pzgb+wE1iPktj51un80UGLBrhMv4VZuMtWOXJYeTQqczAed0a5OInn2ZzlQNeZ1TNBim
vYeEhSY91x7CqIqgLOPgeXNC+BYQHNaMgfmgEfoiRJQl7BovJLVwRDbwZJi1881RU/ZiMss5kRdE
uUjO/OcJOd+KuW8AajQRKlm0TV5+AY6qDzInuhs7SYcyasYZFmKuWFVGXfU3mpDsCLXgHFLTNdeZ
OdiXJDXXWykwKetMt7euNJ3LVkju7SafiH1BzcbSK4iHRWcycFpkHdNz/I5osTNRcydatZu7q7Fl
E3WqEqwiXYnjSKJaxR5i9AAgAPY5K1J2s1WADvloIyoTp4J7m9znyay5pEma7I0qi1aQO3a49Ds3
vR9nIpBXxhQFWB2cxEUC4Fm3lSGmXVWkdnLo69gNVq1jNw9DKeg9hmTEXN3YE3FprKlNLCmpHB/h
eZxqMy+ChSS3L6LSFhELlNwCYZk511bA2q4KbcVoehDWImNCcu1xDu9hlCTHkYSaF7fRXrNnhWy6
awwxwO5sB0hIOikOrTQuiNQhmAtJK+CL+YI0OvABVhP3MME6ZBmJRxWYqfoewwCPYkHheN6QiW+2
12rAVUECj9eyHsPOiV9AKxBBhkPiqS6a/KqzOZ9w8oBds9BJLQhGMa66uQuvPI54exmYhf+Ib/Nc
wg6TWE40CFdG0QZMb10kGaiyPaoHVuHEz7iXfmEPXyQ1JTgLZb/2RUE8R544IlhkSVBfZRyK+zqo
7CNL7vwetkkODwvZzbK0W10sxpIlTFn6YlNhyLmYRCs+qzRsQCgGik1ybZSAsObgq13CeJWamZVn
1cONmDOkatgMJ9KGIOLxbDKD71phbxEU89KKKv8BmSkjASTzOEXcjqm6V2+4I8rPjmCsh0o2fZ3I
oz9Wsecd2qYYtiXRHYtBENJdKW+eVo4A1CVlsK/bfrqbAiN5A/+SoTe0uosKDtyiE23wCpGPVCCn
iS6VHtNbgm9MXj5xN2CQGNObCBk0N9nYfCn80r+JAxFszNFv1kp6e0eJ7pgpHYLRY4rKGLoVyzzP
qjuPofHntq30CcM/XTcD4SM2EF7meE6nS4c72TCdXUYEOIdIbJFWHUMz++wgIbxQsNGOhH/JdWUV
dw1GMTysUhYbtPSx2nCGk11XMZDfDhmrLBkSbgemwqkpa+vskz0jbViGZC9wqGUF8g8aQ85wLW/8
0GwesayRJ6eKaaCK7zDULpntzfyJQfk3YaiKkpdtCRzPyiM6bEYoVNbMwcgxEmrXUjrli9bE87dy
67H/UtWF/cSYf3hAtKUdxqmOw/Kjkt4nmc92zy01+qw/ndLHElbFyctcwGQAFUChP/g6tfb2Gdex
ETR6DVuN5CsuP3cViGa47nPbIYSl8r4Jsp2eMQaL5mKcvS65KiQ5pswBRlh+bUZmYlKnL41Tj+N9
0oNxzljQ5ou0GsJHn5jEXTPazR3TD2Jm4lFBITFD4ewt7G4oKOtw2jG2dRB5aIdUHy0sX6/McAKD
mEx1fjAcu0AoWPnDMccxlBAM5/jptp4ta+MHjbeK2ZN+ZXdXbYO0ID8ZJl6Dw4yKajm4AbsvIxNv
6owOywrU6qPv6mHZyB6HAj3qPKxrTSG/L9XQ81h45nRkugMPBa+1vi94ZWbL3OkJE5uEREguyuqB
aHlgRMjfGH352ApdHevXrpXOAfILRBhX3cVB169qImdeRaMjml+LecBsjXcRsJ4jVaq1YkjlLkdt
iksjiZMbmSGJMwfLWnh17p4gK413bpunl1wp3Rje8mfFcQ8AMES8W5OxyLMsLdL9PObTmjXSmncr
2ewAwUMWbtN0qtqqcOFLcbIQnBYDfCTJ9VYVaEFjvHw+DFYbPSN9V3atsLw2yzEoHHGSbsB4ECfX
RBipGC30g3M0i9s683uGb9i6sgtGHqGHzMuMMDCOHUInigjDusM/VZyH8GVH88adNWikFGlkqzdb
k2r30oUaj0Tq1FVLyJtXl/GiVtVcfIo9jo9dl6bIAAnkSsfgqXU6rxbchSpA1aH7qPNXJc17uM0w
CTjXDR25vQ9geLbLpB/oZlp/8IOLyGTTtfbQ8qi3qHXcozOW3rchaRP/M5lgAZ4OCHWEBxeYCOpj
H2j3mvbBTtBxoElY2OSxNHu7IIUJuUIReKeA5ja4cQIrKDYZrcOwZ+da4LFtUz41DrXzlVXEXK1m
ogkXBSaWGc9frhMyRl3a23FRJnborybHDOQ6cF3+eW8xirqJdILJOiHwqlvz2e1GsXon36nr2wvM
DG28GTCvdbfVWVS9ASKkg63gaXJOfQOD86JO08neOXh5ox1DIu1eZIUtuy1x5Ywl0XzPMrg1PGhU
7F0FfiiPCw23jAunfh/6jW6vJ6PV08JiszNtEYgJY5NGbGx2bWMaxnUSlz4xoNQw6DQm4Ok73x5V
cIQ7wjaJcMUJxxO2HY7dPCGfjlbKHhapS6t47c9Eha3mdmZa+78ad/KA4BLgi0JqOhqIh6mQ7S9+
JMtDIwKfvXbkh/BSsGYfoSMiAoKPNXkASWmwlsYgCQkOHa2uG6RFx6AD0+YGJgPAiseTDgVlhx1s
1QA8fpHBX1qQl6lxnPjmWR5L7aG1egF1g32sFsEDswy9MEXt7jtGiHuNiPpCTTOy1w5xcWDSyqe9
Y6wjs35VLaoTr+uewgL0UU1g8YkhrHvvsGO66jNKDDKR3R4zMe3bFcmYX6tgfBg9SAZ97T3Vk8b4
OfuHuGwOZtsSu0eMF+zVvlhTeaH4BUSwgAEGjj01WTa2jLWiLHqsZ6qOPsEClVRGsxxao9609qxh
IIfRNhobY+diYGLqRxmWt/4iTYdtAzht3bKFWpbOPGwCLaYF0W3dmum4vHaaKlj2Jtp4hJElHn6n
6StIuqZImaxwgE/AqaE2yPgL+cLexhk5ZdO0kdh03Ki30DXXMxqgzL0w+ibcJVah0SpG06Yys9vG
c77EKkOmpTnib0IvkNtehOlewaTdR1Np3repKr9BiIsuGxqzesFBmF2zkufdVTmcX2XRnWTXVc+k
DLRLAZWAdOmatEQMAyEkBUHv5OTWSvNMXYRxNX7zcig3udPwYBMq2m+DUqoXrOHHHhM8Sbpt+NiX
Bi6asXRfrSBxX4SOmVvyxT65DXUHMLP4Dm04cbSj7C+lzHDbsSfCgF3ma231zJv6HoGQEdZkNHk2
0vroURU+jONWVsDSUAcmS7RA4a3RqXLXqPjNTnOU9NV0ZTFVXKS9+yDzqFzJ1OCormLBNBTdhj8G
32yiBvcy0t5L4WAI10zIK1N/nUpLMWi20WnNzmOnLNKiwdCvooGK3YDpddG7dXnt6vELZb2xzDM8
QucZzaJw0vA69iZvpRBjAMJ3uxtqsBfNQ3smefH2GZNrJN2IIWU8bOQc5fgU0zpfZ7Zs13jCq7u0
jQdoxRhCb+diupHdHNC4dTj4jaHc6y40VnYG86YIhFxNCNKXuZXeJZEmubby6xqxCExcgs7LL30q
bufWup3a6WFK0x0gQVYebfFkuHVxwWZ3F0sR7uCB4oOyhudcIuWJu+kQ4J5dowwOFjYb7C1Jt+1F
P9bFSefeeJAA6RYDtS3SXoPep4zGBbhWufXnPLyMh3YTElv6Vvkt5Rz+nPMc2KsXqlJ4Kq36FUMq
ox4mXQe3AnzqjcWuyFiWmK2fbXBe5uwB/G3PZm0VEmW+6lWIY7BRT5yh/XNXDgc764N9nNb9EuS0
QqFZ2S4rgqTZtX5xmDLTWDlRict+BCLOJFaSm9uavXXluW5qryKrdTRdlJ0f6N7yaCV5XoYtyvD4
wgoCdWkpbttyjsedb+lpNffZYykS3qlgYB5EJkH8GZNesWPKD2DZqVI0+q7KyR/qUD2RKBvTG7Uj
dluSF5QrH7U52+iH4nPXluCdjrOJkViMGGtNF/soM4KWVFStUg0TubGV3lILaGQ5uXO08874ClHI
WEizABwwuESyR8VDmfKTjh07L4iL1H4VyOiD6hOPOUsVPhJKTu03YumMXYt1XppUy5jQ2mdM8HKN
QXTk29XeskzYuNE8Js6N1TTDto3PB7kVlucXwRR+pRml1jAzuRhTzkbOwZL7uAjLAxYACQ04P3Zp
UH2SdXm2ADO9TgKAIbx18p0r8VBAyjEIYAwdtWPbv+3jOqY1biFWsiWchnU+xMdOq+7AhJAzPMI9
kmfNDaxG54LfMH+z5yRgyJDTpEBlebC7rjkOSZbew9g4byoc+oClmQ+v5wHxN6Olmi5AvT+Yk4hX
Hb0UcxPWRyudRaTVCqvjcqUBe6UuuWP3ru18Hpkj7w0fBTAvvKypUR6M4tSD7t0odocrLceXyDR8
srvxuifroB9ia4UOHpmhmduq2A6uaR3GpG4fIauUF8XEazJGZ3LDchtJlAETIz0P0pYiHlCYRrHx
hfEF5TNxNzQ78mRabfYwB8m0seac27Ui0XZywhUjqRuZ+zctOTkcRMEIwI9w11VSzeEK2xtz7NT2
FyiY235RDwStMmE2VwJ0fJy05MuzjQjWDQROsCp09yVioCwBRF2iVq1B768T9P5nNYWintXmVc/q
lfGP3Wz6mNS5fLSQaRf4FFjWlOi2iSvhrZoBZCynadpEIhO73PZY5CHHfevm/JAQJczgXUwXcSON
K05qtZ0mXsqUqchpiM++V7bVLtxp6E8/6Av+3OD/j7zT1+Bc2+Y//ueZxfQXLcxRjukCv0KFbtvC
lgSsvl/XVxqvgJXDpE7NHkQ4Ne+E0I2y/HeRLme3318f5EnPIsuKXGcpbIUQxv2QPxIMDmzsAK1O
beV2ddAqNseLyZmlWP36it7zrzwuA4ejK20Qb8Ih7P0Deo3A2CEpdR6vLZap7rroXeLVWa4Ez31B
1bhCyU94duj40b3E3dD/JjzpA3/t++efExthErsO4ED1wfY4VJ4PaMiP16hgkR0HDGFxjMToFuzI
tfKNZ+BBeUI+kfQn0WXyWswlMwa7coIV+3QjOoZ+KfyTbLvGWf59ycx9QUOoP+YP/iiV+d//ubSU
7Vtx+UW/NR//U/8NZTffzan/OijlMg7f6h9lOt///T8J0c4/zgRIBTsERLQrBYKWP7iRAKLPREno
0ERlmT5Et7/AkSbZbVi0XR+1mbQceJP/T3Ij5T+Ub6mzOsYF0+f5fyuiE2nnuwcLyy5pbiQjIrfB
70sz9oG2FtfVFIdVsQ5CjpgLncwwhbDBpmhmq9phmUSvt2y6QLgsyae+WhZN1bKu0wXtKikvcoYh
20/pdWD4fXYIFCi/r5E3xdX14FnGJWyOOd2ejZAwWiCQPGal5w1A8cecbUkbvUCc9k5+m0uSnh2W
Lee5vXXomPmGL4Mpy/AIiXo+eGZbbE3O1k2WB73LQJC5/CaQFHvDyicKe3bWvkBOsJ9qu6xPU1v3
RLnRCD3UOavXRVZjJF5Ajq/m9czAVi/RzUTzt2lG3npU/SRp4dOk3HkJgRnrkpjUcD2qhBZulWSR
Dc4YURURJ47Ti7ccNXCVI1QFvs+UpCs8l5f+kPv2Tk9ua61bXsvBZ681J4hMzmRZl6roLAysPSUU
0msFqWIx9zWjEF6WwVeA3N1jlU7YGqspyPFHeCRNUDv3NETK628nN8S2JMiDCVeiAzCW8oDnK4vQ
6GOBI7Zm3FlV0EbQLVD3CNEx9y8aiPxJad6WNGdYvkL7IlAiiBEtZE+8lS13AUIzuWwnA/GmNSn9
WuBu5n045tGd35TWgrmlT/1Zm/1K207yWVOrJGgC/S5eYW7RASqDmnayMmjFUh/9C5YAoXLW0IF9
yRy8KRkgMd7B9dM9y2Fom2XvzVeNGQ3rdMJvy1gbC1tkqtu4tMtX2/QbQkGqIUZbIPOnqcUJBieC
LQk5w/OnOTsPIsCdUopHgyrWMQLdjDlXKLslcQ3p2mMmf6etrod7ZRTFHOwYx/FdsZdvAdlYTljc
0y9Z5YrINHT1Iep31oFIHLxjbkNgABTCNsQCG8L81vqCCRs4+gLae4NoY2bGuqnbtgyXdaz4YZFy
SJwMDbkqG/hzQKgmkg/sqmatlKpjX4ynGWNvVyDh9EuE0dCNskWUxfuwz4B5GQGVLluflaCGX7Oq
OWbNIMAtZvlL4tT3U13Xay8MxarjZEf443qvA9tGZF5muGBHjQCkR7KbDqT91A7EOMbCiyjKejRQ
lJVlZHwCbPIJ6htyGhsM3Dyk6QKlfbYVVXccS4wr2OXZHk/W7mzpMRv3UyCgVOfxrvHgzZkE8bGF
kMBeBbiYdBZfm5FmalIvlWJOVqj1PKL2twfbe2MC/9XI5kVCJIFB/XKX18IFWjFTiKPFYeWk2XyC
ZLLgyi2nJMpWvGq/kmLdMHwJ5AKVfbhSo1ilTlltPZzQc0WNi86kAeOBCYFwSPYX/N4XkGG2jMiP
Pjhw3FyO+ZgX4WNbhAffDz+DT78bEtRLQ5x99h12FRVEatbS3WV5NmSVgHlM09vPSW8xnoLBlnX1
YSYHBF6RcYV6dpeQ2REReY3oilEOLg3mqujHHxgcqtumhLxeDs+Gbq8GZrFp014IyC07h+6eMaN+
gJ5Ay9W1xTeVoEArhgJJOqAW5t3uOB2GUt0mA9r9rGdIEoWjYiuLWD9DbbasMxvxzqyRmdCYwFsU
uPRK1c/s85DY1FTrG08VeJTNrtxhBPlsxXW/SRwFCqGmU5xFdgn68TrMgQPJ3qKlCZR/bGryuymg
MTU5jXcJgIONcOfc1o18zAaxSQpLLHxYZDet3+6ShNGBVTj7RvhrUHjPkbJfcgR+tDK+WGX2+NiO
AS32WAe4Lgm5UlYTnXK2AlV61nkpvFR4TBg2O9TwdVUfnLJBzhFbJyv26wtwn8mhc5FNkzZQrhW+
WA/thNs116WRcISUMft3d35FnnqrpVPRdSGGxNn+BARV39WFNS4zpIfE/WXVKm5Nc4fCbGfKfrz0
akx8oYsnoiQSJLaqYzva69bUxbpJ0RLA4t7Wdvii2eDeU/tfZUR7FG0HUgad5zqppL87p/GsKPfL
nTPUD83YfdWqOKVpfJGX2N2qqfukC+sZbqqHCS4wLseW+pdbjtW/Ud6gdh8ZPI0PkB3ZQ2A0EcN8
AluzqIZs63aBuZQNgoEUr2fEE7XI3ACwj43bUBY7tDeoxPsewUexLRyYUpPB3VkZ133Xfy3wm01h
he612jczDkRWGjecb/rSnbnmFjfMIolxOztO+XXKR9z/+TezmQ7KjljMleFZOHPsgdNsazllG4xi
N5lAOEQwBM/6iA6zsg+MpNqXCO1WGeiRwQ0WU9a3CN2yjAiHuXqFA3WtM69YhmX76oZki6IHypGz
oHA5aylZG5sbmGG3M96ZFQsioE3+V2Ocr9o2s2+KxEFp555m6SVzzVwckfiOV3vKdjOA+O695sJp
KyRaIr1vC25GttssOkhGQ5qQLPzBwkBGQCxSdGr04nWUY2vzSsHIuiRnYpaf7EhPGzKLWoZBkTS5
pzZN0VbjKxMS5JlMUk3JXGiWGpAeuEoLG5A/e/H5PTbAPHXvPab2w7HVVbInzBXRIOt71qhAYj2N
L2MjDN44xTdTQtzQe3SaiTmvO6jyDNiCJukl44BwIAWJv2xD5WQ2g3kRyyGcP9uQfEZ3HbDH9+R2
ZEmemVsrNwYHVqZVoL5ned9Cm4wA3u382u7NB348s+gvaSjFAYaIfz1O1XjToPh8IWkDZhIYPUbC
1A9ONN7VrkMM5Q4+0BlFr3trU9U0tM5jigYYQVaYjgjHcpt76CYzeQ6NdWEgyWr3SETDBnDV6DIk
VjO5peXKEHYZ6qdgQsG98oriQbDYzIyrWNR0oAjZUvHMUOG8a8LF4+GWJBTKzOe2WE0dQovxiFHI
00uESlVk35rM1VcYAZgep0ixqmRbZqkTwmANh2Zr+gnovyXc9Qx8ADy36cQ6iZ4bhn7m6GqVwc7y
+Hrp4x1rEUQlOaYeUAM4Aynj2SXIWpdzIcXKRNxfUNfNdROImkO2prq+mQBqYsZrQMaObcgKN/Th
YjGcqz+3vAjiB4mn0b0bkSqEexDgZfES29yoa0qo69qAjrIiUjRw600Acu8UNYZVrLRf9+C0wGsO
qBII8CujvN82PTkfHAVZ2CpWCE7QvfWDmOLrIfXG9qkt9Kj3QS9GduoVZRkCY750yONxujKKbJzv
vdCx1aZvDLR/s2dlk7eO8d67m3YAFApNk5SUdNDEYyRun4yPOeljtwG0avxGpPqxwwXigri+9yv7
MsKaWXyfjQ3bfMyYrbTAN5uDlRlqF/hZ5W6jANYbj/d5HkvJrNeG9nmBIuPGxtEHkDnx3HTFiidd
61VJFEQL1EExIUaAkpO5p5MFHWxE2skU5u4mEBq9AzRv0/4UDS36kxyzU7oq9dz4a3T8RcGX1sPE
Oy+aoN3Caq4wdLVIPFT9xJiARdsYkQfi4UHTrdlsOmdqt/VYzrherfK5y5KOWs0qiP4lgalxzC3o
1QCJmoGarhx1B8lwbPekjBAn0YDkYVla7JVK7WPadwPblXHYI6uvbouM086ZjM4BmzwAm8k4N+cZ
hBcb1J0Lh+4gPI4trtJY+xELBBfxG0FXQcPwtwp4j81heuFlHZ474LIbK1bFfZNhkG8EqSteUdon
A0TjlxbG2iGJjORTMrriaHRh/S2fKqpElxr/LQuE+gaXEuEH0G7jhRWNPud9mOXlqLJkjdzLodpK
O/KovEqijfM66p4YH7Krkw1iKO/Vi9PSX0DSw1oUwJyxqLOYrL7wWnkpQa8vcLaAsynQTFVSpS+0
rNG6rA1CW8CM7MaxiAhN41W5r7FQQQmZXozCGfYkK0B1wQVKGAne46XRjcmahb66gUyq9iETj81U
9d6yM/Mn3jrZ0oZXjewd9oMPU2OpyyD6VAo9rrysvfC7Bspvxh6kTUu6E7dTcuN3HDeLvLf6R78J
atAhMfZ2Oijw78resSh8azy0cRAZi5thqK513utjGHPXzwNO29TjVZ4S9bGU2kV9lWnfXIHDtB+Q
YjwEg41ETNjGGiXixg5xThSEc6zDUkjkDwThJBVUbpbP9LGuPk/lCS2UnUywnDbZHUIrWscB2ddg
9+UjV0KFOvldvyWkBxwK/eTeDeR8Oeim3LMxdrnwftxaJjNhrqRN/0jR/VvOpv/cDOb/O/8T07B/
PYdZvGXx/PbjIOYc+vrHHIb49n9AOcPKcQ7x8IUyGXT8MYgxPP8f9C80kILW8nsWx//1PkmPP2RD
w0cXxnBEOowd/+SdSecfnuda2DZ8YApMcf6O8en9EMZBzfJHSBjTFP5b4Pffj1E7Mw6lskSzbY1o
70XoPfDfh9X8x43xL/1V73Oq//wYyezIAazmeN9njz9kO6CPwfyFRWHbGcZFAS03m14C6ys5gdeI
pn4D8j8novwwsv3z09BBOXwU+zv/w2w45ZKwo8/N1qvdS0xRaglC8ylmGbZ09ZnHggB2TAU61Ykh
hRcBFjE+y0Df5W58osvej/WtzUNO2da8CN+/bxvj0w/3x0/G1z/7K/pwfbFdCQZwigncj24zw3Et
N3PHho7Z1ttSQ1GHHMUKpQPCVvhEPOLsWbAw7DlIfjdpPk9y/xpp//H9+Aq9INNzRZr9B6ubgCOJ
bbdstlkdb3MV8MMbz7++Pvl+mv3nb+DZHta9M7HP/TBNloMVoCfjAgMfZuMkHbT3lkcvBMw1yYy7
SFb3lTR3TmjcYsEhNczA9Qut69pO/KMwR7BHwFWxjZuUJAURBKP+zU1pvs97+PN7ACmIDpHdCKi/
9z9CZDuwnVVFTYy4n6Uqa/yu3vQJb3nk2wfDLp5suNIeKQDLORlPYWTTkFKcAJ7f1RGAYmF0z1hR
Pg95fgfUdcfIZ8QuTqDur7/Oj4+pI4QU5vl+VhZbgo8RMMrzYjuykmarz4w5Emhjh21SoX4Tr/Mh
9ob//vlzLJMkdZ4cXBgffjXVIkpK8qjZ1n79FuZeeWqAPa9BgeQrR7vZNvWIWI4nhMV0eYD5kvr2
11eqONje3ZznvwI2UMHxJ5TN/97/KI7O3SxLDTyHto+XN0ZzVuuyf/EGdlDoM2uDMNRheozPJgZk
/vIZMDTpwIDAj8JJz2NcncVvFDcpxCxIJktHQ02gvR12JI/pcqMco/nMzODEGv2yrFx9cnLX38oU
tmEyl6vIluwf6ULTvpRb2amrDrL21jrPwYbQveqZto3JHDzg/JCLNmEGJExrx18DMEvdr6fUcJgP
j+G9jfgTH2XC0MPGzmEHxZVXIrAFJg1tLWW+PRDfsGhEBKXfyFBcF3vINdixzHPWB5TqqE2NR+IM
0w3zt3wd2uMLyH/gPiCzWK/RGPU7yxwwK/etf2Q39JsbzzofRD+eFeefw7E5uM9ETsX74v3PUegO
Y5Bu6m1WBdEaaByesmRgjVjMSKlpRYf4to0gz5KsMOb0fhEEh7y291FliTfUm5+6zhquho48FfJH
bHaa2t02Go+ICD0DC354wvW/CME7Vue0BOMR/QEGEqZRCwxZ4ecwySG8Jx2If99ZhRaNTCi8b7++
7X72gDkuqzfQooJf63xU/PiCwiMOd4DhDkpS4yEL4zNGurmvuuztb38QGfVIfAiwx9tsfThzVOUh
KvFL2D4AyTTcDhW1m6YaF7/+mI/H7/efjQrBEix4BGvv99czSM+v8WzX21Jk6Y7Ng9Ghv8iMCXUw
75qsG1BONdlzwu32m4/+2Vd5vkTJ+WG5nCLvP1pYRY3InytsmLm+VY13itQon4MZ7suvL/JjVcFF
IqAU54AzDsV/+qRgbggoEUG5nXP32umqszHIvgupZuzZvo6D8uuvP+8nX6oi9cZxpYm5F77x+yuT
hDrkQyrqrWhje40M7ICOZgFSol0hiTrZqVy2mf7NRf7k6+RDXVzuhA2df833H2oUTXLGpddbHcLC
91VyPEOYF6aN1OjXl/ez01+ZJj8c6kFp8jC+/yhnoGAFhlFvTbd8g6TwxXKHeesTVdP7dbhyhnE/
dO23SjR4Z3T6+uuP/8mvqeAteYIq2T4/Iu8/HWepgmua16jlkRyYc/4pxuRTsCsgPF7eY5vw/9gq
/8uq9MwT/ni4KbbdlEDK8Vz1fUX5w1MvZVXPY21UWxRJziMhCoglUNHFrJ2wpAAkgyBl4ApHXQcP
wjPr5NlryvXQquLMT5/Pgjt1+euv4ee/go+n8Kxx+OfqVbFW8/Iw4lcgXbl1O4SL3vSFCIKayRbg
H+D9tuiuScUhmqH1mt9URT/9GXw0X2zygSor8/3P4MIqduoB77gzJLcIfrfkvhxNlV9OZviSZAi9
f329P/sNLPLGqTg4LNgwv/+8SRkhbyCnghrkH8yqeKxQ9f76I352SRaPK0cuu3D5sd4NcX1lwQw7
llxRe2MTSrQ0jXraDHJ6wvFy0Rm/+cB/6kA4mdQPn+h+OANDnxT6mjnKNizKYJ0ERn9V1rD4GA98
aZwSwjqeomSLBtpZuQPbYkq5TqXPfWNeZugb/YRlGg7jL702TyH0e/59a9wlbvxvvI6QsfNmV2ey
tvehD5kamYu876otK4lPRHRAA64unSS6+fUv8LND7MeP+XBTpYSXKtX11ZYVOx7LNl2G2YgIWAzR
bw6xn5SP2Pj/uqAPt9P34RtY3Gobz/NrbPVr3RsQFNSnlpHary/qp0/q9xcQ4gaSuL//8x+OjwE6
VIR/vdqi0cVvzRiv81mjpfISme6JQRto2myHdK2A7Bze/vrTf/bckJKohPudVH4Gov9YsQxjHA+i
5BbTZi7WOYv6F6h05dN/7VPOf4sfLrFo45EUbdwfk4eMEevOFGb/RtPBhUAssjn5ySb/UGLmqgPO
ULqArOdRbo18xF8x3eZUmPvR5RwKwEMJ1chdkmfW/mwL//U1yp/UuAxfOGWEtExqwA8tRzJOwWiO
mq+ylJ+LKnvEzBQuFWIEGeqHsUqf7TL+1ppZvm7Zvi5goqx+/Vfwf/KAMAUgdpAMQrpR9eHAKGJ+
6bQkJrpwapb/dfYWz/K2P7OoasdwEbCjKHTc7KYaauuAOQX9JpTeKLbd9UjLuGKukd40E1N4WeUH
Ru6QPcm92ozQAq1SjatqTNN9Zk/LGpX0si5m8qbxkbe9cdfUUXMhw+HTBOtykY/OxThiAmrxn6Hs
IuzDZV+ylFYvVi2AlKzK56cujmmviPdGRQB3VPOLKQN7mgLeyKIBYYFLWAWszfRugEQL+di+LvEC
JFERHfDXDyggSO+LBn3K2d0dbYEt3JzPhrnwfuwzOJUpOst6PIZebCFzruDthGf19oykBmqBWNlM
TUgqm7E0R1DHeqO6U/FkbiYDxHowW1fRaDFAR2C4xgycP8uZeD9RBBdgVVDxz5ApG89DJeFkm0lA
8Fa4asgEwe5qN608pDVMGEYw37Tj4mtISaqf9rGR4DxuYKjIonYuOikNMjft37yEf1JpehCy0Ubx
SDAf+nBejn5QBYiRym3dwaAvhmd/nG9lk1y7UXAnKp0B90FN/+ub8CevSY8lsCddEw4S//f9sx4k
JDfiZSi3LTnry3kgnggXxA0EsWvyDm/5U//GB9JwoUWj2DgX8e8/0PXc0UiiqtzmnT8tS6C6yy4S
60CmB2+GGzG0+W++138a+fBiJifCRGljUVsRV/n+I22kLVMKKJoiE+1s5UxkKnlOcgcYHptCHn/p
Kv6h6nELl75zo7V+Q+B/5K+WnxC32IugjFgj+Ym5IpZsunLaPH+xDWREnUQMmXgZPuJf/yznr/1d
B24Jn95GMvv5P+Sd13LcWJqtX+VE36MC3kScmQtkIpGZ9EakyBsEKQPvzQbw9OeDqvsUmcxmTmnu
Zm5a0VJJm3Db/P9a37I4CFgH74IpusxwShn3WiffzO1tGNgnJsAPkw8jYOuwEEAvr9zhia1UQEOG
xoCnf8rPiV74VgaIkqz4+fMLOTYMfU2HMrNKHoh+MMfRC83tMIhLym0JlOFxBQl/ZWrNqWX5w3vM
5TiUeDnFsInmfX7/jGvCLyBDME6LU9GJ7G3WSQiz78pMXDqBeQ33dhfIDI1uyk3NH1ga9lNj3QAg
OZvbFzkDY3hqr6Aui9jhU6Sgz43WDIPc3uWHfrOQzm0320FmFH6vOFfllNJE26gg8ivUVFZlbKQk
WTuwk7vG2Bmt6Skh7cP2KUWxV5iASGu05d/yGbKuMaO5JXlHdfy0rNYgj/egpO6KcvaI5No2UC4V
cFGGsfv88R29rW+uYJmz3lxBGwFIax2t8EEgr9T6FRKSn8jlhao3nq42/m+MhihUoxzJS2MuL9Ob
0YCQyzEwssLHRUDYz5UEmkKC6z6WP2OnP/HKHHsznTeDHcwK+Ujxa1Fc+DLoVFxlUJJoAJqPv3NJ
GqJcqjLMQQfvZRGlXWuP3MDRmMAk2atRjvyQXWNVrEokOJ+Pdvya/hrtYNoYBgjNFWIE2EfWxtIm
35AeECf+ziCWLqsI49m1HNw45LA1Igi98Al68KTiRnZINsVS9/koy7/y4dthO/CvUQ6+HSIX5dYy
1cKfwIrKztncwRMOyI7T/5uXc/CKV6ypA7lyhJmgpLDzb5n6ZNTqiZft6HeE8llbUIM6Ouz3b7bF
WRgkllKgNWnJRPipQUEqJQs4MCA2GDi/ce/+Gu3wJBqFYdy3gtFCSMm/7KJUUyGJ8IrbJx7TsYXK
IdNJQY7KJuLwZTBrudJkEzQMJZ4Vm5ZNblsn7t3Rl/rNEAdvQtuHtjxIqJLgDK9jsbfLHpPXb71v
lLupKrLisi1//4TaQouDAtWAL6YLI5I595RehSsS8P1vPBxWXfwl/M+HKi1yNatAal/4HdndI67S
CUdmhy9Oz08s8R8/IfpHim1AQEf0j33m/SUVauUAjLILvzDMjaah2Ws7yMNEAlanTuAfVzqGotjC
Rosgdaa690MNKmkVPQUjHE/Wxq6nhwFdb6REl1Ia+bl2rrZnBfE8n9/Jjy8Gg1JUN2WZqhm1vPeD
prMDr6LA4l+msydbj06ZXeYA2D8f5eOnu3ThWI9MmZIhxcr3ozhKH5Gey/MSyexxCvTgwUHxh7WM
am42Tzyzo9dkoOPmHVzMQQc3sqYkY4Q13xOOsDVJhX5GEEwuRu/zizo6jMkgtMrpzOsHkx55QRKs
gZ4ZIsBipoIbzIuVRAvr82E+HGkWWxM7fUxbtBjlw3tHbnTgBENWoD4hUQK8lES0C6eaQYALGKJ1
Wf/tRgSpcLQ+mIlkuuww7N4/rUQtM2gHU862ViWySDrnkbp1X5yYYZd/5v3qpIDkYHkyKGFYH7oC
8qxLbZzauR8uaYxru5K7e5Q3Sfv3X3GFMpPlWNCDsM0cbB+QUmdx56AWyEv9TjdwOgvjmoP2ifrz
scsx2XRB6tU5mx1OfuTbZRqh9LmfJCkcZggybiwZJxbaIx8SkB50LSgE6DarB+9cB/SkIlGSPDhn
8gy1PM9l53yYak9FmlHoxevn796p4Q4mdHmSRcApO/fJmNkkanOFL8pdjgBOHRNb1z79xnDoOpD1
aPTTD4s5BXZVdTAHhquaFcIbPzBmuN2wW+CaJHN7YlY6MuEaKhYq9l+sWVTQ3r/npFzjWJfz3Bdz
DlAnfDHm2pPiCErLZTxNUA5xUBGy9flFHllR3o16MDvhwodCXxa5r2gCrNuME2T0pjb2sTafmKGO
FehsJijKujIHuw8z4WTn6YSrovLbKj+3rWrfj1K3n/PoytaqdoUMFU98MnOCqoFuSvad3oh+/fn1
fpgmqRxAjaZjy7mSG32w9cBBplkdCmvqrRi4sg6NKEg01oO/vY1iIJODD30KLhnR1PvHqWHt6EU5
4jlL82eg5Bu6xCe+8Q9vzDIEmjJVt3VgKYc9Hvr1dZ80Q4liV31oRdOuoqJ4IGBqizIhdpf6vxlq
N0hAT01iH1aBZeSl0isbmCY4qL+/uCJN4OVDtPSTNt6ntvEjq4J7o82voZVdQxXDlIS99PMn9+FN
/TUmZZyloYZq4uDJpTYRYTJwWtLTiVKcgvmuNnLPilNnowfixGDHbi1SOibPRe/3YUvXT1lQjrbD
Ym2Y1xLIODAUuNM086yyyjNJt+602oTiIJ8orhy7sRRWCNFk00pL4OCtMYTJCqcrRF0rLtIxr1KD
hKRdYjmrWvGMCc8NLJvHz+/sr0X73drHyqrTucNKqiISOfRwpiSLIxOOGHV20h0L4bmi0LDUW+NV
SyFFk2tlQj7MX2Oz2yKwWBdpeqZM5O5KsGNWqeXUHrKinOS3aV6FjWZAcrNAtyE6X4dN8k3XK9Qw
JOmFEvEOBR5PLCvNHXiiVyftnqxq1uA3KF+0FK00pZXLmVRyn4R2EFpl9FJpau6im1oAhvYZEgKo
o0SorhMnjbwGTKNrWY26yVPSH4a4PrHKqcsc+OH2ICahjYqx+peZ9m0Rw8h0swJAUvpji4FcJq3G
VZcWZNVisptLYw+h2tpUgbyflqI82WL1czYVm7TN5js50tddH7Xe4uowSDn3FKsEBSfV+grK1ZNp
JzlRGLGzgShxau/0YcXkwdL7tW2NRryGaPP9d9qFRhylTUWdFAT4auTncXtI5mvRwse1K55qX9v2
iW/nSNt0WS3ZE/xpXD7c4mTZCEN8Nkq/EXq36cfRWqkZPfiKyjQigErexHOeUwKTgg0eNGUFGYCp
JClwjQXaFwD+r6PoHvohIF1Inm+SytT3Yw1hXy4d6cSG9siqtJTJNc1k84cJ5PCTqyAd1VZP8UN2
kCp1yb1W4EaLgSeuiGkdl9/mx1wyvQkTRtlZ57hBgdN9/g1+nHBY9KnWU1g1EQQfzqhjUldKYIvC
Jwn+LJvkS1mOsANOXhcp0CedcxHTObLZxn0+7sfu5wJGkKnKLBJb1pCDPZwB8d4I4Jb6WQ9lTFIc
v8Jw7U7YbuTwtQmiO95SdzT6i6w7cc0f1uKDoQ9WkbqNofnIJGqp3bQFYL+bShR01XDiCZ8Y5lAU
Zg8qYch4ayHBDxdF1qP7wRVUnlJcfNxxcyMV0BLMo4vDfvnzt6VOGSYKBETQIqOOndmsyckBwuv9
zvNSaSRwhMBaqi7L5JthCE3vTVtJSpR66UbtdBJP9EtcI6+D41zDjSPYLQvPcGdt1d7+rcFZ8FXK
QxyStOVWvxm8wvRMDy5k8EraF71GhGHyfUq7nnS5F0B6ZClh0LCb+2IqdycufNn/vpuFl7flzdgH
F55I7IWpg5U+pbCN4WQewDi0vPRaJ3NdDMN9rSdfR1u6H+FTgvM78aF8mEqX4XVg+hpN5qX0+/7S
MR/BeU0dior2a0QcbkMAsqivCAjYgjg5MdhyLR+u9c1g2vvBZglqdiqsws+LBrM74btE32JORmqY
/TeHOnhtIYbWRB9RUmrlwi1FvgqZ/ZThVkUv9vkTPH5RhrLwLCjKHZJRNL2vapOUBZ8cLd2rTKyR
qBgJOLHm6VIFhfI7V7aIofkiVcc6bCCBdEjBsXJlk9P0m1glMayhiIXNjmCYftSyE2/o0et7M97B
GwKwfSD9gIcWh+DGFHHRNvWOpOKVrHbb37iVzDNLF4qv/VDil0zoo6DgFr4SYy2obP3SaSEsZ7lg
e3hKTv5hT7q8+SjrkG9R78HK9f5lbCUY2BQ0uK5Jx2BvQsRrzEsSTDxShHcJyQ+ppH35/ALxyHz8
BDgE22wk2LpQmjn43Gm0Mc+kbLpM4ooJ/whudQhoG5awVdYWXivk6GaqRuFN2vRtqhKEsDRf1ym2
cEQS8l0q1T8xyNVubKuDb2Foh/KKDiOrq7uUuuDGmpvtRBWzLrWLZFRvpoIUHQi2445EuWEjYghx
0YCXvieCDXK7I4Ewrr6gY2jPpzJ0IG/N4yZsCpAYOQHSbA16VOvkhBQg5Xkw6JsdcBqg5zFu5vbP
EsLftski47wENT8UiwNby8l0iY11ac6E+wh5r/Qa9sgBDLNIO4yaTn+Np9oTg5Nuh0ZR/cLi6tN8
/l51qX5ZB/rXEB0EgUGVXxsNxuu8G3xbl75oSZadt4rybGTmeNdxnFuVgCNdVavmLWndBAJMgbU1
YYW6qpHVOwHWYC1JXUlbkIjbedyWVZa5Tk4Gh5X19U2U6LbfF1YAsD5XfIxNwCNNZPE6+WuhqXRr
svuI9g3kp6rt74UUEMZTqFeY13apUpGDbU6qsWnaykQirlpPEeOSca22tKm1DmGINF1MqSzWUToH
N1FAzGkRJ80e4THxiY0s7aNGxou+iEwE0TY/pFnDza9O1SXM1wnRCTHTeB89bKhgBEI1OYfpWa5k
IhAaOTI83ezknSjCc8glyPXyTOzw4g4eSbF32hS+BLkg1UbcxVRD9rFiAY6rGmLj7fRboWfV5TA3
r5wLZy7bgTkY1K6jz51PyF3iCbncCnTaUB7HnEk7XWihsr0F0EObOFG2Q2WvoPI4K9OZNGrOibFG
gqttJZMA3HHm2YlgiPx47LAd9qXxdaroO5HSnfRn+ClGjO0a9Jqkm4sVVVGKyE20J+e0/aLgS3Bx
Z8FJBPbuK3lI1OlMoitJMiP4gTAKV0ndeIT9kNDYZptQg5MtbCFubBKLOM5oPZbV4KIyJ/lRSKGx
D8nFvG6CSsPI3SeW2zoj4Sd6cG7akr4OdF08k/Ga+AU3vvVkFNXaZgAQV2+HUZEuTL1OG2RGjYH/
PZhcsC6uaoXRZtDm9qanLUPq9ZAym5ApmA3ECqH7weQ9V9VZTo1vJxGzZ7Rt4idlafLXywdL7rbY
xMsXozfLXZAYtxz80gfkqCRdDJjWdvVgdi+EiIBdUNE6ucXUih9GFKk6kZdiqPeOWguYkBN5XmnS
38eTsrU4Ybsq8OGOTmS12Ek1h5ZK1Jn7UTWerGhUzmow825fESUtLGu+wufUrIg62vQNz2QGaegp
dds3a6XniOGWE1l+xewMfqbUElOKJMS5GoYvnSxItwGpwBhGoq3VJoRfUOEI8kN7wjHFPv3SgpXP
nNGASq2UJSBVIzdzI88lShU7bICxqC2ukhDohS9ZPTjNqhkt2bOSsrqSpGK4sHJn2LcK38xGgZbo
5QC77+JJUnY60FsYJ7kefxvL4MqK7HY1D6gUQPbEq4H0xxtpQBGLbZqZjIjj4jxIxG4Q7aUGemAV
1AWBhtJoQISJQ6+qnblZSTFkBQKVgaorrRG2tG4acWkUxm2q5au248jnUDYg3jESLl5dHcb/uJJT
/Srtk2vcVzdC0TcQxx+rJvneTKQZW450ZmQZCdfy1qI9qENYci28z2uLXIBV3yiP0kz9lXcvXPd2
gvgny/YTlgV/bgmVNrObGaSBSy41RIaWmCI2zF+RkLdrszA7QBLKI3FkpA2zUq+mULu2wU+749AD
T4i6a4pM33PiUUmvngRAvxDqqA62RcgPasZvO531k4H6FUgozNvDWYDLv+j1tdAeiYTEXNb0j62Z
P0Yyh8jBljjVydWtcLq71NYupJxc7bQrz+2YdAZJx6dS3w6d/qpbeCuEKbxgntARx9uQOwNQ9kYC
gyIHD6RgEBBpygTzwnGz+4vCDPeWXRhwa0n6VSierKeayh+BkOdBYayCLv8B8nmvOw8R4VZ15XxB
UbOhOLsj8+dnkIR+krcXYRadRUbvQQ76QTzLFzAm0FMVsYeyu1T32HaSmScn2p2lSGdmPK5AKfhT
bNAEki+18AlaBil3QfQ4VOYF8H51xYtZAzosrlVt3jomc8EYZsWtpPClp3P+oA2TKybbV4zyCnnv
yhw6A8mi9C0aAiiwZnipK/laj5UnooFv9HQsd8wzLhFHz3xTz+lAyLyVet2oFK8OFaowys9kQAZ+
6NyagbmhC2+/5GV60eXmRdOBV4LQk+PTkuAT6fsuMJStxm+MsKrJQIMgVOvGuLZkkjKMwYvZkKwL
p0vWxKt1K92efb1ub9Ni/CEIANvXyK1J5W5FaI5+ZA5x+3WKxiG+MXK9aMqboLTGyMPWZm7COJ33
lNx+fr5BOrLZXGx+jq6j8tPoT7zflAFIlws0kaRRt/0+dAw/jySsQHB3a/XEPvpYiWDZ+i3qtaXQ
bB2c03VyWZLOYizM68zYwcacXtTiQW+reaUVLWVnTV9PFK8q+5S2cDlQHhyE0PvrSM0oTaBuPzhw
6nJU42bktCsMc2crwypM+4sZOOjnd3O5gsNh3lzhB+lc3gRF3DEMmdHAkimEEgrHklDtBCgJIr5a
JI3WHlTb3z8zvL21h2eUFkJOk4sIMV3g3CtNuzGKatPXxaU6dvvPr/HYreQsZCOpY1uNXfn9GwPp
PB2rgvOzVEzLhueGresK0MPV58McOSejjAPfg/OI1+WwlhyqcN0hpXDKE71rOo9qJqida8guUo+k
7hNd24/VOzyuKOfNX2ZTFYnl+6vS2RSSk7Ec8gg1pkMsrdsgeoWogfSu2kmEINVRHRMPwzV31h0x
lieaMEdv65sf4OD83OuVLuSRukBNdHlMwI+Olyezxe3nt3X5Zz68oXTqqIBg58FC9v46s9qcmXg5
hLGjBxvi4LLkUzh1hD32qVPkxvRCKisRovrBtAJy0OolUgx92qvnFpivAvptaT+p4mpS5StVzx9C
XWzJ7fQ+v76jI+PdXtAK1EG5zPcXKJu9pVYZjEYm2L0pD/u8HKRtY6evc4O4BU074d+T9iWsI8jD
p0xzR54ig9L4R75DGq19cHaHlEykC0Rx9B85NepuSjcJuYqrplf0E3PNkYMtPIilgqQi00bj+v5C
p6od4rGpSz8aZojJRj5v8lxdFKEi3qYGxpqZ2FfPnjvzRCPjyDv0ZmRFPniHKqlgLSHUx7dae7f0
swJb9z9/jEeWpaUqwWN0kKGAy3h/ccS61NkcM5EC1TkrzK2tXWqcF5DHnBjoyDSDywSLhYLLUEfz
/H6g3HSaKBCsSXbafFXr22ZKv5eS7dVteGa15olp+tjrgVqIui7OfbpkB5/FTKpmk7J99mnirJrO
3DSl6objqbt35AEtB0AVw62u0wRcfow35dUmzuZJjZg7aZI/N4tdzNBvPn9AR4egSE35GGIGc+f7
IcasIAlcZogxni6IaSKtqTslRD81xkHpJoQ3BoWblSYhcIdGGCieU2XwIw/EURFTUf7i1yU2+t2d
wokgKuoViKoc+cEu4+9DpW8jFCIn9j7Hx1kYLZxE8XEe3K4BFfEom4xTAA4d8uR1IHbIxWLrff5Y
To1zcMssPRxqo2IVwT4hAX8f1sK278Fjn4CqHH80f13P8lm9ecMkMWmYsbgesCs3sqXdSHl0qnh9
dAwD5MPCuHCMQ391P5mNSY4vGw0r8KATbmuiNz6/XceHWEwI2E2ZbA5W/YrMBtBjXEbcSfukK86H
Qd9+PsSRmYxa4iJSBdzDtRxMljJBzRlTAVLEOftJOvLFlEevdZufz86pBvPRq1lQ3aj2IB4fdo4U
Yl5NHj+KcjaaIBy5pOFvqycQaaDXQDjKw7etBWz09sErTpk6Q4qcE2XMpQOmyx3sYaPX8UpO7D+3
RH+LH/W/EvO9qMQQ9r150dYv3cv/+VF0cTctsPL/+MfdSxG+JUyhsv7n3/mTM2U5f7BnRvhBg0RD
quTwoP7ETFn2H5axwJfQXTP1cfT7x78wU5ryB3V59JH4ZOT3mCn+SKZfxX7OQXhFdoXzdzhTqIp4
T/7ah0LK1i1eUlM/mDgEkeK52cWBr6jjV4IGiEkNu9rvSNjw0xBHR6JPuUdAarGPZ3uhpQI2IPqy
W/VhDGrB0ftVFVKRzsBCruuJJFkJ6a1baMVznJeKO+jyvK/tKn9pULBi0AvyjWLM8IxlHfek3Zrb
Ue8h+FBC0OCB6lTWUuOLWcbf6gx4YhZCs8vSfqAm7XQvsYPqW5NZrqcxiDdVvcCJwOuJ10mAH++L
hGQZ8iD2Re3QOenh4QqQdXvwuLpno/jb8KTV1LVz3UbZWibQn9GTuWK0zRsnpREyWqX5UMcESeal
UZHNK3fuJOZyTfBFhPstAIrrIHMwi3ncxQpVFBi2j1JCFQgUXgCkGFF17IyTO8fR9ANtQr9xGmAx
gLsFtS2wmmqrYVNNE9VzSso5SCd+SqT9uNJQV5D8wBQKts0K0NLBH/TMsycZrotBFl9kJPE9hx4q
9+RdmeRrkYdOwfE2043Ii7TiAmiww0XUSk7Mh8i2ktqQV9zN4fesq/LnLAmtW7sIJt8kO/bCUKcB
wzc+ziJuxSa1SokKFHmpkxNvC1P9apM24ilthEiBovOq6uQKMYeOJVOnDl3MZqViwkwt5CAzZR8x
3kdwOu1xIo2+TAvf0ZsLMx2HFT2MaJUF7P2zcDxHJ237mkXfBmzP/WyPHrWIYAfLnOjrHlznRDCl
G9KYdusB+SB5N+G2ztWb3MRAlQPcOO+Jh7sxG1R+RIYXXGLmPLca5qey6rV9OFak5sylvh0CuXoY
LFHdDUM+rKOwt87qlP0gweb0FZQZYjGUYLFOxrgBh9NCyJlFS7nfzLcOgbmPv+aFvzWL/tcofMfn
2mWgb2U1NXEYde1//opJCH+Uy4z07v9w7mV2uul/NNPtDyCN3X/+3z/RG8t/+V/9w3/OcfdTxRz3
reyLbvnXwrgsjkx2HAr+PYTv/AUtzUt2/K/9OUfa8h+UFygHYUuA+vWrs/vPOdL5g1UOh6VtcJz7
Ndv9/zlSXnh7EHtUUzdU9ibMYP9E8WnyH4ZlcZIg+hFVKhWFvzdHLqeBwzkSxtLh+aolliMd6lry
MR9jc24rUqTtdE+A7K6ohHCrMXoqeG3g1T2NSIHdnoC2eqx2xtBWbpDm9arXyiecy2cwAJ7MMvw6
lR6paYQXPEe4pP2kv1Ebi7VbyX8G+XwvqdPXaBb3lMgK6C7zGosVtpOuMlfEI7croskuyyDcjRJk
4yaJNk7nXPYCIZ1jpX5W0TyOrAJ86tRuhDS96DDToqK0cH+Z5zMQ+EIhBYANECQLNyzj82CYnrNO
2dK1IDZPuSfmyVlpSpCuTFvemnxk5MHeFs1wGyrN16g1vwFSfiLY50fvRGeT2tOPVdXHZJi3fQOP
vrNfM/oBrrZ4woLR8uXeusJ+u27rgQ80IhKTn6IlV574NddWE7Euo/ilhCQThoiwJqP50WriNisD
5YKbVfApuJJzwxGkX9tzKq841V9MDvnocYRMBRkHVK7IXJCil7ISVUzwCvCfOPxeUTRzWYQWcBj6
lljD2kCjjyDlNdkErppR1+ffIFn7lqTEAPEw1As6Tjf2XMK2N9lVpcrOTDWK/VZESOK8cmLnqQkM
CvoqsFSruSxi2fbGKiXuD52XRx5Pty3RVELpGfERdvfW3IkNJ8ShY7UsNb+24B/GfTyeR0YXb2HU
+zK2s/WCB72aaeJ+HwGXuon2LRpre8v8K3nhqElbJwi0dUwkNHK7a6dtJBpHXZy7GQpye6oLL7Gy
dF8Gar0lcSmLOKOZP6O09AbEBb+xH/wfN5NxXvj3k9i2LL73zUv7fhbjr/wLJqr9gWjDUdDc8suf
e7m/YKKkqPy1k1uOT0VJWPJ//EMBQQqCkb0hdvslDIaJ5180UfUPB0gmFQp8btji2Rz+axq//nNq
YgX490SlD4cfPMtorHHB8POxrzk4/LAD7DPyRczNSJ6Ip9G51+nonXVycqNJ0BpQFKx7gkBcw8bY
XD+SLG/u5zBXdwMFbY/E3vVc5NqG2LzbN/fxnz/q28CoX3rEvyZX5DV4/qn34LNjh8ym6GAjGlut
QPU2hP4slOBpiSgmfzBPw2JVaeS6V0xuo2ehRd9ZJfkF5xW1WfrMCGF3ciBNd3M8VV6t9e29FA3t
ApZo9bUuQcqvFDFfq12noEEMo/g6KWcSbtsmICV4LnMV9XMid2uiToMfKion+ukRsbhM3IFyLumI
/j6/1F9ehINLXexpaAnZWVL6PSg+tBFx7EQ6BGR2SeY9MxpzQxCMEY1YBeEG0wJCBWne2RJiaUji
8VNuVNLgtlNks/lZMKhSpyZXMd0u3w4c+zu9PIUNeXWieqF8LF9gnULAumjW+eXQEx3ZtTrIThz5
ZFGM10lu5V842ngN3Zs9tT9xNTST/WWMxmYzN4N+NTuVvUtmC5tx2YX9KoAds+uCMj4z50lsTtzH
5W19dx/5gWieo6vHuoYL7+A+miWQa3vEglEh9r1bqP1rVit7JZQs3+ZEYT7IU3qlg0akb24r5wZO
2xN9ij91mQc/BPP2IrPl5/jI06NZh+2xCbUN1UkpuwCPE7L7zG3irPX0KxGv1XoCEE7oe9KsI4OA
C1suibQIv8w93nkAJspZWs+q11oCwreBjLUWYqUNc+m24VDeiraoDNJ4pq2JY25jFoZ6rcWG8Edd
IYYweZ7aRoEYIycPGDQyt62K9KFl+7jKOT5kQtVhpIt7sNjVRS2W3ORJnQdcCH18H2kiklwENQP6
x9J6wdGoROssVUlQklSjpH87cEAK+uhLLtekwjTyOYI7wgXFoM8bp9DBySCwGXZlA7TbDSeiyJPW
sB/7AP4niz/78Rw/BEEKQ+VsnEH2HCW5p8c7rgHis3ymkv5NwAR9tpW03sY1aJpW6Uj+XFKtkeGT
L+C2dSY8kRlt6VYgaX5IUqasCDUD1J5xfwWnVXg2iRS78OvjBznpJjcIIYrOYIOeHbPRL6V86QBS
YPI7tQ8IrGjiXWQQeSnRAH4JaASSK1mc25TnN/U05Ps+VTmJai2BxkbW7PK2vByLNF+3Y22cF92Q
oL3PzFvFQOZfDYSaYpsgk3ZSinOcBtEPziOpp9r1sFOk6k4DhbjOm+FroWrNxrYCwY5omr9aGbnn
ObluVxmhoXimBzjxIO+d504ETwRiXc+TTLjWwJnovhRwjzid3cdirLI1YVrOfQIV8GeYVUl0NkoO
kZkaIC2HZpJrqQVRvxJ2UXcC8b7B/DVehmrUZiupUfM7c6qG9VQopm80ZeyPY3c35VXJGbDmVNTC
96QWyOYI1sN9FCXOOsyUqecUO4yA0kvI9jEPcVTLaFOTG7sLRBv/ILDEWDlykXlkJj1N2CJwuYin
LHKkHwCDkeGMbXRtaOXzGCkFcfDcZHZzwjMTM/DZ5X+TJvQbAdntYyaaq2DqXpVaVVejUxkrNEHS
quRIXybh4BkSyi+ohLU3J0W7jnmR8nZUz4ZZuuEQepMFRnudQt/XGxJPs3TWVnyNwUbvg+57mhnX
hhLMvqijy7wKxYbcJRvhmfVNGjpUMyJcFE62sUninMO3E/PE1JiAS6BbhEkExGKg2DkbSVb4qTVT
e8lcIzuu1Efqk5iRDZZKam6UoBy28Yw1lASYhrAEPZx2DfIpT6qcHyzVrYu4plvxToqrakrnTZrE
3f1ESAH78lq/rnHbFNOsIH3LhnXVGLTqY2XSzo0awr5rsPP0WDXGZ4RkzqtGKssuGSLzqwRC8Blj
hg5xXmd/n7eytuqzFCVpDP9ua7Tzbak68yUSvBw3lGZekRSK4HJ6DNsWVQgV4PO2UsItwvhgIxHJ
+dCg8bqLomA/B9m8L/M8uEkJ3iL7RCwaRHOrLFighNh73EyKmmxTJyG9x0js2HGrMup/pnyjzyqF
dxtlkZpfUQoIt4tMYJN1hMdwWsArILK1Es5ECzco8dw2GatHyjraLskFnxsqjz6b+p+yMYvLUicB
y5ibYvbKICPxJTTThG1xK60gUnxNqum8CYS1i1qmMVR2tUu2Y70nfhXyXKqlZ1MrpZekMZiPMRXp
YlWLsTgj81zf2Hr81BK1kTZSdAvzsb7Uw5CM7SHrIzcXxV6xan1t2cK5FwU9eOZd5bYljG4tq227
Mc2ILRSJHY7jKiPBx0YYkxvVa5vSih9LWiCkpJEgXZF402OF0aEXdOEgqa5OwoifzLXpl1bX7GWt
hbACGwBVkkNeBJK50JXCzHSTDt5Y3OZrGMnRLlfq5KtIlPiLnBbyzyqcxYWj5q947+Mzy3CqnR5I
xv2IenRdhI66U0Ty0zHrO6JooGU5/df5144qCqtiE9FAughhTe9IcUb6plXWRW0pPeEkQ3CVmPlN
PncPCYBEF6PkHctUtNe0UfEERKxd5jgbWS2rvdmI88Rsr6zJ0DxaFJdVTG1LaktjlRJPsrMqjjyj
XivbNJ6tMz2c96Sc3BR91iPvFZWLQgWYSNN00s2ARYzT2BSstDEe1yTKRJsgCV4LxK7rqIWAlpM4
xokrBFNFQa6pw/JFqevqS6wmmRfr5Ks52tCs0143/NhSQbdnekIzUx9XGmK9rZk6pKmzQ/dGZ4h2
elRbN4S+RWuSjLJNnkHmUPOeo5bd6Fd9nlA3qnXeb1a+YYtCLz0r2fF9mZxiiYG2vo+qhEQp/tIn
oEOUKbiuKRR6TZolPyc9R+Wlm/lFEljx1h6NYmV1gQjdAdvOj6KNs59W2IvLeiAutqmIGi3yaaQ+
UMjXY+JULZoL6qxrFSvTTFBglVi7dggIAknCjulLAW/Su3Y4DhDUwhJuutQXrX3WxOiTvcIOEenX
wyTrXkpJToFWNxIZ5SIrzbQ7sieaCHdgQKKiP9d1tBYEG6uu0XeIWTOcAJnfV1r+rWBxyi7qIRHW
mZlrsFgI2Z3b7yg9SQOK6XnLK1LErHJbwFTWfVJWuvSuKqz8XAmynvnJKSrO2kbXXeIrLM1tWLdA
kHMIv+FOlsfa3KiChGuUpeQauRIaWrY8VqudzQAfLxRdhD/7hlolIKlI3Kkl+6tLXvOeA0yDH3mM
Cqjb7Yj8cuR+qCBjsUD1gSbYgJGQvgBW8/WsTu2jTvjzl76pUl8fhuyyKmwm3cmQ1lacOy9y2mnb
xio1ryD4nmbOMLcWH2wVpV5h9MQCIAInSRcgFFnYke71M/HXLpHtEzQ/Cp2Ed4N/XEnyMGrrRi1n
Ut2QgaIzLS3MGV3XJV8sWtHSda73hCn3ZnjdR2TvDZPIPWYZ+WzuZZLRTE05z0QZPFkxFHivU620
Wg/WUE5eFMXMTQR0If0bqyUktquCvZTLwT5VLQQIpt4Wu6owxZ02EJar9j1qcVUeyBeLgf3/P+7O
JLtuZFvPU7kTwDXqogvglDzkYU1KHSyqQg0EAjVabxqenkfiD8q0n3SkJzrd8nIzl5gMIhCI2PHv
v5BmP39iBqjT+ioC+h4y+75u6uiYpAO12VJia6jDP8UsevgkWj099ouiyUBGaXqrE7PzUgvV+Eit
bWz4keUTOZLLJnLiCrKJUjtfjapLnMBJW/PBKccHGXkt967quWxkHUZe+pIyb9AXJt/WsxuM2l/a
JSEnyiT7mFI0CbAXmTZ63t4PzWCc6mruTsvoLEFPhITfVeR8+rrdVPcQ9dJsT9KWK7jEanW1F9EQ
BRrxYGGmwBYKKowrQbVqKzuWSUeWtOn0hMOIAp6nFUUJpOS8h/GcRGSU3aWLB4S2pDL/MtLy8FXK
yy8yVpor1UXCU2l6eZBCL14Tb3WLahW8MxySbyxbPCq1rZCmFDdHMWBxuHp4nZUhSw/UrU6QzWIk
EnGZe9Lb5TTsbKOxVD8DietgqM0VLG69ehvHsf3kei24oFnYB9Np2lOby/lLkWUfphzEvtYWWiFJ
LWrii2Ty0U5rLsCLzIkFXTr9jcDC8jDrTXzdAZbu02iAcyOtJ6OVy3bs8Xmv8CfVBoqDaqJaCPFb
rN+ULiGEy1QK9anCKR/mr00+U4BSJFuwPkumzDfQSn0pRXmLNVt2w/dbXotJxz2/58+nYwSugXtS
aTB/sUVtY7vfUPQS9TZ2x0EMuzLPiSrDbSvbeHIyrnNK5E1iNd2ZJgacb7HKEEzAitiPqmKB0Nu6
4ktKtK4vSpOMcWLVS6NWAOvosHz0ilINVbe7M6KY/6XK3SFUsyp6yelYZIFSud3OMvlonKkvz3Mt
9pW+UI44HKnoCaVfZ0Xku8OgBKh3MTRoJNWnq4SNEWuBJj3FN4XytRj66Zy32YFzl10uqrpv6QRh
1hcOyd373jY7JyQmyYaMWnX1vjPbONsUxUg8qTPneA9r3dIehCnaa+b8W6WmM12M2dobdasGFQR9
ScQFOCaJu+C9B8XyujtPLe/GLi3CnDj1uGmWwGwbiklDvsVtTKppxvdlDaj2o6m4y7Ncu56QLj25
+oIpnWnl82uc8lX6hUerqm+8cgvHevrEjrJAOc3Dfl4TRpWR8QpNBJkYLd+zuaO2vZscYjbgMMKk
kbCs2AU4MvOMxY+PZ2xDife8BAyJaidIMyd7BkjNAquh5KT4HgijLZM9JV1O/l+s+k03jY/A7Ydi
6k5Sa4qHGXkZeGw5kwJqc5nLZF09iaWewmRyhoG0tNYiBdFUjIduytOXsUSXhbGvWkp/krq8ShBs
+7Tf2hePSJObKTP11cnY2LQ6bGZOnCT0MsyAJO4m2zrFMBUOrPOm9vJZFLZzQ+xK9qnMy/aqHL1x
YzV5QsnaHuIiezAVN/8QIRyydipNtIMnjexzR638kkzuuE3xIH+msCU/x+u1kyiH8a1fWnle5qYN
VRK+UOM0c54cRJca2NNXBuUD9P/P6hgPiJBn4W5LaTtDoHIYwOl3tNNKNgtpB9ZXaaZnX7/DJ/+o
D/X7DtOPDab//0K7HURvgJ8/YE2/NPOv34q3+e1fVwAwxf/4j//e5ut/7eT89uXtX//tX/u3T3X5
lv7r0BZv1ZefsOD//bv/woNRQ9L1B3xDzgf7EMvY/9X0x1Ds3y5O2Kshm2NArAO7+hsNNo1/gwvi
hUGoBywCa23V/40G808kfPMbITLCkMGT9Z+gwSsh8T+RKy4KHt8TVBtuQiDCv9AGZy+XBebU8smO
sHFu1KvStENBBmet9iH/8zYvBTKd+R0isfY9Tupy4NUCVAfrxTv1UpqOTl5vus7onkQy45xOj8I0
n1Iv3ygFcAuZkRvcJAi6XobrJkb8lA4GbS6MUNjmrQB14W6kt9Wa7dGcKBCT8iPHJ2bL604+3GcS
IUXWh7EKy7sRt2P9SSut3YxtFjaqd2WRP9biExqZrd2UJxNfzra0H7N5uOY2RGaotWxWWQKKkrBb
SGPL7A9Oh4wEPvuj2qkOEUOq9KMx+5SYYqe2xY3HmTSb6ZsRW/1hkO5jXBabWIoPumo8QQg8GE0X
Fmn6JakiP09iutbT/WAjBaoAxYJMujdj4TymtF7XX9l2Em0Ofwppjgdcjs9EOCJ60qNka+p2qCC1
mTomKyfj0LbCqYdXpGNGQYOUIM78VKkR9/hBHqqx2ldK9iVJ+mxLSKm5owv+SgdpI4zl4zQjzWgT
Jdmqk0Kgw7Chu/qkmvXtZBIz7hj0ljoTQWgzjNz78DiL8nB1WsDtFBla0R6FQKANE1tzCbqBkWGm
M3jMe84+37l4F8tlTdgg/8GFPPlLxEbTNmWP9kw+qS47KfbXoKhbr5mR+Vh3c9RTgdjjWYcYMdjx
VYKC3IQBnxfOTToMYZeIB9E5gHpTRAHXvnIgPBcd81Xje6dYez3qQuKCNok2YBps7lHa3dEg2KWR
d5iblaiBWV1lN7d1ND2vKq4Ebbqa2SfDkq9axEk4cpLG01VTYcw2ZtQnvJ2FVVzXWShRHAST1t8D
YfPOXIMMRICBIhmCorAwzrZDsg8/Om7iA0mdmnYckMyVH8ehDMreKn3N6TmUxYfCIoB6yG8c3dr3
Rnzn2eVtqTsn4kfOsTGdRdM8eHEUFoUCvcF8StKaw1Z/GmS81boCY53yFkH2ZkpITtbl1jGxro4/
QwsKoYvekt0eygSQwcvDRmOFaN3WoGB0KwIopXtKlugd3QIMpl83IMQEGGgTQmZyNb5g+w25lGU1
2u2TVL1HYQNmorIkU3c79/JVqpUAyZ/O6WRtuABfd+ABiDbvo4Gs8iqIrOmc4a8vm+yUuh4WIvFW
kHiuC/2aWDJ/rMStHSmPlARhWjgnsTSH3rBDtcAFAxnRlWyagzVZO9MZrsupOsyoUjtn3LSie4nY
CduoXAUwu4rvLXPmK/oJgcB9OirkMZqy0JDZJ0qh0zjYpk/xGjbV+CzdLIR+wl80beq03NhtH+Zd
t/VmKOgxmxV2LbOqbwdivJuuDJCUMvXiFph9P1v9tfCGYBI233C+cdiF6q4KOirE2BjOxAiHWYu7
ujNd4cOyAU/dZsjRSw/1MOYeAfFgqGmxTuuzsK69m6R5Nu3hHI1iX+dfYA/6C7JNBdKN6n6WOo+g
K9ioy2Pfin1rIZhK6sHvavsg8DYnFuP2h0P0Nz0+4+f24/cTR4d2qRHOs/KULxmkMO9LGnaifWKu
r/uOLSW2djGIcWtW+6aZz95o7d0oviPp+lY43kbJsDtf1csT08jiEFX9Abn4BkhT+ElBb2+xtwuI
ujTNfWQTRDoC562gUt2/tG51wEfviZbC5/Ur0fluY7Z9ib9RNHsHu3ZvJPDcnx/yd8+IpdDaCVpp
mRzRPxEyzUJvHDtfuqckcyCLMCamjeEsR0gjURb+ebCLBt1fM2qYNE/5iEx8bi4/IUUaihg5Ss26
O4INbzFGDo1OBE581TXWU+SMV/NgnSRq56mKfbUvB18Ds4Y/Vm3+/MfYl98zfNr1gclewqccWdmF
AsKw8tgxxmF8Gm1Q/aw5KFx3i/VQbSr7NBD0KARVRmHupAMvS4j96tEmLDzU+J5UYmrt2r7JOuOm
g7jAfn3E6PlUJ83rVFW3WYX9CTsqvaoDNfa1PtS3lu7dppZ8MZf4isocVbn+VCrDvd3xmNXcv5R9
hlBheibt/SRBk+Is/gK2uRtiK3Tn/lotrBAh/9eWU1u3p3ObMcgaQ+5WD/ksYZ/FMNlmbtuBG83P
Gj/jN5H4EJcG6kX+SSnY53XlsVXt02QkVwKvhnde8rpifjz/DEpAOvPqarGHleVl/gX+QSYOKUyr
rYBBcYobRfTXq/tHd4H/MybHf/lT/w/S0lYq2H/N5dgAvXU/EjnWH/+rbjfsf7uoNfCPWrcr5p2V
/heNQzf/ba9he6ucyFgtU/+zboeRCzGNImXVU1JRr8fZ33W7rv0b2QyYq6MRY7XSdf9J3f6z0AiK
N78DLRWFIx6d5NNeMCXw8iYSwLRjhP4m7m3GngLlKIhXw2vKJ/Bm26SPP0zMbzbuixX414ge+zaj
rkT2lRj3g7pAlImbyAUKa+5g04Y9YAnc/uchLszF/n4qjyIPsyWgm+8O/T+MYesLjgUeGRMizA4L
Gmw9tL9Fx3Sf+ufJ/8qT+r39WfpHEXjvETJ+JhJ8HxsKIWzqtcRUeUE/P98M0lHIKoqDSH5O2jNh
8n5iiythC+ipSmiqN6VeB+X87Z1n/mVcqD2sMuRODA7/+mLDTPt+TnKgxKDqjHD1RFGkdkNU95Vt
bCwj3kyZuNOpEl37HTvCdYn8sKWwnUCywemJezD6BO1ysjtXqeN51vOgNmvk8IOki++ITYHbUm3A
43a0yHrnBf+yahly9SFkinG61i8ViOlguWXcM2Qr5k/tNA1HJ3M7fM6xS1GdJ4mL2T02fPk7x/Fv
hoXthDHvd9UjsXk/v1p1GhqnTvEyqZc4g1et6Z/yqG83tEoOYz6Ghnc0R0f5/Oc3+8sHQ2ASmSkI
P9Z7/C8vtuFG1ORznAUFMnf6rhTgL3OB5mj753Euio31PbKAVgk1aTS8youtgEg8G5tE4mCitiCP
XdtOUNsJI7kaAV7/PBQb28WSgazEUYTS+Lvp9cVateOBEqTRs2CNYknpG+tsNss7g/w6b+sgqzEv
5926Dfz8tsRSFLWmYONBrMQ27ZyIgm4a3qlTfvsknKlUZzB30Yb+PEg5lRm6ACMLZFLT2R4mAVgv
3oxMTcJ/Pmc4K3GSmJRnCHx/HinOCKLhG2cZYFPPvk27ocB05j2R2e9mjRqQo4qKkxPoYvty6sw1
dQG2Dbvj0bHkQ1O8ywT77Rh8ReBEaylyOWnKCGEYnCALhpaGTx4Z+m0RNfV+kPXDopZhjKA4D2et
H0JDwdNIejNciapX73U5aPA3OgvJRwSV9x9PMbgGCwZbebweL/0SSkUzAL4JnlpwKNLjBNCEJF8p
31mYvx5PiIg5wDl3UdygpL7YR5A9aF2bkoxnTOMn6Tk4RGEpqXrUj2puKRtdrb8SZ2x/sEqYM0lt
pxK8t2+PKa5GJ2CsdG9mk3VoTBH0Tm9863pD+mNhJHC7e/XLn2dlXVg/7+9cqUHWcBJEH2ZfXgts
JzYB+B1mZX4opi9OdEN25h0q6z8Pc4nksf+sV3fUSzAEQVV/cSP3FvyrJiOn5WAfezGM27Eppxu3
jjIlqCTc7kC2kAv9WZ9G2zcmuYdX1dPZiOPdrOS1vVGL5p1N8dctf70OgS9SjbmE+F68qpLGpDr3
LYebAl1KzvEt/fy3vNv31gGqikLervZepORv9hQDBiBrkEBmpv1yd8T7he1ey2EEOCv1qaCjWh0j
LmV/nvHffIacKewmCCF0HOIudpSJy/Oiqk2O2UrlxH5XRuR41G50/8+GQUDMGc0Wycm5mnpf7CiZ
hmCsL1k/Yo6Vs5cYUdiPevvOw1yeXpejrA/7Q8m35HVklOTuBHlN2ldixE5Q1It9pQ9GsylKzP3+
/FSXL+lyvPXffxgvgckaDwNPZclrU7tammftvYn77RDYtnhgWsjzLvO4baBz2XkM4RUnBGJ+CdZX
m+8Fk1y4YxCIq1rQxe21gUA2G+fLz0+i53mfY6vLd2fF46k1FHtXRGL6MDgJ8gdVtm9t2652vCQy
ldNtq7E5LjX9qHe2xct95vvfQefAWT831IMXy34qoDu27kxeaJvshsrCyixCCpKoFsQEddhkXv3O
mrkgT//96BQibMaeyo344gtwrRGaPWSbgH79tDMFJDTg4cqPbJoESzpkD1FLEPmcr45UxhDahqJv
EbHd5hiHIIq9Wapmbzh3WLs3j10T/SPbkL//vBUEYXslD+KSk2wtJncjc+TPgw/5Gbw339bINAId
grf9zuz/ZrGZ5g9jrd/XD+u5cY3a0jN23xm5LzZZX+zZ205p/c4jrS/xx8Pk+0v+YZiLGVdtjGzG
hcp9jD33FFfimJMrOdrmGeLNPcYGOphh/+ZITMH//MFe7nbfR/5+c6ZWo3a/GHlJ886itc0yt5We
Fq+dX0ndfW9P/fVr4vQi0JluHd4MJp/tz/PIGax2cYr5W14mk5+W5R4SmeJbtRpYAk+ILH6qR3iK
UXUc+mRXeMk7G9OFSQqrxjH4pm3yw9f8kF+yUGKllMgnTYgGcfzF6cwbQj4e1FpNkZIlZ012j2qv
hy3aJV1Ghz9P8i+r6GLsi12xqwdPzVsYMdL4PKKy1em8T+57sQnf43B+WkUXw1xMsibGGpO+BPNt
lCeO0+8dJX3rgFig+sAULOMN5l+HpugPxmrEPlRVEmrtsPvzw64r5pe/AmEhPVkgNevyggG3uVXT
llfdwRNtkuGYKspG0bKHFVOL6vIfb5A89boPYADOYkah+PPSgug958ZErkFi53hKOtCs4dOzpmxr
Ow31OxvCbycZSy2ejkQdHEdWwOGHHSFRhqFFNLBOsrdPRHpMrOGu9dJjZTZ3WuZhBCkFklfaIWmk
+2JNGpvle3v0ZQG2rmaMxwEsaW7j4XFxOuWpM/Zjh1RySSqzf4Q/xR61KK1zVvLGlM+V0Y/ioTCN
utlO6AKsd6qXyxUNDG6Ak/J2cWimWroYv0tIiavHleNVEkx45aG5sJP3fKPX9frjSloH4ZXS1mfH
WCGNn6d6MMmzstL1kpMeyjwNLZQNg+E7U/YOcPK7gXDbQF6Czz9F5kWVJArMmfT1CDGnhpyFaJdV
ubzJ+6q5T6Psnc3gN4NB9UaMBtTMpfGyoM8mxdTdomOwQd2CgQWOsW0xOywN4721ur6FiwnE5YUD
DAjTZNu7mEDVyeYYcAwjxVfvXGE+J5+iciOSlWR8VUzp1rUOtla/M5u/HCmAJOiFOUyA+vjgLirb
qp2Upeu4l+TLeOILhLhpJ/8QXVuBGIoTC+0UpHGs9X5eGjWKgVqfeDIxFR8s/Lahid66HQ6Gav3a
RfP/zSP9MJz+83BjnhhLEmcygFxPPFjeHHG8fPjzvnm5Li4f6WLaJtdMAKKwBaXqsnx7lOFYOZsh
WiMzlPew4MvB+LRWpzAASkAgTuWLqhJeK6YAETBD0SYV3O5GfZkiHe+EvIAlWmfKO4v+ck2s46Gy
XHP3TIDJS3MrRFC6LGY+ZS+PM580GgwpTW3z5xn8/SDftZcwX8jx/fktWWqJwhHfgsDR6tTvmpzG
E3y1d76q30wdMjQKCW6iGIdc9gZ63lE7Gkxd5Z5LBNvjFzO5l8Xzn5/l++Z28e0yDMI2eh2wkC6P
NdWOylxkU0P+B9HKGXqzdHwrnI6qsDgaWXZLybg1iIDwCzK7HenucwgTutPjhe0+IUzKUAEQdu7V
3q1Dcsw7fx7XgIvNxQZ0M7gYAauTZExr9OfZjizFTQqsM31pNyoBKbOuhRZ0XvmtX2xEclqhwOhE
sZdHGw+B4kMNrGX5nd3jPSGWSMyLDxnJstFbZeJMMHKfvCRQHoubNNMq5yjmIYNt0M3W8qAvznRT
jJryOleqc2Us6pJ/bNsmSkK7M+vzWAOI+KmIarqaWZYxfOv2+1w28tZ1EF19rdxUP0fqIPMnT1ti
jZKkX07j5N07WeZuWkdxnhx35X7qyegiwWtHd28PQ4rOvyycZN+ObX0n1doINK21I99ehulZHfWB
+87izmc4kuVhIp9ng49o9I0c9gQiTCyusXV0bjLHglyfdwLNeP7NQhtkHtp8QhciBk2bgzhZ4oae
uo13pjShJhBFEdu7WQfmCirAgmYXVZBKZ6QQbwWJTlt0HvqxorE0bgZLxaY6apPhVRWe3vlthP+w
bscuJH2xyCNyK+M277JtoXfJ1Qj5+oi2b9gWqxuL3kj7RVVyTN2tWVNPqlaZd95UGuGcLQ82MtOb
Jq26w7gkrY6a0t22PcKQBsLvQWs9B2/3OtmMIwYCe6WO6vFTaxUzhPueBNShN7uwNFLnLIdOv+2i
XPSb0kLg3PNKQ21Wlv4hjir9yeqmdgTvTgWEKySw5WFA6XCl5UL180Yvmbhy09VodX1FNvgetGpy
O5bzcTSzLliq3m9ctdmVIndekXG236TaGZt5kNco7fSAoKQwUefmFo1A6bM0C38qpm+uXQIfJDmi
TTWpCGRsyp2w5qOujpiJEV/0RZQzHFubzn6eLUWopFhRO4tD6ppuxsYNjin5reYo6h3vqztP+O1r
116zfLLUZYHEXhlrCFTBPJsVPfuc67rhVd+MYZpX/6jbegWta6ULyP8osY+GT1s1qvmSt8snB07r
h6wwqpPWjmITVesfmObiMNS2OKS1s2gQ7pQDhJxvwjAlmp8RPyFqpY2IJ793EMsV+VOGgbCPWf3B
HVB+JL15HyGenCFv+Go8K68TTsJzzTvmZNP8ZjYe4XvUwbjM4oh+COfYWVH2pTOPR7neJpQlcq8E
P2pFotfPKZR5oI96DpY+wUdiUjVIM8MZn3odLjtO4WMJPlmMlBwICQv1sTCagaj4jFakFa+YOszj
Bs3Rx6rlZtRaZR9MUfPZUGUGA60Q1yhRliP3svxc8IV9GadexT/XTsxjJD8uRXYF6q+NGNQgu3p1
8AUaI5Rv3fJUWq8i2oy9Nj7VLI/qTneTqUbs0Vfbqkh7vFU90maVvMofRoVusK+ihXzo1W/mohdw
3CFMJF6Iy8OHRdffYoVlNlFRoQdq1ZBX3z3mAIlXbdYWTy0sghCuug3Bia7jsWNva1a1aa80216x
9c9tqtjbtGm9QxmzK+A3UfoqBHIpzE2MEHROyAKNPeurM6RXbWEdqyTejqjul67lA8rNTeLaU7kZ
Cgv5owqjEAcRaIFuVz/HQyFCW9d0iM7EkIyZ3KRlS1ZUgVB6GbFhTki3c9sNBuuHpDR9U/U+Wr2+
nbMi7KgwcJ/cDtC+hqx/mZwcRn/KcFlYaEX3pS9jYjJmdd9q9qYjo9Ke+r3o95mBpsKqCZsa8RmJ
Qk4Cf6jrsYN8YhsvDfSysKraV/ax0LMLzEnVOT6CpEkgrOWbjaU7RCNoZ4Xz3IlpuMlstoXYtmC0
LLjubuH3ap80FQ+YwdbPCuviaEpzuVZJlGu2aUZlQT0BKjPEffu5zZrPLhRU7AuKPRmkMZK/qGzO
wsQHfFAyTW7syn1AZuCyzszknCGvQQEwLgue9FFzP+Xdwvs2BHRYbFtvCQspAnM28VJdnOgwzNEX
t8XTvowH+1mtVrmikVybVXTqEuW5sszXrIbE5mYEnLvurW1UWCq0BqK5pbm18qG5bxTHgMaPRmmu
lDEN4mZCEYEUzdMOVqPJ8ijnybwrPZoc2hTJxCesEI2pw/mwFNFLV9U6+p0exV1ZIaY8kiqLCRS2
DtHE5x0tSv/NLEWvbrI5nZPHqqvmW0PNpx1yNuUU2/jN75a2dK5wd0qUcHYXFzlLaV4Xpn7kkyPe
zK2VUEqIAiiZuySb/LFzS0xrtM9tP72ow2SLI91KNFjDGH32nHnCx35Sl91iWbeFUQrgwDIPx1zc
pEY977gzQzCbQsCIkHSHI9cwv5Bi08Hn1NPSDIYZc3pB4gKqQczAPKxfaGH0LvJ4io+XrKhq84jB
ujTv29gwvkqtoUYWY7/hgrxRJd7panIN/rpro3azOGOwIGVpoKfepC1tCeHZQVYk9aEoTMIeR0Bd
3c/sBvNT2R+LRKLBQEEAF3R0s1c3Tubi2CbTrCHowCQmgT3lI4KbEBSscb1W1OjyIK1DFhvy2Zty
67hy0wnlqfQmcKuq8K6m2FogIKL0ZjGrWdARjgthCpiYXg86mGTZJ2O8PCJuqnlA0XRPixwHAG3J
aAHGPdXGi51lH2GnFVL7fI5Vo/rc1svQBrUmXtmp3mikCVoUKF9Cb/Lmu1hXkOTbZXNToH9yYFiq
Uxq0uP/eKHBNa1+LV9+w2MuRAGP8qvtTRtSLP8M8BpNS6uvJmdWwtozsScllTe7AkE37wusdNFfl
yrBTLZnuYeBhVSZjL75BR4uzvBS4JUDs9jhSrCkO9dYdW7gAuCCRK+hBHCus+sWrpiDL7NfWgdds
FIoz+vownTpdOViieZhcrf6YOla3K8yl2aJQ0Rxmbxw3XTqON6VdzrcJ0kY/Vb0XI+uaa+Eo+6mq
xyScEqvcOQRMBPxUfNamuk4Dh51aMZRs5eOV5LfUi9iqVfnUWuQfhs0oVFz/PYivZYoTQRzHr5hw
U6BEqcseWjZ70VWI0nRr+WDO8w2iLTfbEwy6T1yEhkacFrCDIMl1o9udonzKPpezUYVqRQ0OHj3d
RWa0Qzh4pVldc18ncRriM9fCmDbzfdknyalyx0OXqIZGHyPeLEv5QWY9OSuFTDZNfldG7mMlqvbs
Rc5LqaTY9VfGdrEE5P2JNIlI0vlQzHwoX+OFWbkq2gEnF86HgD0tumlz09mby3D2yuTBza06LOee
+nDIBzznK7u8NzRqXFS/YsQLT3EU3yvM+6whLVOx8fgz51peuVgavBbzdI8/AZqv6UWZjd3oFF28
Lwq2nKLbWEbFnQuTdPstHxdj2EQSnwSfvIjs1kg5bLroIBdzuE27GoJ3RoDhdzGZ/DQmuODgQy7v
0a+q56atuOO0i3jsF3E1K0Mpw3oU92nqDSEWMzsjR/VV1yL/tiTqro/k9CqEUxbEXNAJagrzGQc/
orFU/c3p069lueAABSlY4KZgRUfp9NdIfcadNvEQdaUDwuTps2HUdSjzvgzHCcExOd2x34/FVUwk
6xlxkr6zrLz3zYFyvJ3Tm1hVT53EXXDRONi4dz40S9KEWTohf1WEE2Z1+kaYRGAPwvkmHRskshPx
uezdo53mG+HaW9CNwIYog25a2XUZ9UDRGPVp1IxqP5C4t7XdpN3bCH45h10ZeoqTkXTDNhAq5Afw
PQZ1Yt/Ok+cPeDReI68raEfnsEEtZMA7LwcgGUXBwa3DKxmuDAsVeTDJaGdPth4UWvdtymq6Seos
m9avJwKic6Ob48DhUvK5j53IH61RD8wmGT/KiErISuNPtj6RIhrFGDAk7b3n1R+rZiazAZ00nvFS
ovyd1RnHhSjJD7LX+utGUGQlXTedPVnFoWuJqd5mHkxPu1eHPExzFQllTjMC58NkgBpvbxuTVraZ
sp86k5RNMC1R9U03EuUgJ+FhttVkJsemk3SbzGBXLT0J6t2kNeLVUoVv0hEuk7ao17mrd1H6kpO+
TkIRFdWMlBWvy2QQ20L2Jv4LcR7SJeWuV+fTc2V6WLjUyk085d9qvZd3md1VxdYYveKc4oei7zu2
0SRIezI2A60D4w3tsanjkA+neltGzyNbiRwdKLOLLqrTVOkYdVDYG1WJUXnq3Xu4XELKHtGPh73m
DoQ5RV2Z772xx0zScJqqcXyPM7O7zsvOodWOYUcXekiHkVdrXm7fy1X3tKWdO2hhOhPiw2c/41Hi
VLK8JYyiigIlqdpxD5DqWr7MOiVM8PLbYO5gzC+pBKkJYmvkD8gUDC1pDiMl7eCw513lYQ1Jvlj0
otflkOJ5nIzNTku0TPpG75BYaEcI1bM8ryiPLLV4ItvDKTbjNM9PNA+xcmvE7H2N9XzowsF0xGnI
jOTWaYvuwbPj/kOvW9Cj44Xwj5NYk1b4SU35OMZuTPJ6It3npFzIKplr1IWf0lR4t1w7anZlkRnG
mYLEGZ+TXq82ERpSGPmpMrvPgxJX0TkRQ+tibTk56SnrWyJRamNWLVJUY8GWVCKIT73uhF+Gtp/k
eD9W9XJQqoZILVN+lR2OcolVYYcn8I2ButRZ0jiWOX6nL3U19P0Vva4CJYowvDVS2UPI4vbdflpS
dC7o+FFIWHG+4fCObFajdzOb3XgNwedt1LBDUIj7iqpGb31NwQ3SZ2fLP48ylk+pNiYnIeeCKxfe
LWPbm6ii6s6cnlBoWeOwQ3aqeA9pKo+pXXMRz9hVSDayI+CoccvBJwZ8CxOYqubXNG4eZLY1oiNY
jn7iah4fOU2HMDa5xao7Tb2zcq7FU6wWE5FYhlPukyW0LFS5Ixc2pdVQouqSI7hXQ7To7imaF7fZ
Vp22GVxjqbDlaW+KNLrCLWkj1PnKgCjufJxJZFuklm4jY65vMLE1ijspdTvaZwTJ9MFC0rF10yVW
fScqi7ytWwasX0ddE9txyD7mGeV+vGhcta6X6EUSPAVObk54ifRRmGQWEG8mmy2pap8APJRgHBCH
AWpXJ9Gmp6RRu+uOW53t+kJhluwR/0JcZVPEIN3o56m6G6ZF/drSksQGw1oiJwDAlI8FdwEr58PD
eT0a5BUAnXGPhVLzPOrNk7gCESTboa8LTkvBb5cZ4WB+qXTmSUcSUOCZiE1OXKqbXNduoOXHFdu5
TfKuiMZE2xZqHp1Tm0ggHR+B/0ndmS3HjV1t9lX6BeDAPFw2gJw5kyIl3iAkUcI8z3j6f4Flu0iI
mdnF6IvucNkRriodIA/OuPe31wc1h2tOy2EvEH7IemDrGcXNejPN9rFIG1o7okBnjKHAS3A/ukxn
dU+o/AUBI/acDukhQ0kkwC8qBskWDI0VVeOpQM4+tFjg/LAkTKnj9iemirBWqzxoLlMNLzhZfram
cfhp+EnsIq6Ht+n3ihlQuw0Ig3Jm/XsWCwRdMooCIc2YGuCmOGyAXAxJsJKZcy6V9jlKyAQwjx9j
9NtOioeaMACOQvUPi0FbGupDMw6HuPUDcLpZQRm9uDPgxXCEU1scCHOfEX8ljNJol23wUKJgLVa9
of6qVWVDOPepKbmFbdMUqAEhK0q5DLQQV1KWKXbG3ryKmScPnEn9u8Yq1vj1qf4KdJC2kyVCUFMv
KtfmWGPukwh+CUqlTLvhQdWxkSb0VTqhZHq9Wxv4sPnNw6Bnhf6jlUTvIopNgwgI/AKFndmRJypQ
VTutWe9gtxiZJ+xaTbiM41pa50G17/PuqqvGOfJm7VuhKK5ayB9ZLgLabE2qvrVm6go8twRN8hGQ
9gpZmFTQ4gtC51PjNth7ExXNtMuirFpymV3xXaICcnBGTtp7I0tl4gkxcl6CCYPgBB3lNl0Wsyqa
4cQ9zMh/J0mQRLdQNcR7yyPp7Ej1VEPISYSnPI6Ci0EwxOwadM3IKa8ZvF1L4T2mXJXcQuk0vKqd
9p1WixcK+k1z5Xk50N+hChhliT+5cccBdx0TvaAMfYqzhyC2+t0E9ewpD5Qou6gDORccM05KeeXr
cozxidf50Qb4hzHupcJ/4PgEZdMSoDfZ6jCov8V4TKkHA67gAuaJ3JaA6c7K5OYn9WH9Q82m/5KI
FZA+vMDS24kAOAfTzpPcuIjhUcg1aBmWmhRF/oQeLvCTjaWN/s8YVPUBDpq/9aaOqLmHa5hCZTtq
vh2ZEbgjJpUg5jqqjaHM1gSvi1S7Kxoj8AYOTbAo+tLO24Lb6LeeanJuXoKKPS43qNqYMWhi66Nk
lLBfA1MyIAqBFtNuJkBu2FoV8Lq3gKMCbIUN9QtB8RulnrJtTJLvMIq1dj2kXIxwrBRc9tA+2vtN
kjyAlcKepYZCXTup2Jkq97M00lZUtROG3w6JWPQeBmgVqAEBXgUKQEFUgU7AtOm1BLulMhm3pyP9
H6Q7XlWZFExDTpeMRb5bktUJWw2SKtTMuiHhr5E1nEJCbziTUl6mtBnnCB1NndQN1dckPt7nE+Sh
bCy1I/9FWqFxjEgunFSKnijffOLS2rtkuhtEkOo/TVe+PlejGIW0lKiAFX3/3IBqE19ISE11aTrj
9/z4KgVZcUZUtVRFzE/RUBOS+DWwXFp2o99A+QjArTmBqjtKJjkQP8v1ZJjrLNW7XdNhIfyPPxz5
bISp5EhBS5qLFGnQpHXZMrO5IwIqhwg0uN1YZLsKmY6jIDQ6M1Dm7Nr7hJUqyihCYauimCf99r4f
pR66kFxw4zCxnrT80UlM8yoCsqa047Yfm/UYVD+aOPn6T38mxfqohud6BxLn2iLpFzJDy9ioyJ8X
6Yav6w5N4Gi1fodd5Jn84p9TgUepcFSpwYN4vZQJDBkk/G6+TaSEbiDDiQhOpIqj8Jmx8udMQFeB
NJTBaGkzpft9T2aEpK26QI6glJFLKsVtIEln0gT6K3DHRpp3sTOD5Q+ZscHkVtRX0Q52xeRq3z/T
7HWK0Q1mH65NoOEHeFWBhPlq2JLOEr/UUvwN3OvWJ/ZYipwpKehLleYuisg3nP6gf/x6qLkGYnMU
8BAQ/hBjgMqqx3hO7cOdhet5m/eiQzjfViqOUskWmP/p5/0xbufnwek1qCMxWOoW41YjFi3iSURk
b5XcNIfJLl3kfk/NP5RF0cGsJDKaVTScsHcX0zHTZw8R9nbYWkJmU+cBpMkb7wpNeGCjCB2slt3T
P+yPJWfxRPn9J7UyxUxlAu2YH7xUCWUFiUCMk0Ch0Kyj9KzYZO6nN/MfMTyMjdl9DLUOsIvlOopW
qWx8EyFLkbd7SfeuFLh5BedIrjA5jMPJWvuFsA4K9a8B848qK/8PKCubX/nsI1K/0vz/S/f/i+f/
3//7/wbsf7aoO15Vaf+q0vbl+9u6yvkP/JuPrVM+ieYGlPWMcqAGh7z8v/nY/KOZ488mhHSWWos3
fGxF/hdYCexU2OWpIKPg6b+VlfwjkshzPaapSeIsNvsnlZVzxeebYaJpFG5ziqA0blaf6HgRvB+V
ZZtylxu4SAxSDB6WYCXA5Z6Lg4o7lIwbt3YnG7rbxeOVbxIk7ZoNL2VzegZAJ11GwPdzJDEYgHRT
zAm3dKByOhxFnbSptx4sUlMQ9py/XEt5UZtnyyDRW7ZbM/Cfirj60pL58+Yy5SDaShUUqJ6zRr4e
uAc3xPZm420/ajZBEzz5RNUHvXInLH+CCA89wr1APzfRoFzEu0ixtpXOTcbUyTyGVINRl0KBTBY9
sLB/9azujpPTpg+FFa4qBx3L1xj3FdIiLe1I6HveDIKbv2baW7z3+93pz45d6IdMUe/01OOm05Q5
2gncivUbFYNlirbXp5/0Xmfz55Pmf/5GAlmURRwMBZ/Qkm8E+VsnnXPa+vOnmIi7dElCJQeMZ1ng
X7JC1vgVQPH1L0NSJ6l5P8XrWPIcnXub+ECQ3rG4gptlfFUEByVP1zHYlii6bqAMV026UrjQ4he/
r/E71bunlmVPlB6R3lE3BPAUUxKfPx9h2D63xSXzwtJ8rt6YwCu3Al5oLbVeuGPhm5ivMHVckeC1
W+6WlUKWXIi5F8e2Ah091/Yll57THSz92cN0AEUuzBHYHbI8d9CbHhY5ZnmYtAFd0Ek+zejgn5Ev
Olb71AK7jQkNYd2iGnA74aiB1+Re4609Xu/0e3z4Hd68xuIgkooUJIw+3yGCEkulnz1iSS0ZnY0b
yJkxNauF/t495jH1/hcvzh95oUJo84GcD8rkUiFne4RGiCif+UWvZp9/Pmeu6gCBT6nlYre3ggqn
zJiereWHoCCBJ3ooE9BKAWISgqfKutAlMB/qvhLbu0m4yvNuVU9PMvzLCZxbhhglR8bs/fBQMJzu
7fcHkf90wd+vtjghqKRWuzqCI8pRxQHH5sZBbcetiEuAv/JriAo6QurOvzv92I8/8t+PXSzIxJhH
r+j4yLBdXS0npEMFal0gDvLOqcY+HtZ/P2qxRGUaYVy/5VEj1SQ1FdF+ekYXeu4Ji6UpwBkltiqe
0I/PlfFQt2eWpo87a6505lfAZ57/+ZuJyRnahAPLIttK1834szUYHT74Pu/n6Y/y4XTg6oZLHygD
7jXvnxMaDQKsOWxVgumwCPu2j+J0f/oZkMA+mnR4t3I9nIGhy+IPsNi4aaSMuLSKWeH6dTGy04Xm
Tp5Et4lFNzPBNCJjwm0H/N6h1kQAk7ikG8rjgLTCJ7Ula+F1iF+xWRXEMoXhS9e0tU1tJtHtkH/V
DHtqWaH3gl5Khy9RLG7VOYRGIV8WBNfwyNy0jVdJAfSvePHxaRDbxG7BZjfGT7F8EbCPj41iLxTi
XgquOur+TER+WoM3MggiGD3KS02IJScMtGs0ZEUqmV0kLl3G+5PAwiRnJQiWk4fZ2p+8dZ9GLOHF
zhuI8ouG6xG0r6bHUpD20Fi3idhum34DRmWVAx6Ts1/iPpTyH2Fl/NbU7lFHjWgS/GiMTSNf9eFw
2ybG76i13EDonQ6BiReJ9wE4MVieB4oh13VgHKa8AkIV2GFr2SrhYZMMod7fVGQZBTJrsUYSV9lo
vbbJi4m0AwV7/pVcWiuGyA1E36u4li/i8qXlCDFtjdum/BlPG4+9cf4JfaatPbx4RuEOnmim//Sn
51Z9qmKLzem7FqY3oCptHUyTOlgu+Vl3KuasarRqLGs1Qnjr6+hyGsxDO8ibPvjSl+W6jPO9bm3k
FE0UUQRxii4jDCbAb1/Mw0UIX8owXQ9itDEQwPJ5XJM9s2WnSEfN9XPtYgzkF7Md1qrp3fdo0JxQ
hOvrS/GFIsuXObp1KNv9ldL190WJM7JRb4byHuAT8fdDKtduUYarFlUyOPMD6XF7RkGb+lZMNdKS
bA8hX3tAOwPsmpsXKcnKHUSqipofQhphq846Ljhh+TLwL4VA+qtsdM0fjQVLze9XCCh3ZaPu4Pjk
zDLNCHZR9F0Boir14po+J5ntds2lKv51IsBVLhIoqkGxVsUFuhWfXJSCtUDqNp31kHbXtda7nEOQ
1lFIJKya9occrCpSZpZ8lbfrXrwhj0aQTsDAIbgjsbZWsH9Hj+gKSvc18lV2P3VOwyLES90c5HHl
Z2s56uBNWazH8qUVdG6ZyGsNYBqEn++xGD2H6nSNtPAqn/o7EooXKUdZUf2Jk8we9bxtcAht2p+t
auFrUj0qQuJ6xpeu5OwCRdTPfzTjr16F+1t0pFgiEMwZB6ERB4Ma2S2pZ1KcCcYJxDJD/KSiF2A5
tgIkGjkQzG93ILrKwWmj9tD8umKDh7nbWOHVIAiOFEMLGx19Gl0KXldJMEH/pXJdbg5pmTuBXFwO
fvYMr9NpZXll5tfkIngDO0JiZfrNdY5YIm/7lYkQWNe7dSgQEwB7qnF3KLHfE1IGpLaOi2dvLG68
VlkFurrO+9GtKEWE+Hxpmve9nK88ERM70SDv49mjhhWIQFqLw6Rco6AkO5Vqu57MVDgquxgXnLDK
1okuOJroPSKs3OKdAMyoX0/WaGfBKh3DlVoOF9ZoXCdoMoMcP5+CvGIxMSzTemcZkw2ldzvlulMl
JOj4hQTv7/V62HTyM9YHqyi7h6EW83GK/qrOs5swxS8jS5/NSrgl07Ifau9CHiUn8pHWCBfoB50S
9F09PUdy7Cp8BY3luhkr9L897KT7BmsJiQdJRbFW0x4afbKuanWreO1uCC2mMLalLalzTMzi3FqZ
4g0HTVcpJ+4KOHkJsjOm0RYcy0TJq2KWK3TpGy82DkHlP4Hi2CBgvkjl3yKKg1q8Caz2MEKMFnRI
kv4F0oBbQ+6ulPJZk/27GVPfdZcFREFlhDMWJ5SoZ+sqwRMy22WwLfBa2Sgsd2Q5roQoeqy8zImk
4AA97Foy0sspjikoR+ymhStZSHZhfV/53fb0LrgQ2nPs4lJr8BeVRtTC4Oz8fqsVxqkG6p1Xay3M
95HMLQDFpkb0OTcRM2HTkmZcCclNDKOK90Ts4km1Us3ggITmEgizU5ndjRA8xr1x5tX+2J4Xb7Y4
fhuwlhFN8WZ6asLC865Fj8RhNNla/ZjwLa06XTeYnpzukD+OHounLo4eShs1eG3g4ikMsWOpj00b
bVTkQKef8uoz/O4gPj+GyhMWZpl40SsN4s1JKjBqCbfWeDYLLVCB6FtN4LTdNjetWK1yAYnPYK2k
vr+eDwBgiVejrJJ2aoGQmV99PkWirArEIR2l0UZ7kAGyaVrwekcPEPOpjCu1Vb+opcKlEes5bYSa
Ybil+KJRqNaM+q7XH5u7JnxoJMUeLMhLNZFVEttbhSthZ/YEzh0tQBeexytJnXXEisrpxK9XLTGs
Yk63B9oGgfNVpTQ3qjGtTeVXGPs3gVDfzHNOl7pHzU+/CnP6b/JvktpaJVZ66XXZ2vJRL6DFMK3+
ti7kZ4TsjhHc60hoqMId1uk43deC6AZdu8V/4XHs9a/ore4mriaiXG0EGf0Ot7HCiH4PJQem1iTv
XII/AdsKSpWUla1ETOhAOXc5nU/pJ77c6xXrzZdjCfQqTAnmYYkjC64uFeTm9RzGQUl60dHH02ML
8BCDefPes86cjP+IH8Hi+SsYBeZL1fR5+L55el3i5FCpPD3PN3XYrotdcBWm2kVDaup1iP7fjise
xbW9Yzz/fxR9lERuTcfDjxj0+f/rMP/P/f/mqvnr1QN194LH3vzn/k1lltR/cXzjP8S7iebPUb6/
gpCgiv9lUvpI9T5FicQZ+X7/pjLL8r9gYYizqR+rArlA/tB/6G7yvyQQKIZl4UFKQoRk1sKT75RH
3/sVDq4G4UzdRKPzfuiIfkDNVNWJiPpqihP32JQ7svCPls+/G18sm91Yo8aWe/EwkxlR9T0Wob9D
IrF609cfRPno0jeT7+/mF3sBKezRQGxAThuYM9l6j8L10y3PL/j3tP675cX+Z4oFBKWgFQ+lP60S
Gfn+wLF6yjfjcClrnJ+7X6cfdOwnzJ/lzczNFCorPBw2DpV5KSGjUc9ljo591/mBbxrOW3mSQ1kV
D62MKQSiNnm+7pnTmbTcsfee18M3zYcKZTN9OXcQ5nfFF8Rvp/vjNeT9Uc8z3t82LEShN4pFIR0k
jN5Uxd9bfs7pUVj32LlQK3DdxgNKTuSAWDhRAXZjIIOkyBWAdnGB2PrahyIsJObBLJvLKEB2Ju51
ncDkAI729Du+X3X/HhyLmFReaCbKElE8DFr0dfTQDEfQlOLflpruJe0cOuBYDy+CclLSSRQI0sNS
9gzzF036mVlzZGQsDxl+xiUGRbR4MMTHMcbLko3VvDzdNUfmzbI63R/yodFFXjrl1sE90EDgGUk/
jeBarOStd47CZcyj4YNRsgzS+E0uG3kyiQdN+aUP9aFMyFLUIQWCQLE1D2cxwdwrGA9LMCpzUVv7
UvsFseJqJCcCjBdXKNFFXeRWnrdps2JNmve61AO3CmPcEv116gvc4zJ8knrXNGPqJvpqO4iW08nJ
qiNlR7m6Pan4ZPoYFne44lWPw/hUtM06GLSDV1wCZrIF6CUa2sMRiVE7l9SU03rOqsbtcNVzkqSw
01a0fZ7L66TkQOU3KyOuNiw8bijru1rMnTrur4T2uUPorVcvuSxywx9XWMvZHlZPU+QaHrgt5P+m
ehdN5FKU6vb0tzw2ThZrYNZHWmBOkXgYs/uyelajCykXzqyv8vtz03/n0Ctg+M36EUUd+byEOaRz
504536lNgly5N5ypjrbDuBubeuWrNyGX8FYO1kgi8Y013T6EdYuaXFNG20yEB6Xyt2bT7mMr24/s
Za5AJGJsz7H73t86/n7NxSqaYUfYFhXjucNCq5e/xkJAycuzFFKeWH2lxBXFnHGmT7R5/fhoUC/W
VKblMElCIx4U03saI2ldUyuF4sGjiGayhN2Y/JIig6mlXTeQhu0GHZ2vU/hLsG4WnneN7ySt+OQn
RNAC4oE+A76SNICieF0rFaT3YmuAF5ctiotCxPKySeXJ3lJK21C/aYytoBUoq5Thz/yWaKTC8JnE
KZLm0ob9BNgi38gDqQDddHzxvpce8/zSUxBpeg9m/CuXajslBnl6/B1ZAF+hI2+GiCeYbd+m9L3c
EvsQB8TgZ1qWjzW9XMGlBIdOQeKz+mQVgsRpsRkTh1VQ8Tul1WuUpmLfzxxRejbHrUFWdZRUV25H
6I0WZc4UA8I+kmYbK+kiCm8zuLgtVYCo9IIz4+HYSy42AD2PlBJ2LAT4Ztz6KrvZOVzokQ1syQSw
wqj1Coo8DlKATZmyElQnVF6o7JFS6cz54MjiIS5OfkVPRNzq2WQagR37EVcaRfj1qXEhLk59McW3
cT0yLsi9lR34+s3pdo/1ymK9K7CvjwqJdnWWEa9FHF0D3a52ZkOJaHV/+iHH+mX++28GtZ5kdSfV
PKT3bmboePlTj84YnRwZL/PF423TeBbqE3hdkcCUmynbRnNPv/IrP+SDdUlcrEulVZqG2A3ioZAC
B4gp1gTNCpqBm2E8isvmzgi/VXUBI+pLGO1qMtJRrj70TeMahe+EQu1KKuavIXUzVbylsoogjbYP
1dTVMITwPWXdTeVGSHunpH46qPRd2N7gGnvbGVcy4Ys6/Q6ofyWMpDIIGlLk7a8scV34T6ofnTnT
Heu8+aDx5rsInTGkODpyKKqEtVKusdv6ZMuLtUYvxroKw3S+pNxF44WSn4saHRuvi/WhCNC4UtEy
HdK6sfs+XotdQKT3dvCQlSfiua//4aZEPvt9x5TNNAmyF7NUBsRXdpV6ZiJ8/PYgmt+326ZhxIzj
ABCHMvmziyl6msbfo9/acSp9agX9A+uL71qjhZE3HRL/ZysdvDI7s4F8PFrAsr5/+SKislNO2akp
SOx8G/756an28eoAF/x9uz3mxIbhydNBr4u1LvVUQ5MN9M+sycfeev77b8Y4ZlFVrYR0R9qEZCXW
Sm6d6Y9j771YIXxg4jk55gkL2/saE0LV4xTen8OMHRsqi7kpiqqvUpLMYZ/6DSOmsuEmUDH8Zc+W
+5fP9fxilpLiSFtK6nhGhWUelpi1HTbnwInHOn4xU8OcgrqxZabmmVsyR8/d8Y+0u+S4B1OXUoJO
u+13pIzquePRsWYXU7OAFB2WlC0fenGLU5Y3uaf7+Fi78/d9M/4Gq0LLkvC6DQm/Xrqv9TM735Hh
90e2Qi4KrZ0b9v1rfHyxEAqUMzDKY++8mJFJO+KN3tMXWbETOjfI7z7XF/Pz3vQFWuZIiOZPZ3Gv
mbaUl32u3eVMTCfLb4r5fYONcZe3q881u5iCaJLrqixpNg4vQ8Xpps3n2l1Mu7jkkFjVtJv6t4Py
XPa/PtfuYsY1MZxB9jJWfuP7EF8GUMo+1bCx2A7FoS/VJGcNNQdXxbY5/lxHLKl0CagjL+nU6aDq
JJjvm3MX2CNr5xLMFYT9CDifjsDSQY+b27YmldJTV1yZuyEzPtkri/3QbwIvjHKeEoigpoR9Ppyz
ATgy/2a/wrfzhFLKsptq7HumYNWMu2H43F5oLOZfisUxfykM6GSLUiKyPjdRlpw/ityitlRpd+TS
0DrAAD437hYTUJmkUlBi1os+BaqJA/mZpfNY/y4mYN9QcjWV1oDzqKvhBXZOtflx4ERflvaYQZab
ZU4/TNb3vvqttskGNrqjeEjtqwfVh1LT3Hyqa5bYvliqJMpSjYl7MqGk9kHKfpxueB5jf957dH2x
D6ZlXxhNwZwUCyTMoriRR7aBfyYc/k9oCeHl+5Edp56ViD5nvUHWHSlRnXM4yCOfVF9MxoiCLgqb
6PoOro+x9c7hzI+1u5iKDV6EmTeYHE4N055AXH32hRdzcYRRLHGQYe0rbpR0Ryn56e937IUXe2Gl
tGlkBHy/LDjgwWsHOGKcbvnYyFjMxkr1a8WaVw9LRWnFxbaVbzIw8qdbX6gw/h4ai0kpGjIV//MB
TIqe6zFAU5I4Qbseu8xGHb6ytC+5VNplXDuwt4AghejH7hJpM6prbNkcCSJVGPrn3mbeMz+aBou9
NGzDHBg2b1N3YO1gwqnFzPvatw3aA2ZGEyFUMu6G7hy7+ch3W1avdXnIE9JkPHhJcFMW+XV1ZtE/
8tmW1Tj4DWlBkfBLjHaDaQKi5esgauzTX+1Y44v53NSkrtp5tMFzcsokXpvi/aweOt36K8T4g6+w
FNkmBrVodSXPFozEUjpAdqW/znSqovNnrw5dwUI5jK+iPLYHmOZ2quEIqYRur2LXUBiId+R1LoVX
eSa4SaTbsSHum7E783rHPtlibZh06I9pzxQOxJKQ0G4Yz13+jrU8//03B2Xs7EtqnedVZ3SkfJcZ
69MdeuxzKe/bVafcq9uYdkNpP1DLosIfEINzjFz5yLlLW6wQZVSNmT6vaT0OSWGUrGPIhrCJwJfa
hjxthkj5bUVQw6xV1P3IjAcVmA58CQ3736x8SXr10KnrscBiMF3VaGX0lKqguZ5j0qDXKbuiftSE
u9N9Me8MH42txXpTiVFt1YhtDoWICC68hatopxIQOkRAp59w7Csu1hDSPW1ZK7AwMP6yo+T32Hxu
jV86QSSaVgShmI0HkdweF5NPXq3Vxd4/SXmMjx9Ru548CcJZe9Srzaf6Ql0sFGFSDNIQ0dtjftAQ
fHdnvuKRPl7WiiuSNlWAhViADJ3MIupHKBife+XF9C6TFKupMh8POknPym6fPtfsYm5bnSrUeqKN
h6l25Ru/Wn2u2cXUFsj5jlDGx0OfudrVp5uV368YVhQ3HUiP4dA94PfxA4TUz9Pve2QpWnK7C63w
m6oh0dpV20j4NpjhylOSz10c1MXMa6Mi1AIIRAcBamFqV8+n3/nIYFMW92CK5o0mz2h2CG0CuOXn
3naJxB48kB9STrPKhXYHYvFzL7uYcb0ohGDUGBBZcKMZxnMiUFZ5uunXSv4P1s5X7+E3+1OlK/+e
dR5EMan7ZrE1a41TYvGmw0+aQF7W/q2I3l0A9KzBWBkbC3TZL6AoCBOLVezdC0KBcu9gmbcMXGck
wSE/xNWTjrfm2HTIy0d7zDPc78rdEA2rLAKMBBxQGjEt3mrtXdMDM9oW1s6brQ2JNK5wloQXqeLQ
olCRv6IK1J4m0U5B/1EwCgIL7+uvp3vg2EhYrA2NZqSIffvxoBpOraMPdU+3u6jC/+8pWFmsDoYV
huXoi8PBR1ejG/c+OOdYEtdp/9UTbsXwJUl+Cel92T9p3bPP8ef0c4/9nsXqEQxiA4eKmzZ+eVm2
VceLz7W7WD5i4FIw1AQiDt+7fDt+cjdRFnu3AWfTBztOs7+1fN92Z45HR44ESwAAO540JvNX9aIn
ncNcMt3p+k+v/1xyX1/KDpV08nVT4bVzagl0wEdn4hnzlP5gOi5rxHQVfiMm5QOp7YxSSY//KrYa
3WnZty49dxg/MkReD31v5ryVNAoncIKAUrfxqUMpzgz5IxvBssK1NET8cNT5W6YbqjQhXVmO6p9L
Lh1768VEjUezTfWYt84RcOS7vtidHtiv7n4f9fn8wDfd4SUFmrKm5XDnXUi+ciuPe79XXW98EIMv
AWKsSe1dsdPA8kU3oSQBwrqSwH/hLm1HdbnVAiDr6rjPSFwqIOLKonXF3LiVqFOmbL0ZqYrIfrXF
tgofRClwMwlYLQmgya/cBCzd6Z+BD+6RsbOY+WondZjbcKtPceKm2mOWtLsmOee+fIk8ycmJL/m+
Qno4pcLMhNhe2tMQuDE1HYlpa62xGzjt19VVV/RI0jLXVNu1oCcg97dRBfWOqiGP8t0xUV0F6RYA
SNzaLgZNdWB32lacrCzpy6C+KHKE5uarUQj3qtStNTml6OeH2DwaLVU6Q24H1FfqYLOVrFploEpH
9WcB4y0QULTo6ya/CYKnJFqbankpdcDsQGpja5LB0+mm245qk7qhptWC36tJtml+USi3qobvSdI6
nfgtyWCUQxwOKpE7ZeUIVBYMBlbkJkUf6ZdJuzFm3HJsbLQ4sqmHdPtkNYlfvNF0Ul9dxaJ2pZuP
JkSAnPro0aL6y1oZ/UbwTCeIxBsg1M5A4W4lS3ae/hZ1bRVEz0oT39RKC+Gl/tyaK86r25uRSXGy
n5fanGVRnBn2cQ6TJM2r6wdDfmm3RlLZTIyes3ZRPOTmhfmSX0B+NEMnnNaFtPXjnZefmV5HRuVS
1hFqfoCikJukl+w7XC1wvNPLs5nJI+vlUtsBXbLNZ4eVgyhItl59p84tHH/jWl8kD0m+s9qdp9w2
ie9Yxs/av8+Lfp/U90K8TrXeLgPD6XQKQsoSk6lLLk1bMynvxRaEvETowQgcsyhsz7yr/PwxgDcH
N1yv9XUqQ49DUS1YK6wJNmjQIPnP3OoMaw+rd2FuB9FjaNxm/oaaUqE4pzs8sgaKi024AQ/gjYLI
gIA77QlkwW9Prx7HGl5sw15ShVUv0I+pRb3cTdU9nG73yNd/lUm/HcGUw8Bl5eub9UVE+Vu0FYYz
Wt0jIfrXSNPbpuWw1EZAwAcQ+kgFX0q/wRBcopQvWnes2KNe7nszdE//kCMHimWBjKfE+dh7M/fQ
u9Hqhyq+VPXabrozP+ZI80tRsymFxdTl7EFeCABCwOthfMaAzNHBGJz+AUdmylLaXLedGIOmY6Zk
BzVLbcvcefWeoavHZ37DkTG0FDXLWSO0ScMGzVVNaddJvzr95sfaXayCUhImSlzQboz5W7BOmzM7
5rF25zH7ZgD1itxSqE/EU493gwi99Mwl8Ni3nJ/3pt2sKCopq/zxQEDVNaoM+XTq1CqltljYnO6S
I2P/9c7x5hGV0HaqOadb+/IxKZ9V4aqKe1sRMX4hBCaOs+D43MHiWDct1pxcj1shiwhRDQ1g/9bc
IDT73Krzuj29+RntWOaQpOrxYGKWEx4AO57unmNjfRE0kOJEGYM5Kxg29aXUj7uZG1+2Er2T7EVB
dU8/Rpm74KNtdP48b95fz8OmS2RWN0O5yATqVJQLy8C/T7yZ8sYZk3xTWJRi3who6c1wq6iDLdbX
WtfbPfW5EV4tzbj2KskWp9LthXBTUdELteihKL9karOZQiqms19xeimYEMhD0BGg+HRzffr9j0V5
lyrXQR/giVXMrKwBBV/b5dA5wEpsK+1WWfAjAlkAU9zOSTKUxW3hXSf6rWH+qOCPwbJ2ohTV8RS7
clweJuJqgmW5XbRuYKHWwa0UP6ajmxrnVuAjW8lSNzsMgllZDQlHWBA9/OmNEn0uCLvkx5gQsIV2
3qT86kc7tC4+92fm6cdzB/LH+wHiNdTFBeU8QMyfWX4j9N9OfznInB8OPZwy37c8NWLQThYX3Ipk
iVzltl/dxf1zKl1XGXGy0X/2yQgkxfMtlPAWHrO6T4pHyX9WypGKhMgpCXYYk0gZMHYl4+9+ZGxG
X5Me9hal5Eb8TepzN0lWMGogHoNpiOze6Bwq81cd7C7dh+TsU1gyjL884SKpDkF0IaZ3UnGppYci
uxSny0Q7wCFoqm2hriXhmx7fh9ONUNfhOmkeahH1uSiMl6bk3xmVyUivpKdYjbnf7Sv929hf+zGo
RPO5qS4q3fW7pyzBsBdg/Woq6lU6/TaaOxXUdoNJiN7bgcoFRUXxrjmlQgU8bIRAqS+DRkQK92CM
D2FxI/cPZX83ta3b+jdidj9lF6W3E4WrONv66UVRXo/lfaQedGU/haaLf5drBAeo9LbVX8fUkU/V
l1g9FDOeBPiGtA9HbxNGnWvWL0nTr0TVuDbL+gmA8TOM06DvnFq45dXV9uX0lz/23ecl782S0/kK
THqRgxqFJVFzFQqfmgPaUhKqprqV5gPt9jLFKJfTuaX4NXLx5xoJ/PL9C5cUgwR+MNCwCE4aSwdh
xqp4t34q2IH2JZFcJf4aPX3z1tp0IRjfBO2nF0/2ZO4s80kPf+F6cFdUya0mbLUu3gbGPbx6oNCZ
m/sU2H1OGPUHB9QTm74IJVQYHk5imnEQ/TNTdZ6QH/3+xa28nEKM/aiMOUwJ3I7QDWA+DV+UYd+J
7sD6/rlhsdikw1KJ26puOL+X5M+BbX3qjKRZi3sBfjUZnP9ZKRBfYD2TnONZHok7UyL8fljECZZN
rwKbjurUKgJ8bnwPurXMlpIJ4PSku8H/qRg/y3FfgNab6tbt832ajeuq2hoD9bJ1i8sqycn/4ezM
eiPHkS38h64AbdTyqjX3TGd6fxFcLptaKYkURUm//p7swQA1iXYZ8AA9PdVdI6skMRiMOHE+uPIY
yy8+H1DSqL0JjEiw5ezIZgdNHCwHE0TxYOagtsFI3fw0/XLFmg/N69aSsUPHYSZkbCq4b2feklDQ
IpbuQfAjuMaD3Lv0SKwDIYkP05Ufvalb0avvwBi9yXCm7/tzZexg4/TDC9/sCOUI80UbeIKtYcbO
uyy+SRK+CDjeTcCBAbKlNdcahA53ldx5Bg/tZ9/Wrex19upOk1qGZsm7Ro3D5PJvRK//nikA1fa/
3xaTgB8oMUPx4bUBw0k5d+5H4E3+/gL/Oc/8y4q+dTLMWQ4uFQG5oNL6gMMIylYYpqp1E1WpIaHW
B3y9wwxcoRCICYD7aqQrOszx+/IwdABHU+3VZcWHr+k/i93eTYhZIF1vMOQAfyVn+G095Zb9s83G
u4kqFMbkNjHUAuU6rOQj87tU7qtv6iaqUM8sOovjuvLqDB7lH39/M19d9iamgEm+zGUFfYzpPHF9
80NRMrkVzbZW4/Rai9ttHCDewZRLv7nf6439y5d0q5od9VIC3IwbBvoicGEv5DsPHlx8O7ar4MhI
x08242ABAAnspewcllV2WAJ+601n5r2DmYGx3hnzvuaxLTGFUj8Dr3pRGKMc6izCLpM1mOgzUiC4
An1oVwKit/F5MQ9Le6J9CpqeNNIFmBprOCrxbFF9/c0f7Is/103MKM0axsEdHpj9anWbXv0sFLnX
A/cfuY+Yp3IpFjwurTrSMdXFN+vnelv/9hpu4kU+WqUBwxj08e2jInBZrVrUR8AIK2AJhPTyZ6vp
VrMLFgeoEUOOsGSyaHSHRLj3P3veNwGgFQvRO/e6nqaVFJH7sy4X+Wd8/Y8HDvArXVowx7YgyMpn
9d28w1fP+2b5T5Yl6eKOULfzewezvaxFj/RBUpjzXX72QG4iwdW03tGpRG1waPZSoAQrv0nnvthb
btW6pAeniZi4d8d66Rnwc9aOw1PqR7d9q9i1CLM9cb34QmI5J0L/5rpf3fTNejQ7mw59gRyUlC+O
/1mjncLdPP7ZTd+syiJryaRMfCQ9prFh+fzdTX8RzW9NgVwdebPbQvUwJPa0Yl36s9u9/rg/vmkA
FWvdkbhdN3ujxs6mP+rVICv63+suGud+b0rEvBqFOHByfni/N3uwt0yoBOkVgp4BAGNA6m/EpF89
3ptFOLsY7LTcEhXnNDuNDz97uDfrrpCE64uDi447Hn9n+PHFnd7qaZVv+4A2/+dOUfb5+53+k639
S9C/FdNmguEMYEwTyNldCDIQFCaN80sZMmxtsakbEbJsOzjAHtdWWMGEpmjQ/WQUXcRTBzOkQDht
2uKEUd5pEKsxtu/ZY9M91zZdKfDwQKCKCqreIZaLe5hEuLCj5JkMySDgvWiZGwHLA1I8eMWpxMQJ
XxO47JkoocAucUxlR0KXP9Vjv24slKfLFyhEQqYvsDLMCeSvTm2EOkZjwkl34bgJ69MKcO1WbHK4
m5Fp7vZiOCiTbbwhHbLzNKGgss3pStRmagq4uRqTCakroREKl1GXFadFtVsYXM6OWpnYUQIxg9zd
LGu/VWvfZ6lNjRQO3wlT/r1fOCTocuqsWqsO//5GvnjNt9qpFqxLN1MtWkVVlLXBf5ECcOSiH+3p
P6/0Ty/1L4KfdRP8eh1fOQCo1/mKnTCfHbeC88TPRAloF/zvqvepLDpmYXV25Lc0L3Nz//eH8dVN
X//5H1FKdDABHeoF0xVzMoJsZMvnK2Tx7xf/6klf//mfF2+4gl0mxTaDOcYyKuxvyu5f3fRNCOTN
zAG+x5POxxSZeNA0yTWL+vtNG9dH+i8L9p8i/B93zYuaA5aFzRGorGABdBhAQ0TaR563wcLGEN6U
gTBo1DRmJL1PzXnuoHutRJba43hnf+tz8tXTuwmcAJwbQ+kg0Oves9Y+Nj/MWW4lS4VeGD6F2mFr
do/CO1ryZ2/7ljxjSAHyl0L4tBL6MP/6+9v44iHcyvlb3detHICE7ZTQ/fzN9/PFGyY3H70tOr+X
Yz5vXeC6AbYLFuCpas2B9u+bqH9d8//yDZGbL58MmdUr8LS2VuYkDDZIOpmiGtl+Ie7r+flnz+Zm
GRSQlcJzFw+8Xvf7n/Uo4MX/v2sWnATHrq4aUBg9PPT4i15+drc3nzOQ97BFRx1+W9pD3FjnDsMV
f7/yF+Hgn9LfHwu2hyn8pGMCeTvwtZyA94CWoim/G1H44gu8Vc5D32dOhsR9MwFRzkXHFNqPbvtW
Om+6wJfSCdGxdF97bbnzagn7fPDY/n75r+77Zjtqsl4oVuDr6JejmA/dd5oe/98/7Vv5vDa3oNVl
6KVmXhZ2UKmhKRRWmKJpsgouyXrEzSLm381/f6FuJfbNWqWyXZxRoCts5enS+dHQvk6otBF9SlUt
UrsZYdHqxB0HgclDV0aeqiz62RO8WcSW0yolCsSe6oyWzTeR4Z8d+19Cg32zankJkZnfIfgwj25z
GQ+wuZYeOTJU1LO6iPqZr5gNIipyp7lpYx2m5ExbdzZUJ4yls+dh5uQFVwgVSyvvsdGPS7up4Kg/
jY+lJ9cUUykZFISZMf5S41slLpVY6cta9mMyuV7I/d+a+5215A115L/qY2LfxAuwoGZmEb5sLQO1
ns0VxNN2TaxggaZLtoUKx67Wc3XE9EIjjFAYd4V5/vv7+SLI3s4DlDnByHOJ02aT7yXoOdmyFuZT
7W8V7GT//iO+WkQ354yZeM6A7wCSkMflXCU/uujtTADnpahry5u2dYV36cbj/N2aN/Gff1+et4Jh
W0FzU7cM2S0Zg0GGZvvLUTuqP3viXUFd2FgrOh6rzg+Z+zbmwHCXG2hI4AkKfBvoteO4yunO60DX
zp6U++Q5G2U844sNdLBhPaONBACWA+zWfDiACxBI1xb+L/LE4I0uSSgtni6tTDUI/FoYM7v2Cma+
cPva+Pirds6TnW06v9sa/N31x6DoqtCxjCCb4LVif7RErE33XuPeoR2gorQBS4eDO/HSSe9SE6Rg
qwU9tp3Py2SC47kZspMyGEqPDrDIWaRrWci1VebiaOV0mP/2Ammxfev3EVUiRss5xKh8xMtzg8JE
s3ThBPeykapz3ukJ0R5Z99G5Bhra+JWfKt8FirAGs/bC6CarzW2mChjtn5ZlB2EzoNwR7FoDV9u3
7Wa0jTBXVjiMn7O2M/MibI2VXdKE2w2epgrato377ENXb2rygOCB5tMoPzs8ImeUIeAmsaYf/Gal
A67A+xasHoqBKj4FnQ5vz1lfT4tIZx2WhtqHaqbTjKjbs89e31TAV1neq7oqb4sWJdyEoJdWmk9N
t/XVR6GvRfFoArFw5VcDJhnN2mHyxlSU5FFk5woafs6bM2kw/IsF7KOVTVUCP4RIVU5E5Kdqu4gN
HWYWTYAST34J9LF16Gs41SMsBWpODArKANUj4oI9iGikwQF78Afc93tV7u3OSE3PCjtMPxhTF4E7
G9nuBVUzVIwCMXlpBug74Fahjz6daW45rwCm/3D74mAvsM/CNKeyDgscED1BQmgxA8t/q6cU+uNI
cSddrqRZ2cTYSKEGEXoE/oUdl/aFmCfh39Ppfix3Y30a52TCL4fr/yba1U4y7Hs4Sz50FXg9Dwz/
Pd77qYyXPkHnlPtxWOVRibp5owbUzlMBprWJc/YIZi90KDn6d86h4dvefB5mkObR1p3Yp2e+iOrd
Eq+el47Zy5y9GPKzxr9zjbSC9V3hNmFda/u6jMt6ny2vmbkqCXTCTUjH01QfO+BD6jXS6VDDAzVA
xqAG1JhRpvZNs+dFrPSzX+iBg0mWXjtk0FKUeRfr8xF1nIRq/ar3KNy8n0cQSySAvBayC/7alGsm
+T6rZxgVTokOU/2hh7gCQy+55q88Nq0a+whBcDhoBzLulTOAhBArADCM5s0j92xuI4DYo5nL+wnW
ZSZqEnDJ2yNPigfj2IDdqYkNB0+3qZ6Wdk2GKRnpVrag3NMevOwNZ2Ng4yPVKj+4oho1Iwv8a2O2
T0wEIhezfqUbCLuCJBuPXJVVIIWP0ggEJssE1qGIei+1wLItsKbyWu794kTso6ufGg+67AiCdPTE
DJnDO+HN5XeGOe2obZ6BwE1tWJtr1WOJuuoCpRNDbxfndI9dqqFY+VyLYB8RwyCVaegPQ4Vby3PT
/eZTdXI8sinrNsisMrWsc+Y1QV3xoNVgEoIGySQsKM0BFQZfpGlk5Kt7H7yHTtix2784HAiyGfpz
UJwHOj3UKKYAGwCwxQW+vAGxwcn2H6SABgprz6N25OdT6HoHoIihknorCIQ3oD6WXbNCjx/0eBgW
Y5jZIkBO5VHLH2wDujxRgPO7Jpg7d8cI8wYQWlURtx5955KZj0BwHExYT1LMO/qQdZhWl0BaH3fi
lY6ouzDxzPXplwFFn+trewCLp4At9dU7M2wdIOy4XJU68PLWsOY4MY0VZhD07qWFBL6eevAhsYXU
JOq8q3dTldjifu5Z4MssmYCP4UsRuYDNlPNa1MO2q5OcJoOGErGTsumyjBhLLWMmt7V4VvZR9o+O
iQH+O409oYSqdRuChAe/Y/LB89ReWX6n8AX1mY/j29UytgG9J64q62jgizHlhbboyZs0ccY051c8
SKlQqHosi4uNxQIgMFr1m8z0t2iOhcwvI6d6ncDuRbD2MXOmWTkqdDr01wbo9OfRMNMrunm0Hiz3
vAiILeuoVpg865/aDLOefoWftFZ037IWfA8bZbU8ds3pvrBeGd8YGsq1eRc1GqpxGC+DSgsOtOD3
iO43MdeWQNLXrVty19F3YxFYETuY6KzKfjXUv4xhU+KWWrqBWGrtjAMywu1IzCAr79WcaqOMYPMP
BZHRGpFvmwEgHroL7VXxPmHIDpgAArK8uPj9M/eSZjpq40aaxXoYzij2YAutZ/W+2EYw8hK0DC2t
F3xFLw57EzhL5QbQLbO7GRFiyw6GCuXaLDFVvWfMgKtCi+SLA+46B02b1DM4DGXQM0SvPBLGCRSX
lMENthdLkrnA41AaF+SEYcB1TQ8LKti1WCntw4GHIUQ74CXACBmFT3C02+vJiMChj2LAj7E57Bo/
uMabBYjrTAz3Epu8uGuqZKZH24qmapdjzNItUt1KsRlDOxZWRRcUdaQbb7q+mswtsR8WeTTsR6M+
WbVEe+yu1yDgwgCztIPMPI6elxjoQcEHo8R2qPKngUacrdBKgqnDuRgfNOx93IOT+tDB/3jhKN7i
Z2D0w2f0SCm01KW25cMbHTUsTDtQI1+bMotKCMtaPR59JGTjym3l3qtFAOBgaHvIC5b+aPKsxgd9
qBv0IZC1NFUVwV44pMMa4fngdluJ6NR2XVhQGua+SDVFQtMFe6uFrSobYxOj8bK7+BpNqnFfKpH6
TINDngz8AoQJ7ZSjeJULlGfR9i3yT33eV+a2aT9gFakZJ0APB3nJGhmQ/mVYMpDjTkWPGDztu+Jx
KWCJu/DIs2LwoUO7eBHNU2kmlYLdnEwk5ms8QMdbiu1dlokLrxbwdxHAP3m5wqBSWLACH5EbCZxh
FkSA6cn372t3tQyHnrRRX5C0ltvWbw4GsDYVhU4LxkCTVux6eIoN0NtrBfYXZ3JxMvrA5HI6teLc
9X3YZVlULHWaj937MPWrScYu/tCZz8M263eNAq9Rv0NyiFDgJVDbOPWb2bRBURSAImsR8MSJYd5D
/RMwWoVXFAX5ZRrrJrs+V+skMjMA3T4SQ7Ud8AgcnDAKLXVAV/LslOldwqr3Bftbg+xlQU4P1FvQ
4CO2kGH3Vp6oikTm/EvDBufADVjyw0zfWiTTOhwq3Hy14CmzXoQ5WY6S6DGz7esC8HO5osLfDxh0
sshvl4ukcr2YapgKy9h6mHWgjf2wx3dTdu2qNl4n1kVOPSARCI29MVhgIZoxH4rEKBzAe1ac99FU
Y5hQu3phbCq5rxx5KZ1Pxz5lzrlqTkhAByFS3qp4qbY+hbzE6MO2XMEkJnQksAeLRHzHNEqzrw0S
2eAKNQ7Z21d6SI/csDVXTTeDNdSkbY2Nra9T0WMcjBhYGm1oIjwPYAMxaWKsyk5H8lv58Pqb0XgY
3e7Jcg/W9NDNz8gZVqOuXgGDwI+3toB/hZhLQXADSax5n7tUpyQuUYpdnMM0uoEB8M4EAJyLtLzr
R0CR6lCYd0yJyCMdFsYQakiopDNBpK1wIJhSw33KGytZJNuNjARzPsHeqb/jcKvMuXGyCbYcJQPR
V1vTYjgLuDEtt0UfZahF+LUfitEL+wYmYY6NinALygyyG+6FogCjWV/3HNlihQs0eChcRKQCt32C
q3R3muWx71jSVWJfuAyc0nwFGXmowf3Cw0Vd6DPKDkbRzoImn7cClXQ3wvDbwmNetGXnM+jHbPJS
I6By2OsYSIoW83PAoJ+TuYHfNmuh1mQCmxoTRBO4ZRxGNCapY6uZztWiUobF6bUjTFhkMCKTn6r8
5BnTfhlgvmERPRzYb8dtj2ax5e2bsLIYIHVsXipyZrFyBVT6OeBTmHHytl2lAfQnYzjp4WyLObc2
hbVxkH2OWRFlw6N0/JXeswT25VvL3+DPURtPOcnTfE78KbasKc5gOzRa6dx4H+UIqxyfxRW48zmN
uuvE9E6qIWnnZHCProUbx1Qfu4InpTz0nRs76myaczqgBtTqXgAnvmQqzDveNbt+gCCSQ8Lq4eDY
AbIGxvvwMOCISJ1HmrdhD3E8MseSZrFH27hYXIyrqvXo9Z8uvMEDNSC0uVLsu+4C95bAMe9kW/xq
7Pw0I9JgCpL1abEAnqXvmga+yNOOGSOSO9iBG4jahZjYuoGxzGC1B9/bEsyJwWAH4CyGma0W6mRv
lXVnwfcK1DjhPRf+LxjzgQgGI88KRCm3wAmoGCDhRxSHJ7AljYPyUOdZOA2NfkoMvY0qbu0VPAZc
w4qwttJueWCYlqTYeIm6wEYx7jxYlWftvSLTvQ7/bllXYBVdBxtTYaS1fUWQaUE1AWirqXhUbgJW
BIQCoVRZ3OcycMp7A3Bk0FHCecZ5AgdJVS6hwhKcMhbL5RFkJsRmO2wcZ+WXBjZ0X0sZRJANQmU1
wHufTyffwu5qGEPUk+xx4VXYkPyw2H5k6mu9qk5+/+n1dmBjgFNYU7RgPHmB1nya7HDAYWH2xMGe
7xfryFS2XQYzNjusR7L1s7sFh/I8H9LMxymY9pE52CE4MynLXeAnxl3X2p82XOnh0t+3p8FKXHag
xgae0IFvvJjF45jfjT6wmcMOcQtqdl7s+xJljV5CCZ04sNZ39Pley8swy8ywauuTaKBXRKMPbd7U
mf07q8xX2eyvh4ruQVJLCDV/V8hQnTHfKfdxHnt0q5Ax+A1KMCCncSvxmyJkGI1lFYKHo6WWn290
SLHEOONAjgIDfNtgDm0GlgUHnoYGHc4SaPImTqZtM+dg4aQhXDST1b10F/BpcOx3Fyul1n50MIB7
9bJvp6B2eGz6bUC8LqwQ7UzbOAKKt1doGSs9sjEKpiHTaShmlMxIMwEamJ3Xyfv063zbiwpQzl8D
Kx7QlTmiKgLzBmMDDicNaukePJvfg42cQm6H08LJa9tjl9+V0/l6MA0bJMPFYIWl2tcMDWbX3Dtq
Dj3QtQqEnrnbUocfugzbwPIGW8TQZRZw2Fq8eK8laooKqwh1I+hx6xwt8nEJanSI2WtbY2z9WsnJ
zwN/K1GucWwAv7s66ukn6Beoa1EAaTHIC7jmbL1NEEaa6Po6/nsGZJY34gueUyK9lSNxVOmtXV5Z
IM8DaHMdpeFx3pC08WOOO3PVZ+sCOyncFekOqDiGBl49rMRT6q1y5gZODc64ViQOSm/2aOOAjzUB
LMDgYUZ7ugaetUXFCm5FZHjKHI4g+7kgcA4Y+Swzemi0cUWRtNYWzhNGBQVyCVJk/Tl1IoQ0HfCB
u2tZxMA+puzhUporrz+g6YYpGFibsY+if/NFti30ITV67DvGfOrzJnbrT21JSUMSM1vXnpVOOaDn
C091fLWlhfxzIiuC7AFnY8Na4nxeEPN0a927Hs61bVQ2dNXU44n5r8yQhxbVKKDxAjkiV6f6YcGt
DRhvFUAxFO5zs2x092mERIdqH+18Qllj9i4kqmJV/Oamt/NRFarcwyz8pEJOxRSAhMurSd6abKNQ
aecrNbBU2InALLJW7StkcqN4Ltm6RRHDljHR91kxBANksSr/xWCkXOYOaGZLwAs7WZbPCQnLgtPl
BDNuS+wqQ8U9CsQlTJUIxp1QX4NsWx0bpYFzCnVixQ4l4nRfA57Q1Ou8x0SLvwRGCTlad8fGKaoK
K2hxLl2mqMFJG9rvHR29nZtbqwYpXAPUtj+9NoPc6tmxKwpM4h9b6kVaLwG0fLOFDdesYl+idaHj
fqnu4OmP68GujhrpkRl/Nt4YDtkYjz2yv1ZE1ThGIy3A9clQrnzIlmzle6mHHpcDqk/h1tuGP3Ys
C/0FuVVLttLDSI2OSu5wPUeSfZ/PG1+EmAsIuQttutOEGmiSmWjCGTp1v7J33YQg7gNmCURe204o
NRkYflBhg6xg6m1U7CBEBXClH/EB9gbmXjCpjMyJtx9CskeXXq3pyyOd3VgniBqOH5E+i5pO4bfK
KC97YDrVTnn4UJpqR+fDZNbnsp9OHBBnjyCIlVpiG0U6gqzOcY7ymVpVCFXcfXWdKuihf7HxuZg6
0hCtwNUQN5ynAXNZhmbc9bb/SODqgurEA6Z0Q3i974HvfagYAJbC2A/2uJ+zKRWQ0uqobJvauqlh
u48C5PW3l7aGbJzF7lQG9aitsR2aM89xxkQ6Rsf9MP+azt5gbYdheDEVpCgmTqEyUwk1M5R0W4J5
YO2SS5TYuK0HBoojJDdPOveQ/fIrGROeDO5YrNTM33W/SxtziXodI3uNvWkANR1aoqWqeV0ye0sg
N5gJ0CVVbIIEiAkoDP/rNJrbF9A8I7OfD2ZmRGzctTDpmF4sINyr7J7QZ8r9jeyqLbztXvIFkdtX
KV/mkJRYIM6TNwJ3Y3z241MPPoeduzEg9DGoSXFedXFjqqPg9RS4Tn7GoQTqgGhkOKj7z/ngbVTO
3iYF6a7T7ueerI2Kw1FCB0y3dAe0pNCHwkFIIRBVJXTwAB+KOVZA57r9TjNAAuV4xvOFzjtPO04l
XtlK5A2IsfShdOPWQZrvD8AUePCqMFsnsgkHzGXRw57fEXi4Sa2kSKJIuGSHc18sn52ddrwDSkVD
9U3gnOHzIVE49+f+g87PbtneaX0f+5W5YWJG/bpPBGx9qAU11HTxka6K3t/wzsTZDF+YN/owDAJF
snhV4tKgcJH55kYfXFQ2+zYYOEHOtLSRZh/Kak09G+ZEIDlS3q5M885eDjm0+J5SUQtIQ2zVwCnS
8UwoxlhG9uZdJxsrmeS+iSaYTK6/BiwmsdCr6vH3AU2C66+vs6JZu8QLkkFleABElsFQsOu5B25J
uHAjDaSINTwl7asee63DrsXqd6DR40vLgU6VgUZAUzXI55S1cBeCFY1oPMB1MdPinDDOGFVo61Rb
1aAIw5FKTxa/iNZNJ8UDha5zNukJlag/+UdaWJEO0YvUwYSc5QUol7fOx/wBZ6FsXjO0XKdPwu/d
7H0BZ9jT3GQgXdrbKAfD62Psfrvdfe9uGn/EnitirvZTzhIhi9iSR8fTEhe/vVs+cDqOR9KB9yhT
4dsRzF4xQ+GDYky3gwRHat/zMqXzK5vXOQHWuQGGeOc7j70u4k4ZAQVrXEPVoAQVW8espmGGheNi
NP9N4NvvUOI10GMzfeThLQrGM2YpDKi+jDwtNP5cjOZjp0iN5ahSlL7OjQdU+KpyaayG9UyWNx1p
J58GGE1hAJKuM7XK+h7kYBh7Mj3JC1SppAQ+myQ6FsKMhy3z31PF3grRYIXVkeYobLW/vXkK28l7
BFkTG4VbXbzSAOAYYnoN+rOlNPcwhEloZSC33oxqi21jjQ88Hbi+5gbiQDV+OohSrehWi3FPgS5x
cP89nv5cSJQYMzeaPfttGEYo5Yo7nzqBNWKPJgxuWi0KSMvCVmz0msjVgV1e7gAKMkIf5b5pmmNm
FTu4ttyBGbNTotp5zrLKC3OdafpKZx5OdfYuL9idASHXMIg0w5lgbOykr8aVPYI8graFUe+p9VDN
T2357pfvpXqj2AIMeJtUu8F6awFIdocjJQfl3I04szF4BVNUIlEw0bQ6rpb3Ujz581MlPyeMW7H5
YI8r1PAhE9S9BBVUKyexU2FMYX9tX3ODYgTzhIaiwRmucKLmnYeqjK+vtWEzqbuK72l3sOu9ke8L
Y6/P75N59fO+4DOMxq5KpKbdwRSUITQtYKHXGQaTKzU/5xjsFO5hJMf6ugPe93l1nh0cSPsmrvsx
xMP43bbvnCSdBXmjwI47xVPmx1MRIhJ5cHDJLw7yXYIiPMvh8Umj3urCBdIUGARuXBsHMMzKWhur
PlyPl7N/qrQjl6gesb2WWefF4juCLY3aaAWuYEuO1lsqCMaGkf0vJ6LWWfMJk1LILXZSfzc0urIs
LCi1L0vAqR+n4oFPoWlsUCpgcI2q1NWnRmxNknaWHzXtvMHxv/au73srXeugFQcxHIkN6xJ0e9FM
o6heblW1YdKzXsrFTDFdtK3bV3Pyd5Y822KCFzPT4Ubjv8lWHglIg5E/vhH9cciNBCethPoFiIfA
XQ0xG34h5t8t1F/ZmgWqtoYTw52XPzUSwnb5oBWPDfpFw8XrorLzNna+8ZCar2z3t6Yu5IWVa42L
WMx2KvSD0Rwxyo+2RihSb4TclMY0g2GPsO7nxghrxGOV9fhuD1Y93hXVwRV5DIP0tDazFye/yxER
dAKDH+SIaBjg4OcVAXNTvsZxpnHsUHoXCWK0ZuH8o+MHdSAz3UMpGesSVUnt0tHfDW3e/b6Nl9Hf
6RbdOuayMzu0noWwwt6FthcGrDXycL/wYoLwXfSJg+YjSCgFqgCXCkdSm5WJGoDQGTwZ8xy6pdyK
zPEBXED4BAv0nLf68G5ylUA3FZgofdQoZJBGjwZDu0zdb4xf9QK1jA7/hpUPUrUXT14MXYt/pFO4
9Qizcyq4VBAK1iLSGPr333iPfSGq+Mcl4P3tXDAqAIL9v3JqWux/uK4nkt7fd+7PlPG3tmB6Uegt
mXHdEo1MudJ/KJi8Umf/lLEyIMzMzoMCbOYwk8Yr+kYA9tWA3z8z9388CCCXrWloNGxKlrMui9dR
G2PDMbDHoiNr2ulU9SGtzaTxP7xsutS5CDrUX6nPI4qRd/bLqapv7uWrd3KjSsKUP6nL65+xJ2hN
RdUPX/WNOmislONVLV6J3hxmtLLQAP/Zt3mjJvQWxx+LpsHEkBHJMi6+E/x8IQ29td8pLO5VmYn5
Zmw2jDSp5R1wbA+yevlG/POFQTW5deApdDpoY6EpuJiiXNeHchlS2iHHRnN8NNZuqQeTBgahZa1x
YtwWhMS2+ZTNNdLQI/PRWxkRh1EZMbL2oPPxODTfTGp8eWs3k731WC16TqE4blD1Bi4Ws+oreA/Q
rttV8jd60OseQPHhAWof29l3sFB34GKh9S5sHKqgxhkCJyFQAXdZc2+SH47v3tr94HW0KCb4sKlt
ItScQUr90SdkXD+BP1Zf7zVSCB1K1wGt2dn8kD/zZSe3zE7V8tblCy5sp9oQgOHzs/u9kSO6qjJs
zXdg2WiGuoVjaPSz694sfZfbVa8KjtudzYhCfUhQBvnZpW+WP4h4JlskJhHZsNXrpJh+Fulv/Xxy
4AQYHed5a7wvT+3vv9+s9YWe0LgR+xmFqblkdhGObaizIPMYydWNFuWTaSnQuK6PRfP/nJ3ZbuTa
tWV/xfA7fdmTG7g2UEFGrwj1UkovhFpys++7r68ReV0Fn6hUqpBPxrFSVATJ3a0155gGW8DgWiin
njVgkJr+4pBelOYTLQhFuTDjnWQ3UcbEYunmlk7EKiEpt5rf8x6s7DAeT915qYp1r/1Qg5e+uhG6
uraVuyjsEUTttNkGP8xgyrSb33+t0+D9hd70PMTS0eNI06n479PhdoJVMtQ9WQzN8GSU1Yss+YpR
MP7ZK3rO+ZkSK7PTilfJiS/neuW4D7//Dl+sTudIHiM3u1wzJbN9eFHEp7PC76/7xWx/zj20za6E
tcm96ZWCiZgURiWgsOSSAP4dIPZngtCv7v/Z7qGPVUOtLMZArEfenF/nxYVq3hX9c5sKqowBDeRt
b1w0xYWTPufNJct6kT9WioLQLVlQxaR0nXpF9Zb1z0K5DZxHqT8Rr25PFGxJ1CAJvTl1LRUwOyGl
nSJdFdWHQZ+UJGxbL1nO72XyYEkfLfPCpWUTi7UGfMmpIq91Dnq3doYrlTqi+irja0t7E/MT1Wev
jy618Wq2T1lsV1ktjkq9H+OjLJAdFBVNxueS+o5d1VdhbqCLRMET3oAzdOuZjN3idjRVv8we+mBX
oc8Wu7D7xvX9lSb8HPVoYwpr4w4m0YnNwWEQ4ROtGtia00ih30b8KDwr1EjcKPySk7BJ8V2E0R/h
5yz1bL5sRlEoA0av/VgdwmAzfCel/uolP5ss9SI0IwX9wL77dO/Kb9b0ryY19WyjNEmlcPsKuX7e
P1rEiyIFpTzmQd0yQ5y/DeW4rl6NoeZrk71Q1ZmEaToSoeOXzTZKtpz2h3ZtpRNFQ242XQ3H0g9h
Mf9QZXMpzBy1gX3t5pEPWXCtUVwepb0N500WGl6UyYuJenJiXGRks0jjO2f3V/fqbKpuzXTI50Rj
T7CDQDD8GYXGPMdo9Q3d7DrisvJIN05+R0w5DfX/dwowzxlap7CBJMt4YwKLttw7xomNXf/ZWmiK
M5+HbIaurmDP7eUMg2GZxd9sVL/60GfbI03JcFyXXDcKM0/0VDoQkwx/lp1ontOaVOI6MrUDWq69
0R39o9OGKU5vy3/s6BpFz5t0xCvi/Aju7NffrxG/ftVMcTbcEztslB6ZzolN0sR+82cnLlOcDXd7
aIpgON2B+cd8/I708esFzTzHKGWdK4QZZOzlRLWuBXp0NEiOikzCbf0/ux9nQ8+MmVCG1Bj3xXPn
5x9/dNFzWFEMjVmVLi9b/aNyllRx/uyyZwearJaOUAv2iagYaXOJb9gMX9zlc1SRboW1Mug6Rzij
2zgIgLOw9JzGWBvpdwDer/7E2ehLdNiaLkpcuPI0JT56+zomqF4k35CLfr3VNd2zTUmnxpGhaC3z
5zRcjGG/EOmwdylnTvoVZp4/2qab5wCjODUHe0wg5+oZMvONaMPVnz3XszGpV2bfTY2Gp/4hvFP+
7MV2zwekWdCwVWkRWFqwpaiPp/33n/aLmdQ9W4LtIAS9eTqtyGSTIHJif1VE+fL3F/9ienLPhqMu
iBTOcDueqrVDv52MP7sb5yyicootKuPc4qZZTSe9+OL3n/eLN+8cRQTCoNLhh01EwiEKbgHXJ2jm
rqspXgbm/M0f+WL0nKd56nbihm3MH6EsetJ10F8wUX0ZzZ8tNOeAIMMiLyRsYDrYVSMXtqn5BXLD
39+gLx6oczY0Q8vVks7lgVoBNDjID9/smr+67un//4/F0YUnnk0Tn1m3/OFNide//7g/v/MvNjfn
SZ5mO1giEcO4V/GETTABYzRpY3gRQ2dVxvc57FE84itq8GpMla+MKhaurY3mUtUXNu2stEDNdWnr
LgJgbB5VtI5Lg6Znth7mezOfTp3+feTqHmLJEx3UKKN7kZlLd7LXxUxV1lhrdu9TMPNMEBpB/npy
RyiJilTheeaQRZrDhQ2wb5zTvam2SDVvG6Td0qZ/Dk02c15o0S81TlkhpT6blkuU5us5Hbd6Wy9b
+H5u7iuzfZGG01bE/Lj7sGimtvezFq4inEl9dtXA8w/MG1dHmZDp+FHvAdihLnj9/W22nNNs8av7
fDY9YRXWNPamA+TuFq/tQzDeW+iNFASUhXtbTNyf4HmIlbUujO0k2lWb1Lupselh7Jx2oi8/bDLn
kAeQy9GnmpDLR0GrvFz07vupKpEUu9rBTKQX6xOCZDSWCTKAUN0hFVyHJoYdfjrNl1XyHusvWB9w
ONzlNA5zczPTex671WiiY5lD8Ib+UGW+ROcth7cC3xcII89smkWKWNgZR3xAG1OLVwndjRlRUkqj
3nonNdoe9kb31KdinbnD2oookqDQnl4L/TUmqWQctjG6DO2yTVeKQHdDz7bSvLrcjvonZXpvsLv7
pMkvS6XdTwlNpZ5OJSblxii8GklZgMYkMWDADg9Tg1K6v5qQzIcZdyI+OvTkMKihkYKCJsHuK91N
E1VowMxNGpneOCk3RYvm80XTpkXHYbOMilUyJw8j+d+pfCjmcVnUe8NeFSq9eniOnVb7Dj8csoeZ
KOTBGq4VHOSVyS/rskchq6i+gWC8m/QFw6C0j3CwFmO5sct2UTfXBGh4ueyWhvmWVhfWZPmxnXvG
oD3mTYVNEU06n6qXxqsNxp2oqY0UUNeHvlupM8nWeFKyqLkZq/Kk/jKs5mbqW9/FSdHpio9uYz3K
K3TTTpYvUwDljqJ5g+y3PSr80Ek9YiXnktiJaN4qGKzMIwF7foocXVgJQRmup/ERLP50hZKlD5Fi
nRqMS90MfDOot1rQrPrBhnQqdhpWTxGMeKqyZeS0m45eWyujZYpYIanHdWV/tn2wklJsctiaemS8
5SHSaQxaIQ1aN1OXttT9PL2dauOEiPFsBbRvnR5T/V06VxNWBoqkHuUQpKmC/LzMc51u20aWN518
h3OAmOhHKsprd4bJRAfFWij4ERTlIOL2UNL4rcZlZv6YiN+d5YUD/q7bcBC6ol526c7DhSZutOhj
DHFrakgSSpTtVuGN5p06DDuRrKko0RcN1hZ6C/70YgxXdOkcYXsCDTqyINEQ4XAYNBW5WI4Is1oO
6XzXuRiCKmSjqrnIeWJm/liPjypvItKokSZB0AdeFhRIpbJFEypePcEgIfZlFs7CGB7hHjcy8pIR
i0mGMnXOVoOxU5E52G2EnI2uZYnaN8UE8FIkBrbCbRUbi8gxyEkE85fhbKwv5DSuoECBHlzGyW2S
uQgHPnrDXZBQozU7JcecTp1o7Hngve0Z8IIM9cbCdY1xB3y4Dj6rsZ6bIltFdDPc+C6bbhoVgXko
PB4GGqu9jmNY5OjtBe8xxcg2eVSyGjKRgRdD36SDex1a4rZ39si3MmTPpdwNEM3LcWXX9qFjgnaa
H0qKJzDBKyobXy2BNcdsrSBu0TZBPZtGyTJtf4wW47NDpkPiSG98QGz0dBUD1mT6pfVSoW5tx4d2
zNeqdOi9Xicu2Ex3gzhIaxOvi8iOPJkf+2RXzJcaS5gmH5sOVXz8ImxzU5Y2csN6IxyV6ly/KLBy
pla/UFQGHYafSzu7LhJe49FauOj6VbGZxCFwiGtrHIjRhde3966GehONvV8k0Ycap7swus3orzOW
TgviYCGAch7NIWeKzJdzGz4GdLtaZMGZyA52+OyGSOF54Vr0cwP5MIsJ0VDJEFXdhxilR06ETpHM
V3al3mdo4qcMe/GYMy/H4jlTmBGjManX6Wj7djt6tUXt2aqLp7q3t716gSg1ghYD4wHrMARSO18Z
ct/2r1p9kOlBV5/cYVzFBavySFOyOSFzh71usuy/T221bUpjncQ3aA2XU5AfOAF4Js+NNJg6ubVK
mMzYAFuBvraleRRkG80Rh1o/9PVrRUc+HLwWeL3dwjEMy+Xkbq16XFTOfes+U1vyY9n7lf1gZZ+G
fdvHT+SG+SZWkpBNR5e/OvgYZpJ39Ma5ruOrsiEuJbyN64dMrhhR6yHgalYqD2EyXQ1kgklllwwO
WjpmYDS4sFU9Oi4Y8VA1JXGDJ9jdNbnqDRnigayJl118ExTtvs/xaaDFsZF5V2g3bXYmHKZsIZ6C
6UZNcnS4CFjC6C6cb/kYvoroSHX7V6MPLmr1WjHvB7luqQljpRrlsE2VnRNQExaHhBZSiYj9hEvJ
JuetK1hx+o8Cb56c0lXWjRetg9VNMH6rH4HQtmNEl7VB2anwsqaqil8mWFg06U6Rtooc2QoPbNRu
rO47gt4XTAvTPjvhRIQnBhhihr2Yjm2j+ZK5ualxhlef5hCvc7ZWLUIXWeeEQGFnxz9A+u8ytBVv
iPC+yc9Zz26SgMUtuK2zzM+skH2e7hcMz7ig7uhu265HdIXhXbZeHSmbuitQhQu8mrciRRmaFyu7
RVSFMPj3Wy7zJ63nV1uus69VtFGXlFFPpbdHr5jiegdeU11HerdplMqXTMY4jTeDsa7K+cLVnmr3
HQ3sQk9t3yn6RTTjvcSIVaLyGGMLR/YlCSOLGVvEMGMgVZaV2e2RFcrxOi7TZQly3k6uuhzTaqzv
m5OWsGSDSquvNXHFO6WX5neJdt0CPpjbwXcLY6kGk89Z9T3DhCqSeSVDqFQ0DaZrAtNXBUZOuR3w
icn2ykLFZExkEKn3PWhGBzNJHBzS6A0prVX2u8G+iVmn4iFfhpwl3c45xAmKNKr5ATsrDGz0GYqE
mMQB63SzgxSkLbJKYilf1VjuB7rTNaIgpoO5fp6rPcwfdkLYlZ3iUVVAX1NKPGFoO+XCqsKblolr
wgkwNitRHYR1rGu/ldd6MW/UeDvx3BvcXEGIqlgpNoYeeojT2BfsgnIdpFt9aDzbjvyZ6cxy0HNi
tnBNxNlauTTdy5xJWa26hd4WzOJIPjESGS9mdzNkNxH+M6qwxalULa9LhHIQM0QtVjJhA+quFRuf
mqFeyPQ4K88sGSgyB99g51T2N1NMnzRcqcFhZvGsq1t3dv1QXyvjYrhxmkM1zovg1GtR9+F8red3
jnZlJfWSsOOFSZNcdofO+dHgy0y3I9OazXYZncDipy4enkDCc5/lswtsIsH239wGw4OqXkfha1/v
ZfwY4K2WvAsZ759hHcvwVdR4qbhwfFfU8pR4zV6DCdfFuk9Li3yFIHSvIlw4o4NumSC0ZYcRsc7U
uzG9LuirOyQPILRdupm+Fbq2cu3ghlDuZSL2BGG4Sb0qS+T3un7RFtE25/QTIBEvUhvlFI9HTLQL
qoeiec6C20bea5nYYRICCGjcBWP3Q1HLfcqQLpy32R6ve7I/SV4g5s3PCT5rqD91xZ3ZMkOoGBmi
Yheg/jQkNwC3tFTCWwReXoNNtFdZBKbrIguIKhsXfXCcSO8sUbpVL4F20+vFosaIIRz4Bea9BaA2
k7hl1eTCLO/7dN2NP+Jk8otuB67sFBTKthUVlsnEqBmHnKFolNekDi8YZHjg8TET3cBgf9Him47t
hcrTF/f4u8gdaYeXOtgbdIX1K8olbPeXOkLidj5Y5oXsx7XrCh8CSKvuJ9aPzHyOcTqM4sF0PzQi
/WxZLMO+uHHM8D7HrC3BjMBAacHA+12AND5iBUo4f4awvdf8n1oK1GGK1pn2FrTT0h3ZBqAK92pz
Y0braahwsu81mpipzdm3eUziAkN0gm6uw9QOhqFv7l2l2asFoTFV1HJmtoPNzPa66JofEYBsW3R4
sKK1KQAZ0CWy8SD2LTrPrF2GuA4as7qzO7GFqX8ccPU7E6rW1M9s8GkaxjtNeAMRO/HpKD6wFcL9
39lXFub/KDieXDTAUwJ31Y6C3hzTeIhbGbBANkcrDE0VZ4DhtJkjVk8o4ypC7puHo+9imnCanVQv
9OJhpIBmpBNGkdlLAnbkeDk0270pZ3JCTs9TTOu83zT99rQI6Wn1Kc10EweGh+Xcc2sMEebtRAkh
o9qkYMma09DH8AGyYis7ZND2Zhx3TexeOmaGsVYeDANIboqosGqXUbiOga64TXYTaOa6xQkT1t0x
MI0d3LT1FCGdGgh7q8fNbLpbp1P3Tcr7yIzkAmIerCcF20+QM0E1NyEC/7p+7utg5WTom+/I7Cmn
4GLKnds0GTaai/IQEM43y9kX9YOzQiHOJW4Gnun9hLEQX3RUf/z+wj+VS79YJs9RxYPW24OpV+Pe
7dp7JrNjAKZntNmHGoAhyIia2P+7GaJP9wNcA3sQ28Nctp8V7TIZ3a3azA+R+xmL8CiCz99/qC9q
rueE43oWFfp5G2xYai4SNkEnifJQFt9UR39qeX71nc+6bmbi9n2V0tIrVcNvZ/V+CHe5TlTR8CmV
27DTaMxvtQGlcbsbWBO7KT6mzrH6Nn73Z57arz7BWYcAQHlh8w7yDamjzDjs9SnDD1ItUZLtgkHg
uiBlsrgcyVGQOJ0b1qpMZ5XJL9pyj9R1hKrg6uqf1frPKcoRRjCZ0BjfR8paG+5n+U19kdX11y+u
fVa4dOwc/wbr1R7z/aIiY5dqHL7EDdKIWw7PmEPyPRsgojxSL6frn8u3KgVUr/nq3NwWrChzZPoV
JjXWgqWJVXrEt5DmHH+v+/LJCM2VZXcrczZ3UdkvI+XJRCFeGO6lKH4MZe9NoVxm2UM1O96Q4IYr
t01zEUwPeVv50I0Ejlitvazj2MuAitQUmqvgynB3LrMpc5pX2hc4/6rqMVE7ymuwbQgTGjGUMbs3
BYagZPac8glUSBrgZtu1PURu1UcF0mUOm0ds8kr7GDFRjjiOxiI7VRK8QGkWJ8pA1ZXsKl6SiM1i
glAXgEba4gyN3ENrj1vFRNF/InUs3fRCqEtMrOaMXbE6RsW2mQLPokSoU4cYjWwTA+JKOBYULWZ6
bWuWyQKgGx7VYrqP28Kvu2jrCBfS1pNjsG2X26TalZTYiFqS4cs8fuZFuC8x+lQR+mlcjBBadGNt
DRcCXHVBrgEtsot5lsdaSlZj9u2sqoMWM1YyPxxxgA/YGcN1sAotDdqUw6PG+jo+xaZ+yItPo6g2
qTv5aXdy9+/K6E7W81MysPmx8Q3a2pIjp1dKVhxsek1+1ycHPTkgFAXuFMQrMb0ambac1PjGaT9E
9GbqkV8OwOMyh8JHzFkrWdS66o35RilvWqf0Z6P8HJp80yozZ7Ynx9wjJMfu2l5khrGEZ8JB3vSg
Ki16O7uaMZMP+I3qflwNRUABKb3A8PYzYTyM0icXYUGUFmTm/kgoEHcneyUgRWeOKSM5+0w7RvOh
ZfdYT+G9pTxOcb0X+YcT4aq1Mn80quWEr6AbxNGMjF0bGq/SoAKBcEOoH0pv4D0mVquxwNaWBK0/
xvi2oIt15UrA18gz8yp21G/6IF80c+yzNaVK4p5XJhjYdfRUDW/HMPIVFwlJhDtu/k7h8MVcfs7l
htaa60CEhn2b3GfEDFvNhcDW+vuF4ou2yDmeW8w5hxR2UvtC3cQhgXnj9N358dfzlnW2RDihJk0q
u8N+bA5df8sK8M2Fv+hunTNxbWEUQ+5QKe/AQ/TBDBkMiBxhx7n63fL2RbPBOj2K/2gWWU6eNsls
8WBxcpRJS4agTblsF4MskfF9pK6n3GWekZ4w3W+a9V895rN5Pp811ZlOX6uOXgzntDPE0wcC4PfP
+aubdtYydpMoyuaO5xxaKknk+1FvMaACoRvef/8HftoMfrEgW/pf71kctChpLYMV0J5OM/VW1vKY
lOarFlKkJ5pXMrO22pvTjxxv02MW/HBrjiSnJDwMd1CW/K4EHBZOm6TkRKsWr8LOti1+S5p3q7rX
lnGc7nN209984i+esn12T1R7CtWgHGk14jC0I9oKdnExpLdJ9DSUP8KxhbIWPs0guUygHyKB6eMo
IM3ahTKg6iqxdjaYkdxCpaX0kitvMRD433+200P/xc20z25mE8QadDmXWiK6QxaRifrg769snb7d
Ly5tnVV1Ks7BWmfyJrR5fJVZ07rKwqVoh61uT+sCW5qilYumSH3A9VB+oHHkxYPAIKRR1A7zjRsP
Xmw/azFKysLY0W1aBBGa1NgrnNcwZuZObqsTqISypqaxzSATVMUhPMCCChtwWipItyDZNG67NKKn
JHhJrHKJP25TTslDMY2bBLlxKq8Mmvk5MaudeA4C02vEOpegH+bx1RzNG1KjqRIY39yVr4bH2Uw+
JSIKK5D8ey0tKIKk3ggwmLA3Orn/1q//118A+c2//pv/fivKqZZh1J79578O8q0umuKz/e/Tr/3f
f/bXX/rX8aXH+F6c/5u//ApX/vdf9l/al7/8B74y2U7X3Uc93eBHT9uflwfif/qX/78//NvHz6vc
TeXHP//+VnR5e7oaEM387//+0fb9n38/TZD/9Z+X//fPji8Zv+Zxjfol/dv/+qzl20v+t5uPsntN
5dv5FT5emvaff9edf5i2ravC1DRb1/jfv/9t+Dj9RDP/YWrIaITuaoamqQZ/NS/qNuJH2j9UVdUd
GrU2TFXnJJFuiu70I/0f0GGFLgTwZN11VfLP/s8nvfqf8fA/T+fX6Qa6eYaWdXQ+gKE7JhGLNBRc
67za2zWxU7XMXBLhCaUbBACNoeDtyRsk8HRGzFp9thsMiWopumdzVgE2wpG8LF1RPGpMf5d1WMYc
VhQnX4WBJh7YCb0aVVEH/oxRj66stNeO7Wj0uQeZe7JWrQ/HiKedlWlYxE9XHCs5+uRAv9L10/yp
gaEBNMAtHqMxa+V2MvNyq3bl+BBaZXtRWUZyYw71CZc40RFwi5LfhonjzTiML4tytu+DKJoexj52
vLZr3s1J44qNpUfbhm3opmx78Dp2ZHhS43fRCUGsDNIcnAmze5C2l5HMkktpde9x3DpHB4gb0lhD
38alqm6MtME0GCiPMs/ay6JlYx9rVEWVEXRKZIX5uosUWrWTdI5dWzacIuVrnykQQ/hNZeCKamJY
d+THvlc1EWw9bKCL0OUjDwN/nNRa67NSpLORMnE27hy/ogbX/NkxksvanWfckqevAabE3pQR9+nn
p3SnIblU9co5DlP5Pkh+K5lBBZbEHkjSOyjAW/YmV4Xmh0prfZqxWjyKzqyh7OhDe9lpmbqxmgi+
swiira6hRG8h0PijY33yVKFCajVfguIvq0ZTaWCGJjO5N1Ruc5xFKjV77O8y42uHpw/e6nzeKagD
mFdQowfTziHK8cYdZ1vnmyh8fMs50S+7Rk28yU4TvLRRqm76KB0RwPILoLAcirVBpL9nII03Q2IE
wDktJbbQ9PLwqqlVF5h0EgR7zXscuRwmx4wWJNUX6zN20tcq57A+G8N7VsevNcJST4dQtz3d1txo
nQ3ipeQyn7jBRpW9zqEKukzhjzrIzT9dd6o/LTOUsLp4IFRAHE5WzTuafPtoWsl0nJTafNYLnbvo
9sektYarfFIH0MT0f/inD2oAXDk91Vj7qtC3jksRdMFOIb2tq9ZZxtHgXCoSKBkUB7l2egBqC7fT
3Ae0GrWfBLV6abWTC9rTcJFeqyq9FkFHQhhDsdIcm3onw/ZYocFdquUY7G107ockF5SC9a5+ksk4
QNIZ5VYYCRZTy+h9WvYjkp7GCd/nrLY2uZOPAfyPItg42ITfDbVA0tVOBYidumsLsEO15RvF3Bxa
LGSeW7jtR3yy2zu9gA0WjgJNSI35ynHd5pJY6le3AE4wiZEFOJsNa+2YiX1dqYPxWHbucBObTrGs
Q50OX0rwNh5lBsI82/XeTS1tE6rTAMHCiY+89d0jTSJtmY8mlu2kq3okWmp4bGyt3DnzoK60TA4L
G/Cfwf7ZrpaFPuhHZaqCG1E4Ea9WK646ahp+RdSfZ6uVfkgmMR/DcuTEGuiGbyY9NUypqt7EtBFR
y+sLWI0CHLaqslcgxMddS2OOl84Q28fW7oxLNccooRZBhCKX9txsOSF5yVlK+d0d7cPQJcZrxp9d
YWWwtl1WvHWO3dxoTJXDYupHC8gTjkCRi6MtDcXPw0CFANbcaTnPdjkkORAKNTCWRlBWfMK8Xhk9
Q8JQBQDCkydJ0aMApmE27HrFfCgqUQCF1LRjTMr4faIG9Q5zofnaNIR5LdChstkjW/rU52mTXdbo
drkUoWtstVK7b1RbPorUsR670t4ZswXLoB2iO4ct09JWWvQOBo2yWcumjZwHTkBDHrVA4pvgwdIV
0CFJO22CFlENnf1uU2euAWE3s0CnGAmUoxiqSUtq9sGunYBG6iw8dqx95dVqZy4se9Bwv8Qn1ng3
S+mVrkzfaXd+1G3BeUgZN0akQUawZ3nbNehKOqWcqI0z9kEQKXGwUkfO6npU248NZeet1uaUCesx
2dQjnBTa/fWR+99RzWuA/aVZfBlNMl+5lVvdh6dwdXvUrF1UqOFVGBLuGgWt69eWOT6NhiP30RxY
jOpOLJuETr01omsZEz1dRno1LLq6BwdU6DUKJIfySafznWrOzlJHGanOyo8EnpmxGOuC2gM4tGQ3
u3N2mAHI+Xqt60TL0riv5YlSkef0xqjFimWVjWJpddEmNEuGd9D2b73ZHeoYDVwBvgFgh7VPoan5
okn7LccAsSmDdGwZolaxTzNcbjXdjkNCcG6B7CEcaSL3Biq8UdR74EEZrJsaHaGuWdUN7LNow6aE
Xos6Tt4kgmFbqz3RmL0KjxtO3Ru59Kj7hvKu6XO5rQkIuOdUPz+oBjS8iRTV05Awjk4U6kzC+BB3
rZbjRLZDu0VENyjWtZTNtLFmxdqOmswpv9EkNCAsLHU9SH2bAGGfjFeHFoyWHoMcB7UbNdU644Ms
FeEyt6oFA8JlQa57Z9fMlbGz+0Bc6hb8mbFCucR5BlqDZYO3jUzStsLwJu266RhagyDUaU7eu0Er
FkVggYcq8rsAJhbiMp2TkKFnHyiC8oOdoUprJqB+AbSpVd0RgZmlgGXCCTELFVtnldG2+DBqNGfk
a05xQ7ukaTYiyPS9m9vKtZrZMb4upXR25MfBOGn66lIQ1PTOIRxdDFmRD7o9PilTY+7VqbeSRYA/
DrGozK7ThiPcFJ5g1EUFqjeYoTVZsrgxVN0MvVqz8oVOt/6yLaprHFpQ2cvooNq0taVT5PyCwtte
t/rG4vorS8muOmXMfdnn/S0gzcxPYmVYB1EG3c16SLBLXilq0Pt129OqrcIeLq2zMFlwzdnIDozV
yQsrXuLGNXeDQ/8lK8vsEur1VWOwAMhMv4tiXETZ/MoOll72KKNVIaxnAVZln7bQZstaVRi00lpo
6SS80klvDelo8NEEWY7WqO6yCSUY+xsFmU3bPAQDWhVmmnypDYa2gthBn7JM+te5H4vnJB4KCn6u
rC9nS6NEmgXmJTFthueYo7iRpRDrhvMYDdlo/qxFvasHtb/VrCa4RDYEFz13+6VZwZYmJn3ys4p1
zh4Aq8UVJF9LVjXJZkq97JXUWEaDMcG8RvBaghh+M6SL0C5yJup4BtKgtG2QKLtQ3WM0ekitNGVr
6h3cqLxQ9IFRA/3UJRgWFWSu3rtjZr8hy05XORtfzzqxLRphl/Cfu2bdoblZSdcZAYKNYIl61yER
hYJxn4y7SFgnPg1DemdY7SGaiSrou9ReNrYK2jzOwbUWIF1NQZm9tmFXkLtyVBTmCVc29r3RQvut
daiwml4tW8dUtnbWlnQmRyyt0ZRRYUbRR4xdjezSCk449OuxKuKVIahnsjiMnhY6CYZxpriwsOYN
ipRpNZv4PfqJGqqb1wy0qJf7HmbuojI5E7ta665pr8q1Ylbq+xQl9jpu4B2qjTEt+U6BH0os65ae
zlcjm4I8qaq30M4yT5X1cyOgeJjmFF/P7FfWhhjNi2Iy2Q337rG0oktlZu+mjRGAYJQ9t5OKttSm
O5vrIdDbbgKNGXO6g3Otw2bD+Psmxtl8Slnd3oIIzGNe9rxd1F+1bZ4ProYuYCqZxxNIJ20SgAzX
LMvVEQ906GNcAvgcZMpXjNhyq82mdXDL2hgWldbKH6oDfMdSo+KIPKkNgGxC6uxb5WTUnUnP04to
I2amlK7RkLrgiz9kKRGTrpuhbaxLafulbIBIdb1W3Vi4pK8zoShPmhHVqqdaNpono+mLJauKAwpM
z6erPqyUm44hikYbLscrAo9gw56webACNUHTRONoq8jGvOdMbF1KYcMhja1qbdlODPgvTinNQG35
39Sd2Y7jSJZtf6U/4LLAwYzDY2uWXPIpwqd4IdzDPUgajTNpHL6+lzITjcqsRha63+5DIVGZQEgh
UeSxffZeO7zH/mETh7GvzF92Iw8mRTVZeX7MPr0rzXAEjFx/eH4RfPKguBpTjHE3vZ+k975xFzxs
XHmpEw573QDKHCc1bmWajjCxTOVckkgXxzKO1H3mlVicXEMqa52Fnrqkubw4VssCO+iWU1o0acpx
J/BWAaHbzcRR6ZG0C1saBit/IN2NReo9V8D4i64zN+FUZkB7+nY9+Wy+E5MBGU3k69RBCh0t56nw
PVy4gaEIgG6ApAC+lVQzN2me0+eB8mqgB5xOqBPptkAT3wHoLtumNcCb29TQ/Wnrs0n693woHL7p
wYJMyDSeWAzrMRftJxuEfJ0U5jFY6n2YszfnvT7PM9UPLsGOZPDhsQ4Fa9S0scCF4n2ajLxMqssu
wl3Gj5yGgVudzuKXE9XOwwiH/By5KtsMZcBQNsP3njy7QGKyH4Jy/kHxCPjJzCSXid/rZiFOu53H
2D8FjmST2fTWNveEu8mG5jwVHTZbDqWbFhv4vrbShT77IT+wiHCeYwmtwg9mf60smkCkS7VGPn9y
78TpVKYhpnOxq1o8mXZU7LQVPcdt8R3I7De0/GLX+yTqVDZ/L6sSOlOHlGjGp6mgqKjLlHirR6LT
VaEC5LC4fLKmJsYI5T2j5b7FxVLeDxIs9ew7Mcv+cQHRC9KqgVZRy2qbF84HtBk8dUPEziQsGbda
f8C/p/ROeUv7ZFtVcVb83Y4V8+6uWYhbOf4xwPm1EvmYv+qMnRQlQ3coCCDms/ZjzuyP8jpLZZb3
vZ14SqLmsfYv0xOQQxpAZP7DwjoPq1Zi3bF+TYRjp6W6q+zprRpJlvvTiPBYLVCHuvkcx7518vsw
3i2+t9Gew8opTvnrlzEmc8d6oQaDGwzI55FcyCo3tPRUdqO2UZe7F0+xs2wWca2AYprs7VqerDxE
sBC4k8NE3TKWwu23RblSaoq3dmrP29qnyXNxr765fjh70lQ/pyq4NlIPtgF87yybiIcc6Mpp+m4l
QXgTgjr6EUXYw0woobbp5NTYLqf9yPtp8+Q6jSy2XGnvQl1d4ADIu6gpzV4xC6+RgX7NPU7scYZf
28PgpqBqcXcxlF6+mvIGK/CPSphvSwsP1o/cCx7wG5OZX6McfnoJpOcmP7kB7lqHmSLrZUTqANAp
ScQLSs5tGsXQnZyN5eHQo/OCcuCi2E5diJbZs6jVFmxE9dRlILJEjV++phiIiEn1y0fUHlr3U1rL
MYmwwOToumv6H2+HoR436VATaulSQ7eJ89LY0UvGfLvu3eYALhzqNY+5cMAgW4V0EcSY1XXO+D5a
2FF5SOZcECtGy7c8nOpViw12n0zj62izwbbA/BmOhYkPgA/vFUfrodrHIrirLKxSbpjKladoEtG9
ZuPrjkDLw6znSA/ftAGcxcfIgq+y93ExPdeJLB68SFC8FNHFans1AoB+sp1kX2jQz0UmNjy2n60+
OsMQmk6uPXyhz5UQBec3XQqgpCkELdeKXwqPEp1a2W9V13K7GrtXx2oeKul8FaJ4aaLoY5yTX0oA
yWdpmngDp/HoF60ix7Bm7na165Ko6NGQRfq4DP17WjXjzcjWF+q1x2pad0e8L+1rbWFuDRwnv+tt
z2NWtONzUAB4kJYXbHSS5gyaRPtz7QPKa5vowBMP80pXzHtBvUSENx2Hn1nra/agLk6UsMCtB60J
amrlWv6hSSBvLDiXeDvQ3RooDHHzxof5rS/TQ1VUt2WYTttU4xf2NI/V4Zglrb8uUgtFIG/1QS9p
A16r8u/KwVprzmkrNTrfIhfiq0Ojmk0v62qBpLurSC8lQf2YM5snPpGX0efYpIP7Xsd7Sg1OIZ7q
NoM9zKliFY0FeU6/PU1p9qzxjVkzeCdMxO++YrVOKzVT37hHbIqfAmzBUKzlLh6xRBkg+Qfm+Adr
sS78Hvb8KY/+ouC0A0lbFnkrYnXspxaXb6hfVNI9mpoHZVzdSMrk1hFI2kotT/WCB3BOM2uT5KgZ
nUgfCp5bqyyfn90JALWO78SQYtr07L3OU9jGeXRMkzxeh9lw8P06+e6VUb+m5vrNj7sbzsPAH9kw
r/3KSQ81t7I9zD2A/V3A1ZumSMJVfYV5Lzp4b1s2cHmusAIHFvRPK3dBoNfmCZHQ2XfacjBra+z2
oS32OWEXvY1L1T0vVtnCHk4rBAzKLTj8hIqYQMBdMbUw31WhGx4HOml2JhsCBIcGlCcq8rTykIa2
lAmA+8776Eu7JjzGAc3EBGSmj76CeNlnRXUSUWfgMQbl55wL/bJESXvsnCU79QHKMBrB5ANjmoqS
7p40/QlQlz4+2yYjBHb93vXD7qnt1LBStCDhPgXoNCLTnXSQz6ekEpsh6n57S5jZoGqug4rjjwPD
/tQxqIJ77b8W2mJu+NnKnQlKPuAZVEMc+tM9llzSjAOtF52VXkWj3ucox+pwF9oL8DC4Q3f5UseX
2RVi6+oovU8bTsrUb0Wv+TD4eCF9iKcmbZ4Dk5bfu1Tn78mcEwMKq36HM2EhUNJDQG1H68FkFu8+
tYZs7zqDk+HJVt2batP4mhYIr06JsGKUdvUuEhzD7KGHK9gG5sxpHcGha/Gn8IMrowbVoTZg3zPW
LRuZyfhb4F4rFEbiW0FBZUcnG72jHQSbtCrEQzgvX3OCPZm/UnxUVWd2BF2ZNOh8gOqJ2+hYZmN/
4onS3cBOb/ZVMLgYBVvPefXVaGiFysptysN3NwskgtFykUm8JH9Mo3n+lpL2PQZBoz+HoQ8eU9m9
elLSLRUM1qXgMLgpM8b4mMH4VJfug9/GKSYP2q98UJ10hqFotLyh9zgL52+17Oxd3ReERIp52jPG
DG8LusGNX+GHLN2iPYgGQ/zQhwyugdNBE7X0U9N0nIcd7th16afntNIAHXn+nTsfICysB+9ENOGo
IoVyM1CNF5b1cMxb7D8yEtZdaqsfo2iZVv3s2+JxbCnqhmycnZxrm9YEwhPfM9G7jyZSLlpzSYZ8
6AtWepoDw862ZY93fKSRSEDX1gXIxpo427n1K/i+Y68PAfG6DdBbrMZFWpojf2z1c8nNcBNXFXD6
arDwEl+/2LZU7QkzpGGvwufAlQmW0XcuY1cvuATGb0nh9QQm7IanOXQaNRfyWAYFvdCRwgnbzXpD
kRB41BDnTlYM5UZMJjllSjvvk8MZsSeFsk2udxWXyp3LNPGqHCrHtRMCvin5MHZxOfT7LHLbU+jx
uEkmCcVzNt+Hep4fe48qhSqxp2M1l4ZpmT68QMcP/SzDnZyvPQRzvpyaDqeToj9jq7KRU2hF0Uh4
FVcVahuIaeDFi0qzR67c/rPUDilWnwo1jROGpzpxssxtHdpvKNIZavOtr/x8u7C8Wet0LF9yqvO2
PhU2p+Ga6EeyxjIatBjng1RvjOfSJGFK1iZk226dBoWpjVXzYOWWf4knMsG8n0vVwVubct+7qNIr
zm6Y/xDtmO76WejjEJtmX9sBAgpnrkKSlarZG574/br3xhmHO5OXwdollbBK5ZgfeifVtBQMb4MP
aH7M/fAcl6I8ZPmQ7wmFYTu34001a0CrmbuA5iXEe9ub3HwmqhPX/u3FOcF5KfepsNtTZbfNhVWU
2jGg7tC4tngl+50rBod5u1w2ri7BzRR9uLMSC84evkxwQrG9p824vEG0tLdOKrKdkvkXlD/42yqd
jt4EVpwgoPNxDTBtW0k1BIhKrFfSadetjz5b22m4C5dmOpm6pFdyxJjfc2/YTTVI+9ZquK+nQ3hB
gwmejAccNolJmYxp121rdkEEgLvHtoYD3lDW8j0fFWjqniKG0m/4BaqQRO3sRdDCi0EfldTvLBv1
vtH2eIF1iDPZ1tZWgSQ6dLktvwOWhv6vdbyrfHlOC8Fov8hhWSf5tUEwIdQR+wW/9ABbdq+MT4kU
XcZrnk/+A3WJeIVJeCZM0P2cfTM5hbdVIceVDqJsjyHQ6VZLVZcPQU4E3fM8/wnOQH7ndNFysJao
/2n3Q0230jJ+WQObTMcylE5OmqVYzMbwMtdLs+8mzTEMTeV+oaAJOyVtlnmT8RtwSu9I+an3CpUM
ebXTxXMoTYHuKvSzz8lno230Z95mdD9nbLkmz+hTEbAtXCJjnkxjPrOsoNigY5ZB1/fH59pY022d
0RqCO/MzSn/b4vKHDD7pJHcIbKyXvhGvCz/xe3sOYm53TvsqdBbde5Yo3HVsyyEmN6sKRnMvt1+a
MXHZB/vmrQBnQRlU9VtuTowJF4QiYOAOvLcEi/HEUITemvHOw6KcNh1VCidTltOzanuCLwyEP6ZU
WS+16fsDBb39afBhzNp0zj04fSDZWglB30Yd/hpLSuJXFrv4tyJ0ugtlpnQQ1o59Ir9P2UDdXgnH
kc39LUDmaNlCXtqkr16MzafHcu4XdYPm2M5zzHGTBaeY+ASSPl1YgVlsdZZxcj4JK/msZiZi0zJR
H01Il1vjgbcv5xn5yxL2vnFnNsqe3W0i3wYl3I4xoZaU/HKRtcOvqzuDcubZ+JtmihivArfUK11a
5UYvKBopl44bXjOdwQAbH2+MeWtn/sV6NnxEUzqrjV3QcdOoMjnkad/cpzJy7wygmaMToKcO3JOP
nt2K18Zt8y2/PD5ZXJMk9a5/38iw514gjr2WMUvR1aCv763SnbWZwokN8YggfCEAxjEZ5jZZUtPq
D9Nj7GcnRGQ3SIt1rc2nrLhYokLz9nOKfI6s2etTNVo2IP8hOSRB4d1xU43uS8l7sYm6mLXbttXH
LHGif5I0aGrrgZfpYSC03MuTjJSk43H1YXhdhpXnLUFP9535LPm73scd9y4QZvz3jBhste31vNyL
MWQn533A0scgUAHcGfZzblNKOmL4O6D1eavCa2pySVPobKvrrtz29IdrY+rA7OtN42eMtLuOSl3O
aDmRU76xZm/lY2bXyXRpdUm4J4vFr7kwA+Vec58257zvs5FOx5QXjZ15bG+jqVZfS9mT7JCqq/Wd
lvRXjmEVODdqzmAbL5wk00dXB+5dHdteFxJOhZeKUaEy267UEv5uBeeA3m4TiIXmjGF6jlFRCOGN
ilJBK0weVRa6WI3YnvrVhsYMnkiUJHy6Dh1tj4pfEGCFgRq820GlxMHcrmtf7SLh9IvyrUm9c+GR
KluslyJZxuCl9IUqaDHz8pFZ1+RgpV2mjbmofS7EqPfx4AYqeh1l7rYX1jRPg8t/WUYrrt+LpCsX
wOCOpBC4CodTmMEtx7Qb285zNlWE1+e8tJujGzkJTAGt2rXka3laKm67K2dY5DaoB/Vqy06+G2n6
W6xslncosoQQ/CLzho6sOCGzkZkKcHjWlA9hkthrdk0YXZEFuZEeAq6omwSbzsbhfEraKrym8a6a
3i7S/aFrrJvF9knkahsMYjpwLmIFqdQqTapsP0MBv0fc5h4h544MYUoMej0zZ4C+FvWkX8YunvK9
GHMb9FaXQvUeWX/oYY/0UbIQrfrmTD6nRaxUABczkt9u17K5c4TepEZhJyTpQhtpVRCTZTQbzCXl
bfTMv6KMz2glYU9Vhe9/xUbTOpqNFQc5jfYLVT2I9IeWpSDc47rNZyoD37tz8yop176b1r/kkjh3
VmOLeBXwYo/R7HNG9oJlYRNWquaR4u/JvrlWg+c3bE9rH6Wnzu5qIYBkDKMVmVPJu+a4RZSNzhIK
iVcqxvQmoip9EMYNNqngcl95VZAQYkg8AC6dy42ZHEdLrMcES4C9Jxn1eCyaqLDYluTLwJ9VW1G0
A9En+19TFal1SanINpAEMfj9QR8gLGnFTnH0lrnfRZbt36GIXIGGfXl2aK7cAQtIKD6jbD6t++9M
yWRYvF59cTwh5EsRx7CNgnnLaEfykEf7MzPaZUE3aL0c2Tjz56NwyEJb8kqRXHxScs0E9VEQcGLG
fbUqKqSCeH4gIGqT+UJCZwShmG7wfrKPZPyt+peGJ/FZsBCnjVnslG/9GKpFslsn+omA8dkO3Cxq
bp19JAp8iR3GBViHPur1zYQIsgG5EJ9r3/tWUOu8zogiiSSmL1tyQpJliS5RAfwgvpUuqB6klqaK
rh9GY6JQtJMgpbU5h+ykSwkVNLulHqK3OcBQrh07IkHF6Zrvz/uORThZF374fUlEg1cFRR2IEsoo
tzH2U9tgMlQRJmX4EnoevU+Nw4lQTbazVsSla6gl267N54ULlTsiNliekdVS3mZ4Z19qViDISXUH
YLUpm+/SyOKSYosvGobDYK6fIxRakHSRHK2AYDmfL+jVWRa3YRyElFq5EtyH3cQOdSatC/mji5L1
klcglSvYlogG5rRUrCIZf8hf93AuEmCo0tE3wTA+SJLItZL3YqkPKMYAMGzCykLhxbSte8Sxa0kp
80VRtA9x7HEfyAOb9th+qtbZMI9r3UaPpWabSzEK2HfaE1iYnu0QXIaVOneDjZ4blfSU52JJ1uXi
IreJ/GNRXbArp6n8ZpucGot6AmwSz+6edR9Wf4sA7WTn+5IGxpUA2WhWfs/o2HSJz4JgYSLnCERt
6py6fIeJum8iJM+0BTRt1+qh0P5N0jjpOnHnY+LoLYQLWLWZehGi2Iz0QVOUE6NoUTiiT5EKUfic
oXpmVzq+u1mFiNYTS3bD7MWq0/ym9PIfXuimFCy7b1NV0vvdSWsbAUJezaPd7f022XoRRvJmoQYl
lAROKp5OdvzYOuO0tZt8PHTCLPtaecMX4c1PJ4eF35U0eRM9pEjLq59zFsjHsZPhLa5ERLgl1Wdd
gnhh4VhvvC4hNO9NO2GztXAlG8bIcZdP7kwZQjDuCp+2snMhW3unkV9aRB4alenEpK3vNeZBNUxp
dRaWRulI3jlHvdIwq9aAULlRivFJSjql0l4nLFMMvmc7CO9ExsK5F/N7OHFo9kqfA4ASX55buMTX
aYAKHXqwwxBIDF+rv407jCVmmpzVEqr3oLDVdR3LzsuFUQVUip4j5jtqnwWVK+ZTWy1DxTSFiIyq
3wTzckndMjzWc/BkiWDigY+NEA8OqwjbC9+q3A32wmOLMcsD6odFOJPQqenSfdZaHB9+5aV7bsvo
ZzhgVaGzYME8Q8SzSMr2uxpYKjkOLdj0EjltshvsHtXbOs2Ff09r3HLTuaEmle25t3MaPxSu+VDq
W+Wru9xiOGrob0Fmu7FtdSs8wqWzsu7dpLYOBR0yq8ErPoKW3vA6uYDZjF9rU73kfbGdsyvSYWTd
3thUw7Zx/NOoYZcZPX9vpcs+cn5swxBZKwSP3La3qbtU1ERrUuX5Dw7Cm7CmyLZXQMoCZBuB7Xps
kd/C/FqSOp5m7UmGLS/ae0Iyofs0QU+kfnGnzCenSCrkTJofiXy+TqJ+Va3TQyrNqZGzlShWtpjO
U2vzHk2080dcMl3g0m/fu/IiOZQUwzTeuX5250v9FCbhMVWCatW6OC4IUmuc5py1zEek6CyKChL+
FaQhYPsI1EH7BGPg1LdU0uT1u8fwlzfEuvqu/NlJB5yOJkCZTMBF7DK9i3t3DXnnOQmavUe3yWz1
D+ANIaWUd0E2HhbyxqglBKf7W1XV/g2dH7lYYTFh8jHlwIGOMm86eAXNldAgWP9jlt0ELRJGWVVP
Ke59UMvxQ6vHYlvN1m7pBIXAOX2c7m1eNTcccQiIhVAYlOWTri+56nWK/h8ShK0U3eFTztSAnE3f
fCV/eDnOIZNSchTjaaDsi9JApWgCbgrXv+7r3F1rTSNyXjA+RkPiHc3ooI07PXZHh1rVTWMCCYDY
FWd/6J3bTvDccrkCKJeT8TBScttLmYKbaue+2AV4SBcWOo1TVUAH+aFFqcALY88RvLCsPDppfNdi
srkbNVk5iUEkynljemSvVfOIWYx81DJ/Dhn31yleXYokYlgHZJsXjnM+d0+xNFRDijWWKt5j62pr
7aQKUyMwgylMhyP7S3MnWk+sSbFY9wMIA68rRzZ7OZilQTbnsgjDs1bXut98fMhEvF9YhXOWyNuN
nQ9ij4QTnoauzPdjN930XnubOfKZR9uNXcoAGguzUqZtgYnV8elL67kIRlE89N7o3TemkGs+frOm
ygAMm7NthuzA4YTVJMpQDjwhbdoRxtQH4jS7BgU2w65Agi2htclke+yDkeblFhUoudiLd6x6/cyT
CL/atPGK6qnWNOpO9I0g9DNnr+Y4Dj9F2EjqofzeHbZYZeTXKDwK76JSndlORpeEdegpzRrgW4aZ
cBMbKT59jzkua4pfecTjEucJ6A9CDvMm6OhMZDpej3Meb/DlwguCznM7sjI7F2FVrP9fN/uJdD11
H4rKODUZi7znH8vv/+gGq+H//Wbb/yNA8Cc3/H9nEv5v0YW7+qv81rdfX/3lvf7/IcDwd/mF/1y+
2o/3TL3/OfNAfOG3wIK0/0GswBZ+KIQIfw8M/B5YEOIfnA0kgQRP2GSJPbI2fwQWhPOPMBIQcOzI
9wFghbBZ/wgseOE/vAixKsDij2gVwQ39XwQW/pwgCjzp2nSmeA6ZCZ749l8bPZbUTtU8pPY2WKrs
YGFwe7MGUfybVL3z5wjkby8jAt6rLxh1Qu+vGMQygjK3BNLZ5nEZHOdAwPUoe+wz7jy+zEDARnes
D6Z1Cza42G58ldSHiTayd3/S/cUHnq6IbGb+AUNfsFp0b1bY4Jt/wyD9cwvAb29TOjbvw0OHcN2/
hhIzwcHXZQzYSk90HKHTK7mIDdfN0E9f5FNjtFGKJ3tyH/8mWeT8OW/1x0u7fOU8ZoWUvxHK/ylT
WCri8HPIoWBJc/046q5/6YvR3mYeAPJlCKhjqvqYElC84ZqQFEViafciBtVdCoprHW3m/xUK8/d3
5LqCS403RZwk+ktiD6+Rw1mVOHDrDiSrLTvf6aAoCO78d9jnj5vGf5RDcV+xvKLC6H+4AsnK+E50
vf6u1/yfX6bpnL4QXQ8aMC3ao+qRKKWkuvr/8Cr8XgIUJ9txr9mgf45sVj7PL+7B05Y+XZzKaW2x
E4w//v5F/oer3JceSSOfS8j/F9ATx3X6zfLsCjuMvYugCnmDSlg9up2fbLwlRkMg6L39+xe9fj6/
B5Ou0Sq+Ju4goU3myGey52d8/Xz/6cJxvS4uAQO6oPLGH3VeZfcLpw1Ag2VCiKJEhZjzYtcVdKxF
ppLPf//q//LtXV+dO0gU8qlGqLt/fvVlsdKJxkh36xt9L8kG3PvsVR7//kU8719+mEJc01vCiwLy
F5F9/fX8018yqTkJVSlIsaayrjDMdLwoP1GnfPGu/cic4t7owMnpAirbSzt6CWXvQFD9ctGE4buv
yJ36H7U90whFzoFttzDe+CMZHHnQMYtIJg19GsIM5maWG3dFy+U2iBc0hDzEHVk6CzuseBn8t7i5
+o3gp1KvhvOLgmbq2Klp9Klhzl1hfBYX9vA0tHMGts2DU9VK/UAwnVhkCtYnz6tlr65VzLHQ6lfQ
COu7YorfYYDkVMDXPK9zbspbhWR/EjogQ9UqeIKsVnaybmHJNZrdb1d/DVJdPD3F7MpC3J4jrOMt
+3tYMhMrMJhzKrixRx2dvMbX9D0Yb/lchB5O6IT1KY1HPD/8/oltWmj+a8I5iDB8UgXL6Nph34XD
sOzLFxPg/auyhg1QTQr/rIqM8c/vObYEoOQsqgGXVU3p6y4hF7EJUV0R+mbzwvwyM3MXQE0WLW7t
JOxA4XTmipecrZWgDw7neSE8mHf0l2zbcageZ45Or52nwy0iWL1yVQDcBxrtIfQZKbGrUf8y12iY
nfIOASnVI17bHGOLtJqTx1e49rPpNa1as/W9VuxlPSWHmps4xCnbObYW/EGlftNMQ3McxFATpvOC
R7x/P1K+nPswgL670ARY4WK9V2qIVsnIvhacDfWRIrcxTLCuMfG3ebAek6Gfj41t7/I2mFfNUO2W
rCvPg3TexTX2EtvEAfy4Fgf2Gaxnknw491fqSCobs821PPQz9mOlrHhrQcf7EQz9AVeos64pBG2B
0xXlcE49BuZhzF40nkiWZzdD5n5gl+zZuMj7LO8elY+pckmy+hhVSXTvt2FxrCzhHstK36RVfuuU
CnU38CgOtN0foTpQnvqz9/S5s4bnMsHEm8z9KbbLV/YB4M0SPjFNLGzrFNJs3AQ1dUxjanN9Fzhk
7mBoT1o5bOlGWrZm6qYtDqqVxKtT9VhaK+F+q6SIDlar7EOEC2yDjHMlb1jYuHscDJjDBM6qDWLG
HVLPLREYFkG2YLMcgNatc+I2V7QidfYxZ7DOiY5diHY7lO6CwWNyQXea+D5u84+JCDi7WHRcN8WN
VubJdFrEYJET4FBtymCbFcV8MTU9YSpBWZR1BwWp8m7mZjyAm33rEK8OnIFeS0OmmIXDnaKNBgJk
+BRVlbl3tR29maFZjsrWd01J/KkkHQ07psGeYrXL1m3ZwTSUFHsBb1vW934y7cs8+4wH3MedBb0t
jXGJGksiAS3JU8WxDXu+hmPGhxY5P0xWm1Xgzu86h+tsleHHEuJl6hxOP0wrEQ7CzO2/9dNor0S1
tFsTjvy0kKV+JgS1tRcgXNX2OofM4lRL/QLO8NMKQ1IA2EQ3WlsHMQbLbTdZP63Ui8HlRXBRPOXN
dzND36rGgUi9HnogRm8axPsYK67ffWC755fnp3uCdD8sL72rqvYlzNLm4gegn6yi4wd6vQnO8gj+
H45tPqn9nIEYbYJonzsx/eO+tRXTTEmqPjrNAvnOckFDsxvi56Tvp+sRy1VoEaYgDJdG3MC7YN+1
AIIahZQyn4YAADGL+EWAeqQbysJZJtg51nzFVX1NtCUQTrv5bYhIiQ4Qe5sRy4bdyngrOLl/+IVN
RaAPBDKz06eyU68zC5t/M8jJv0CPeCCjoTDnM2wwASD4/uVZpTttsyAOCIJZ1kL55DCC5nZldv1R
yBiJNfYmDX8ylW1zmww5TC3O5/5wjHzTZts6L5plYyq3ASHW9+kjO2Kui3jynGSji6r6GElMvdO5
F8id09nldmQb+J3zZvcLmbkSa8eyaKbtdEMahA4g7MxZlH5Y2WIn6y4nBLEGXh8X1z7j+or2Ld49
4VjDdip9+bOcGb+zWmNVHHFhTmRkw+JXoK38fRAYY1mphz0vrBYSdKhZFa0ISQCuz2RT8cHl5971
lt3e25JUIy70NJG7ObWy+6pCpWdbAUvPxPaA5ly4XXHKOjMCIGafgAcqnIjQWFjGb1n+h4923S9q
H3augc03JtN7StR35QWDv7yP2DQJfQYyW6BAeywe7Kat4QKFnLU2OGpAes7B2Pbka/KxW3VFGQT0
z8bVT2A28J4jY10Rzwh+I4GcvrgLhYKwo7EQPEmYvdhO3T7n+Bx7PF2k6fgwSSGyB9BudLbyFE6t
77IzX7G5cYp1x+adQEo/wgJhsW0ewUUEUL51SwfV6AbQgjiDFRwo7DQmKJS3eHVdZaqV5bfkOcj2
Tv3Js4Mx2hJ58HFlImyqHWhBDzwC9L2XKSCeiOncRMREerxTxFFRerFhFa7ahcQWKQ4I2MbvWtmT
O0UBcKD6IruvgkFQSpsrAHAHDJYItRGbT7mJpKzntR/EySdYE5NuNJ4udFUzV1eupMy+iPZxqy+M
Ljcu27d6FQLbvXIICxHsXTKy07a1x5oltDBiJvGQFP6B/5kfAzsO/ybDvtZs2VK67q2/WBTdB7Kl
sHNViLJzTjrEYZCx5pramEi6opTXdNOMTypxsyPSmlmeo9BYEDY4nb5YXZVBsU8JbG6zIBMn5Tei
3UyaRfV6UBFt0F7EULNl8Ts8tSw7y00VUA86mgYxNOXJgOlOjrgr2YAHD42b2sh+OfYrLENp369r
meNGWubOIVm1QNV0bTY/8C59gB5zQ+sD29gwqbm68vYbsdCeTmTHevCdBam8CKBf56nKfw4c3N6b
WU/vLs3w91zydEYaiwj8YXYxBmzsRJk7DHpEuIelGOmIHlqquGsfz0TSuPJqgI5ajDBjYMiaOnHG
Kr9fMEAUxu9vsmGc+LrybvzZZSDG2dwNwLA6Lx3TbYHpx+F6RbDLkqD1V9qqGKYyw3Zlx+088Dey
TtSLZYW4GiROCGrrq8Wcw2RU7//F3pnsSI6k2/lVBK3FAs2M4+YunD7HPGVk5IaInDjPZpz2ejK9
mD6vuq3KzO5bjVoJAgR0dQGVg4e7kzSz/5zzHWsYh3g7e5LlDLmOmEfSUZws4oAPYmnFPO5K0Y3B
RUDVYmMljTw7wtXFnS8Y6s6JJePNZZt9XRd+q1jbJlrXuwn3xqYKQrLulkriG7TKhZroSTvMGJMh
+DSpmmwH9wrsdo36dNckBfZvPwsL9zDoKsS6HpsMe2mhwo+rTcLmSnirNOc8NQ6r/XrJJpEiypHv
KA86sUkJ3l2nn1+WvoH3KkRpD6zZpNSRQgL3Q7Xk9rgfm6otDouVrzzAcABiS/VWb1MPi/+1XDCo
UTm6dFekFCxIAHaM6bWU3jnk6sh2gi9sYsG30/I8O3m4blYI6BwcspkHEXPXeTrWoidg7K79hEMd
sfNunnACQPcq4ofO1zEAYHt0cnYq3DNEPPy1ipa+RI3B2YYOUfPlfeX56kjkLo6QWy06O9gMYeY8
EU9IUqhXarhfJ3y4d0IgxhwK4ky0dM8AiFRZZEjDMrdthtLsRTeIsTVWFKYcz+QinedyUlYWjQ0W
+m0azEULMbab7rxu6T+HU5LNPOM9uKv2otcHThz5xzhJW5BllKjfOU4s+62g7eEzOZPgVK05B4ku
IO4XhdPECAU1qYdQenlYMQ0NkIoEzpMPfuPjF+8wKdZUuGdFf0WYHdXHxgr4OW1ai8xVbzku3ACc
p6FXJ8CuLTKINa4rMGYeGcPNGnoSKk/bPQShlX5pHat9GhcOMVEc1MN77Fj2qSoCAkSVXQ8B5DJs
DVHPO3uz5nSVka/zrtuKoWxfFpnpdDeKsiQQOfFjnJZ2whKmcuO6BzHo+IvsZuebLb0G+V1Z470O
Gutb6ILa4PTnhmRgwGQdgiZh5axb5X7C7NHoXadM8kqnF6mf1O6ImGFStZZNHcRrc12J3vu0mqR9
NJPOMLW52DA3AApxW3hOUrfkn8N12viLYGnya5KefNPsIsuFMt4NmbV1PDhzUryUHCCIZWRzi3uX
Qdkd+Y78obdTbMTSbbw+Qt0mUdQWRqSbUZga6A5bmfVUOGOJxDLM+2SyM+6AJGBhCn1vogEkS1+0
qwH5YdYsUawhldDPoBVOgZT6L29bmDZoIzQoYg1ryyhpw5SFjNeSTs9EQgGZNuTuHieeY1xYl3MN
7pBnGU/T4yX3PwN5q6r7SVOUsl1ZWInI+hZR7MnjCLXNsrL8nI5odlGDKmi2/dAPKJ5ecKfynLRi
7zc4cGnZGxn8h1OKig3v4gG7lU+sYZ41xkEXRzNPmRgLbYFr63M7yqHhva3Fqx4155rZ16zoFh1+
CeTTsewOdTh06bNXlQ47/zx9s8g+zZskt8arCjeYezXZQXeLrBg+9nMt80vYOjAcfy65gNI4GBsr
BJo20nPZ0FUdxjSRZNrpIwp4BoVCx0Bsn3kTEUHKNIYN3Jo43gjZ5u/zPA3lBh1vCF45JGXDNkZG
XV+GWMmabCBV9P4k4jeYvpD7FQsSEQIWyGXH5FI/ocvPfWRMrr3XICDTR8vgWq/TLsjB4g6rPTGO
mMkb77WQ8UdXA865qlQ5PZTGLYKdzwbCYEnUmH1J8Y1c0mziDmoMO2uXNUv3pvwxC/dLvoDtbycM
TOTmhe1ucCpQ30CSW94MwKzdbbKmc8Zjf6DiVvEfDmvFnGdfy7l76vMk5oyAkfgb9SQshBN+L4Lg
9GkQb2c/ZwA59gYA1eCU39Ki4wEiiy6hlV6WOQkIErZ3ji4IZRd1BiDnr+dOv9BD/9jKK9/xcL8E
gQx/H2v/MHaSXjijZiZ6Nzhu/UxEPCS+5BIB2fgNaP6mc8Rz61biOncuaaOWQhxTtaaLZI06uS3D
ITh14Tif+tYCcebKupgoLrWFwgaLfxH32PzHz/z/RZj/Li+Msv8zWb5Qqn7CSH1417/joyKeaT+i
o37/Y39IMUL+5rjwmRgBI8b40mNa+Z/sKH7FgYJOvoVgrieZ7P6pxIS27wQhegvHOSX/VGIQaQiu
yIDfHwj/Imz8LSXmZ4KrDw0CPJWP8CAYN3n2r7VZurVkMnHK24Q2eQGD8vkQ6/c47ja+xu1xXOyD
Pz/ZHqPd492+ah/D7E6qZAfJZ0v8cmNV7Z40IE9t2kXoHuo+4Atxl5d0erHX27S7NxBZ8wPBQzxG
B4/8dPDgNV8C2ELzNfwQVzz9/vn/rUvxuan4368S309Us/+SdnZ5oR+Fxv984f+bJDPWwr+6Bl/W
z9+KbNA/S4G//6E/rkBf/SaFg3LnuGAD0AS5mv64Al33N8YGrmuzUQbsYV+Yfv+4BN3fXP4DxnAv
8LGg+vzSP8RA/zdUGBdhzUMLtLHV/J1L8Gf9wgsDlEgURxtRkqceu5Wfp+x6SL0gxbJwrOKs2+SW
JvdkddMhQULY1YOUzxN5xvsfPqF/of/8rF9cXhR6ksNYn1tTOMgnP78oXpjQB12UHT1TeTiAx1DA
xGEDvmwaUcTOpgxFeVPQb8ClXabweC8sK/FvHvU/Cwx//BQc4YSrhMP35f/6U0zz1JEvyo/QF05Z
A31Y2uy7VvAl2qs+VXJ9DkP55a/fukBI4939qd5cXteXiieRbyOgoD3+oksxPLWAcwzNwXL19EKI
6XoJFrU8Iv93tAQzKnpg0B4zJPR692vWtAOw5qVpIk5aC4pDPi9faIeZHEDprXxNcr+djuQHlPcy
p5eJb6hc08KAd+v+mLq5LJ/cwjPymkNcedDdWlMyU9W3Y8gRkBFimLDtM949a+NtNxQK1UPYM1Uj
bB8v5Wr4vazFKPYkdssUdWGXKMoQNicMjvxUVyGz/HyGaoO1biXQUTe5A0Hf1omIvFIWL16Y1t8K
hlxys1pOlAzeafUCsk5mSr5h0QeMwT7kaE0FdSdtEh7kWtwTkb5nX/fK8MrZMnK0HpYZhBNHeP3U
Y5I/LWya7uwVV6bn1fb3kpEkPKj6Kegn7ylxmHz+biNFDDdbpk/kq2AfMOXHQ+JzRscTu3LaWSd3
S5zvTXQU7MQxRUrA7afKk4ewVfbW8hkwyqXwo0Bb38upABiSUBlQb0ZJ1Jf9aH12Vel91ktwTqhn
ohqct+itov7WBszWgrFtt46eR/uRdMtr5ec9Q0J1NbuYrvfEokNvlxHQDqF0e9nRlKquboypmzvH
T7oIw3t3EJ21fFu7Vg+niaKleZOaURTbJWypYMG4xu7eLrS8y83ofm84SmR87qCIr/jN092kNCMh
yBzYwpvFcz6yFcaRnwYm988hrk7/LnVpM490UcwGCyqwq7d+FgSqdGyq7lEype+fXL6o+VgWY/LZ
AP0Yb7rOx13q1qEkPYqZF7NKjbdVc6NdjlxLNUfrPLXm6NbSv7HmJk+YOpjZXCUm1M8k3c1jSh4c
z5C1usRdY1jaolE6gQVlhwDBZUYiOA1yWR/8NIP0jenVf5RF6qECNTqsT/OYJxYyTEdH++ybl3KF
GrdPKiu80NX6AEVlGl14YGBdJmbieSfqm7gT3p1DLUPubJSThWBvKzafW8cplvGz6cqKTLEyVbkz
RRcAPukMQWNZIJcAa7uUqnNQfSy008J78vL6k8/zFVg1hTXWLrbaXBwc6C+Pxou1dYKLJNrnUdtL
edXOC/bnqkQ3Ir2ItwELXSKDyO+DyxR8sBZoMUFKp9Ss8ybZCQOO7Sx5x89TaF3SuIgbMuJQGdjb
0vESeXLyjHBgo8Kie8qSnFisgp6yb5iRIdhpCmeJZpXkAnQCpeNka1W13L6Jdec3yYhFdhyqcbNW
Koh3gZ1LvRtlgPm+x9exvOUm9YbraWzCl9krVPk0r2FYou9xlOsAt33QDZZqsJhzd5vX9P8RfeoK
Pug0c0mR1X1WvHFXa1KKHJWT11F1Y7/PFisFgNKnQXisClWT2SsDwie5RKsZ03zwntQUj9lXrTz+
KK5EwoEskarfOaU01VVoO8MJU/zMURYMXLU1C+gGiEmhGJ/jXi5fsmlo06u+x74aVV1ZrxsfOT3e
EB3B6CXScN3n5USzzVCnj+5cTe7e8gL4Bo4V0s+A6FpDxKdPHd5sDL4n1ZnJNpBQzQs9sH1Aq7g0
TyHOYA5/DMbrE8fbAiD9WhHY485V8fXE6aTYuaAyHp1ZE1i3OteuN7qew+aWacVCBiKU0xnj8Zpv
HTIk30IbP+62o9XyLu5cdwTxU4JkXngKfWFaRPoQEGj7TMWLqL62mLlviVx1dtSVuscl6anJ35G/
Gt/lnPfBuQfUgxU6SBoEX0XlTEG6FJjyVJE5FGXRedG8+NUXX5XhQyN86igJTKVkOi91g6nnz+9l
2beUXA5lurOKjIDkaFN/5PuB9QwTQ95bTHEByzlpelVwoE+jRuWrffHu+sC2Mvg7Dcfao80sHSo/
8Bnv7JbL3FNlls/mocTt2NzQgzitNxhd8Uc7bZJmxwEdeIqkN2R3/jLV5cHq/IZRxmJlRTR4Kicf
Q5+tc1twYNQbN0fBKNyyJbzQVN2maQkvnlwHpYZ35HECkzMXzjbl1JrTCCBVczCXaSpgi7kD9AJK
5S7N7f4aYmGf3BMujFeSSk526PlBPvHwTMB3WCBDsm5Njy5jHbyGeviIKHfq5oqCo4Z5MhOhXtcf
26Bg5AxGrbtC3/G8yB2z5jlPVMtB3Mtt+FuDfKv9sHvvTMkwWjNbFbsVVk9/wKEQPGpDypGyxPK+
pHRJStHfVnbfjq/ElhmdSQ6XhFuDxrwUdWLdt7Nt1IYwnXdvprgQXOFpYB9wQKZ4Rb3Bdg4WsEF8
4NaylBgLqD7kVLuYWxZVdj9FAeTy2k6J5u+7brGc3QTBMzw4xdwjX7bxRXFYyq8uyhYcinKt6oPL
E4YcqBOA9extYfdXNtO39DyT4eEXNfx7vE3bggBocNuJZX6Es5BBpgz6It0jYF0GsuAE1nPj6OYA
g6pLsa5jaL5pCN2vtJOiGVzhIYKOMczy0oXmOM1XnP7MrHMLLLTpJyg2q+jcG5ZtRBSkL/8dOnsK
/mtYydOJUqz27aiz+JsJ8DcjojdzsB06DJn0Jxqy1wAXoNyzE5++5Ques2vC4mVyHMfAovvHsIuF
CSFcskldUjYbpy+TqPCmb/XYgZ4YzPiFGORd2grrqqG2cifJQn4KBwCpi3jVyBKMCvWZ8HlPVtiU
2yHs9b7w2jKC5HWe4io9Cj0gwHZdMcMNKom7DjChkg3RYAAvGJcwjDIUeg/MQIIqVOa7hO9CMV9a
n9qpcY4jaatzDWMJpOcEOMPCGKzqQn/z/KrHj9TFL1ZYFm9gPRnHsQiqq7aLJaQFTKzEakrxVcOI
OlvKm89t2LFcZ7jmZZhnn/zWtV9yt32cemJvFC/N1r6iwupCVnxcw+GWXWm979ryOlYKZg2J9LK6
3HFW25/GghCpMaE85gu28pw5VURdXQKbZjl3w2gfSWNccJQ4d8sR8iUut+zKB3C5szyrimicyndZ
YFFoGlR37IWaLdnN/jLIf+x1wTZgmMSBhp2IUc5NhxDGzKw4u6I+FGnS7hdkmG1Q1kdT+cfRca8c
Mxdb40wfA+XEt02Gtlg3cRs5mse7cykwpLYxvCE2a/Zi9Mcjj4fvJmyom/Jhp9HspUEwHEmEfbA7
eIUeLd2zGJu7AujFDmramd8T0zLct18SWXxsEp7OuOTkoVjSq8CVxz4d9gPhWXbJTVRb9kPcj2yd
LBcBbaCaxXNYplKRn9clvFS12TJK2iLbuODkND9EFJrMO8eN6SEFUuEoiCKmurFu+AbjqPPo5UpX
RbcgclKKa2mKbyx7jY+1mvqIW4kCR+E4+5pEfkbO9J7dOyo14z7EKKnhsLSW+04AHtB8V3vPSk7e
O+tbekvw5pOLHfxepSWML6x0u7bxy7PlkGpQhoSrGz8L1+JJMRLT5ogHpsP/6Kf2DZNviixdod9b
4TDKrLxDelFbG7dxz8rymfdOwfp5LNZDhzuhC9M3abDrTDlYjZ4eOeBbTRm3H3XdcxeFfnhDI2V7
aBGFIin1zTrTl8LM8RU58zEAerQB8HKKC7sl4hAWN6H9NcDBMgiSNhAJjmR6n9sevRXcSHgeUquI
fBywnjcimgTilZ0LZqVy4uqrSbt+1L3/IQdlt5tLmKUthnGUiXl3maWzDGGUAAwNavBKNXTdpLJU
tLpU6tGpKlz3gfOwrP6jSl1zqFbp3XoTPg/0SHZI3uLvg6AD11ubZ4hl176trts6rq/B0ETLlN/U
CndMWEBdIvsIZa1wl9OgC+/kph1Q2xEkpwWrR4/Ltl+nPWDqivW4QHCAzTOBbukPmJQfLbkcCjgK
xIpMcmWrzv+yLFX6MWBA/5yo3mPfGJYfl9qXt6mP5rubsOzekpGMo6wFVoYZRDyUJEx2VjyLyMQK
VGWe0SAmhvqA60F9jVWW0STKXspOsuDa1GO8tUIspDA3P5Rjte7asG3P7lpCRID/zybJPMBN8894
VZ7t0AqOIEn9t1mgfoMXoWMQvWiHNgZgj2iK0xXY9EorO9fweTB4pcnOt4cyaqY4wcGzpNX72tpP
GHycZ6NY7qaACULM03+bp95z74vkccwn/FVFyaZX+uU2til5rRXhfoS5D7m8CFIZsGH4ai6JEGyH
3JHMBpZFe2+J9Kg45AF+pYKKE1hL8FplYXZTmT7bE1gkncDe2Z4a2AipwmHtQRYSlLwXKUw4ARWX
8pxa3AkHKKrXaJpYGys+IHZCr4LJOUSxuGTLlrU+iyVmMAh4ZXz3w0Q/YI9Wd16Gi4L1Eh+VspIr
Z8m7PdarK06dQGSW2XqO1xyomzK1+9n354cw0+G74/JZccI0CZ6rKW2DLsKwlgKA68xJePYZOhGQ
1r6kCp7xZ2T3nfuKgi5uRh8ifIPl7ia1WlOB/AvIfKqk2uPmM4cu8HBXuol+rvPyeqqFQtUra6iq
hbNdyVmd1zUuHntYBmevolEXufG1b5ldbEbGB3dKjd6xIowSLS5HgsqK6yvCMa+6m/X3wbB9kIi6
O6DB5DtSPV0rwlZQqzIc0Jn3xXg8K8fGPvnaOda2Oqxtvsc8DsSrHftwF4dre85cpOqy5nId5mZZ
t3YNDpiJgtLpZhqrInxKXbxsLfGPQM33jrIDNZysOE4BAs62GrzHTI9JiE1npjdrATPB02HYiqTH
32T3wyX7NEifoBKbQxddQschZZ7RRCcXZcZrjNOyxKorYUYHUOW7z0EYG1yji1UCRd8iVqXezrFW
ryXYppgispiDW03VPteJ3SxfxCTw9zlD96LRVsddJjMXgSVf+V3BzWTbRgY72x2ZIMM6ZC9aIkOk
GEPsrBl9ektyCZenMHnt1se59QdPn8LSoEduBRW0WbVvPddR82EF/0oN8OihLrmbzqhlXPdFMmVk
XvzZAoUzbqt1tDGvcUqclbVP47APbnI5dVSrUpXxCZ8pLIrOkXuV2gTogrIP9uulfKybQD8PToKl
NO4PYSW/sOjSB0sk/anvsNRumpAOXCcDgeo7hKBwtVTsopvvTTu2+6rkMx387kVQFrgGLmW3BNd6
Y53zjuJYzJQQoTuHA+yaA3Ju4DYRreGBwXf4BniAutGZS7PLSrmx3Q62tiqp4M7FKMbIKPDkmJA/
VviAztyK/R7Ymv+Qqcq6mdaBM6Mp8U9ONii0xINh0tiYBicMqNtQe1f96mT6uHY299OCkj+XrCTa
0w+ZGaDd+sPcvsLKxw1FKU4C+3d2SD+2HWenWVj5XQi89k1YMYzE2CsIR/pNt+s7y8OqO4Nt2tpS
cL0SP87LLZ5RHNCMk5hILF3K+RdqOl2rTB3ZS4C7lKcpDdODm8lkJCrkq9c0E3G+BRSVniVfLdEh
7EBOQOKcoBlUvCYn35/283U3TB4YjOV2HpzipE3/raOjLF/kELn9uCcoB4cbo246L91J1QPyYnyx
vOIkIQg20SA79MldHff6xUrtCC8mew2QcbeF4NSB3bD5LoBfF5sBO8R1r0dxjXUNw5tSB0vgmICW
UO6nMr2Zgsra90Jte2HX5zItywP+Lfh4TV+CFDJ4TzZWM/mPeLCgcXbQihN7WJ7gSXjvlpV0MKDA
cAwXhgzkE3Eg5WbOQyZfWxVCmjVTsWEW+wJn+WZxB2/FSyL7gw1bSE1QN8EjqGuixN91bepI66Qh
BuaAMByC4eQ4yzGvxUxXLHn8jFudtovOO2VFKA+t1y56ZzUNDmYfy8ANFL3YbCcGGffx5OsLNmtQ
r4xo4p0Sdne0KiDrkIJ8SFFgPpXjx8/sFfOT52Vc9NJq7rtRPnqOfXHhFNSoh9K/RPdmEIuWsIAb
Z3hNvKrFQuVV+0xlSeRbeDEDYLRcz9aY0OkJiunGS9uWLp1xjc+ydYIDcONp2Tmh51P+bbJrGvOs
XZXk7lMLP9hENinQKBt7SEd1M+lt2gN/oW/iw1rwR1yoUHSrCeZ3O8BJN43lu+Q/2Q/34dg9OYIx
3rRYYRRmabFnrCGwOjCW21bErg8OZAFGakLsK+AYeDv2faj1Z2PjKZuY2B5z03A4sKp1684xVCuO
iF9zjhjUuibgd2w3PWibI4gjsLkYPDV7K1x5+BeLeeXEjqq9SavEJYVMi0GcbgVIePtYFMLrP2Zz
qrhjYoKZfjvckvDvr0N+/mdmG/PO5YT/SXtMJiM3mT+4dYE1ukBNO1tdmeypfmUtTNNuZ+l0PgrG
0eMk+nPs0gARhV5ifVjseuXTpZ8Bcl9Hnd3qHAZscWcRV9QvO4550QOHX3w54qtc+++4oQhXMrR3
t01cjU8ALB8XO7kYhynohXxrbmCEqtOkISjTTWBv6ylmrLcke2rVSqqwnI+oDs2mWDuPsjw2+YKx
APs4VuAgi/1D14zyuhr0Sv42CLay1sCG17o59VCL9pXvmrs5UTQSBqU4MKgLP1D0mN1iDPhm5ri+
V5lTYpwXbEPYa38BCTTuS2X1tyPs/G1Oa+kOIgK0AG0TmEcSeZhi/ZFJ1IFMKJA/dnVukJydNABW
bUbgLXV/4tqqH92hrE/GuPRTCJcNzKafFhqW4Udw8Gm5vetAd48Xyhbt0n69m7MuBShVwUtc9Vsl
+/kUVkF6zYw02JZtqk6LW7T3NrZS+mxC2hPSzi9wLROlxSFaQPpgFzjhVMOhaXr12ZMAM6teAIJr
4IEXhCKa4SujqPVLga3qTMaHxbtiWRALWJQhHcwu9ojN5g3IIgur7K3N+ApHCo63Z8YA2H+RGyI8
ru6p7w2Gn6q6Ys7YbIg+HTNNX3BGoqUnZhMFU3r0U2s56W6Y7/M4S4/1EievuD8IhfQN4IaoXQWO
4Jnk4MMSdzUb0pLHabOM2WHuhlPFc7Sb5dM0+XUU5/0L/Gp/n9Z8OpOcbxdjm2NhugOlCAgRjvsw
2xNXdOquHfZvHHI3qYjbz528lFsWnkjdSNVyKPaeH+Z7/rj9iQnCMH5acJOXBzYh7ZFBv08MArdG
ZIU4uBd264IuZU+dPQiOyYkqDyE/FuGEodhtGH+2yVc2Fsu7calVuRDgsKS65P9iohalmV/HvOIk
Pl8zBBkitEesx3XeXjfKLXeB6+CjHVw2wotqGEnOZWnfAei2kr0fptvOFT5HHIntabBwmKzS/oxX
r97Hofa/LaoaWIsbGoj8ub4lECSfYwMDzidZvDe5ymji6Cz3IR4CapTrDO4EkzaY0uOlu529QFRW
Y3+i5fapdVssh4r2pae6lS2XzSqAwc5YRnyLBTijueFQjYqo+uLo/NGx5gC/aTZxatW5PhYjVi5w
p+has2BKSmy5uZ+tkioo1jfwHtyNlItgHc1MqnbVMCZgBxwT1VqlcKItsy/Zw8HhVhB/oQVEQ5U2
r7HN4x1VKSTfL+UjbHz38TIxemC+455lPnTnxS098vO1Z45+Rvy/JJD6MLKqPTe8b1iJfV4c2a62
27D1W86/+fyIf+LT4NXFmxfIdo6mYQzKjQguH0vVL+LT6gmHWXFWs6zwE3FY0e7ySY/9+ioKfNFi
bMXAprGvvsBkRIAbg4Drg+NpsIL9LvJBHTljB0yoG7y9RiXWtWjL7pwLZ7wuchW/xnjnI85N9tZu
bJ+DU16Mz9r4zSHMhzzCJs/9w0gGXjhGMGpMipjxsL8uy7ADVL4k727W3DSkDSxr6elEymgdJv/l
MWPapCxPvPVGOa1m3tmY9ZBZpphebW3jDa+YBsZRz1H5u5mp+ylBKObM3gI70Fe4PZ1xT8wOdxAk
D0tcVbEFLdp0NJyHfYj4gKjm1VdciGQTjOhbAkTDeixp72QS5Dr7pFdgAbGNl7eQ2upPqpWwVFl/
eTLNqpN3XWF/Rn+j4dQLGrUP517eMqxl+2/7bA55rPXqrevK9MOEY7V30F5wBFs5oaHS9sdzwp5G
g9eyd7qd9beA/If9WDBx3DK/XJ/7AkPllF9m61ifthP4tLDpnkY740Lx7N2wpLf5eDlPhY+tQbuM
83CbrlA0e3iK/fsaqvaGAOcxSGMSo/iRCe3OzhXPxojJdnHWabyhThRJYWUCjNh7CJiHMtnLz5NP
SCQp6ffOkaBxrnPmNVe84Y1b0qXiwd/tJe2xub00e2+ddGSagerHi5rT4O/L63vXqtEwYpsxTEoR
UbM3M/CX2czqOBr5OM/oXx0FxJyuqZYacEV7Q/5WhWG9heq4LTNXkV9CgmRWccSZCco+vbLG1uyn
sOTX+SdsGXOjJ58klF3HEocsBdI9EaYHJxdPO+qg/CefUyAlVPOdbRH2CMI6CrlHaJkYt87U3ma2
uR1jf2WxGb6HdX2/cpKIJLv5Bwu5GC4+IZr8phxd7MNgCaaAyuT2Urqz2P59MgW0EMIRjWX7Juzy
s4L+4S6SCaV3G5dVtwX3+V3luBew/TmPBYTBh2qxb9pq/lImYI8vIQ6GJERylH/ArYZPk9AsLRYg
2mFkVbuVKRn1TJx4tfCyq8x1RMTJPWHvDr8TXTilbSAF+dgpJAz4lLSJQacF9YHZz1wzrc5wTSTq
y+oyei/gJdZgdS7WpL5nBxsjSm8yNvQR5LAqkk1Pn1U1vPL5HJcxvRK9elVh2qaR43T+Vc8j5MCO
D79Si/qUz3N2E0z99MqNQF+3qPGDDyNX6IqPmPwFEJJNiKk4mlNBW21XBgm38qLuOL+CJMKph+rD
mDbESw0qP9n6hbBvHTY2zHwxH7YgtrFU1DUXgonfQZXI3WU+QbcXkQbHqO+X51dk7Kr4Qt0CMNUC
rBbnKWzPlEUR8tQ3McLYzGBx8ij7cYiusp5IDwBiCcdsSylk+kSOMFzY3BkPBJkf8vA6D9i8k2s0
oqyC3zHa3/Gzi83/0EQsssBAqUipuCjfJObCfex2uv3413aUX7pZMaMEoctM0WXyGXL3hRd/0A92
x7zowr6x0+SodJg+lE6pHyfRcXiyOU4AOwxq2weCM/KJZ8Ywg+6wAWjo4WH8VptG3mFYcCwsm2Xp
H2ZS7tNjjTI+RLgwbPJkEAXLXa/GOd+N1eTTYB3WGRbPdO6ulVfzlywOcyWjRiwiWHUvCQztyj8S
Wn/LlvZfes5+tJz9x/9rmArsWyJQ2MiEClxbKlyLP1wB/+SY/F//s3yvv/6303D51/CjZ/Jf/kV/
ONik+I1QWyCCwMMQe7Gq/cPBJsLflMCDBtwdvyynxD9xFp79GzFx0FWYTOCT/2iidMPfAryPxP8v
0yxMmOrvONgucfM/7VS+bV88ZJfXx46JSmf/cgU7fdGJbMyA6DbzxSFhQGdp79zlPQk6x5v3P3xe
/8K79q9ezrVdPmk/wDvmX9LxP9wwmuxR4FKDBMJRpCgggdyMmq1eb1cXZBIS2V+/3s9euT/eXhDi
IiPxr1xX/vJ6xaBcHm2lvfUt/m+ahL5xF8re7RIU5zIMjLDiZmGel3IuDeUqjn/9+pe//9ePl0QY
b5efgLPvLy65ojKZCNrKBj3aemz3L+xfOL+Hv36Vi+ftl1eR2CCBYfg2PIh/ehX6T4UcKdmQ7VRv
c3z6ewMG7pKHW/4ePOFyvUj+4ZJxuWL4Dn/+AvuWiQZC/LotnEAfdWitRKc6qseWpjyKLBWQxEma
6claWeSm5t+8098ZGr++VclNw2Ufei7uz59f3wkAJ5FGw/a4dutIcXIpHj1+JMV8gZuNM1nVH7re
AMe0u5Y+I4fx9+U7JmBU0xT1NHuTInBWOMXLOjVpHiUj27VtZazkfpXO8jWLjf/FbqkQ/TfX4q85
198/O6lsKd3Lp+f+02oRrqmpepuLv2pDQHEAhzuDYQsknnVfsR1mYG7dxHUMU/UyPifL4ZJxDZGd
Gqu8477JjjJABGe8bp3++hL62c75+40iFX599AqF0fZ3nsQPNybrpa7bOF63FghSFl+/xUqB3jzG
HMkGH1tN5sfbvpPzvyHI/IsnAi/MCip5EIZC/XKHNk5GL40PyTZufbP3NUVOACNwDv1v7s5sx21k
zfOv0i/ABhkMMkhgMBcSJaVyc6btzLJ9Q9hlF/d959P3jz4HZ1JMjYSquxkc9EF3u8ohBoNffMt/
6cef4F4+XX7Md18Kz6YDPKcXijgGw4DT4+NLukF1igXZqPsCSgVK0xmS2aATcBS9vNS7T39ZSoIT
BSDvCNtcHvzNjkLhBifRzNKz0F3wcF8IbkpXD14ur7LE55PvgVXoTFv6gn/HoGR54DerzOgk2Pgn
8ECQzzeT0Va7WNY/XQubdwUdczsjG3clBrx7ZcuaoH8kkUBXQDhO19SMron7OrbgXPvDE/ii6qGX
NAjdpEazMjeaz5ef0ViCyruHtIhvrqsEE1/g3G8fMks6bFdtFowyasUURehtTc7sGfTgPdQgvlLk
j3edXbWfEKitb7K8MXcabccr0fz8D+H0KASZbJKGBZz8ZrcxCAVN5+ClYM3afIOUUPWAtq/JeIpW
W2ZgGaN1WouqB1CXGfDDscbHadf13KqXt+T9azekbXN3w6GwDG7w0x9il2UZVhmI37ICkWhHFIbM
NXeOTKns0H3egGgNrsXedzGCZoRNE9QlUxKK5GS1aG7ioYzoDDioroWS5TOowbRBzwWE6DQOd+Yg
80OgLb8BDQU9G4nKkP+ZZc0NivxxftMPlY7zr/loIjcMwjYwPeVa7ZUDc2Z3+BTQDwPjD2NgLQ3V
VZJphZQ64Jn0o22n83Ng+tnHtLS/FvAFAY6mTnhlzXeZBr1GSYj/vTmLCtTp5kgb0UcQ6/Dpk6q6
61F0XYoA1OcJq5/1cPyT7jhoJgeRAlzPsivBZk280vVl+SXUcCZMmynr6fI2Vn4TbE02V28A6wz4
yVpZKTdQYKXXpNgkRVjggAZKXAphLBzB/xWHif4/AHBp7ayxEfuuZMpcD9zkCfoQO/CV7cYtmZBd
Prxnt4pONzJI1kLDWP78zVc0YekcMUPRvdgUqN0O9MDngm46sh2lhx7TETOUbdakv8gVk7vLa585
wy5+8wtxAUI4t/Dp2jCjQfw2vKa2bbpHnK0hHo5TfVs2SEQGRpDsA27CzwDMzStPvfzNp0GMN/Rm
5dXX05RTJ1rqP68bULV3TPIzMB5AtfLp++VnPHf8ueVsmyuOCZlc7W9VQLCr5k7nkluYtHVJPjEq
ZxcYBmNNxGhufTHLKyfw3Et9s+g6MXMH221zxaI4KKIhLUt1AxDnz1mXT3aJZ6CTAOQYg17d0dX/
uzkEh5+URae+4pUaCPydHKiuU00M8YVvrzRNryK04Hqp58ckp8GY65F15RCde5X0cKRN2sLC62tg
YsqbVkLpnkQjY6tomB78xP6hyFmv5Yzvrz4ebSkPGcJBtZOrfJv+FoLSXP9enmWtF2HK5+VgJ6ld
UOp2J2aMFe1PlEL73BuR59/FbgfoRw/FlT3+LYu2Pr+WolbVHa78d+p2wIGzIodb4NWIUm3MvgRz
HzFvzfMk3cHudD5oXQ91N+vQYgb3zayoyregN8IPZlLoeynaEaiMoR8vn3ZjuevWPwymoUIpchFL
/C0U+CachBPQnxjsg9dbQbMJQxyZnfJZAGrf1D5aANGUDccQ0IenLJ+mWF3RiK0JgQBuhiup0blP
z1YLT81Ysun1p4f6io66xoDzQIqAMEx06THPjgBwauqZm0p/HNysvfLpvc/HDCbM/1l0/emZKaLs
dtEZXiDQpuhUHIEZg3ljQ9zfoLYQv1ze8XOfOrHfluh/Qa0Qy+fxZsPtrg+V6nF+yGII8pXsnRsb
sSiU74uNpafRLofngborXk4GLu/X0pBzj6uoACU0MErR9eM60UwNBO/PC4rcPiKeWd4bumbvIaXg
E4Wlxc5Ke2BpS1EIPqO+bU1/fOQfm5lCMU4rzbLc92VqH+1GltucMvEfvBBHIU5DOkDx765CvYAY
i3EjBKjcSKxfvYvtXAoJawuscNhPkEOunLr3lxpCpBbZ2ZKM02dYBYmBsmACUGDgrhIiUtXCNNMx
JDnijFpsmOk9IAWxTRsjeL18EJa4evrlse6SHlj2QoNc9x2QsYACVlCu0k6PPgaIR297pI6vvPD3
x41VXMwmTSkAlC5U47fHDU2V0pK+ZXgdwf/JKW21BcWdbMNUtqBUJxtPrRArWsv/idqQcyXWvz9t
y+ok/GR3Jh289d3CVHVgbmagphMyu1Ewc0LUCF5SxCo8tJm0KxH/3Ls0DfrXlFhsrbtK5KDq1TLJ
GgEwKs64y0AeWjNOCbgqxRQ83Xz0LQYDOlyMK6f23NukCbmUFfR1oLSe7rOJKEmGRKoA4yeHh4D8
DeE8ZoeXz8zyt6zPjGXolI98IEvpcrpKZ5mB02BsiFWfxE/dAqI6VVN3jFNn9v7JUmrhmi+ZwTol
N+Mh8kXFA8EBmDwjK/vDOOut1wEt2l9e6twpoWFr0b8gsRTWcobfhMRmsayT6SQ80H0zAKwE+Q0/
QOQND4gWXsQ/2USXNB8JWFrP62x/tv257WEGYqLECLepKEahG4B1Svivy092puYVOivZFFJ0rdx1
BiK0EkeUthBeM+hwQZ3S2QbcnnutHeYtpAt3Z6lYwS7JEZsacP5kblZsIaJY/+iXLAfHVkhKinW4
EXPFtNbC/GrMu2SPQlK/Cx2NNNcAEjMNDFyQrFdPSV6UHmKMcLfKSWzbUMNE4/KmvL/maZgjAm0K
ei98qas2UgGyECO5BIx95iBxmUP/ZFyTxvpDnKnkJkv99kqIP/dxMj0Ap0FWL8h1Tg8YMBzVU0ka
OBrULbg4JBn1rkquHONzz+UKemMOdjJQu1YhwEFY04h8VummKMKDC39nnqXb4p74jAN9T0WB5+Hl
vTwX8EiiF047C7Kpp08W2UaS08BaLpEpAPenlXA2w/4ApqB+ZjzRM7IM9YNdOc6Vlc99tCROy82i
U4z+rqnffLRVaHZguwG6x6XAXAcF2l02GEDjwgJRoyC/9imdC32MDGkCwBFBtWJ1kaFaE0tsp7DW
8xeqTAYxNrLwEzUUX9flTf3d4liFWSoGsgEMSpZ2zeq8mL4uBiuP+GoR/nwo2+rY6iDfzBqSNX72
aPUZ5T6dcpDMhotxn+7e18J50R10nhsL+wWKHOfZDsCag7vHC9cAksB4em/CFrkZSDQPelrYXm9G
LzqWvjfACY0Xoc3hXVS2yR71I1wgdGc4+FCX8bF2mRY0dIug0A3HKA7VEYmA+s6CurKdVItKoGl0
V47z7x19twsmYgFMXpAvWZcGjPKxQAuxH+obU7vP3AkkjJHM9BHt6jjG+Cq5c9PuS5wA8ZQy8cdt
Apzc4wQ3xgaXrRgZqkPaQh/p6z6/Q56p26Ghal/5nWcOhqG/+Zmrl9X3uUjmkU8ANHLi2Yh3PdOO
KVgqmK/EkTNnnqVsRorsCd2X5c/fnHk/ReMJeieRi3N666QLhqVOXnFFNgmmeGr//W+M4ScyGwa1
2SKWcboeemUalkokb27XY/KiD9iZAfDf111m7mU1JFee7+xWLgoZSGLbjDPN0/U0vKFAlGtLnDSC
h3hKS+B1rtr1zfRv4SAG2sGv4ulfx+itDruz/F3r00XcIoSQBLvIlKzWkjEUp6XPktVZ+zqHPg7K
sMe0j6PV42NVJGH0lIxKPbmt/nFIxt5DKTG6MX3NfYzSqvwC2wBopfgVd43xUI8uAlZZI22Jr3ma
cSLbsDFvy3J0ofcXeMkXJf6hiY4b2Oi2wxZAAEzCORuZ0+CIhiroiJa42LSYogLVr0r1Cj9HcEuH
vnXra9WokDrNHCShwOQ/jW5U37ppns1MmszuE9BQ2W9omaJvQz4O8nxOww9pipIvOmDC/m6lKGRv
Jss0em+wCgS/DJXn1j4EUQUW0TU6B6JdgEe9pZL2q+unyV+w+zqGE2i1HXDZcv+Q6KThPZTb0xeE
AtDpJXqBVbW6QmwdrRV/ZBQ62D8PVt0RJ0tUvzCNbr8NaM590ifL2AMM4V9rDPSxS5wNv7pTZHxs
QS7hiz37+CXIWd8BLp+Andsm/CT8iZufgbXIINKnxwkTRheBoKHeOJQBThNXjvyZS5Tin+CLaBJz
grUozEzGoLqqocXIJOYmye0vVYqCm4mNjAfjB/ELxtJX1jx37EkL+MrwviBdW10tMLg1/KxYU8+p
EMzaVRsTDguotbC6crWcXQqlXscm82S6tYogVlX5juhbmm0dESQv0XUPwbJ8WdgvV+Li2fhNSqAM
mm1ikXs5/cJEyON0Za9D+02UZ7qtdadnobhB5uS+waD7Q5tl+bbUseR1J5xpahMylKThdzs5Wr4N
gC+CzKOE0hBK3g+z1R580bmHy5ftuRdukYcvGANaEmtQw+zAr9anUfeQlV2YcPVCToa3XrRQTGI/
Ge77WF1Lhs8EnwU0guamIqegK3e6NUMnxaj6xvCwS2PYPXZ5t68TG+JPloKrAqsWJy8AxjG1ltkY
vPSxM75CWvQ/DVVq0RfCIPvVZsJ6LasS4n1YFAZNCDI6YDVUDae/LBNtW5WGr3vJHHWQjvoRrkk6
GQMaE3i5/pFQvMttJkzAENqYxo+hiUI/uHkRfcnDsv4La4DsPohsHK6CRuqP84ioq1Cq+RqiwfQM
Gw9lVp/c5EelNeplLCP5E7JVbV/Z4+WHruI7g5zF/cKi84DK2OmDWA7hB3DtYsONErKKpm9N2QGT
c/Ro7zaW+PvHSKBzLKRkxknHYXnjb65mfpnhT1hfe9As5C5VI7yHAAVq2w/tJzQGsP/N+aQvn90z
X7MgE6WcIl6Bf18Fjho/VWRhWoNBYhTQowUiOoN1g7sEWefyUmcatZRLdDWAQJF1Q185fUCloFDM
EQ8IDgZI9xTAHnG4LdSAJq6JBK6nisbH6G+mksucu3HQ871WTfE31RTjlZd7pqv0u3ajfJNUk/rq
+4mbwa19KyXnyt2K+ALzukfI5raM8mkT60N+1yPIurVDvD5LK77Ws30PBkG+GU4SKmUMwOjrrzZ+
ULEl2pAmqlnb6mdmdNGnWc7WXeMPCfQ+y3xOWtiiYZLVL46TdJ+gbDOmaku2KkRktEQJZWNFNoVL
o09XAu+5k+9Qbi4YGzAM66M4j27qxwWtLi2rDMzf4wckgQ9CcwC8BvF05fIylr1efWi8AGi7jDlM
rs3VXrhZTYtjonuCH2rpMSODpVpiJR5hFL2tI3OAbYP/WCzb1xrCr2hkf2W6saRq737BMl8BqKHr
zBVPj6awyiwA5yq8YPm4I+imm2joxc3lL+DMmTPJ87nMLIWMmVhdZxAzemRzMW2ASQDpYRLYQQcQ
URBvwHTZEcCqdWgSuYyCY1cRL//+8hg1MYSki8qVsVqewVCI6RF2rnNP6w2zlhl9HjhisZ8le+Rs
ETdXvUJFpPpchkp7urz6uRNv8vDUYSbDOvKU0z0OsYnXIXQKD3UY9LUrbEM7vXe9yTEwjO+d6WZp
ytNzHJ2dk47pnr5SClWeQjIe7HCHgGjimRG8jHIor2zNcsLW758LhgnMIudH+XD62yK3x1QuMAVi
QWUPQl8YT/Dd5RGlYM6iCd99mrFUvbwj5xZliAHgkZNPWr9adOwE0CcbMcpg2nV1nTzCO5/3kTIj
FOdndYe7yOUFf9e768cku1Vo9pl8autjHks37MeSFd3BdEHq5fFeoEBEG6uu7kMVmss0Ed0MVG0O
8wQZA0H18XMCUyF1Y0RJrLK+svFnIg3w6aW3SKag3rWD0ww6TVGVwjPHqP6kQfk/QCB4adCXOIhF
5eLyDixbut4AhsXcdFTBZMurKygJaG+Z0Nm9yLCwTSktKiKML7a22zn/4O3aAF2xiEMJVa0hOmXc
WmlbVQhcD2hp6xN61HVXQzAstA/I+iCqn5b9lTXPRlIwwTR+cORV5BKn59jiG08DNzXRxkhRvLdK
JjLoEmH7asRI2UBPKwas5eNaow2eze2xXPTSLu/xuWPNtQE2npe6fOqnvyHOYUHHSPF5czmgrzAj
wTVmidroRuYhFiL2GMR9/QdLAoZaoC/Iyy4ioW9Tp9hAl2iUqC5ac9g+5qSaZE014BVEubG2sBB+
bBdPzsurno1oRLMFjGrABFgPQotaRjU2AxzexPSPVZqUO8ge9h2q0vPBqaDBJX3h7ExbYh7ttzFU
frB6mwAhFs+ecneHI6y9G0xVIW3NC7r88859WiQXvAESDRLYVXhp05mKMMP4WE5GssMy488ImXUM
LCLtDucO91pwWc7W+tsCFodhHK0QpsOr+I6jfQO8El0WXoJzNBIaD3ZsoF/iFOXBN8tfkY1vE8YR
wQdc15qjnxGDyt7JH/LRGjYu5tzkosPx8i6c++L5/JTBEI9LZ53gwn/tcspvBDWARc4+aoig8yav
VWZ+Zb/Pnfvfw4AFiSmZ/p8ewsBtIoTXFQAU9NvvlUwTmsizOrQSV9yqtfS7wMSN6fLjnVsUrJDk
HYP+kuuUIgYFHSFlIHE1ylFiG/Fxw/937xoG1lBO8RkQ1OfLK57bUJB1inEoHFVaAKePCREojfMa
kYgyUOl2QNF72zWYvSVNNF+J1mdQbWCDdVA2BvqCTPJXSXpkYoZj1INJ40w3v9lBH91YunvXxXiG
uEiAohKCskhIbXuoVYqRBt3p+3xRsXSsruWUo/QA5r48Ip9a7/IZw2I0jtB9KMIrkfdcakf6yvAd
NWBUaVcfWxw0QZI0renhUoCjbhV8zzso7WENEdXvk+QWafd+YxShsQN+J66sfmaGwhSD4bQi+Eu1
ntHlhUSdpggk6esEq7zFbaBr9P7j2DWILdGzeNCz+LPtjNM/+LqwoDQ5ghBpDH3Zljc1azjQVrP8
lIVDvEpr3QnuUDoZPMqU9p8s5VAogaED9qGvsldkhILQrzjp2Deim6T3GeJuYto5WLrvLh/x39fk
OpTRr+Tk0VMDZGKuHstJIVSMNC7RY2wejbLrwL9D0Hc140fo5NXDGMLArMbqTyZ2gqQJYzNrdsdD
ij9GBrtdhzJ6cBu0ZUVuUrng3mPgTrKxaR6AQEqHu4Db4oDchI7WEeoMmlbJK09xLjS4QABhCzGh
fNd6n2otnXHMkcs8f9yHdQZAN5fVbaUqnA6CBonBsTaufbJnajlgsA5NBXqRRIhVeDARO04QNmHr
0Cu8S4hcm8wHkDKqIvLqFodPM5Wv0AODQ4ER9F1fFMaVr+FMhCI4LUBAUMDMadeHknGanyBq5JXa
0ABBysoPpaO+YgcT3V8+KOeG42+XWg+CLQm2W/fZY7gayRGEjblVfoERkTVApGrc+cmWiXY/G1YL
JCzB2CZD4C6LAnN/5Zec3Xc4JVC1lwpvXV3RzXahVguJslIPzhjbI7rq419JPjh7G0vvg0I8eIuI
Ch0HW9O2I+rcV77Qcw0eGpIcN8bUwJHWw6UiW3zLEkN6YTGUW7NVcEeMQsOgqLW8nBRgY/VIIpnk
aruBxu4xNVGHLSHTbifoIVdezrljANBkmTtBBOC2Ov2IK+yE6h4wupcyc9g4QkuOcehyZdXmtbn5
mdTnN01vGa0JRrurE5cP6cSEhhMXF264wQFB34lm+Aed97eryNVt2ARqygdRS6/W4WwXVkiwtXqk
tyrt6qtcItwqAtL3MX5TEzlPa6yFcnzVOANp05RP7XebFtAWVA/CQwDgj02fELEMIz/qgZkfHHOC
QYzV22vUga1s2jQ8OF0SXwstS4R/95s4WEj6E2EW4uPpZYOaajUulw16IzbQKHB7oVnSMRB1tRd2
Vv8Z+ZPcIMoyPwxFWRzDugkP8dCKK5F1iWHvfogNEYXJId2iNUYriGvXqCtdItZuN14doeyDwo08
JsjnPIXACq583OfXY0E6BYw11xg0awKYUxfLdxWXAwO/ChvbrrSxlEVNuAgT61oqL849IF0Ci2R+
6QKuTlppWtClR7hLpY6kWzogVD5+C7TBOnQTikZFm80ITS6+N6hmVw9DHWLLMzbJa1gP4YfLke3s
w8P7AfezzDvWb71EujydC1T8GbVGW9e35wNOjZVXNarYWyG+QlfO2bm4QSvQFsbC2iLtPD1m2tQX
ZVP0pqebQXCbpTlOehXmUSpCtODys/1OYNcnSYCrkrCPaUesC1cl52DQ4O97Ab3fnQ6/iNkvzrCI
jiACmgcNon90pt2kxV13Im9Mu8zYAnZH3EvTcSdpEGYXiaFurbYsjznqfPeOhOvopHLaJ1WOYSNd
7k0vRX4zhNaET9VgbieZFofKQnA6H01nH2qq+pDCmtyjRCIApahr/bUzCapkqAHRepmLUn2c7uks
nTzu5Gx6WZFFnqDB7GE8ax8qektembY0l5NwOtbd3F4pkM4dH3JiWKdYjFKUrkIzBCXXqWUoQY+q
5tCVRfMU2Fqx6UTsUyXo+pXjeu5JJSBV3WQeaCJef/qkZqnPVgiwGOJPN6IMW5u7WgvvQcG0x0YO
yWO3eFcia1k/Xj5LZx/0/yz8uzX0JhVPehtHKFkRJBo1bUU04qqJsTEKUL6xwQPSvrm83vIg66O7
tNH4n8XueV3uYo3BcEwHaQEIOPnLsXLnNp7ILJ15Gl4Y0CYPGadpG1Uq2A8xXryXlz9XG/I2KXkt
dwE+r+OCVtdYY5LBe/NiOI2Vd4SjOZpEReqOxzDHwKttRHuTjdLfD7IVNxW8CeztrGrTZG6w162+
o8nfqG3h4gmLZ1FwE3CT3fRRkl/Zq9+jwvVmLdxayhda//zi01MRG7hiy6kSdCFEfGP3+U9zrKhd
lNUcqgWFXiocQPwJCaeiG8UeXzhBlZrq941ADhg12fhhqEoTS3C72fXkvp+ubOe5y5VUmZ0k7vND
l6j45vgYDZIsilW9vNKifDPiP74rMvET8cppP9Tl7AH4cP5IgwSxW41msK3s9IPuh/WVy/Vc+GU2
AhVYYfgDjuf0h2ShVU/ohTIMQkTxxadyh05CSwnBRf3l8kOfO8Jvl1rSujfPbCWt0Y4WzDNpULQj
WIfnoZbIozP7wa3d2fah6+XXucWsPJroYV45wudAekvFzjgIsogk/p+uH/UxrqxhARgrCZDbFQiE
dJjSe7W0imMHZeVj4KDzKEpMZ6oqng7IyofH0pkTLEJ86yNp/U+MbD9xfuUt+Ey84wrUg+QQ1vfM
gKbvWmqDjo+xrsIzvtkIHFjuw27Gqn6SDhpiGDvGheJ6t5LiMLo9IB0R5Pc+k9E96gjOvsoz8x4l
Mv3W6kS17zCQ2AnDHraXX8Q5zACvz6GByxeLUMPq9LENMkc8xvC4srrnMITcC1FPgTlGPwo5AvMe
VSGF+uZUPcT9XO6dsBzu5qi1t5Ep5w+FivGGV+AWzUopr0Ok57UabPEh6Mr8YOIzYmyiGB+YxBY7
q1fXJivnDi18D2PJUrjP1yBWOkODgTSo4bU+Px29K1T7cE44MPOor1wwZ8p6SnrC7tIEQZtxFUos
GfVO1zNGm7Ik2RugXUC3dNljWcbFRoED8Sb4uQ+XX9DZ5yM4GPTjFCI/4vSkok2QwT1gTGOptNub
vZW9Ipb3HeNP8Q+qNiAXyzuVErT5aiUjUxQ3GivV9dAedVve+m4vnhJlXssMzj3Tkt0yCmVIA4bm
9JkgX1TwconJQ5uWR5HlxW7uDX8n1KBdOd9nl7LNRW2GvilF4ulSc0XzDNwc7wzHCwi3iD+phkQo
Cp3qSu5+5niQuzJkhfNgkfis8o8MKegaLxD2rwnaI6JSwcEyECgD/ArXOmGiivT0tVnXmeez4NLS
dOHjX9AMp8/nyiZw8tIVnj047q5E7wsUljVuZOpea7T+HqqsrlJqTGImx3DBUa8esEFVxPUnxho4
cOWHyQZDGYEb2emhbi/OC/VuhP+9R4U3e0w7TWzjMK82obMIFDhh4sFKaQ7oBdKXdQMgjAiEeNza
1n6uNGTXo9R5rkE1A4c2i1+laIO7OfVxROiL4BA15bfLH9a5zABADMMyhqAMDdZoKaMU0b+gFrCM
ipsIUgMeAk1wj5lxcNv7JYkyytMb1aTxvkqm6WCPOq4T+Npv/RKGkD7ErVdng/nQ9PniZWgXr5d/
4pmXC6SQ5rIJoAvZntWF7PRRPOgoh8ObCbXbMEzjrYTuf4Mq+zVexZk+yslSqwuRXpqxEHlBrU8g
n6Uaa4yqdf9KiDlz7TMDZuy8yFcsx/b0tKZDFlktbSyAD0joBvhmH5oKz7cG9tkuQhX9mdQ2/ujm
ZnkEg5td+ULP7Sf9WMaVdOy581b7qXcT8+kJ5YOxriM2NcKtQrZ/akPdHP7+m8M8FsEGkxEYpezp
gxotBl3BAuMJi6D4VJhqONRdSC/bNIfN76X+lkbY/2vqX0uY+r/bo27D7z/fSnwt//S/Fb1MnCep
Jx3yFF4g7/I/il7mf5PQCbB0ULMWSab/WFIK/oTTxr+2AFm5vHkX/7akVDipLi+J/x+4BJBO9t8R
9OJf5a2+CZB0iRgEQtQCYMd/qLhP33ox22D3DPu20xJGXxsHyWRE9WAvlkeCoLHFVyjTgHQ7bZZ8
Nt0ifAaQE23gTiHM2vkVzMqRTtZn1wgseQOVtbT3UWZOyd3c5aN+V+QxtnZIMg9bO4hddx/LyvIx
sJ61FjWQJIvKPfblon4Jjc5tt4EWMUzZBH3M9DNAmJmWZZvaU4JqCIZCd1ZcD01zRAEbccPYnGvN
GwGm3nB2CQVbvPgwmC/lgIeBU9Bfw1DjQOWJOv6I3mYTmWZ4GDSR09pAfrmT+eTZCe5CWHnoweNY
Y7L1CCDL8AFg5EK/Rxsk+TLjypbdYM5t2F8cZBq/By0ljja2/TIxzMUTfd5m5061W9SPpQLDUKf+
SwcAs3QYaKi6sTYY7xnaHyZ/hZcobTI/DkAq6scqyQrtS13bvo2ouht8jNGjcTCcMU1EKdGhxSTv
HtxVZqH8ju3Vh7wOnfCjzuREhOCFUej/OUZW/KuqND22tk6fyNHryfGDT0EIBvqjBUc0/1pCw5v2
0wxqpzTH4Sc8DAMdpaQufqDXPP3Vpih+42bQIR+0q4FWfZBTqkO/KGNsORBEifZNY3UPDn5m8Qdy
irFBslEgmtpEvnYz20iee3GQG9OLU+j4OwkjKZ9T3w6B4wbtgKIEVs/l5ypipFEz9vT0ybFvdNlH
zzhnJzfDZPTIWU90h5uYphZszND8BFGvQaBGYRkz7qNIBRj5pSUyV3JrQKRwH1w4r36Mn3zmNvoG
n/AGR18cTLPFPTJkJH2HYd/Q9Vu7Jrptp1ZUE/LSplOXcMXmEgs2zJ/MllaSyn1sP/IgowXWWTJV
u1EWwrlrgyFkDiJNBqIBhWizK4vB1vC3wrwc7UzbeRLIKne3kJ3i8NbGawD3O79FRbQJu7YG00Df
8UZBT8uP2EhYr/aAUGekgVwtirE59C1jYmSIS9Xv9NIu7yfc3R41VDv3LRQ/2k9unT0i1ztRavsz
ql/04Op9n5rTp6mesLksrKm+GY2ifw7CcvoQIwCAnQceJY8Ol9XzgDGi2sISyhMvw3Hr1dC0/EaE
Be2NMOeT2DVTph1k3yECI/06/SQKvI+wAQmrY1kJ+TwKVX6H5GZ/9Tla9G2UNsMlTYcS8hcsVmub
Yo42bea04B60zBxqkhNx6SPe7KL1GTUJk624S9o/bN8KP2NpIB8dbOQ2dS8qv2mPkwibrHppuyGO
xp8hrnr+jE5qK0OVaZsKmko4oUvvD1Xb/0lUkCay4FNVKXczxmZoNsHCJe04n5tBT9xUHMj48KI4
mHrVjmoXGkMwf6ONixvCXQhSvP3kokxlbFvSTlvfloEWi3nnj/Vc4NLmQjsu/iqBE/QxNl+Jr8LY
a1DoG+71EaVsH4vMwkFQfZfDrmmiDXZFppvd+Q7MDWwu7WrEHG8wxlbucVfTwTyMKB7tS3fIGSuN
is3f0CxIPvuBzs98MIFaDcNr5iPZbm6lA6JQ0I4LU/0Q5Y2GT2ZQSmxK7V74mFoooAkvRcD0vtwg
JzyE36UbNPmr2yLm95V+TJF8dkQ6jPvO6Ir6gaZwVD/YfjNHsILC2kgBd0EDeKrDsRs2cY0u8abF
rtDDrmpQG7+27O8dXV+80ZJK3QCdkIfWBF5ZFHr2LeTloi86Mq5j970QP8Bbs0+1T86Uo6YQpsiu
4siCqPlIXJgE8lobwV/0MFtVfesgCPyRRDsAZTbbO0C7dbqBjd9pB7fT8xs1Ds1X0g7G47XA10Az
Z8jEQ4rdQtfTHNSb3DiMmZu+hpOlPgQto64NgtXuDki67uFrintaqOQxb1PtQ2fjbzjUAr1tO7cP
Uxk4R70comBTTaP1rZ86tW2HLETWD6lARI4y9KL74h5VacaRYzVPn5PawqrRhQqxy2LL9Pw+Y84h
xCgOIkfwbiMn4e6lWceHCO+ZFyvJPkIe/+1U2N2Wnf6XjZzxZ1VCAdrEjsTptK5NhCTL/DWdYju7
Q3LQAvekfrRGUtXfwoBIfNvFfV/99FOzKR4YbYzGLokRT6GbpprXUeDfuU0KLtuvUBQdJuZ5XuTI
6luZ9B9G7ECCn9hpx99h9gntiz12CZVCnuTO3o/xcPH4QECjDRyZTRMI5q8u0sLOFm+k/HlUU3mI
aj3FJxpLoUcbziESNrk0qg2gunzCCcGPAKnogfOQRnOTe0ZCLK2yqT0gKjltqxqg/hi4sbaFEz49
tRaQdUAFne4C3cYK8Ehlm9rJbsYjF78AFP2RE7S2M3YWh9TE2Q9bEN3DYEogz8jX+Zw1lbr348T+
2NazwuCGORriMjIff6SaOdxHZlJ+H0Zt1rddBK3Ux4gR/xrkLj4xuMBOpvPD9ntv67z7mzzkmsHX
J0rmP5vQCsNHNJgHhR1VWzkHP4qmO8yGMXEoKWY3cQCVeVJa+Nc0y2A6NHNe89GHbddlT38/Of7/
U0CXJtalHPrT9yhv/+sp+lXXv/5rkc59iKruF6a9bxPr33/HvzJrzbL/myEfQ05zaTRBFaF2+5fd
+/JHEMQdimXwYEx4/5NaSyzdQTdw8YPBZLq0TAL+nVpL+78p7/BstTkLGLzgEf+//9cJwbNZ/d9v
CZ80805Saxo09FQWqUU4CgalsLsqqCQmZcw0+vAAzbO5UUP0B2vuqya7VxHurtKEhBjP0NhT/Ia2
KvzYJuPdnPvO3unjQ5jyJ7DMcUCN8WZuDfObNUSkrHq1k7kD7jrK7mQ23/o144lC/9QV6behTv+S
pdwSFVE41G6DESX/HjGWTTTGP7sYtyJXvjohfQPDx0VBQMVDYPfVNUqMY/hfYpxcvCYOsWkcgx9Z
40Q3kUI6FXmfcdMTnmaj+YWRF+7LtjbuKpw7dwkmnh6kvGce+JGv8Vuki5sCEB4lM7IWjRXBTFmM
fWXjkibMhafDYH6YAcnfxGkCl5V46BKHsK6J/3Iwmt5ItBs2gVV9Scvsm1tkUDTxX+noSuNTeDv1
am+ELJ+1yQ/dqt0DTu7Brl/cqn7/rKgRJBYE1BQZhC2U8hdX+zCW5tM8O+AsneLbMNmPYYDHSdNG
P0Pf+UwXKnmYF3h7jobqJmr11yzsyycJgXGD7yJX9gDDRqjOQzPppz8GmLUlP1CWzHA9Rvp+KLtH
WRh/ZFihqmT41tvTawOidhPBs9vQ5P0xzOo4O3G5RTul3E1phLmJbz82M9hyZM13WZ4+Yarzxzyw
TxjC9xuKyo3Vdc9dWz4letVs44nnSTDeQbbeMjFvl7ilG/f12LW3qYP1DhjqTDlfWokVJjL2+7TH
d0FE3cZfouIovyq9h0LFlNhIc5w1iuiH34zTHb6f5S7ohEYVI5PbsIDPTm832MyTfLbpGsd234HP
0czbuhnTY0Qk/ShjfGWZCYstA7fFH2l6aJuk8FQD7ATr8HGHP1e9yckShJYtrIhGYPjhTrCsu//h
7kya40bSNP1X2voOGfbFbPowQOzcSZGidIFREoXdATjcsf36eUKpqhRV1aXKY41ZHjKTUkQQAbh/
/q5q65l6eI+nYab22xm2Usky4WEuKDPI21i46amUlA1ls8uQPZRx4dJbVY/UDDfqegkUXcQ5tybV
kR5Oam5239Nx0FlopK3EYX+x+LJcS3xaOwpwhOfv8t46WW51Tw3abWDy7ee9um2s6yXD2tBXv0Hr
3nKsZ6iYU/pZSw36iL/xV0egj13GzXSQ7REI9tQoeHt2+oNXVA43VP0bmOqXg/yPd0PvAcfJu2LP
e3uQH7XFUJ+n2T4IqWzxswiRK/aIVjzb5ZZ+gevJg+RUI+UA1fD80zp9+wdc8PNa94uy7cebs6iS
BkSiDb/v2zcXjeW0QEeo9KrqM8hgu/ENaGXOcuU6sdZ8/yKwZ+HyvgzxaxprsPvXH+Etkv3HJ0Au
8B10/A6zvP0EwJFu03tWBvQ6Xrk2ltCcCO2+OasXtm1a/eZyf48G+BM3+f5+kIHsF7A44L2/eieE
Yw6Smolsn4KtxAo7ab48yepGdTzykBFlHA3Re5fM/yT3piek+1eq+2z38lB7lBqrOQ7TguALcQEu
/8SgyfR5QTPfU9iGO82s6nT9dRP1+/Wroc5dejUHVKYZa2U9Etq5EwsRJ+sUHLu2eCknahSz4SLt
8y2r0dYM81dOIGQy6frTTCs0Dl/rcumB9vngpHSMalviME9D9M15Pr30TvS+IREuRjotL2y5Gsk4
uV+DXj6XQyhi1BjDvtPWXe7SDVRHstjXWUc/5rI+2T3LZ2g/VUv4Pl/Np6UvuMlkeI30b0labIDU
EOzazjh00FTJX5+W3rcN//yfM/z4pe3od8hy9X2n/vO//r2Bav/aXr80r8OvL/XmlRkCfgCd58j/
N/+xFapQy51+lcv9K5f2j09BQMT5T/67P/yv1++v8n7pXv/nv7+0Wqjzq2XF2zkI88pPD8g/lA9c
6OmlUD8PTt//wh+Dkxu+I8TGIbkLWz4kE9PRH2MTExDhbAwrSPi+d1X8CUk65jv0it4ZHcaxQPQ3
086PuckO33H/83IkGDqseW74V+am75/rZ0jSAbxhpEabenZg8IK/QN6kBmuXc1+3saZhFkCBYBHJ
yNoD7pCTxlXTjxLr8EOaURCkxXCSxADR9ojsbEqkPjeUGJ3JBqZTaVrJONMIlIisapckVC1Vt36R
U8lHynuR0EXDGuFT9UNTbZHTuuTp3JoTWVpZeqUrsMGNPYhBHAqnnb9I/KwO+Rqk4ySy0jQm1mok
qNJkI4rDMbTuEIplVMDhOtysNa1eSeR2oISh1rQX1Fbtd3GHXDw2TJbKxAnGzmF5BBhSfsE+aXXS
vDJSvFIHaKviUjHlLUDwQZhvOtBdkzSdNQAKLFl+NpNow4UQbQKkqnopbsxVXdfK5opgLvnqpK3p
ckAje4ums6X4mJH5mW1duUzjgXxhYFb44dt8jtInLJimOKvS0yehkL0kNBa5y/2azv7tAjLsPKR+
mumvkS4Nb1tnog5OuWDnPYUWvYy72pdITZaVGuJ+aYslroLUzeIwX2R3DTAE2OGNoW0nudna1jWh
kGsIIAwvNcK+HEAArXVf0cGV34k8QguFVlQdOpo+01slCdZhU2/UycmCUBxKp+0u6PcT7mc/Wwo7
di1lfxMZ01JN2dFtTXoOfQZcYDLVCv8htaz6cpDlSEXOvC7831FOa9yFjtjl69x9ySuO6iRTB+6z
l9nToU5ljyBq6a49Z3lxfRFgMZduGTuKcjUPlrmW9Yegqsm7p25nTcrMAW40qUncMmSjzaG+T8Fq
WsXWWuYbICZ/iEEXfIqFAIyzJAom5rsZG0y0L9tZ/iaH8NcsDJ4hwjYIVuBf0EKDav2yHbZnVHQA
NemoFdwBqmOQNFOoTUaWZoppCxunuGA+oWXIHTmnDyalxUIwn0xOdyEQetzRMecC9Hc5LQOWeFzO
V85e8t8l43wXC/25lWICO39WvGcYadE6s5/+8lnVkppVXelNhvuGSZMesuo2LYYw5JsuK2aIyJ9Q
X81mLQ/EHX2aVwb1C+q7qmjrUG0Pil1TDx7hKKNGeMqnb77ys2/R7AF2GzQiGFHlPth5de6gpXkQ
dWZZthe5LfyNyMU3KiGA34L2uuUZ3Im8AdScBl0RkRpGr9HilXddt6pPzRj5oB+jWJqYIEsnoJzQ
Sp8azzBelyxt73o3rK8bP2rBz3qn0wBVvERSyxycYuYwtNdNRVttblAV+sdG+Ob8+WYG+0VL+P0y
kuvP9aQwInL8889/0ieVFgkfU27rTVlhe24bOT7r3n8kV8g+LACFR8/MIBQkqRC9L8udUangpWYG
vw2MyTr6lDw9phyrNhR2cyAAz98FBLLuFsMeNz/tRf9kXvwnHxX+mqQMlviz5fBMev70UaOR5A7f
EHqzSlt/yPk2tlPZrTtCYoBtBe2k5xM1X7w9tb+7TG8Hxe93G7gA1DlbH/6nX+XYUQR/0iwDd9vs
+UdRyfBgIdGmnXPp3ofGaF07hJLsxmJooEsGtdUtaQJr1O6adl23QMuvaUNxHohfw5wV2qeZepDf
KGi+O/HePhMotwmkApbCjPAPgRNhKeaGgnu9qcOSnUTWlN5nQ/qAuYhtY13OQY4YtHLOZ6Rj1n4K
GD7Su01H3TM48IQu0Xef0bgOVHjbxrVMDcwt4dgc/ALv/IwwZ58J27qj2ZYev78+k/2n0buYUH+6
h/9hnrosPr/K4uXNQHX+Gz+QqOAdVtZzSQtSSJzMQFJ/G6kwNrxD4cv3yDuci5jOuj3RSpX/z38z
N2EKIL0FkQ8tESQK/H2mct+haztjRxxpIGhRQf+VmYoGIZ6oP+8nL2BhAO46q21cBi4wrrdPXLjU
rrbUmsjBQQgfGH40JFUdEtOXYn2hPMw+U6T2JMYgNoKUgz+dnNUt4Y8dxW0ck/1d6Exy1/hp2uxS
gNkxViJzqnOMFpB7tXZsDMFawZhCu1UxOeP6Prcbn3pIMeT0JemMQ4XhFHI/Ir/Nd0NX+BDBRtVG
BIWO0o/TLDReWSapl+x01ly0uYSU0PU6ncxJc1x3+oB0IF1bMNXBMJK019hGdDFRevKBknnjA9ht
bh3cLivfh7T1vfqiDY6EOwU6hsUmsLErD7NDhv82Ei4DiFIrArwuLR+k2Yn3U9ENBhx4OH1UVW2f
xqorUjowdQdbkgbjp6xwCSly56XSQMRgiFBQgr7mbmijb+ngjI9zYHjeRQtqvdOTXGAAVkYQikrt
QcaSwLMiVuYQPhBSAwGR02F8zk1x5P3CyetFDPDuQ+SXSChpPnipZkISk6aqjUsBlq3jnP3+Ax2d
hUBeVIcQmoUVgoEHmRvEdKuOF1kvw36jtK0/lsj3L2AT6G0EWScxV41Bd7tOXS3itlkn8g0DXe7L
LgD170iHckpvuictNrzAiqw+9haH0KRkrKUDMCwYtNJQ0R7aF6svYqfz7CuPkITrPiKGIvGWaOkg
Qmp54ztr7m0m4KELp7Kq58AWsibHRAXtaeSXe1DQuZQHKofDsoaQgX/PayuMbersYK+Z+28oMvf8
OPQG99WfoxexOOeM9KpUImGQmGizFpDUUxehjEstObyfw2j9OhKtdZdqXA37pqX69qLISMHZ21OT
bf0Q+szpJE57tylq5z71CvEqhqX9mjMjp0eYAX/fpWNO4YW/lDeG32Z6Kxeb3oehdGf7UFe1c0gF
9SXcf6l/5aydFselM6S91TUJYiTLesuHqBg9tBRdQawcQQbiwxJmdpsQTs3OYud29jgohHe7DEfp
+0bNYXu230mmldlYPlorzagJm3VncBxnfnbstpj4xlq+b1NY7Y3XoHQmML5v6AJnkv60mMxvCfd5
NW0rFH/jFWy6UyeiCKQd68pahnjsdR9ufFnVbOzrJE5ighffhSUvvA36aK1xk/jlnJzjkaukgF6K
4qVcOTCZOijqTV8NFWxgQ2P67JjNN8ssbWcHo7X0jOvaeFYqonaSPsYGv8+gAitW2rNbJogpem7t
qgF4WIQmj9qaLO7Dfrhv6bW9kiIKPqY2J6lYREBEiVlJmndJKZy/yaw3z5229QrcZzfG7dCTCxOn
lHTS7J15A22nZEjErdGirFCrRfCKpQzjpcwdl7h2m+hDkzLIkDzS2r8K+3DON+f0zujQQUmLZMnr
wIt7Vx/WfFob5NR+2+2MaW3fRwu519vFHbrh5Eir/OYPMr0pOVWTSEbL+ZJEEbTvfWRn+UuY2qw+
xG97Q4v2xFyDDcGaQU2dKyTc/agqXexUG3b6VuW2e90vrNN3RPxRKhzJBaQkYF0Jt6M7pORguJT+
VgG+sXhAQwf+Q4/Cc9Nk8uQP08Kz04rpBtLQvC6gl+U2NHJPxGsUAujqTn0cCYjkedV8/Xxr7UQH
6+zxsPmT+SUcKRjYTvMS9feFbVdyg25ufarr0XxuyprFdaSwuX3ooSJp/ixF1ZU306Sc5aYBjFp2
NalwBdNx0GhyC+mk31Gv3oTJzEHnhlGDuKrEabNu2HIoE8WdYyApo+JhKPLNOpyDeui3LpfL1UsX
uncH2V0RnuaTFc1D9mlouVYbQ5VeewoMs3vqFrjiJOu9bsRN4AAFV20f6jxxRmVlwMrSoujUMxpA
tCFIF+Lq5sA8Btmk3V17np0wuajq2EVV+1FSynuXclo2L0QxCyK9hoKK1JCcwvcLR8TmwAFEXVFo
nK23YqULlZbesdpnM2mhcdmRoMczQHnVTrbVfO/POA/Irh3t+bycTyn9sZZvzzfg06l5NIOZuCAy
D0R3462rnHY5RxVqXcJquIWeXMgeGVnSlq4s001eDBrMFh3H4a9PZP8eBPafNreRtvev5jbgvOLz
27nt+9/4oc3z3hFsRZ4bVhbS0YGb/ja2MbVxVMBHSEoDumGSK/4+tRmW/w6Qi9GMqQ7ttHuOxvoB
hRlgYWfxEWFJnGVRQXHY/YUz/Fcc4lvxJ1D6+WzESY4FlwJP4LC3U1sH52gtiIpjf5TW3TCrTwMZ
+Fu/Cu3fwOeUxLyZEHkvBlia9Wzajtzv5re37zX0EpdZVrCU1xLGS8MkTSZvXdbNbCRKpDMQTj0N
VHho/9ocac7oCJB8CJpUvHTKEdfIvhgbdd4cw8arDqPLGFhiwjgnL7xGhu8eum7+ULSRcxr0YNwW
2lYbXFvo9evU/Uh5ePjAFnedWwZGtNmLtoM3vi4SymJi1PxSMGsnYZo9p+xVZex3dNr7bsOepLDy
QqgaIZNWOvrjzdCo29Hu1WsKliBjrKufQy8f9gXic7RIxhC7c3ninOskaUvRBoNQE4Ed0umdCi2+
LmFDfTUYakITPdUNy1L0DxKdXAkKRy7WVi9Yns9EVPa6ZkgjSKTKil1OmeamcjxFJh0iyMyQdMwZ
kVFZ24AzY20+IDVycis8YGxsU3/jaHRm/cmMDHvlzDm3SzCdAkrjpufFriUJwVOZoVObaAy9kRj5
b8fK0l/qOWOiNXTjnsky4bwMc2/NWwAo9whjXtLt3CqqLtpBGSTrLv7d2qTtV+23xb2FophpD+2G
uyFg7mzqmRbvk1p7PzpCt3q0Puc219ya2ig7ebkTPC+tiFDCqBKUU0zmjFpU+tnOQrV4WNNxeETV
ZnEUoFvZP7nr0FcbqzeJ/nNzuXbxEimK7BfLLD6gzynVyRiqBWKvHrndsr4JolPbkXkWQ6JXVSxr
rT3awSu3iCPeGEpWesC5qnE8BqU+y0+B7piLjaVEplmtUjx5PsWsiPJ99b40vSmKXXYbM6YM3IdR
DqmFXuux5t0U0cqJFeaOoLG2mYbYWgOOIa452G7sLNQzQ+sGzgekYXmbRFYRlDGZX8brmA6yiWVR
21/DrjLWfRQM0QflBFSBVXaUMxATGABtEgEi4LOW0WmlUiKPm8BNdUwFALNKbZzvXOTx7Zeyseob
10x7dl+O8v0umAIUYxSqWec/rfqv2I8sciaDtGrp/Qp6H+dXreUGU38/7kYZLSq7G9S0sC6wKC3d
8Aqa4eYbU+XTR7c+q1xFY8ynjjAJlDd+HmH1HXxbJABQVr8VBhLVU492sD2wXTUvfulUz4vMGdZr
B+najimSi9NEaOi27Fjg7mFamWS7AZThPIP/unO8MvzCPVG4x25ITS5uPVasIkEZZiwY8/JZAiW5
W2VXNmnprpDFttIhqwm3T/OxWk3jwS6DKtxMFKrfrJa7FDyiDnQ2uVMreFDLPYOpMZvuGlCNIC7Q
XXKKIiGFfGnXUU9lq/XjIMBvj6qtFCiw5NyARg53NnigVxyET3tr3M7m8Cp8qytiGgv0VohILwfV
jKB6RovXc+uwj5e35ohANnAGOcM3jJUi1F6kFaidYdxmVl88U3Wgs2coZufrbHn6i1Wr+l6meeNs
2slFGBkYtCTHnRngpq1G0iJ3veegWBhiUhVXuym3/eIPt8RwE244dDrvt0TMFeuh1Zm8J2ghLOMO
XQlxglGXfascCiy3ZWO43WmVfTdvdFqOFZR5jXbTpEJD35gkUvK8NLMK8IKnnLtDp9D5TuaFbLf2
1OdmkqdjYJ+ilmj+Y++Qbb8d88KxDsiE236D7dR+1jVpLclkRyMTj7uYidGTMBtjFjYzCESOm3EQ
oZ44t3ZBYq42mO1725HZF1Wlkx2T3JeHMSe28YJAfZVuCUqcnsOit2n8reRIbS2GyfPxwsiyeELj
Gn4YKm9pkrOc55Job9aBnA8reXjr8UnIjKimzLQWdVVHyBE/tXPmqddQWqL51o9inT+3qY23pbL7
3jtzLNYk76NydsO7ofWQXTMaipqROR8JoEN30ZnTQ2RMWXG9iMJCbTIFNGDxqAx2ySEjzQXNZDhb
ggo7JGW6zh4ZTjndcJ0t49iEBuhFbPpjR2w2r58e8sKo9EWWLy6/0uwyR4P/2lnqfCuNqmsOyvH9
Co2dGo2wjdvAW4Jd2zvGJGIEHaLAR6qttd9kykhZkcygHx6nyGRcTgBUmvApWJZyYHEmPuG+Q2xC
cNRi2+tBLF7r7sEdgno7Of3IUqJSWhJdVOXFKSuo8zp4te0Gt0zTde+RrdKyh7LR6ufGyrFxQnqg
qkh1WVlJBmvBE9UHHCX9ttRIrRtBZNd9NfB0HIBKdXA0aMWy2rhZKqv86kxWH31YBl8Roi4jsp02
XSv78ss6Klu97zRi1aulCebmyvM6i0o/SCV5xujbIL/s6HlA8zh2TfpoEgA3bgi+RC5lM/g3fPpB
rtvKaCaOHpyVKByoi/yK9XeaXtVKRNVmJB7Ou8MJ4FzOOevrxbT2E6LrKsd/FCIsEfdVFBkKG1Lq
f+kshHsbo41KvQU7gdNRK/rsW7049mcPdbD+Jpc+RUjrWo2+cnXdZ5etXwb2sTJFUxKiYkYItSaW
UTouiDrp/T23yoyZtJOwah4Kp2x1T+a6fJ3RYMbzzCk9KovmmgwdxgWmlAar3dJFJWvq6h103eU6
KWmvJAFgKcrEdkj1T8+K2gW30cFz5/el7YuPU9UjIE4br9sWK51pWZrX18wM8zevNevtoli2Yu7O
YecKKqOtko6bRs7iRlZNvrN1b2MaHz3WXKNzt+M49Uf6pBCvm84Si7Sn7U4t3XEc2/VJVGVuxRr0
fhMCpyX2AOa2eAqfd+Z6xhVp+QSo2TCzfkFBGu0w12FoxqILAkQLyDAta5joxgi+dks1HnKF7TYw
WUmqLO12gBDZrlTz11Ubau/bONd1WuWk7bf6Q1/O4jaayYspA3A86bvls5jy9ONMIht6Y3hWSkRC
EfEl12dhcLraZyvHwpBp1MQCZsRG7+j+Pbh0EGxR+qnlLNqmsMXvILbJ1Mz8TepG9c4MVuML+SCf
uU2G29m1jMRRASUe0tVX0tFTAvRmD6xWtdzmjl5vMdhXG1a+7tT7SMsIaTK+ZK57Geaz2vRG1YBS
OMZN6tt50vV9dSqDRT6MJJai9Q+0YbKKoQ8Oh/ybFq7eMM217JPCLekfKrxrhfkksd36CTYrRVaN
aGMaJvO+S6nSCQhyO/aSUzQGxeahS+flKrXC/kqpkgxghMm7tTH9Tblk5i43I0APn/EJurs7LQN3
jGO6SOr82iwuIUsfZhVlWwLmug1BaV6SGp3Y9oPs42oW2TMPr9wEmVYfTVuYOBVmGz2x130T7ZLe
pcsQxJ3jIk+3nNs8Eo92JyC1SsM41Cr95i5ec5jAwIDrcMl0opBxKFu9DwpzearTee13eeR+ogeO
rBHtzySROBnzu1mraROuPNQbZYTIz6M0uHWwHhwDEtSvfDbOfWdNTzj9mo8LBY7xVKGSruegYqnq
2699ZI+JM6j2ZK91fUSG/hD11pLkEOWkOBI/QB4OHcul00SQd4VrTIlt+49R0asidru8fbWoCaRu
p/TlN3uwi2PrkjRuaw+QOswmU4CmROdF3sFz3hlKb3B84ax2RalegUA0GuzB2PYj4yks1HNZeQFn
HNKSjaryjp4idytWzkTkk1r0t7LP/1b39ZfMdf9/nvXPmrb/3YK31y9fUQvr7vVnlub8d36QNL71
DmEctrlzEBORK2dS/IdcmB+h+T0395kErfu0lf/9uM9pH5oSvQyRA3/TxPw47VveO6THHEpI0sQu
5QES/IXDPh/sZ4qGmA+2WoyXDow9vMqvSbh+x1F4cUbNJml9SKUNdeCqYjPNA70v9u+aA11+o394
Oxr1ziJocA9ADn7+EweLJyxtm4oTuEzPJ6/IC5EDu9H0KWsWrEzT0CMQCGGVYy8L8q8tML04dNKx
jmaFbyX2rcJE3Bpo+6O06/pQiNS4L6uxMuNIOjtC7FqWWzV97UvgyzaSblL6QPZ7MjPqo7c4ch9k
nrmr0x5lTNEXJ6TQ4kRGgP0+p42aEEAVJYBntqKX2jwa5COe7KgSgLrGfsKgce0GqXG9FHMnNqow
6i8NFC6QNQmad1Oeh1XsRGN599M99U+o6++5aT8xad+/JgTi3D3wdXxb3EQ/XzcjTWdLrFw3azbm
z+lYruFmNAbvy2AC4KOFE/gz5jHAFyWMT/ybm+1Y1VMVG0JRoM3uSjLayhYvgpn1hCmzFJtoaLPH
sgNDjaqiGDAlFRI3FSGkFLP2nKeKctRNPJI5wLLtW1+HcSzLndaRf5oI+zjWfYmZSyHgmE3lNXGA
qOHCxIKOsY42q3Zs9G6Fn+OVcJO8mqt8P/oiU8losCimBT1B//pCfQ9O/OVCwWliAT/LT2i/+4Vy
BOwkFxOecWPOKxmHY23FNIzgzjSyMEQMbJXdpdcPxt6afOTtGjuUzrY4qE3yiCz7gjljflCT6e1p
ASPtd6CcBCT/iZ022zeIkLe/+cDAdr8+EbgIzho2WuvZun5B2+osmDrOqIolHEchHzo9gKI/F5I8
zsDlQOlZI6Vos5lvRAFcQzI1CnPONL8h///Jk0n6MIEF2BS40aJf7jBVe5hSvExtVqWcrWekTiKs
Ifjd93N+mV++H16f4EXaQ89h6ufL8dMCUNKRFNbwaZsqy+D3PDlvwllamzpzh4Rw2vmAK97f4moO
Y2fN0lM1lHbitT4ES522v7v6/7j8nWFYi15ajlYO8OrbjwOlJQKbo/6GLLL+0m5J2cic1p7O8lkE
VZSd3ZlO6tlb0ajupbTX04IU+UJXUtwEtto7Y7gK8IXQz+OJA/DVpGX/u8j0X2h0Hv5zdLJN5QPA
r0dsxtsPOas+sGUKIbVOPrKLqLhaLXFSkConHd5gIv0RHviXNvOb8VUqjSfm6qUb/msH/PiiUIP+
KlJ9o379T4PxuZD/+87+f2XzKt6C+Pz5H1pW/x23Cz54xI9nuP0cpvNDzOpglUeafb5LgdD50d/3
dNd6x83GCs765LIJBjwbP/Z0J3wXAvefZTfkoSBO+kvCC+Qabx8zJPEkPJMY454Dxb0I2dPbW0b6
g4Jt0+U2lAIl3tDlzIMWR8Y1DxLX5WnyegecvQjUo0NDKEUG/ifibjZlUV3lRuXjFX1q1vKYLd0H
Z/FPiCkuAsbZSloHJZ1D2/WHifDNeHFmd0eAWSwz0TxVxpBfVGV3BLY7Z5iliYPLfGNFRf2J8VcR
Djbsgnq9S/2OCVc4ZyGTdWXO2YtVFeQe0T5gnCvj4BVZDYP5Mwo3+H0DF7VB8BPFMs1DH46HoiTF
ZdXDk7EUaCO6aTr2Xmnf4jFFKb6u90p5+2zMyqsC39K9Xzb6bioByfDl1tuZVqrDLHu2R5800NRo
b3T7MKTto+kCqbqGeWdXmcIiUsL66hlAL42meCiao6rKdlemILlC+tEjPvEbTpjeLmqq604jH6VK
t9ut6D0+D6O5832rPI6BXuO80UNiAekBvBTHqVw+9rT0JpZT02fUzJejDe6qrWFHIH20q0ns3M8h
W4JeM30hqyju0vBxcI0tiK2KWRYfZzQCh8YZrTt70P42ckBKxx4qfTHuh/RjOwJEyrlgAy/xxRIL
BUa7HNUafOiM4dWx8acLI7ITDGXupmeemcjZak219ybnWTRjhj5i/ZQGXZY0NfUAc9fhq/H0g13g
fA3EwMFwbuUjIWki9owanDZQ5jPNs+fuLvMxCm+wBFyDE5B2MDyTvnMvff8UYafmlJ1d+mrA8TW4
Ms6ylBoyUSZqMWVCjkIfr8aknsY6jK6HgY4lc+0+NZaaPrtoWg7CqB9HGdzT556viVeut025zNuW
2LG48cmIsGjORHxjX9r4jDZUonEdIdzVmgaXdcPwkUI2bDNh3Fpp+Yo3eo9vvUq6xj85bTPEYYk2
t6fvJDXrBIHSjL5Rfy7Np1aWTzKkIc8u9fgZ6lUhuwWsnSXzhNtP6Q0QXJ00ZmPsKmPCgQdI9DQu
i3OiYQURJLfkTlbVfTeFWFTDOrvFtk6IwYi1tDcrL4EsT18L2lVAbubHs9lwW5TSuXZQECFCifpk
rQ0f/fVqHzJiTbedmy73ZHzDMwAW7kjtFlZC95iLZbYoL6JzBnhlB9XVaIFOrIUT67FMxvQY9Et0
VQ94n3BCP66O5SesX5Szu/s8yNTdOuvuGTf7nNSckh+DscoBpS1uTkDbZKlDbhQPkbuTNRvP0Pcj
GqArL8uI9wr65s6zl8+RW01XoQuyNs6YdcnOKbZGp/ouQZdTq53019qPF02RkAnZcFV4PRhSag+P
9CGAemU2tEvgiQ+VZ0e3g4mXCu2E9HeE59KBRTbEF/Dx5oBAuBPo5736aqbB644Vs6RARRU6cYO1
fLTotL2pRB+Mm2ZB9BE3q7bPN4w/31d5iVgasP6ingJxH7gZw3SwhL0LDt5Ljhugtrh4CZXA9K/X
/bja3nbqg+kxEvjYgfxT95Mx58VJdz2sfjUKHiSUZ9HGE7KxeTKl81JkYfZBBl3t7CwytrZDqFZ0
2sQpLmWVH8h+5q7H8NgchzOQHYuzs9yah/wJKKncrExT8WiaxqUPrOzHTCVNUpSFd1WG/XQ72yOO
YieYk6Ke9XH1CvW57NsirlDWT7tFC5xpLQ+xNvrqs6sDIggCuV5znmDC9TMEIXFHaTcoFNjd6ukI
cMv2gcItnlTmNK5kBoQOJrSCQDeru7O6lvAMMa3rxkGociH10GxGft+j2efzHT0H/v3cm/LCZZh6
7SMfKAgFer5FnY8aJxLLY1B0xnFa7LlJAkgUwXOHLb434EKHvD+YgVaX0jHTXWNhy4dqjXZGXvZM
6UawwYdZ4vYxwuczMAlZpaZ9AWebxd3kZYLIOYT+dt2kL8CYix03bj1+oqYpvLHtTB36yhrugPkR
R3hjvU9Z4hJKEbB3aHqHcz+vH01efUsWoT6i/ZpPa1elu4p9dS/BSEUyQ1RB6jTKe22i0rrUeSU+
KdaaNW6sotg0tdc/GuIsehxtZGYQVbx4hPWJ/jaUf/6lCufhKh0MkEjCzzxWaWGHx6Xx1wS+BJOU
rYe9l6t1n9t+iwezoEDVpTIYJQ6UmzbAG9t2HS4pcoX5GXP/gtQW/SHMi/WOc25Fbk72AgRl7bJl
7LBfEvIi5lbsZk09xtAZ1nZWbfDcV/nweTGK8n3mhMvJ0bZ9EYFdbFt36gFi56nbaR8Ch7wcPKhL
UbWH3qRreeg6/KOZDnftOk7XXj89YqZUh8j2PBJDCaxYfLe5YyQC+S6naT8Hrtq0Datd3Y39ZaUX
sGfSgSkWXoODKXAPSNiOQ5gH9g77jPNpQZmWZBn4HYkpIVqc9EMfZss3t7GaS2033ZYy0TtjbsZH
z/D/H3dn0hw3cqbhXwQHdiSuVUBtpERKLYmiLoiWW8K+7/j184DuGLNAuBD03ObS4QiGlZWJXL7l
XYAu1fUB1Qsy1uYZH1t86EYbmYXk4HXZcO7Ax1Ra94cfau6olQGqBKBKTfGzyhp3shMH0Q0nVrKf
+WBdBsQkYIAmjo5QKxoleBDCT9jbaVQ7uk9tOqXDtAOHh4C9bxyDzvyOtP2wy83O+8CP3+Px8R2o
H9XfgdorVceToC/6q6un+HOmetG3ZhhRWqnD+rtnWiyYlD2koykdm0jRPsRjT6nC0sMn+Mn25xG/
pp1MGcfNTXjLehggi5mD2iSG+Kzb8R4b4z3uYxoCbJmr0A50hsh6SPXgkFZA0TiMTtwDqMwDE+6M
9Bk9cg+pCf1zIOnPoyw1EFGiZ5q3yr2RlJCwCbSKFjdgGhsGVf7Gb8+J8JxCwxE7G/vk0FADF1NA
Eb/0f0tl6gQBDzJ2jcCVWl/bYZveAI/CvUqPTnrTpYeatIUaU4mmSGmErkjLL7IsFydLsggiYtxx
gS/2KRJG5Vj+ouO0a/ry85D+0Vr9Sejmsx1mlMa1GQwCg8T0XWsaD7Awj639F1CGz7iUpW7Z2yZ6
73ywjrpHWfUfA1F8bAm62lCkbi93jzUvaRx1ycHP6h1v67EpTVdo2uCarWo5IQqXdyHiH7GM/Z1a
21+laVL2KqpFMlgxtzMT8IYdskdq4iMjKEWhY+jWs1CNo+hMNyOKvhid7yghHUO0Uw29/6PoElot
llqUH7HLmeGXvwdz/AqDZ3Io903ERphu+eghSkZ9b5KewhqiKJVRhzjh8FztzFK1jwZyH+TOgB/l
RgmPuk+u2tb46iA0ko+GM1HS2+nUwU8SUs8Qw6y7oqa5UOvep1wFwEsxWJaPTW+MiFF1nzwsEB58
Q2QXo2a5MlQ/duGo3yGm0ewxswXeEWD/hMchRng5dhXJl0mitd14OVpAQCjZ8DjdNIF/n1j1frac
Ptpy+LsZYvRe1c48N1kk7cYkF3urz6j8DUrP02FOT749UH3SrPYD+v3tbBVt/gCbdGdLkTjRLrDu
jC7NMrhDUv7U4wkGMzvtz0Ylkgs/fTr1Vqud86qqjlWVzW6tCn09T4HildjWQxsEQE1EnF8qSESO
rcJ2E2En7Qo6oXujoJE5q9lwnQYPSLPKJzzJ1EfFlroPqNOSIrdt+dnLjOC7zvN2UBt5uktSn8Yt
ZLn0HgsV3rRsGL94ArdsV+0g5hc29FsrrqZ9YSJvMmhgWZVgCD/qfScu9YizrF4RjNbKmABZRxb2
V4+0wpHe5wCDZ3ospxIZA03NlI85IBbXQjf10gtPQVXK82jzZKBQe1l9atUpvlcTM3rMiLEcJWsa
NFZp1zUSjcPCGKNPVh7h9aMl0neuAPEDHodxN4B9hgumt3eiYXl6VWv34xj/6WmEwGaKSJNuldLJ
x/p8ZyDf62cnAddj3xbKN4FWbRSErqUe6fw/5UBvxPQbfaQ9Ba7fqgxkuCkQoW/VwrXa9L5qvJMa
+R9oEAOagSoZ5d5RIM0fS+ILIIhfRNv1OVdo/ll6/1wh73KoouYhiB9HZTopJvFUl4/HtAzmYzrG
EaXjqDtWVFv2npjE2bOx4Ksr3tWuj7sHswXdrcDQV5vyEZ4kxSwf5JZrVn5/MorB/54nYXPp0wnt
hgjrs2QwHmEugq3WY55lOSAYD3LpS4dXOjB8Yfp/ySG2aW3doFxmYgZDFB4XZDCp5Wo0Rj8BeDAf
Qqn7YmR5ou0qSVP0XaVq5XOr6jlux82A/AKGAD9brUWxLUNELg/r8nst2fKw03K0O0GgQ26u28pt
lLT/BeaY/DkrsCjWxr6+1yV+W1wY3gepiIZDBLj2WxFbyb1a5l9jOWr+UONycEpFiqVd5g/1PW8i
j4Wfi0uL1124U0zaS9RcbRLzUbcgyYNx9nFN1+U/AYDKCne11hxLpRBOKuT8YJa9+D0IXTqIFsFA
pmWGp9hKayj+ve0aRRwdKyiJ91kY97vBKNpjQJvrbDVB/k0iv90p8Pn+GAqK0PXUdae4a7pjYzfF
IQo9D63zxPopgSa68zO5+qzmbQNSQFfuQEwF1QX93uRocm+clTrSTvFYlOeyN79rnXrEAJVlkzXK
k0aPTWEtVcItsX/83uVm/rkx88kFpgYUXavqGhkmpQXUXnfTn5MPotmpwFp9DKKU+FyzRm7muHuq
uSkOUlUXhCmdBwx8rAnjuqw7hCZSRVJDMJkUobjPib/I2Ht4IMBqnlrT7uYTqjxLgjh2l/smasde
OGILS+uFpMzro68pT9wFUYD2Ag9M/svy8EjYyU1rX5Acs+5S8NvIjlW+9LFDJt5F3Vof3QpV7EsK
89gcreKXWia/9AJ03lQZ2iHmj3stsTLkbMzugphh5KKJYY5kh3B0QwPdPfQNpS+2nkS/w4jOo2z5
0xGhF+M5yVMeA0DVn/CdU+9UuQ7dFhzf10jVoau2holKRxB1HPO0NshwYxzU7bJD39CeWvM5BTfC
Ddhn0ScTj1b4nbbqUjnqCLJ7Qb0p7pNL7Bn9XT40xknrtP5HIftcb7k8wiRjoZofgVr8iuVWfSx7
BICpkJcfbHuM3cEnBokmDV+0DCouGyHoP5jCGB17HP9U/em5M7xHPxy4LKX8rgFoPaattXup9b2r
BPr/s5852wv+56rnIcwSVJBeNzPn/8O/yp6a8g8D8r5MKxN+NGYvNCv+VfZU5X8Y8J2IGhQY9HDR
KDj+zTez5H/MQqMIUqgK0GXrFYffsP8Ba2aWKdWhGyJSqrynlXmNW4bOpmJUjVa9LSyQ01i+Xdc8
NS0KgQUYgWsOYVuBAhQ9RXI/+Grn2pbT24JLylgWWw5Oim7orMOLi+3rNoZBlaVpwtCVLaH/RI6r
xi44NXVsarEo2BtSBrqXzle4AwW2xdNcHdw0TQTIda5tbVHclXW/iTJfCdxSl8K7DLTXsbJxcdWh
uJE8MXQjvPRi9tTAXu2FlT7kC4P73+2beY2ZN7rDlq4Sa5sGW+N1+0arO6mUcuB/hRaO+0iCaj5W
owSbvOg/kiRapFKDnt3VfhkcOZYBaAygTGpORblN+7Hc+kHX7bO/fxCcVXDxLAe/7PoHYUwjx4ov
AjfKvO4eAcLgMkVGc2JLTgdvKvPfqa0CLRdQjp08BDShGrH9ib68siHO8tK7XqyNpXAKBHV3+mdL
5Z0JPlg65XnoUnqPPkTQ2ukkByWKc3KAA1ArBelj7jWDsQf5qAo3V/DEMpCI0Hdt5dsEIPJY3ZsB
FoZOZMfon2x8vGuw/ctazbABWaHUPx+5BeV9sDWlHqGYuSW2WZ91uRvcie713gS46lZI0xGAjNWd
llTZoYYU75R+Xm9YwCxEe/71IzDXgfuAldB8W1x/sJkxFHieiNwAv/aHMix0Bz3d5GMIOP9sJaXl
jIZP8jb6VXwfB/CXSPKy7k+sPIRze0HeXhiWRZ8G6MWMs0BH5PqnQH5obYrYsZvRY/wL5cL4wGPc
HBu/8o63h7ruM/49638PZSxmXXhoJJHuxi7I1Zo2tCW1l5Ku/g8jHcdHuKVbykQrc5tXl7sacIeN
3sr13Bpg+2CfmwjEj9LsBbJcODnW+UFU9rtNZQGjUArCSBEWB+u5GCozoMPKjcy26unpNLFWcPWR
WaJlizyCMP60Yn2zj7w6P1gasJy5iNCyvp5fJFGsGvwhclHDTQ8IHIyPUc2VmCZS80OHD3Ig1s8O
nAIYFlA+1R2iKxrQLdl6RPxYPSpNZPo7tbWNrxO16XzjsL39fVwDOA7NTB7MyZa6CNxWFFAQx3Op
FajHrCSqHujpHLWSVtl799ZsssH1hxsFOhZvLA257voq18GPUcjcS0UYQlS05C9+mXTOZFn+hrvH
2tQgIAFOAtGEGNX891dvH7jvqUayJ3JjvQkOWWkCp23l4QzY0XZvT21tKMN4saniuSV8uB6KNjt3
KXqzruhsCw2ZIoEtHCSHoR+sLYmGt0dUyDwhpKmKRqtDLJ62WK9BCgYlRzRGwwM3Gmm85F0PZcBO
PAFfpaAOJChqfcSrYrzPcZeE5mc3AKkh0JzDVrcfy3Dsvyc1uW8uNYPp6ilIwdtLMv+M61eGw4b5
CFwqUGNcKddLYvUqCH3Pi12vUPJD30BNoCSbHLjfsIMDE31oMvALtwdd+w7mjEfTQG7x2Rc35RSn
VFQygvOwzufGbqR2eECMVvAx1jTp5/9psKWvI8CsiY53G7sIiet31CA/JUFinhCu3jLoWp2WyofS
MMZhbovtJRB4Vzz+4/oDAoIo1/qu1HXjgepksXFI3xqxExcgCfq/Yy2WsDeKsII0H7uxVyaXoJTI
DDU/PCmwDCg7Rm2zLy0K3SN6xE8k+gb9v2FI0RbU4+AiB3FJiTvzoHq0IJhw23q8vepr29/UVR5E
AjwDoML1vuosFDogH82G4Ak6cO3gu0UjzD/awKbw1qve6fZ4K+ESC2KYZNjcXFhMLDZyLheNOWXY
viPOjACxbMu/kNgs1H1Hzmju+9ruvzddkD1mvSE+iUZv8UxTQh1mn43wA70RT/6z7yYq/mYIUGoj
OFhbjxmUNZ8bmInIi13dcj1Fo0EEXeri0t3/MU69JFFsL6VvXLLxXWaO+fn2gqwcbILY2ZqBBUGb
YxHVtzCdIWMNyHL6Ck1Bmt0qss5W/NRY/K8mQi0MVYTM/nR72HnfLe4TRZE1FalUpgnl83qecQBz
hRZW6s7VpR3W4J5bDtDnZazZHwwlRO5PVRJgChS5c99SNrbByhFkeDKJlytNtxbLrFLkT2tUmF1V
ZIGDOk3lgMKM96jMD++/xAC7sueABaJCt3Q4MnKCYrDePMkWwofYZ9Z3UQOoPC16kDC3V3XtY6KH
wjMCdEvgiXq9qhbdYgSs48S1vQrRxUwRhzjR58q8qtAR8IZj2/Z/qxL+RzGmlbU0yHsBFxkowkAI
vh6002pokUXouwEWKiBALLoH/TSCVpOrw+35zZ9lsWtMBWkXxGfAtpmzi8jrGCAWhk9HlvsSEo92
HhQdsBzGaw6K1s0uqdGNQ98lPU9B/Pv9A4Oseol3VJqIb7dr73HHSo5q+sP3RAnAlQRqcMROgIp6
21KHEiL+mhQ1jkS3h165EYgQ0N1EYxWYlrxY3kTXKz0PC94IuLgP8HR+T3VoHloAxLsop+H4/uEY
jZIGtwFx/GKJSbJJUDxFcnysAj74ymg9xdNUfKMQnnxWsM/aWNm16eEVo84iVzwDyxSlNKVSU6Ve
coqhqe/R4xe7Wieq9LtpZvs1G4ng2x1kzwg5TWaw+XvOP+dVFBlZht8FKPKhEpvTEpPH5tLEdeJO
iIMdpaB6jAP5jyyAHnl7WdW3Fx4DAz23bED3uBsB0Hs9cJjG2dDaMu4TCmGMYyZp+xAPsMqPVjTY
n3JtyDKKkJxqlJClkK57LWEsU1hQRiz8CsZ9bcgBRdPBb3cVlMG/ktyrcqeHmfnNijT7IcjTEp6S
l6KDhXX8BAmwzGQD4T1Dfhx7ux72OkLIkhP6mvxD9Uy0LzyprQ6FUvvyTikwat7YuyvhB+h+sEJc
tAYg35mg8HrWld4aKnqHoVs2IJqSYkDU1dILJxmGyIkx4Nl3U9O5mSwnTjeCE6fhBmg615ODmgC6
Af883gWoFLiSKlUbN/NKUYDfxk6fxQNt7s3Fr1NDOhS9TVsJfKK6R7Nf/QwhGfKWqhgnWQnMHUbI
UFgSHFhg4rXHsUUeIItNewMF/fYKtQFOcgxmRgQCWou0MtWA5gQhepUmdhQIfabZvskn/5x2hb7x
8q19ErJmKqJMGaHgZcRV2wCglE7x3XoEyr9TICdcOq2g9YyUnrKz1Sb6atQDEongVzpwTvRnYGj1
yOmYk7iYZVPuEUCRD0DHrEOErGW4sWvevmIUeamoojYxuw+9yBG/OqPdVCRB0fiBi/SQus9LNXag
7lb3tBgx1pEwfYAhtxURrA46rwrBskUlbXE+/Vp0st57yNAPnFDKZkVwimUb549qyuLv9BcorcLe
3/jy8+19/aLNBe1/D7u43U1JhvwWxFx1UR+BctDQAKswnLh9+6xNTtPx6hMz4pxU7foY+roK+w0Y
mxvmmnk2prjat3HfubheGcDXMsMdBpyHbg+6UOmeq08221mDaWSRgCCWez2qOgVTogAYcrvUzj+p
o1+cPNhoOxMi8We7C8ke5wA/nlmBcT7k8IyFtbXd5++2XGDuHYpE8J2gPS5+BMLzeaU2lI7B7ZQ/
dJT+0aPIqnOTxtM3Pm33ZOHMfjG4ac5N6KfnHJHT+z7OpAt8GPWDhbvL79sLs/IU8PLIGAqTmQG6
XjyxikmuieMN31zTC7cequxOAqF2CAcB1zAqmvsmStNjgz+J21KYdW4Pv1JNR9JFo56r6byElK+v
v0urDH4HRoWnyCzrQ0eGfUjhTeABE/T7SVKHu3zsB0BjShL9rGEwfMim2qqcyUPaAPlhbeNNXrv9
QKYTbCDHrFNUv/49it2UXVkBKW38cDwpXdsfBl98Ez7ItNtTX115NuVLbZJO7WIzkOZhICMPnAMA
Caex0vVnoQTFgTesrncNzkd7ue21k5IpWKR0g/p8e/yV6INGEV7vs06+gkTiYqZaWADwI/pIdEp/
ELB/aVnWfgHF256sIojOqgkxuq8q/8/bA69dMwa2e+SVWAmT91wPnE7BYPUTS5xgBnRECyK5szxq
4LdHmZdvedZox81CQTTqxNJV0czpWAmlRjEGjqwbyhmEFjCcDhqx/hetytIN5d+1aw29SKLiWcib
p/x6VtJUK2GXMt4UquPFmCpgMRC8kcooSlv66kUC7jMiX9XGNlrbsHCJTA0JdwMoxmI17TbJTRIe
aA5WYziBNMoPZh/CBR7+i3AV7VaOKKkjkzQXFzfWZ57wifcBUE8zXdgzCVBHHAaA7ZtPCOxYe1VS
EH9Iq83DsjrLOVqmEIrG0/IZDlGfji0Yei4CranTpjmCH3kVnEAo6Rs3wNrGgYb2v0MtXsEsw8MO
yh8gbYF1hjArNLk1xd43adYcasUyNzbq2saBCkZHmdITneXFB6TCIoU24iYuYBuxryYhPhQeUiDt
UDb7MJaRgRmT/nj7dKytJ0PRFSHiZOssrt0y5qGrhix087ocHQCv2qHOUUpooQu6t4daO+5cp9yl
2uycayzWM0biAi3Tgp4g9bWD6tOUBHwVbYzy0s1ZnncLLjDRGpcaRYDr8xc3cdnoLCF4jbC6QAvx
DjStaZ1JYVmcEuHfd3JUPeMXVHy29Fw52GXR/G7KqT2qdVmeiP16R+sKDekLhc6U6oWOrqU9MC+j
2Lh61z65xVrAhp4pmjNB6nUmYk14gjcQR90JGM8s9GI4BYgWt5JDse+KfDrqqan9cfs7rIVAoAKg
WJpCUThHi8B+HKwcKRFUgFLVzu5VtX3SmnD6NuJQg6ITO1zB8vJUIU+yF1ODKKfab/SHV+ZNlxq8
ADQq+JVL5qNUN4nfZMQ/sGdaV4ef6uhDFcJ3lHSMjKzwKE/5sLHYa5kVFRo0r2n6qibKnterXWu5
4cOJIpo2iuZJ9jAo2XUWJDBqrw0tqS6GNK2nH5Sm6T5KCnqvu6kMowNmBbTLbn+ElXPHb4EaR0mV
u2yZ8IAiSwdUiXw3M9GL0JV8fLA6TIY1bew2elTzhl8cCBpTOvVlyJOEv4sj3qIXU0uIQbrUtVGR
SvFIftZSM1VQIZeVI2rB8S9Q99GlCLJQIhBWx3Z/e7Zr35sCIF+O2A5W37war5KnAT3gZsCP2qXh
pN/h66ide8xkz4mv/C4lQ9t1Qdcebo+5cn3PwHoeKJIZ9Q08A+LcIEVBTJ9GCeOjhorbWQpbcYYw
mJzaIg6+3R5vJYyyefYxGJ6fRmjD13O04P0VGS6LhBhj5fp5mB3MBlGTwKn/2Rb6cI/Q1la7eWUX
8VhwgiiKET3bix1tGxLcroxGCq8xfn96Dx1ak8ODNhjxp9vTe7OcJCoyLz59bcPCWG0xVEmHbZrV
4dxI0ts5M6uPcs51memS5ODHUW68hm9PK3uVlwlH5FnOkSGv11OREzUtk1hyAr2tz9QgUKTTAEFg
T9DZDyGKuucGzW0XRlwGBbMKnoLIBu2epsnGAVqZOu1rVeZ9REEcWNf1L6l7o+zkhhpVLk+Q9PC+
dMvk0NOqyqv0cHuZ3zyS86xVYxaEmEtAYnFSsARSLV9mrFT28ClQTBgQaJMWWrBxAa0PBNBjHgjK
yTzpV0cybYhnkr6VHMG9c/aUDveJBKWW29NR3px8Eho2KFsTDz6LEuP1MLmsNO1Ij9bR26o4AlUv
HGPU1XtUV7wfZU3HFoJte4YA5X8DKdY86AEeaakMi9SvO/VgZTaEAi/IXbxda4HurJT/6rqq3dje
b07v/DuJgWh70/mBYn79O21/SGyvCCXHQ5L2okpa8BPVXu9JeLId7Qujqp5zrN/gECOwfHuN3hzi
eWj401DabQjzL/zlV1/CSAGTZoIGRW5F1qkabPPr0Cj6GUPw+svtoVY+OthCgjCMETFGEIuPPkx2
bPY6xqM5an6XNkFrmqp6+O39o9C9eundWXOScL2Wk9fneqZFbC1Pzc/2VLZ3bYED7LtHoalEw0XF
b4OdtYjzpqKNJskaPUdqS/M0kv8AtDeS8/tHealPkaDLPNaLuYQ28snC6rFq9RtxQvgkwhsyqzZS
jZUtQDZFKmyTiDOdxShSK8HINZu5RwWtGnMt7dAZInEqDL82zv2boSh8g1acuxoG6AWxGMosLIGK
pw0XZRwq/LW18Am+3MwXTf1/3l67+Z+6CjxMykmcJ5l6qUaLbDFUrxdynfg9Q2HmdKkU3XOr2AiI
wWHX1kEdPKCx9iXtG9W5PfDKHA1cIJDUeEGwLL0W0HIA7QUIErlOET4kGR6YetEKN5pgFL57KORV
bLwFZ9Quofz1Xi983Hf9WgE9j4f0PsLdjwuOZPiutaN4dG8PtrKg9PNo9L0IYHBrXA/WmWbpgwBH
CGvAs2xfRmK4qzywOhjB19afOHEVTwYK/fsW9bVk47ytLCr6TLoMyxpUzRuASAzNv0iVGNHRRvwI
PcqTOG+OnHFAKe+fJl5i1PB4dl8UnK+epkmL9J4LCuTnoJqzaiO0depxwWcd/r/Yp0OgX/TUzp4Q
G4ieb4+9NstZjwVAl4ae1PIdCI1OiuzOtB24shoKfha8lo56iqYEW7i9N5cxwhSAxmyTTj59+KXL
mgfKVMsSz3bq3lbOgzx1qPqa9caE5it9cQgt6lDkeQCVEeLQrveMGBS/Rz5WOLadZhf40j5cXbSi
QWbBmR9q8/3bZDbwBTMsk+PDw7seD90oAHiQQJ00LIDx4vHs0h2XTnZeGBvvzNrUwNeDhqMr/BYR
N9M3A1lqhSNRVr40eYRyPM1ZnEJUonRH75suPN3eHi9g9uVy2sQHs4gZwy7RX1i7k85xrzpWQwVo
143YeOySMVHcfPS7z6li9gaK3ePkjKUm0FZIJXHBU1bZx1qsu7aZa65Zy+HX279rZdtSR0AFmPOC
u+fyqkVCCk2pKBU87EH2Q+aJ7xzf78bjKIZpAx21MhY9/3ndKRurjLn4wjkaC2gU2vTmMJWrcw36
eZZ6OAynW6LoKxfeC8IPZgToUTSsroeqAsvzkbAVTlVDlw0ihJm5wyE0CjmL94FWdd9EO32q7TT/
9e4FZWReLcTqydOX2Vybq1EhRiY5RY0Ct9UrTwXgXli5Xbm1p+YFW+wp1G7mzj/jEQcsZhljR49z
q8kRTQFTlnqtnCs97Y9xr+MKJkpssLTOO5b6TL61ovHg23r2/ndMkCjPmAduJcTzr1c6mpSA9qYi
ZqF1tMKmXr8kmaIg2tDp328v7dpHBS5DaY7MDiG3xXT93u6bMcQJBVlc6aELR7Fv6TMfPD3yHTmK
DLJZNEX1KI7fjUSmwGmALEPPfz4mS1oMPTeAZXYlHC8tfqWT1R99OOLIvqvTRoVr7ZAQy8+GVMAM
XuQMX6dXJRSuEflOQeBhJ7vJpKXYxflPs+/tjS/39hak36/MBVyuWwCLi6CgB4g30BMTTpQCGMxD
K4MIWOk7QT/gvhm7rYj47cwYT8eYgauGgGeJUkPCHv5hheZE09e/Kri+p64NH2DOD8fb+2RtIEop
GD3Q6YJEYl9vyRzmvNEUBopJIF9Oss+dmoHJcEpr6yFZHYnc6+Wwy1T8r0fKRlsb+gT3GjNR1B17
0YDwmw77Pquk/2JSvFkk+dh72vayzRopRTQqCTJQQZeMZ9oLMXDGDvWSxt4quq3NioB0fhB4jynb
XM8KCtZcCi3wOPCiwIlrNGQGSaqBLaim++5PBXmAbEwlGKbzNR/5VylsIZVUmlGvcYwyqqRd23rK
qVAzlKRGo/95e6yV/T6X2ejdz9MCgnY9Vit78EMFxpFFZ30HKjs8dL6CkaHUZfSuNWPjdn4bpYEG
BdvHvOYupbHYG7BK/TJTetPBbcBz0cew3chKwveWmLj4+VT/QmJxshaTsiHojlSdkUZGTmqf1ojL
dEFVn72oyU/QHWhf3F7FN3WZxYCLaek6mvKA+DhcMR6GCnIyLkUOVPgxPvoY9lro1nZWbKzlfGKv
HzquXZ4XqDi8rRAhrz/dhLPcUNmsZZulJgzXQXIb7MpOOEKFyJCiWlROg3WGcqSfUzQ1vt2e89rO
mYXqVEoflNmWqGLSwLaMQt10pGHyIELHyR6B1/SAsnh3AuOrbMBo5o/2ZroCXg6FA7Jgc3kz5x0n
D8E4R5Mr4znyGsncSWWPY28qUIy4PbnVwWxonzhicQSXhcOSBDXWaiY3ZAltnN4fzgkidSdgk9F7
O9zsHc6ERdsMWT/orNefES+/Pg2m2Q1DDhtYRhCKCBiQGUVR5zMPOP6/Zf5fPHMzzWZ+eHh3KJBe
D9r4UleLiBNSjnV8oj3UOPbg1/ynwmG6ieR35zFMkmEQ18QjkpGvx9MFd7MKn9wpmrQ4dKZVgnXU
pbMt58FGvvu21D0v6EyQouRLdWZ5x2RamfRVyEYxdcke9p3SJvq+6ibvotPR/4ikuvR1QNDLlUFo
nAalatwqNPXjSIaxMe21647Nw88B5oaM1iJdJF+Nva7TmHYxRjRpjZ6yZKBtREdrt4/BmZgRjqQt
S4FVqawDgBGd4SSWLxwyqniHZUC307OxO5iegbp8mFkbT+/buHNGM9IQpjlD8LmELeilqID1m+Ty
xZAe9UgFkd4P5mGK6NIgvt87ftx1ZztAy/z22Vy7eOZMArFXUGcU3K/30ohGQFKVmuEYIkgf4ihD
Tq0bQ+o2NJa7ZmdSZYw3xlz7kKSo9HnJ1VBWnP/+6knO9VFKaw0BHMBF/mFUc2lvJY28wcBau3Ve
j7J4tzyQ2GEVTpT4Mrl1R6nGlLSzp33oY250exHXhqI8D3aAQEOlo3c9Idw1ZDGFioFwowbsS/am
feAD8M8KpJNuD/W2Q856wV8m6+R+E8oSwzMNSeKLRjacCgdg2RmGGM0y3/DE91gLkeEYIz35rTZG
9nkE3hfuutjqn8VMcbz9Q9Y+Ip0vyPWzKgARwvWcw0xrsQuhgmpoMCS6prE+BKmYnm6PsvYszxEi
3VLw0ESm16MEvNQxRHqMHXpohTvuduMDjLoeGd+ml7CyKoP255CVSbbHjLK+dJIeb2GK1m4EwoKZ
wQ+f3l7ysXkWkyLGbwlJXylzsmaYDggG9ZUDxKo41qoS/kaJA5zm7amvnUyQQSSjpDIAjxcLjN1q
3viCavgwTDJXbtXuFdxFKFx12nAoVE/akg1YGxEQ2ux5x/MJ6ON6sbNcHUIzbPE9z2XzsZYlGeMN
rnFfbz0XEfV8i36ztodm/DCkMUzeyX6vB5QkrCSrsOHrDipqdbqff+ztwftxeyHXTqeYLxoKGTDE
rMV1U6KdYyEhZzrAFzU0Mn18NJM0hW0d219uD7W2ghQsbdDpMISIm68nhHUXOq8997gZeBBvDZQD
zEKKcHsFql8N6WYPU+UfXMZxrwec//76KlUDZYRshidGGXd3eH7Yjtbq6d5sRbIvSxSuUO2PD7JS
iw9lEf/AsdJ0Tdvz92bThhuv2FugLJ0UIBQzAxWfBIBi17/GrCTcWk1yranMyh8heNhqL1UFRhqh
ZKS/8l5D4SlAxRKGVawgvVqoYXqPRoVEHSKTiuE0Tk39bjzL/KvwX4BIQgj64uV9tUa11ipiILQf
YTKio0gptKnM+3HIrfffiVcjLQ5QGeEHYlaMpEjKU1HF2XGYJHMjU1nZzgxChDJ3g5nQ4rFRRm+S
0cEjH6NLftKrkWgz8Xqn9jGLvb2dV4cCZqjCJyaJVhcnZ0Ioq2tbnGMmHEyQKC3SSxGXXyZtKDai
rpWDwwVPZ8WaM3WyhOud00cYuUUGBQGr0hssZFXrIAN0OwmR6S4uctHGeCt3OvgbOhzcc3TWZwfP
13uijSRRaAAN0FKGXRPWWFSPSiafAlRag32Sx/FXSw6A2N9e0NVpQhQTVFjgFixLt0pvN9aQEU0b
+STuwbOMj1QnyC3jyfuoV8a0cSJXnk+6jXTu54KOoEV2Pc2oHKsM2ykyLyXCtEhCcMuoWlR3OBHZ
XmRteqz8UXxAIbzeBzbqE7fnu7rMr8afN9ir6wlbiqZAb5Rl1vXppMZS7OLNJC4N2mQHDdT4HvG7
emORV4JpurrQJ4hO6DosYwYh+0OmD4nlRDkOF4Flqfs4x3vQK+3gVHt1csbdrtjnbfa3IP9/ZHau
TZeYiDCeq4YHYP77q+mOUVElFteKAxc8OPISeTutDbV9OObVxyluy1ML5cy5vcZrh5TwhHoZ7U8+
9uIJAL8R80hzSCNBXZBcAYPyJIvuuUjfrVbCTUqFZAblUKogm7+eXzpWidaNlD0n04dw3BnNfkSs
59AhmO/entXaSXk91OKWGztT6YzEMp18YilFGSmnRMEwcSx0Da+NwD7cHu8tzWtGAbBYs8XHXARd
3ECWH0g1pTuyS8+TfiFhp1/suLIxP/coxnhTkBZ7uaotLNnGrkPiUYLgFaNq73RRX7lSqFdPsY+a
rgb44w+tl6zvt3/hfFYXTz3bStYoBVOvsZYYZYGTeoLkguX4qdfeV6n3z94vy/PtQVY2E88KT/hL
EYqS/fUX1uWyLay+tRyvh8jnGVJ0HOICEQm84rdWfHVCr8ZalE3CsRns1kNJyByrWa23mizFkcxs
/Kca2PWvsARq9CCFipW6oOrjZ7OvdX9f+GUs7ePAxALNortguenQCtQssQh490s7aw7RC6JMzQO4
vEgsW5JbD1CMY0b4BPYSlp9JFSpu0JdiI1l9uxZkF7xIkJso6hDzX6+71OLlKCKcwDrJUD/2kTmd
CxtX+9tf9+3NSJGZqGFO9udAZRGeSia8rkmKyFMJ0g5iKPIz0RhlnRgrVviNRfal7jGQVGk4vBdG
RPpEBkf4RWeWTuLieFUNjBQaeYbjNbwEtaIi4BiXw2FsMM67Pcu3e5ih6JVx/ZO1kVxcr6VXeok2
G1o6lp0lH5CNl/EhbtM9Gcy3/2IkMoqZnITk8LJ4MiOwB6RW+GoYSQKXbmddpZqwdlC0jVDs7dPC
v098RMxAxPKGOiDnOcBxnLAdy8uik1+Hz9xnzcEaooiIH2XPpIy3+ArzHXt941yN+eJ29eo5K0e8
IuKaMXsDjWpZIK8P4L7cY6oVHFATTTfmuHYIXs1xuT2nwW56WjmMh3idO1lqefCpAGyc6tVZ8UrP
hXbyzv/h7Dx25EaaLfxEBOjNlmRVtZPU0kj6R9oQckPvmXRPf7/U3XSxiSKkwaA3A0xUJjMjw5w4
Z0tFt3bOalQRUhoaRLTB5LWupDhHDxul7jvFduPL7UOya49SDVNsxLXM0l0fx2kq7BH2JTNM1AxG
gKV3z64OXVFbUsCMrf6obrB7yelKUpMhxgR+fW1PDGWRUiblpORueVatHp6pZJnfMUyOXqcu3EBR
UPfUOyM7eDz2VioHNYm5aIC9ykzsrs+mPvPM0MqH+K7LkAuwlaECN6p299qifLm9sTulMIZU6Zjz
ZONRSIauV9p2I2SrBqUwPVGie9A29UNkIQiSZehUGFYhThEEh+iAJsp316j+1SglHfiavSWDWZUj
MrYkOdv4bV63pdOcmfy7cfIT0jYOYj2uYt338E3cL4hFHJzePedG6Zs4jIY6CcJmzaLxpoSGthWK
npu/ugx3D3YDCW1Uf7u9vbtLY4OpBkm2oW2K1BapLdqGWgb8Yc1JHaHRHx34vIQ9F4+1pscHp2en
1YA18nSXwqYuhZeuP6ehd1L6l6Uh6AkyK0aWpyztjFKq0H3dS5v7QontQFsm8x28Zv2l9JCtNuzc
O/io0tDW7/FS0TBm+gl8lvRTL/yeDjZ0oNloEVE7ESlozJ9BhaO+lfielvHtO+Z1lOHA7P55lrVd
F8AUwejmMBW5KPJYF3zbbvCoI3e9/mGyjOJ+oEzywxCK8tNaIFQonNR81iEnvsyTgvzP7e++e8IA
N8hhOKgVtjO3dtob8xo31B29XNyVSFZ8iQrxT1ys2vkvLMnyAkxpLuMLmw/OLCrVgIhwpBxc40O0
CO9JmEp/v1LgONjbvUUR1MsbSrmRZvn1J21VO14UFVP6Yi53KbwBAbJb3XlJi6OXeteU9L5gRAnU
twP0caOY/ZTilTKysCBhhvrfNYcPPbLH9MftDZQHcXtQJf6E2APcC7y+16sqisHtVtQ70Qj2um+6
SHlfTFSQb1vZcQSw6AB2BQ0qIUqbvetWbdAELfkwm5LuZIsO9YS5G58UW/8wiHg5WNTO/sH+JIG8
jKBRsd2Y04tpHjXFNMNiaRgBy22HOZDI/abUAmLr20vbtcX8B3heTL7ifzJhHTfLKuVYMAKCEonu
PAyW+d3w1vzTbUs7rzLvMekbCboEJm4+1VDRPnQQIAoL0RjmWVhG/N7W0H7wkZDqDAiJ3RTUoqc8
MM07HXzBPc9igs6WVVk+I73c64PSW7ne9AsxwaQ62XnKzO5Nnw5mqLjK8LHIC8gTnKzP/Bi/9FBl
Y3NiBD3/3+0t2NtseSk4RdAk0V69/hFzHS1uNxMtD4o5qEGrp81D5jJjAgih6Q98y96hlbyq/1/d
o056bYy+tD6paKKHao4OeZzRW/Ana0LKivHhPLTWVln+4jC9NCmPwItnY06W0R2W3go9cxzue62c
EQlI3HeRlh6xYO6eJkb6oHF1yE23sExjRuy8aEkX0Qhq0oB0q73MjCidrNx1UPAY7PxTNDvdZ8We
tIOwa882nAWIg+JweLA3y6TDMdUtDgN1oFR78jxoUWJdKwMP4agTtc0JjvoSGa2mOPike+eHw8PT
RJuV6pq32d91WEfqs2ZYdY6KXjhqTGNhmJd6XtbTnx9V5smZCvs9hGxvfFCFlH2+2pSj7Xr4iUqO
9VzaBRJPbmEdLGrvnJoaxXVCdQ9+2E1erFDbhvCutsMS5xqO/Wg+j3PH2OKiSmod5/vthe0FWQBk
6PMz2U3rdlvgmUEOZ4UEyLhtlHwrcHv3CerAj3OkV989irUfF8byQqVm3ixVJut9ucQzbDNpfwAr
e00syWwxwR7dbEIeFr9xB1K8Wdgd8aVLtoA4k7I8NTXo9bXTvjTN2lCat9PH1uzie9SjndBTEf+l
y9dQ48whBIsLGqIWmii3d0g6hs2biotkGIEZJLB12zm0qLYsEU0837kCrwoYEeQYVSSS+piYYZyZ
TYNx8ohue+chvzK68VZNActhRI1XjuqMQe3o/SUCeH7wDOydNQniMTTQLcCH5K944aDKyItSxEDt
MG30z8JJrcs6eEVgqdmTFqnV+9sbKa/jdiOpV8hKOAYp71xbWxR9YkJOs0OUMjRfTWPd70p7eptq
Y3kXq818ijM0poyE2t8UlenzbfN73sKyOABAhhj12GKBLS8bURTEfJvCWBkh3eWLTkdQNU2qy9+Y
AgYBYpy4ZZsvrFB69abE6DZ1Mt9BnF6dyPjbd5lmHgXnu5+QoRIqTt7vsczrTbWivCmhGKWXPaU0
dKpYf9eKSQvh5StCu6mPoDq7u/jC3uZgwtbY9BNs9KHXKMV5ZfgkIIVbT57iHrVtdpdG51wSLNFx
3GY/rotYe09BL4z7KXqkTlHMftY2BeI3VTu+scz0j5lG8UAU0xjEww0xMSMX/+I+2CUFu2Sg5M8w
txOUItX9NrJX38uiP56d3piSi39hqu29VLAkkA4rAqSpJkTYt9V4UEXeu3IUmOi+U0WmKrK54H0/
al3GhQoNxevhGfdc4eeR5j0UeqwiUEgAWDRe9Fina/NN9+Z+PQiBdn+AxELKOi/Eo5vXrJdyPAk0
6yHUIe7kZzmAC2McvV9ljSJuVnHfbWNUzooSF6HmpkdMAHvHFb0NmmE8pbDwbN6U2oQGmQDPDslL
lMkH9CWgdU1c4595TbPo4KnYXa0cNGK3JURn81GZHC0qK8Ka3muz70STeLfCpBkmA/RUdpqWcDIq
8ZPTaPab1ZqPejV7gRidAkrd9K0oCG3M0w7UKmHhzjUvKTNfnaovQs2UfzQrGs76xMfNx2YIOpS7
Dhzebj4hWf2pfJE8AT+/Ps6zgxJVN4MU8jSx/kBdbzhTiK/v3Hr07lr40p4cpe58WeoIILQyUfSF
1+TgsO09mlLLgC/NN7e3c0GG0jMXv9Bcpob1ri0iiDARcTrULtnzS7Q8oXiVLBZMl16vtcggB8lU
4OiW2v9nFr12ThB68+fCRIhyVY9G7ndX9fshAR1Jr2Z7hKvCTaMBcCSCyxlikHSe7HU5Kr3sHV0Z
AVBrY66bYPB6UUrce/ksSHwR656NQBm65U1XQGh5XqA9S/2+1+PmxEWHXpUUWYtD4RTzX4AZeZ6B
u9OkgfQHDo/rnwEHMBInGpW2SFvjf1VeGtThpupBqZ0irOPZQVRENGfVrRFKLIv6zmhEdACF3/u+
L3/D1mmqWZvmPeDNdKHTrKxJ96T1pX6XCw11TPDwd7ejhb0PjIdymGhjTOnVsLItZtN2YkrGZl1P
d7U16HceegT/3Lay5wkpNUDdy5QNdjY3dEqoWtJwtMJpbdIf0dCape+WBUK43hiNR7iWPVfkmrIW
z5ANPEabPdSEMyzVSvyqGFnHkKnl6Q9NOhVJ4CYGmkvIXzJVUNlDFvsDfNFHFdvd1RI3wEOKM4Ct
8Pocmd00FkrfUVqwJvfclP1yt4JZYpphng7yFrlx27CWYymniaDFAFF2bSqfFrta6d2Eq6WWSK/n
AyqSylKFA1jOUwoFa5gvaBve/py7Vn93hnX6K68OTVvBUlTKzm1uF/V9becfa4bOLiqcDI/KBFFg
FXNTb9vc21SKcBSCJeoD/3e90tokGf1dHEvqWbzpYnX9hJDycMfA6aGT3bsUMqCl7G5o1OG2H1Bn
yi124Bgruqw+142av5m0Oj64envHVGZsYKEki+x2RWPRmQLmYCgIa934z6r6ago7uOYvS1qZIWOF
6cMA2xpwoWI6GEzZ3UxI34mOeUgoQl9vpimQSLeYewtnkYz3fVLofsRuPMToXR6EJfummGAgAoJV
ayv+5WktuD0IxELY48rT4gzf+jkaT/AiDH9uiXwSiSio+nmJt06mm2b0o3Lwng4y8AFUMdHDOLlW
4Zu2MC5/fBqhWaf7zSAwxcOti+ljbZyNOiO0W+I0HExNgY7VXd4kOdnlbVM7LwKmwDhxROizbUdx
0UCOBiOjRhLXQvmVIe7gG7qefBVdi+p5Wx4BVHceY9pd0n/CbktYJY/ti+TA0aY8VW1cila7lfJu
KhX1Y4NeKhIaU99MD1naFO55djuTocXVQcl6npZ/b6955wL+VkCiEg46hAzs+je4RWw0DXLfoTDt
7NPoifXUM6X567aVnaNpUdhnupPCCi2FzXvfrWSvsB4S3GgRknjDlP5ohVIjp6vHB7nQninGhKg7
kCvjwzabWtRej9LgbIaul3R3htvaz1VMZGOrh3Ruu6Z4EVx4culibStZi0p1eWY+LHTGZkXGNkru
c8Ekt3Di9CBY2flMsk/hwQ3PRQCpdf2ZbLsTTJMiITQa6XxO0sK5pA5VjdufaedAEozh+ulgSdKf
TRpnChdIiXxtSJGH09Qgv7tMSNE6c472yDiVPzyl/25GuXUvrOjPUYZAXJA3oMLB6APhxPUaO9cp
oppKKzwnffMOlSQIeD0xnXRtOopb9rYTAhLZ2UIpS9uikniLBktb6TWlna7due0oTi1CfwfbuW/F
ZE7XI0QhPb1eUNTmQ0NH1yQwqKs7IhT9yWWO7u72R9s5hRLcLgn3QDCSFV5byb0BjbWW9kqMttpZ
SceVZH9U34xO9u3PLTEHg8/ntYYUf7MeZIDrAQ4aCvG9ab5Vq0W/m5ckDXKbhudtU3snEUI/WApg
RCcG2ZhCUpzWTk9gWWnIyBtxY/hapCR3SuL8ayhFYvqoqah3nUCWebR6wtvb9vc2FXZBxi1xzbJT
fb2phFyMYVUE60wFqxcGOj/VZk0lMzHW5fNtU3unBBvIrzI3RDFxUy9VoyovSwgEQrPtECXOqgWi
idbTi4Ml7W3pSzv69ZLyRp9axuK43EsvvjiDkd6vi9sy75gV59ZZh8tYNtYpUerIn6f+SNhjd0dl
6gNgmTL01rcMWWNPQ88TsE4VutjoV/zjqGhvWJH28faG7llCPVNGlYyivCKvm9eVJkqq049DTv0O
GVzvQ9KTtMOaax/s6U54znogDSG0lEhA+W1fvOCzNyPd2NP6g3+i+OkJU32wBjX/FoNveIDrrHxr
zcb4FxeeHgXtXI9+Be/qtdEe1ESRQacZLllu+MlAj2SsouHOA3gQ3t5K6XI3SY98bmShBeJHjui1
qdnQmm41mJtsh5ncJo/EcEnrunhMDCc6d4PVPEMVr/znqflRlWcnGLN57OgTgbFiEHljutP1ZlSS
hFZnruuXEiLxoHLW3OeNME4QbHYHcebeUon6KG3ImTRmja+XqiAjvtjE6mD4det+hOfH1+eoCysj
7mWrUffroepOaTKI0+1N3nMAzDrSFJGsbRDwXlseGU9oV65eiL028OY5KX3Vq9oD771nhtBWlu6o
v73i9mpLM0vLRrbh89L8ViOscGlg1zwIVPZuBBGE5GSlWcGKrhfTJcyVxBHsZKvZPtdlbl2avlQu
TqNUgLetJshQBT+4ELsr4zninELd80pYa2iMXjdTVkaTsAgnnVn0cfV+3v5KewvjMYL9DZJ3ynPb
r1QriUdjCY4ZXaUDU0+DD2VnHxCu935alI0v6lQc+JedlcnHT4J/GcN/ReAL87WKJLvCNIQlxOg7
mdo8dnM6H4C0981IdDEZAADDzdrSJFZapaB872q98qtZrOKT1jhHzfVdKzSRgYHjToAwXB+NpDTo
UeTM8TuNrdzZsbJkfiuEeXAC5Y/d+CyIvKVWH0U20GWbxZjlWKuZoCtnOZn5ttKU7xFcvvDWGw8F
AK13Qzd+VWeEHfTRPSrX7Dw9MDzSWpK89RATbpaoNWAkyiiWVGyx91j1LdyyZm7PfqfNpnNwOHaN
Qccrx7x4g7aN1ha26s5MZdenXLxnNRqck26VdI9V0dTz6fbx3zXGbvL1GNwlArz+eGMfxwuQSyes
2+YXzrH9B9VR1A7W9CgN2DsmGrMCCK/AEgjf2bUls1cqiBIi2htl251hKJlWf1mb5ajFucObZ+AJ
4dGQtXDJv3BtqJhUSnktH0vt4K9sFj15GpuqP6WLM94VNeN8YTGtRtjaKQqL8xjrzyMM/eeUUn0c
dFPRMhtpw+Id3t7q3QMMtJi6ChovVBiuf5cG5b+yCgZ+dJ7Wr3mXiAcy5kb47SyiM/vhehDVwEzn
t4aap4Gdl017EH/vfW4qjoBuZGGX6ffr31BnLdPveQf6gkTgDZP+4inr7PncTfphrL3jWYHlw6IC
TJMy2TbW1lIrEgb1DYq4iXtfD7VyWSzRBTZH7n9wB86BHqf9X5xnUnaJSSOSf8W8oWZ27yglGMO8
t5fP+oR4racV4mtJQvMX95TyNAU5F802kFPXe9mBeS7gkcYp6LBz+5EeOf/lelFWF9F2qnm+fXr2
rg90vcy3SuUcsAnX1kYzXrI45vQkYLXz58Jt4K02W2f5i6kNEk6oGcATcUC2HkFABqOQQTEytjbv
nE5zf7SQ/fx3ezXy126dOVQIctz5dzl6s5p4sL0uivBxKqXhR6jsteeI6cAgSXVR+dOcHmVJewff
pMwo6w+UbrasVyg3xx4YQrgQvM4+GyWouiwfxFlUUf4Xd4wmMl8deh1ZH7j+Uo2oRg0pDTAddqPf
V+VahWMcR+faTY7ATXsu5aWpzXU2OtOpu9aD4s1gXGGwaVvY8/BlQEsTfufZ86dVW0+J2Q1+mTnN
Qetk70iC3YMZDXggDneTTNdDZukW3a/Q7E3rfc4AyrmcyuEgCtz7cuRihEpUMvmE0s28zMUKcugp
A2qRL3F3t0QLYusgFp8gF5/Ot0/lHoYNKB1lKlpsMqXdfLosroHQt7Ed9iocq4HeTtE7j+btfEdv
SPynDLTJg7GN8dFzTEX5rb3GyKegr1G3vr3Y2hdA/vNFr9rp5zSYSn3wA/d2nDF38AGMOpFFbb53
z1xToRmyFWCWzaelBvYB7vcvcDSoeFBGA/0kc0TjesfjpIncXGOYXnRadHLM/luttspdrK1/40Ll
lCTBI6AkKubXlojKZ2vSQUvCSIychV12cB4UqoY0aQ5D9AFJwO5JolynaVBtkZltHLY+VnOj5ZKI
zmqTrx6lwrusUPWPeVTYB9XqvbdPMqBQPYCTALLV64WpjFokQymBMwyXnnSy3hDlmf793LnPkzPN
D4qdKJ9un175/9z6VMn7hCiI1PnbliW1pUpMRmu4jt2QPM1W4/h416byW69Xw6Yfj3ByuwYJSMid
foNGNvsZobbglvUMyR1q6lCCaN731mHUZ+wNFDJq46hltLupv6mQORjS7vWmQpmjeItKzy0uhuFt
YQzWJ00pxXlcjQIWlDZVgwEWvKOAcvfSvTC7cQoWs64Duk042UnVgy4tGlpjzdGY3/5m8jwBgKHN
se0ElIat6ImkdqjINUg6LW2hiAbpdMCwSzoGpIcQot8+MXsXQtJna7/TNhzK9YbmXd6P4H5oYiam
/bZfSuMUT6bzJnfd9OBR3NtE0KEMChAr0a3dmIpVNEZmGlKhJdI88UsVZJcPe8JhqrZ3SChtIbxE
CMt40MbQQv+p0kom3vuxRvKjtof1HGlT25xmvaLbUXjuyRPt8O/trdx7iR1QsQ5wBfRHtrNPApRP
nJNehQnDLZfMHYZva5eBzkhS49EyFPtsg6QIIJnvmIQ1vQN/s5v0OIRSkqqUksk2CYfUza7IzUG4
65OwyGq0+tlKVikFOA1aF9qGsD+CHlJW3xQTUMwJsPzkN8I1q8AerbTzEUsRALdVvTx4wfc+Cc8q
nkmGfKjOXR8zWLT5zoWMverCeALsHZ9JoPPQG9Qq81en1UIog+qDLdm1CrCDf3CGIFCvrTKCP05i
IMTMDFXWF2vjV5bP2SPkjuvbOqUYx+zlEe3oHh4f96tJGjxVTj1ufBR9KTSm4NsLE+BgZxjc+qCv
uuQZahgnSAAWf/EA8D1VPHtoRKg2UUOU/s/t4ea6fSD3LpycTeJQgMcyt6GC7iT2qEIDGlZjEl3I
HKCvU42jfHLfCnP58AtTXN2OQSlzAa5XkNTb05rdG/pUPNmZpRz4Kelhty+bZLvhDNFNB/Bx/Snn
TDGMTmYL3lT01GBs+5LN+XyZMn29H4RT+3UELb6dNerl9i7uUGDJ/jkTVmQq4Pe2SawjNFhqm9zF
ai6edVdRg6gol89wxU/ipDAKLi55buiNP1ru9ITAaQ7Bm/zg5Ww9m62WHWFy9841iRNJNREMVb1N
aFFHLZwPveMQxUTLd2NW9RQkmIt6i95Ae/tQ26uDcrSu/8V9IiGkRko5m57/5hYjFawZ8SolEKJS
ZG+Vpi/CLO6Vt3mf9T8gWRHOs5rE5t+sV+YYuko9R6pHXn98oqzU6ifWO0WRZ70pzNK5jJlu9x9M
WNme7blHR9JqjYPkZuc9Bv2PwwKRK6d35cl/kXaAmnSaJq7cEIXC+jGqoj7U1rL82XfK/5hd1g/M
7bwfKB2QnKKdoUnW4GtzS17nLeUozpkw7Odi6aJwZur0qx1VxhIso2c+QmejffQqqRS/Kkfc03vL
pVDzewqBY77l8FyKLlb0wnRlYzZqfGWE08DPKad+XTvhyejKXX8e3C2ZH26uNbk44ADJfWa9ultd
ucDG0g1OOPdN8rlvR/3iTHn8zGiO/TPNRekv9tDUfmop343FGEJo+/UDN7njWvgNIHUg+gX6ve19
93aG8sK8UP90qvVCxg7xAMNqd9HqINRtM5fHqLpTnvOuzA682k70RSJHh18SOzDVuznYorRsUNSY
Xsp0+dAOjfuZsVb3Xls997+DrZan9dVWA6ymvyG7N1v0TGlQAElgPglHr8neEhF4vxy9ZALDS3QU
Z6NM02sCg7x760yx0viLWqn6OY35fX6lZn19Qkfcgm2xLxNcXac3Rx9i/xdyEigk8HBu+8i2IpJS
5CkUvZGzFMjhDOUTtWTjIBbZM0PxTOJD+Bcdg+t71lp1qdYpZ06LkqQOl7QGStcWa/HP7R3fu0/s
NvAvsAYknJvowxJ1NngGpGVgwfI40ETWflR7PfIH8hZIX+IPt+3trou5F+gdULfGX16vSzPyanFd
4uvUXap/wR6oPx1bHCFfdlclUVEgkVnTlhm7bypTXRwonsp1nd6adUYHBHrusFWc4T1cFkdXZOet
g7jA5F5S8ABEsbkitUsHMMtmJ2yQDywCs6BsfLYKO0uCZBVlfKk1kO0nU02T/93ez13LVK1JbR35
Z/Pa2Y1rLV5PGuEqefZxMaP4I28FB1NvbN79UqN+WCtLeNvqnjei6yN5ZegKviodtnNdmCnuj9Ev
u50vsTsv6ZlKAW9PZijtOU2N5FfSpV4SVBF8BwfOcM8jUf6ixgWSHNzbZrvtVavg/6Z4bvZaS9dJ
reIvXpV7i2/O7dG0zd5ZopYFFggELdoKmxvSe5YgfiOyGookPyO8mfuRvbRPVRx9X0nrD7Z274PC
+kXFmaiJNtTmgXWNadLp7rrMvhpPa2R0d5VQ31lL1V68BTB7J9ojHOi+STJeaAJIBbYDLVGh2CVV
QiSFoB0D6DS1TMkP7gJ74+p9re2sfEQ4yTpAJu9ZlWxBYCvYVq7ptSfQCxc1uESlzWRQpCiVRDkp
Vjzcx2vmfbcROQmQizoke9n7mi+sbuNkG6phSM5oTyhLrz57MIOdO3d0IajlBAREPZPuC6FTzbBT
+62iC/PcwucYasO02hA2gX60E9X4xDb2/8RZvbxFW2B4vn299pwknFtSAAmVQJ77660xlCXua8Dx
YTLH66X2qugtA2XN5baVvVsEnbe8xy6vzDYn6pZIzS2aQSHCCCCby8oM1NxWQ8K34fznppjSoMxI
n40CufwqL4JUTUW8yRvQ4tK8EVlpJTP9jDrYBVKq9OD+7O0dWAUJeYTo9JWgRmkTn1W5C9Q3K/Iz
KlXKudCd8eDw7u2dHMz6jeAESiB/xYsFzVmONLYha23l8gtkXnynd+tXCsJH2JI9Q2SSBFS61Bre
iu81qiaaogW2pnR00KLcmAKzgucpj8nT//gjoV3ElAK9O9KmbUOtWvOsGCXmsWZY9BGi/Pykg0cP
GGH8CwdOeEdkwxaStGx5Dkw9N5ltB1S/pmkEXb3IzzX19e8rtPJ//lZQXnMBx9GJoFew+VLxCJvA
xIAvAY7TXKjuJycnhe2gz7Sjuu9ecYvUT87nSBALBDnXp4IUKNHyrHHCIlPri6a3SpCiOnlaxlj4
FZXmYM6d9tS74+JHS8yYXam1l2SdKz9RxXLfV1ZxAK3Z8Xd0vhA3ldTgdIE3z8niVkWnVyxfFWkb
DlTQwqnWCI11Ow2sSRxR0e7agxuE2R2boelt3MqTjW5aC04jmRSl8iXP0ymHQePzYkTGXZR0+kEA
u3NBGKuhzICsOdPbW90M0RvQIY4EQMrUTL+yrI7vJyKB01R67QGy53ebZ5OdUD8yZWlYk0nwZjPz
qYhA7/FkKVo92kE9sLVvFa3rYeeiyf4+yxX7v1TvOxEquNPIXwmqYYGBy6pljjCbR3+xyBVDZFQY
SZ56p/lAGKw5p2TtStXvLW99bibAjkGz6uOnjOmIyl/jgsl35niSzi8I45OgNJXqbVZIJhJVFYPu
xzHqIT9rbVYtPy7gtzgnxPMxg7jtSDmvbbv3xdqIX/rcFYo/NDb0ZstSqW2gdkO9BEbS5u+ntRbN
BYo9Qz1lTa8rod2V3T9Zpls/1ra2PyRl7H3okqhbwx4asqPOgrwd17srG3kaaSrACP7KgOGFTzUF
pCSWNoJTcPXm375dENJJreHSWlZ18Rz4OhuPwHbIIo3nUP142/u9PrjSOq8TIZAkYNk8UQIlpKjJ
5d3to/jN7DVD75OJWm9sa+zNYEp09+dfWARihDYYrMa8wNfrzRfOjeYwzOzikN/awEGCxTbqZ81J
mlPfDO6BJ3wdcFFiJUcxuZ2/IX3X9mrPSvRlpNc3IPsGt0kynA3dHYIazQCSZ205Z8xTHWzr6+uJ
UfpEMI8z9gte49qol2dxaeD1Qru3i8/DmuqUIUfrbQSE+OBNlp58e36kwDY1R+rIQECvTcWZUKYl
IrVMuIxBmSrRuzhTrYPy4t45eWlF/ooXpzRdjDmtbArnDVLbD0VbiSconYoAXWeYiw14kf7ms9GJ
AtfHAA7P5rXByNUKZcLDk7wOw6nW1yIAYT5fiqwD+Mn0632GQOUfxwJ8NonGlCg42Sm6NspUp2Ex
6kN3akj6D7aZRr6IxvJ5ag+nVPZOCBRhDFtAVUohYpPM1a0YesXi2guzgsXEHNsAjknbhzXmiO14
7wYgoCwJU2BY4qm+XhWZhSTEAOkVD0gpV6PlBcQO0Seo25s39jpZvu2WRyPvewfm97Q5BVMaA9uw
Kl1bo1t1tjIFRThdZi3t3o+Fq5/gEGiHoDUqeApue5bddUp2EV5FmLrcjSdV4fkYehdkYdum+j3C
sGPIDGP7VC5M/xgIc1zgK6gvf2OUlFwO7lIm3Vw/c3BTuJHAv/SFWjPUP3wVHnF3oihDoCz5FOSV
drTQ7d4yDS0nZAjtmADHbW/ODuQzTC7m+XqiCFuFfR6jah5VSdCUzRzqpbceVOW2T9RvewStzARQ
DyZ2vT5AUd576jKm62nKh+69bDddsnwSX/NoaR8AEbqXJovV915bR4GutXD/3N7jvfWyZF5HycTz
yps6jUgq3Z5Zr5N8dbJufp8ybu7b5nRfGsn067a1vdVS30EmE/8Nqnizuw2p6ZrQVzrFkW6i6Nwm
D1lTqdW56Zf2H1VphpOmLd2XSMzF0zC7+tfb9ndXS6eYuVtm5Ijgr3cbRUBl7PpxPVGgcKGksPLQ
TIbijS00zVcWcTS6+YpeRH5eiALhKaOGR3Ne/qAXvn1CfXGMTGYp86HS7tZpdX7KpOzSi0E7mUs5
hUqj6CextOqjqeXJPwngtYOoYOsO+Q3cHQdYAPS34FE3D+ZMQ6PnI68ns/CWcAJMEWRWVgQZw0qn
2/u7a4qTRH4ATIuS/fVy1yku9Zp+yQnOFPHWTAr1PFRq82mcq6OBxx1TXBcuKfklzeYtrHEdUsvt
e2RAwDfaH2yjZMZsyrPHMlcO9m/r+9g/KiYwVfGWgC7aqsmOcaYA4ojVk17YSaioK7yA86J8jwnr
32ZQUBp+ZZb9QVSwtz6bJJ3QlH94Nq+30mgYEqqQITs5veoEEew0fkQD9L7NDuUI904puCLuBRgK
hhO3K4wGlmhpynoaPTn2MTvzQmEgs+9Keh5fFiMvfqzu4kDSa+lnbW1cFZIcmBoPfNHORkueVDmu
C1Lm1dAGiiDC7QZFPQ359FmJTeXBqtC0yaZqOSfrSG+G6dOjJuvOPhO/yiISBIkMpsj//uKGrqVV
6GoRayfSE+2ixbFyTqw5/TCT+R68Zzvej2SKFgJoAWq/29m6sqLortm5doq01j25/Lm4GmTUaakv
p9ZoxJPnQp2IQEcV1mLODxL31yuVhBuMDyJ0Lv3A5nIaSj2rilVppw7Nk3Au4+Tf2Cu6cInX9f62
H3jtZ+XYM0mXVJugbrFxe2nZZR3aItqpBJQUOGUhHoSqrw9N4zW+0fXDp9v2Xu+spiJcoFPg5CDv
MK51jBVCoH6aGQjzO3Ua73pn+GGIJn+2tLp5VHpPe1D50v7aVEV42/rOxkraS6JNZvQpd29eNT0q
org2x+kEY3z1qKTJf6XVxs9On6vn25Z21kl0AkuVSUIlWwjXh3WxxeIuLq5o7vT5VCMp+AFS/uU+
tioK3svQP9YxgpeKntWhmU3eQbni96DGy4SI3he+FtIWTirA1S0cRbQ05ftqXE52rifGxbCjXPXJ
+HTIzO04edNTjPAC5Lv0H26j9dNZdgOzIFWH7H1B6lS+6xDpzPxEj70mGKwUnR85drI8DsTqzaOw
y4EaFiRW6X3RZ1Hnt61LpSt3RHQpyqlqDj7da5dDc4LmMB0s1ka34npDaYy3WjzU3P7IrS9m584n
rVHl5lE3KeImxRtGtf3r9mfct8oN1CXN4iuho7Ir4LpWsZqWQr8wbjddhkXMb72lGv7rZtL2cqyS
b7eN7pxSAMeu5AKFYZvCxPVS7UmpvAWVhZNVRIOP0IZx71jVfJp71z44prumHFppLnSEKpXLa1Og
/IzOHhz1lPaNeWmAQQf4YCWAX7I8+IDbvqE8kUTP5CTYAZuzMQUBc1nVSa6eStvNAyPNlosduamv
Kq79zos85WSn3SP1++7059tJPEd0B8Tu9VjohLra0gD5O1XwnQYoOhUXLXEQe9Os+ODa7bzP3DYe
aPlE0b/ZajM0eHRwMxkRCNM19yDrviyr153Lil5Hrs7t3dAN3cNsAI33qy5rA1CXw8F6d1w6N57s
HWA8edEWZpk6sc08ZcfxUZG+zkQpHtIxS350oMGe6hbSl4NoYMegZFeRBL9gg0DKXx8iw41j3Wjb
5STMuf4Y1xkV7jiu7lMU4k4KKeiBvdeXUo440lAicqFXutXgyG3qcTTd1ZNrp/GjUrkCJJsRwcuQ
2P25Lubx49I7+sfbx+j1+SXYkSJ6DnEPnUvp8V+EH6YYDDep2VYB1iiQhS2E6ZXqc1J11SPTJd+r
WgLPLOWgIfj6iuIL6DKxuXxO0s9ru0ZOULd0vJi61Xvv8yGnQZunxUOaF8nBFd3Z2CtTmysaz8LM
8hpv4LlZCZYN9soittx3amdM5zVqmkAz1uEgAtldHwgjlbFtSTS2QYUwxGK0ScPX1Goz+xf8dfnT
sXhPpqT0Dm7Ga1Pkkzg5yRfHUPM2ep4aO7aGfulOgrgvWCgUvVn15IPZOMof+1WgERwX8N1cQzDL
1x8NJo3U7ru1+z/OrqtXUpzb/iIkcnglVDixc5gXq9MYYwwY2xj49XfRn67UxSmdUo9GmnmYmXbh
sL299wq4rca2EFDsPPQqDfOEOc671/fly0xjQ2Eg1uDMb/oWu9tiYJBKBIENQyW+OQ920rmTjOLg
zUCgDNiP+dLBNA8KOmDBL39vwAoNIjeEli0qP0DAgJZ3+anWiLWH6Kmq3JXJs+7m+FM9JUGOYpH3
1Pu6K5AkqVPXDuYtLtH1oMGoLCfADdqCzuh43IgO1xYZCHdvy2s3RPcuGqUQfB4JlNMrMawWyi3C
/YjmCLpeXnrLrO3leUk93Jt40iIooGS627rxFBMRrKSraBR0BQQuf9p4yO6aSauqn4L1Xb3oW0pr
L8PQNiYyyy1/3fLLy+l224TIFsldxR1CN3toP4+daXlceGtKtjkEymXxD5mqbznNvgzzEMSA/D5W
Gxw3NHAvR14Bb6Si8/uqb+sImavnnYcmnY+OgUfiikTp7esb+9rs4nmJWI+UYYO4Xo7XNh3ptRf2
VSRsWjE34QUkwliVrio8NSP/jGrmrZb7tW9EUREs800qE4H3ckyOpB0pn9tXpJ/9oklkDZxRjcPk
zk1B+zT+6+CHk/PHeLs4YaNEZT3z+moOB5b7ckge+0V3Rzcd4hu5ydVPQ5EL3g24OPE2uPy03uFq
IMr2VSjDKYcYKIoI3eA8c6hm5NmQ/X0FD5+G5w/EepGIgDR0Od7Sq7bGGwVTOXN6Snn/a+I93IlH
SFaOJspuzOS1c/EbVQCLCOTN+4ir/HgMeGq6CgJo0SeKjn+RJYyVPTzBSiW95DFSIy94E4gbt8r2
IZdPLTTpoN2Pj4HwG1oLlx8agvDctiDuVDWp1TNI6stDLCZ+o8r0AmCAOPvHMECEXA5DhyFYvCXq
KrT1GVSeNS2DcFQPKaFvCSyL7+pE1FUNfHQxUrCz6gazHVpjH+Avp5HWz+ENruK1HYX+EFI/cIkg
ub9b4TEd8NbWCZTn18VWstGyWhVMzl252kNa61s1y6vjZUgRwJDeSqW7HaxMDItT8HGq0U/5T+FO
yZfB961bTIsSPK9ZP/14PQRdHxGPFtzgW2FxF4LiRmk807G0s1RhPqK2VxlG5MELFwoUenqL137l
7oLaULSV1aAfgmfu5RrrJQT0Nw67yhOpX8IcOS3SNevOwyD1jf10LbpuZVJcJmgWQQn5cqjU9DMU
SVIsXlpnj6FdbCm7PnlPlLAP0AFDzFsMwG+vT+iVUSHAhbYUFFc3VafdhE4oRibzFPQV1HPVuZ8n
5yQmTYseCX9h+tgrGnSrbgy6HcDdAd0ELaBf+LtDtVeAbADMbdaslZX2kgkVjZA88i78GU2BKWGv
Yu/qyKe/DWzulfXaG6fkyidD0QkFJ9wmeNHvVS4VZIlWG0DTzLPEFJ0EZcBmFELp/sQ/JPHoFSz0
bxlAvuB44ZaGHBGe3MGmbftiorsOlbU4GNISGOEhrtBJAcVfyyn6jtw4PFMdkKUSsJR7FjMgw/dL
o8mXrKdsKOfYcW7cPfs52H7NFh2hMwUIIIA/l5ttCdHuFNxPN+/J5dwoY6p1lE0V6VGhnwZ1U9KL
W4ysfVzGoMi94ZSKyg0gAXsdEajEOlHNW1Imdd19wmx3n5fxJj18v7l+jwIAEhC7KKG+AOl5JEMN
bBIESjgiePAdJ/wqskyVJKDmDMuy9qCCIco1Y/19N6U3AtQ+YGyjo6K51YjDTYBgm/g/HqWBMREs
48OspGZYH+ouuAuoO90NFsXq10/utZGQEaFuAyDCxoW5HGke+8BCnSItB7x6bB51KEnlaSrlV7db
uxtwjquDAYuzUah/85t2g8kssuvqA9kerVwVIYnHwqIz2hSBvy4fXv+ya/tkI+H+/2C7+1tlq1kc
A0T5qIcBkOd0PCaAyRz/wyjbaxDNEaRF+5ZCFy+BR6YNcQtSzcFnKjrVqU7evT7K1YkDIAQdatwT
2P+XE5fYAb6rwM2X0DsUb4mlH4GHM4cFTr03vudFqWvbeptKJrA9eIC+aEVB8iLxmyEAdxUoVRRE
g/YfGXZZgUvE3A9j7RWSQE0b8rTqGIxT+gaJ0t+i13//ht94DmCbUDPdZQR2kIKlCvh8CEeyu9nn
Xu56Mj5D8HopPeqsd44O7Y2bc58UYFBkX+B6AMCOkL6nUeu4CWuXNQhm8WBK4Y7KFk2HSEqIPx4d
PGlvLOq1AZFCb81FFE4h1XC5qGC0EMYh/4QONAHVSYJViun2y3SNnTuvuelFemUTYTTAqKAIilRr
L9Iw0XZoTJhBTFh7/SkZxHRXh0t8SJC135jLq0PhhkL1B6EFjpyXn9aRqc06m6Yl8W1XesHg5hLl
6IMMQfD766OBeugm5L1RzADVvBxKzTFeAe2Er2qkPdcD/T6ADPDWU3gIvT7SlSsBnGao60BWChYp
+yRHN87kwRMGOgJjG79dJn/8jH4wA48t6j7gGRvfd2SlhUstQc3b0hvDX4lncJrGqUS7BGp0e1CV
P1HGOg9IJ7mQ5kPAF3VvU34rk7s2CnrsqH3gdkW9dRdpavgVJfOMeJYJ0Jpl6GRffZ4NNy6Ca1sf
MDScN9B5N2TR5aINcRdHIzRZSj1a8V6Poj4z2kxFqEx68tC2K/5+6YAA3ToUoFNDv+NyPAPT0WSN
0HRt1WSOIo2HnzIa/DdQgffrHKBnfointHsksZGfu0TRW1YsL555W3TZRDI3misO34syM7NZjCJv
VoJ579KDjUZSEGna74CVux/HeugOjUetKvUQhzNMbpSuYICYvUcrV0AuO2PJJ5bR6camunZQEzyr
YSawvYVe6CMQNPd0t2YQfl2DA7gzS54GJDpLdANvHNQrySKODjCxcI1Dn28PGw2pmzbQpcjKVUJy
AFFuyN4utUm9PKKReRoaFVRGRvP315f+6swD6gSM89b2B5rjcu0RY4NUgWtdtn3NPjbSr09Qrhqe
QVOnd6Ny+ZIHs7/5pw8uzakbdR+ZhoM7EP/TitKua/rvbiTILfzMlfnAQUNBE9gg3Dz7ykZLw9YY
IrMyHb0+15i306owYL2gyDl4umf5CKfXw+vTcWXBEZfhOrIVN7cKzuVsRIPklKOTX4JMueKlEECU
PYommAvPa/n6UFfiJQonQHbE8I7B/t9+yh9JrI2AVPcE7jfLnLGC9TYwD7EawKnmutB4IpzjtvsY
StFWYoWg5eujXwlk2GZgTyKO4VG67171VOkmzuqsBFgxOI3wdcc70dY3Asu16YSxJzQ+Nn0ZvAku
vzGc4jUgHHcqGPPfuqijHyn24D2sU2+RoK6ETICtNojgJoSLJO1yJMkknTuBOZyAWit6CQ2bHhKr
RbKqzd9bNqfX5+/aeODH4/LGMxMs1N296jIpRjdQGXAqWoCizj8oReXRkX1XDG17q438u7v352se
GwQWsFv3D1r9KDrtvk9NlGORxqw0HYi2rGYTdJkTVUjfH+4W5aynWqZTPsJiMt+sf3MG5dzHNsC2
zayKTyaKf0Jlzy/mGAV0+PHZGxNybakRPhKcHawAejKXC+Ab4FKzrM1AqWQBtjON344ibHOAFkn1
+tzfGmo3Fy1uTSU6DGVbV5wbLxFo2AXsTeSDPf76UFeOCfJ8pLugDKLXu49CNa1NYyH4UcqQ02O4
dmj3rk5/45hc2Ux4H0E+EqoD0OvaC2lQwH31ANNQSL06WNduTWmeUOVVQ2jBWdJp/O/rn7UvG2/h
BtiH38U2FzCI3eMPXdeVxDFUqwjcdz96KWpRCWkfnYEtXxaU/p6gsaDzbmXtjS+9snTI0FDi+43O
AaVot0v6WPiZjfClm41BComDPEMj/SmkUtyoQF39xk1xCQNupoHbpP8RX+tlQdnUp6ScoLXzC+QL
6K3VjttJSEnL5ssSUf8pGR1yHqUeD6/P79XPhMnwRosDwmRPdNkMb4IE0iBI8Bv/k1yAMVrSiLR5
1k+3SETXxkLc24AXEEAGjvfyO/smCZZ4jhEZUuHncEdN7xrO79IV1Ka//yoUXbZXIPrJSNUuR4I7
w4x35kAghMakU6HUA1iimURvippPbLlxRV17awPwsJmFQOhnE266HM+NGMyJ05qUdupRqsxEpL/G
fmPgApa6ubNy0HlI/GnVsoVBiwiLrlPDjQ17JQDgN2xwC9DTtyL85W+oCQ1BAuvwzfDR+Qz5Z/lR
qvFW9/ZKsoPKPlrDKNz95vVdjoKL0+njPkHRbhJuU6Wi7sGqiza1bq8MoSkUHRxPeX/rlYowgIIJ
9ijKGcg497KLrt9zzkKXlKs3Rl8j18YfGks//PWuuRhkt4pZU3fr4GGQOVAEdBMcNr+v6UFIa/99
fagXmlD/+6CNXwv5dkgf7sILV4LwJDBbXKPih0l0+9H3+frNc2J2tzgzP0obNJ+o38wFgHVDfafS
sRe5dgGBn6alv7V9to/bXdtIEVAzQfkXSPB9a8OxdWDC1SOlqb3miMLtfIBl3mbDRGTeylsaKtf2
0SYphtfp1p/fv1fSxZsiOAxgOJ/WhOcjiEYmR3Fsnc7ok6Vv5gk1qicAJ9StDOVKGAJsDyk7Tgrq
NS96yF04Z+BnOGVKQsCRoHz/nslWwkKLL+Hf5xq/u+NQEN/QJvt6n+MkrbWBhnd76/WF4tJFEZjJ
ynqCnV/fUtcWcGvE//9Qu/PvgVKf9so6Zd2JoGznzBygTDodMsfoosPz7MZ416YRHoAbugSSGEAd
XkYCL5PEymhxSs81cymh8QGyy7o8Cc/En17/tGtPv63ahSbB5iv3Alo+JTXVno8lW7J++bYGEAfN
A3f8ZiSkiWc/9t9vL3Zo+rZ1Dr2M5AypkzCXLkCxCgUklB9DWb7+m65N94ZzRQkuADt17yUeEO20
ieM6pUoyMLdAOJyeJcza8g6yDmewdc3fWrVvISPZoDx4aOKpv8d3LO0gHXfpHdTBuUYSncBuy0xD
BTespzWLxH+Ihih0QHcItVsUknbrywxBH8FrMOdpJ06NMPCTSUF7YZsd9utzeW0rJSD34FACPPyi
14lsnHPbIBiCK04+tk3/BbiV7OAl9L9sWkAvwYlA8w2p1i7selmzChbPTrnOfvJlmeq3YzjakjH/
Fmd5+5P28RSgCmDoAQYC5HT75j+SuiWp+bBk2B989lU58FDlxJlvzdy1XYgKMBhJmLj0hX48Xpcr
Cjw4hGG8jMdUWfsZqECSO63mB8rBk359pa5+FUrBYF4AK5zsH+OOm5jFbuKMhvduOSeNfGuWBjj0
14d5uSHwhgGIAEgmcLhelFTcFfqEndPQKqrj/nM7AjdcDN3Sv+X1OqgbidOVwZAwgf+E2wj/2O+J
WfszXDh7Wq2eWItAZ9nRhYNdMSW+vZHpb3nn5aaAKBncF4DJ2KTd9xiRASoDIF6EOFM2SL6DtEaP
3WBdlcNG0pxrwHdPnoxMlK9RmM05CRZ741S/XED8go0zA+rKbzLb5baE5YlfW5khas+2vZ+18O6a
DqL5r6/fy225jbIxazdKO5pdl6MEk15UM7YUkBsqCs9h4iuERNumquXgfHC8jvnl6yNeXUSkpNA+
3qAg+xoVWQbYMnFNUYEas3OzMgIJCBlWNVobf32n4+P+GGr3cWahts/CkVZjz9tSR51+GAheTD6N
ybvXv+rqasWQrMem8ZFI7OoHsBjw06Y2tFJzCh9qT6n3Ls1uaetemzs0lLZYv9VD9nQmI8Osi2uI
u/ZszI51NPyggk4HlsAf+vXvuToSIgfA90gyX2AtRhKsQTATCpomo+fYI+67bmCiz13W2/8wFgD+
GxMXtybusMs96KWscWftOKWMXVPWwNKd1KLmKgag76+7ZBBU2d6bWCOoAOwFIEMRDPXi6HqrgojT
SgN6Gj0Ju6lovoWVubYjcCEDy/u7NrE3gHFjS73e+HUFJqqutJq9Tb9OHl5fp6ujoKK9lfiBk96z
T/tUszSpx7oiWaxhI2flIx/T9cYo20HZRcMNOIrCMirLGzf0coWmOastevqsQoOfPmgY6hwCxyaV
FKI9AocUv/nrrwL1A/UrtP3AvthDcxsydTGp4xpbgMcnv2vM+9p0tyLRy5fNxkaCmwXIcxt0a1de
DB2HymDMWNV7JCjMGExFDJgwKPaN88ZvKKsYUucbF8uVqbwYdBcoKBeSTnXCqnjse8AJuulNp5Q5
KxZImqfDrG9QIK/sEKgpg2qBqwwd6L1vh7G+QtsFEV0oFRRYyuwMKcdbdkdXCiub0N5m2wEhOmz5
3RZp+k1pAorblQNxJsiGcejMJyOpekSSIm4c/zx1HT1Crordj1kIYovPbfX6trkStMD3xrsjgcrq
5m16uU2z/1njUQ4EZW8LqP3Fh1Q75Ajd5uzL3w+FpzXiMO5mIBh2y9gqdN1ACWgq4orxPMwOy1dv
WAs1pumNK3ortu0O32bXhRIniKVoGG7//o/8FDw+X/R1C8OMKV3uElybb2FAwo8aN+mzdLe6w9S3
DNMtIJjw+mde2a0YG3gg/AXTo/2qQio38WgkeOVQJ66Cde5z6Ml7RSBxgfuDvSUBem0F/xxvO7J/
fKukRCxRiPHAEVZF2ti+SGk43vsmaG+8iq+cfhR1NuQJ0IxI5fzLoVIrtNsGWVP5a+1+mwX6+nPY
Nm8lC5Mub1EA/AcvO3F8fUKvfiAeh+gGIuq84M0aHPqogdpGJSPAJfHftSdgRLy7TJr6xgdeGwrx
c5MpQqMZT6jLD3TV9hCRGdbOMlsS2rBPvjPK4wix5RtDXZtL5D0gWqMmDmjWFoP+WLZ+FO2o0GSs
4PAAubJU9gfqwgqlXqbwebW8P8bgJ9xIua7tzT8H3b7/j0ETHQUOrEBwLhJ3uIs19YqBtf1dbwy7
Syf9t7o3OOkbhGd7S4EzD7b+5XhhDRUfTuq2AjfvUQiL+9zUR6Re8ZGAllz0WXorh7g2r7if0EXf
7gy85C6HnPzFjWVmGQy8GbwzAIf0YeIakRLU66jOe4SgIxvTv2+xQpYZtB/gJzavnv2pj7lLncxf
WKU7ZapphIWDkyX6QZvo598fB+AuNzrgptC8d4h2mh5QROKyCkz56NRAtrpgc2CKoXfUfzh5ELQH
9guIkJewS9+QcUqkYlU7Mvoc0a49Az6+nJYpuNXxf3nl4u0IJCnysQ22FO+WzTQpWuFr0lTAoHVv
gHbtH0Itb9n6vtz/mLUAJT3g58INZnG5OSApMRGzcaYC+N2C/28OcWrARO/d73JhQfn6Sm1J+OUt
hD4xdNPx/EDdGardl6Mpb+0ghA/wddLV4ijXNj0M1HmODJd5Uk/2pDLdQjZPk2MQzrf6Ni8PAkBg
qL1DGHDjVe6L8LWxwngzyGCckAj6fdNyB+eJ/n2YGQ0hYakAlszGt69/8ssAChlKH+UuQJIhdrXv
j6e8ScIuzVSF589UcK7UERbJTgEnub+1f0ebDfwPPIAwHiD9e02tmWT15GSTqMCDhEVsYyjEw6nq
sj7346S5ASJ/mVFgtN/0j00EAPF6t5YZAlk8ckhqkkDeWaDNyhVyDoWfACsk0u6dIEFwBj7l9PqE
XhsXeOfNAwC8N/hyXY7bjaBvah/gk6ARyePkts2zjWGCRK3zvha+PnYNhOn9BVv59YGvrCQAVxvd
Bbpa6OHsBmbuuE6Y2Lai42jP3sTXs58Y0wB23bq3vFiufmWKogq4k1Bn36u+6WCWsVFzWylQJdCq
MJ7KEyXcAzfLM5dWfugysRR8im9B3q59Jtok//NNwUW1W9dwnnyU3h1eDZGLfFBMwVGSdT53oytu
bKGrQ4GLAS4I4heOyOVSwgwQUZSpbUbTAG0w0MUiZ6TPoRy6G8fw2nwCUwTuL9CRgBfsI49ssrZx
+rbiKeiRYA6q4+BMPQjBvvdpCgb/uPiRKcECueXRjufmy8CDS3/jwKJKhlxqL1GsJqsoJzOMCuAk
NAU53h4eze0AF7lc1Z6APhtxSV2QYF4QhLAbZGmo7MPSmRu/pDDBmvNAr3Ocy8aR7z30IghkmwPZ
59ba8CwAmJfQd5ftkCcg7/w7Orh/q24J6fclAa2oSLI5E7nqMynBUoUjST6EiYYFKdwsbbGwBTeL
L2qGcVg92xP4C92A/FIH/0wtl+I8TyS1pa9NoAsz4L/EQByysrUAODm348BPbsSFKsRA/S8Mj6ex
1LpeniAjQZujocb5J1qi7NTFlKvcmxlLjxRfXfmGgSSn+9n4BSpRtarCLbaUGdw2y8FpFPiQavSA
FMIUnl3VU5FD3AQ6iDaDTEquIBT2qFgd/ttAaHUsOshB/0rs0vAzF71+JiG1YRmGS/AhEU3jnh1A
ZwDvmPDSy5ce5cojWdL2/UQ9CB7Oicvu15R54SH0HfUDcCq+1f50e2canYT3g0xZnVs/nmxBQmc6
8yGQ3lO6xO4Dj10b3NfzSj/hAeC/nVZmv3WCtV8hTD1+A2hmAIyGtSNMWrzoEbaQkY9afu9/7ZUj
HmBWHb7pulr99BygCAqXtd390hJcHO6I94Xy3OUZ18w4HI2R9ZtGcofmgRLZ9wFgTLcMNYvbYvIn
IctJQpw6d6GCUOerGJ0f0kEJJJ+IGpf7DBIGQ+EY13+jA+CITutKWlvo1gRJNQdJh5I/HDThWBDO
gPgpaASlORRz9CevVuTJW7hm5TiE+ktTO/OGc+UJLdJ5ah8lHie//AapX84GsAFOE6Cc311ja17I
fg6CR9/QBu5atIVAZ5TyzpQe68XnacxIXyzZOgHeSfVQQnugP09BF4ewGCMg5A6r6T62E4WAlpJk
1gXREmtBWwlfMoAkwl8hMjLgg8AZHvPY0PlzTCQndwKD/QBfJhAFLCAAKsIDGSkAUDbLdwsZp3ve
yfgnZLRwdfGMrEMlBNQEKw51JF4FienfqCxwkly52ejmNNb1QaGuneQNicy/PsqcP2s3s3c2Irw9
us7qf9CJoH7h9F2sMCfERToK47QDdi5UZJqQsqVIhjaj0Lh3mDrQeprH0grhscPiTl0PaWGfiwJS
Zv3ydmXNGletpbGArFcfP4ytNWmO6pP7jVq3Q0cdUNqzDXyOu2/g/MckYciZL0I493Uw0e9QdFne
R9pHISVs5sUrWtTyH5RC078AU5eFP9yEZcmbhUPlb0DRfSrDRGpQ9sNhlsVK1qDpypn3Q31YgL6u
sRp4ZxcdnQB3MSaGOTRAMdnXcHC88C3x5wBOH0oDEZjrxNr2PPneAJ0+R8la52ClRN+E0RB+GZK4
7f8FPAgw3hGCFm41IKF/Nl5j3A4GHjUJC/wI0t9RCDzznCW6tk+Ue+uUAwFjH5KROyGklHvACa0z
js2XyAkBqZi9rrPFmDjJGfo545Qbz1WqSHCg1IdpDoPl2I/U8Nw6a/QL5p70Ecp7cR1AxNlb3lCO
vKeQVuGMpYOdKXLUVvBvGchjYw7daNM8axhepGPey6T23vEU7/9ijRv2cTCek+VJyCYOPz9vAtYB
CkLQLRocCzCkmnVf1rQNgjxd6oUds2Ayn6OIkjhPOE3907w6SNtw0Sf1QSxs9g7rChWNwwJde/9h
gV6P+DWtHiXvg7Hu1Lue9OH7FVB0GDhkoe6fIuCk2aNOoYn5s3WI191DyCCrnxJ3bv0vEK7z08d0
GrhXoqzmvBuGemgREGgYA8SpgrYI4tkPinDhDTsqIO1/ZW1iHiLLrT5JDzHmkAzQij1lSS+RyzNT
S0hSyX4turiJsYjMUXCwiK0+BjWxzSHiA5QmBEnMr9pjbvBoYyH+nVkfraDSxFoWnHTGf2zE2n4c
nFmTu5iC01wOMUvfJcb1RIXmmRgPcB3s/41N0sUAW9XLR5jsTm1hkAGyh1qzOT5k+D1BuZoMFnPh
4g30zo3JlOZzKx12ap0QsvomhTIPpJWUug9CFtFvi576phy7aF3LsG2HIXe14v47JVlXv8EGlLyI
ddA6shAutttTgvQL4vIsAaWkXVo/O8YDj2XejGGgwU+mSfIOQAbHlUWsjICfs2bOXE5QfIXYmOLj
og4tPkY+DooC/eoyw7UooFdhg5yNJr5HjXQSp2xak+zAXLEgbDqzQemMwEQvrFIqmf7JgpV+1UHU
qIJ2Mk2q3kTBxzZx7fjQUD9lgPfBo+k94NxxU3ZhDEsYyBWbAFyF1K/NOkOWKFMrUpK0xhX6OCWD
cEArgMl2RiG6V8/Zv17Q1u5z23ru9NkDiqmumnYF93pGfzEKDjFMq9PDqGLbbkDUeKwgwQoxDKUp
0BQHK7xFfnEphDydvAb4iB8c5UyQ7upC+MsfddPwIQ+BrW9+IVOExiku59V+l/DMk0d0n63+EDvu
uBRqkDWiIqRBvdImXQ9EfL1yXHTBYjIcea8PDk1qEglY3jgOeQ/slc2TNRncfzKWNn2+6VIFUBGf
hwzFQdDJC0SvzuY0DeahmOF7oIoZllJJ4focEUC7sN3a6iZ6eQDlBVI8y0TqZzPFYqlqQ5b60Z+H
/n502rYp2SjbBy/jjjgJaHi7hWdb+n1qsIaQc0t5Cxw9IFBFw6SP2kirTZYD7BktZW1ENt/pEEEu
X31q12JuZ/VlgXTJ89QtGdDRYzKTwnTMuDkBX+k80y21UZxpBLfJ15/NVGcGtiExDfJm1stzN+nI
wYvT9WmxIKR+yuwICyb457TPUDdHyBVARNWlh1DA88iEPnvDXI33jBdyIXJONctK0CFMJBHDtB8W
Y+iv4qDhd81L7djOPyykxQuaQyusLYNgWZ7V3I1B4aGGxvK+jucQoua6nQoUmmMfm3Gd6BMFLab+
qUSj57boJ8KBT0cpriuiNkUW7DXQ0MxxINLm0PZztDwMaaTCswrrwD+13czmU6Q8PRypQzR+O7Ak
YoFFxiiy+IMcllhy5D1GkQyAdJnQPGyiLnuUYd/qx6GpQ4PfNoDGmvvJuoRpvoSJI78gR5XD50QO
PXkmIqOIgS6Sdwub04ib4X6y/or6tT9rffJILJ4osBq0TCSv9TkkqaJjib857NdYUxGh3N2pqZwg
HdlVscNHrEuTIiVDcBBhTkcPHXOIfyiWLxkMw/N5Mml/QjVmcEpo7Af2HQyTw48e/rT1uAKMQfPZ
8cexEjgHw8F3l/Qb/BsHknsaSM2TVBReBHg/MlUFGVLHextm6kOyorZZhYlNwJjpKBwOmkjp8XnQ
rePmc5z8RuZreM4kCBB13rSRQiRyoM79OLPagfQgrpap9EbCfkRzki44L030j29JJAubZPStQk7i
l4BdhCcndqE6trRZGxR409Qa7iIe8eFkFqoH7D/ioIfTDEGeoSvxrIKsn4+dwr/r0jrkJQc++l94
oMCmckBz9B0L7fxVW9E8yTZAbZhxcOQf+NCGyD8koRGKmNbIU+0qCuJIDwaqT2oylbHHg7qC+ljY
VtkweR8jXidjrsNFQvNgartnWHKAL+q04ZgVICv4b+QMNkMOVlWmj3h3yZ/rqsV9ZtJ0OM2itV+g
Bpg9NksG4xwzAa+O7MHD/xFP2aJOjCcHxQPnuQs7gxBcB+nZwHL0J4dpa/c2tcZ/xsYMRjwdqPMe
AIcEvlyi5XfAOJCPoXCEyjneE+8IJxQJPRv7D/issL5P6o5iGJa6z7OzZF7ROZ5+zOLZ9ZHwqpXc
x/0cflYuslh8Cln0qVniPihVEEGUA0+29TOcMXDig8ws4RHPgJGcZSrbJJ8F1qdMezI+N4sck5yb
hkIdoZ8w2y7uunvX+u6PLqQc9yx0F7/De8v/6fQU4o+LzprHWUvcbKmZXJa3E8JPhaMQfmlaqbtK
ggQPy3sdRW3Bsh7i7gtrzBGHTq+5R5l3Tkd/Kx3ZlELYLGhVkc3u5BdBqE1S8WDyHnqGPQp57YiI
vFHtKgpUYkl3ymwYdtAUgEJ2FfmNc4f3hEMPcT/GP2rjANizTqNgeESvLccNM+AOWYMuU0/IxEyX
005F3kHhBgCXHp2HX3rpZ5gJThA8OvKIk+96NQ3eCqYJogrY/DjOex/YpACPWwpWT+2PebY48fI+
UKmHfBOiGveDr/BnA+bmttA47rq44OvSHldD7Jx3TATNOzN57g/4LsamoDLh3UFEM87/iPdzg/PL
YoV7IfZ+8CRradlHHpJ8TuLOwys+AnyiR7FyLnTc+jBVDdOM5x6Icjav524Ki7YHshgVowmV1dha
gNGdLgTlRqr421Sbca5wbVOFi7mVXu5lrgyPfRP5vOpm2UyViRLonLBeZ4XTTWTBAqO2cqqbuG9y
bxxNWsQhrcenmbTDk4AOls6hiZOljwTP3dPUiuAzUFjE5L1VvYJzSha8b2rgmVHiYWtZt9vdEBgf
VqWuOyKt9xsUw4rZ/B9nZ9ZVN5Jm7b9SK+9VrSk0fKurLnQmRmOM7UznjZZxkpqlkBQaf/33BNDd
5sDitLsuisTAkRSKeMe99+sPnzy3h945eKmbX9QtXcUIkrf7mcGL/XLWyzz8fSV+vMq7xPqTYQ91
ebVmqIzhU9dWbqa6dG7tmunoH/Pak99z1yjr/UpU+zCvOONNyS3+3UCewZIsq389VbSZIqJElZ0t
djOUZLZrpTayA3hNqiYEAYTo1muR+Cu7NHMJW+rV+1PW85hclH3NuEZvCtxxA7FO0CZzReUj4jT3
7FXmfOPHvL4MPwz1tPgUcii03KDVWgwR3IL+1k6qeN1P5tw8VMW8jJtAzCEh1RwLqkGWm97rtAQP
h9me9uS84194AytD3bDO0JMrB1bFC+ZsL9qZIeLzMq3bKmmM8NJVqX0D5tm6q2VophtzXIZzepkp
qZPv57e1K5YxkjaaZZGHSLQbBaLsv1ixm93bTuc+qFmFdKVj2RxmheDYhryNfNwlBRacw7C9KIJ1
7CNVB8hnZo0sY4y6tTzgAIJmU3TD9KfTmEbJCxgS2r2qCG4qLSQJgCqtfjTupKaDW4V9u2VNGX/i
JZ79KV4b24rmeXWqyGgQeT84JQFBxBp336WZ10OUj94wRyAyms9+0KgrAUOgiWq2w03X5OXvGbpr
D1kq4jPCWWNCjrbKCUB677yY1vaPaYQZEsk2pFJQO21FpZyJp/RsfWVURI2FdaGyMssOTmUnVNU6
itsRQxxnNLPCBFuXT92UnXtMKZcbOkJtumuUSTpgVo39QVX+wnSfdBg7Hty1zliMOmFWj+PKHZ8x
3jG6juZbXjltsU2WqWHrh2k3EwsoeU/VxTcJSJL5U04EXzNDCCmiKJ888y9BUzuJUpmXARSlsr+v
oIB5kew6Ete5m4MPXdc1CMdWuXXnGKb1Z1imk7WZVWf/UGXY3Obs+nUjWnu8CJZE+htDEYacewPy
w1QlRXPBQLow2Bi5cvfpQnLLcFfTn6LCCmZv58t4MojSpmrBQsnsD+R6yt/b0Cr+6HOT+kNvLonY
q1hO9/2YNp/CvKFy2Ydeb2+FFN63OJ1LFo2K00pL2THvM7dwribAb9PGTA1mYq3+mPwVTA1B4UAC
hTGwhfnNc1JJMSsZE+Knqe2vPLTaDLL1Yr2y4cWmmzFcQWPZYeN9tvrcPbeLsfijFihw7dJeeA/E
XAun0Wi9u95HhnCbmkvxO8Xb/N4qxTJA/2rG7xa0Vpvawkog5DF3PoWHMYDtYmJ5c79Y4LIjpcL5
K7BNzARCLB67lKFB9i6RjUUIFVckcLKfx0MVMzMXiT7hnrV+lphRWTQLhZFgMNJtEXfabDMz96Yt
rTmhYCaCH3Pa9g8jVLA+qoOAIS+Ooky+8ZEl+gRr1S83S9+2P8we07tjW4mHBdv8FXB48zUTvU0J
IhOEEbHRYEXLspXdxs8KY9qtjsWoqMbPueui682ASgR9OsQDw9HYzqHXan8YyHM5TpiCaXCym9BI
EK70fDVtixGZyM3oZniiiazowVJEUtA4a3FeDRXzfcl13K8qB7LzQRRkhxu8tvI5HqpCLl2l5YxS
K3KU52aWzfbH2vXZQ+vIdMlNOk3ihoYnwlPOkGbBWUedlxSv8dz0wqHSWO5UmpcX0pnHcV+Zhgoj
qzLFvBm8UVqbgCEY9Cxm1xsju/f878AuOmoh82gRd3JPSMZTXD6EuTU5m4SOBqo5RVpclkxDM66d
nFR/OzqhIaNAORRvwkS44BwKxyI0H4OGanift3fTaBbZdmjcWUWqCof0hqp98qeykeaGOFOoj6oS
loIbUXs3VS3L5LzE1X9qmnSEo5CSAezgsjdD1ENb66Gvz8SstdW43YZZAdZB9UNe7tplrO465ZOv
DrNPRB8TenRgdLzwukHuGvFQpaYPMPgoFoUQjNfIHjycmygF0KnCcNYiqvqplZFFyfHOricjPQv7
PP9GUEQyaMTSRz08pDIDpbPq7zwjztyzLhXN11zmzXlSO823LHDjL8MyT56uJKMHr+hNBJspJ8HZ
rH0vLvy6kOOmSloaYyFC2U00E69Vh7kSwXzeULj7xngk9zYx/CLbtDj/MEqwAuXWnCxrYIJ0PFwn
zuwjekUtxoqQGqHgVgfC+DaTbdykq1Cf23EpPjaFJNaqgyb4zAHjdckgLi6bKSbZx1MH9iczNIzs
vLATB3yukrVOM7yR3zHGyz6h57JYJSoNvXJJEV1yinwkqFsESeY2DkZge8wFlvmGXpE4uMloM9up
LtwGZ+k1t9iR+mNTl3OOf4BBte1iYe0c0dYOZa3RuiaaGzlUMKpEcNVJSqZXHSkcUoAoeZ2JaR5v
xWQtfw71oLKLUPUYxGTo7bO+8lJ/M+mJJ5smFsGD0QrrJsHocJhloopd6c/hF/R1LMqyWe1/W+IW
pOEUqoCtFg/+XdF3dc7wCQ9yXl110o+yEJmaKGCQWnrIJnuw9mZAeQA/1yagLuuyiinviaSInM4f
eh3VBoeyoZq3nfPW+jy4bvlFJIP7gSm0CwO1OhSzN00yLwewCS69KKfOJSKgRoigVpimf3RqiPsz
8LAJw3DC8seSQYqI2hVsKRV836z2QReX5s6rQ3FTq4Fjks45jRwvcWfqnISe5nb0Unnr0xr727Xb
MUd4mJAIG0/ZNQqSCnBCuSbivnRVfs/8OvCOK/o4ZwmjG4urph5IPG2cAZmM588XVOIQ2O4Sv89u
a0cz3ETdNSeQpq9BFICBNYiC3iIA1+PJ3bHZdi1K3rSkB5cgLEzNvTR7i5mSqficJ/385f1O9Bs4
SS7oMrch0OqaSI69bJz2pUJvgOkbzM+slw9O3M+boseIJj3DtGKroLpGjnFelf20TY0x3A9VfkpT
+ZHMdgTmYKoSDEIA61pv7QigwmZXUPvTCnR33F3SnnQ8XUxyPvRpPo1b9NQJKtMEdexoXFNcUa9w
BFvSLvsGNRUqtu+vymvADF1WUFXML6NCCDf35aIo22qqtGXGJ9zq+oqUvvncOlV2Anr7Rs8a7jYK
lJpEgp708dIvbk+fZK12ZoKEHK3LCQvgicukXtPDrz4Q8B8Y/i4IHQLi422V0iFtyySsd2E5htGQ
yumSrod5ogn/ujnNfNkwQJsARA4jF/Xm/gkB11S8uGCueKC+wwhUfvnQrG33WcQeXNSVeXad0c53
7z/aW6tIw0NYIH31DAL9858uSn16AjwVVLs1badNE8zOmRs28b5Pm/oErPDNwwLmTpPQgW+8YiEY
DEJbgdDXOzdNvsqhGQ/OOPYbOnv1FQM44jMbocQ9Ypf918ZZu01Z2s0pJdHXe5NN+dM9HO3NxDYS
Z1IhzzsjHERkVdZXqVHav45y0DPYUWkGbYCAyjFa02cU8kJtZMe1vIiEYEgiEVMjV+vo3tOdITTI
izH9BrLmlHbyW0aQFdbSfUx8RoH25SuFFrlikfJ6V5fucJX5LUjKJe3AFiDjpww6yu9voTevhwaP
B3oabRVbIz5+2kKZhJhvlB3ys2a57CjdA9Y2Cm8/Crpzg9bjff96b7BSeYcC8AVwFR/jq9/xTxeE
o5mYiyjrXVyVMj0vFq60aWwRXy2Tl3/oZkd96nv6dTVDbRjYPNFGdgpj9SLbHYNd0lTiohoK+/f3
7+vNrYWsGXqeqJB7j+CTn25rqIWTxQhM7pisXPxpDLDKDTSeo/ev8uZqM10bDDfwGfLzlw+fDrMi
G7TBlq3UA7LQaG4Ka6JVTcZ3zdj2U+jRN6wSI16wtCg8UTE+hsanXtuKkfRgxzTU8NweBrWnzyko
o4H8MmMlble/a8ZffUo98ABZP8R6EFC2jzVK17awXOLWetfXMn7wRV58hRa1fJDWvJ4vLpTcEz7r
tXF6vCK0asYgAQ885o2m1Rx22ZI2O1+oHAVe4X52y5BaWrD6mwyk96Yu2d7LoqjjWT6YigpUzPvv
9hU2St8DUqkeGFrQkcfAa9WNbp4vBhvb9D10rNbgonA1122kAF+Xib0PTBls8rYcflVPjivDzGHJ
EXngBo52FX01R8V5jyg547bPBtUmO5ApfSSXiaFQo3tKG/zVLtbXg7LFPHrs1Ku4CRe6JMtaNQy9
sfPvQerJcuuTUt2vCK22G3vtTo3TeLWPuaImH+vZKKC6jnUW5iqkKwjWG2rVyCA63+tvxhS0Ssb8
nUuwDv4HABX+CZPwyrvqiwKG9xFlAm17PIg7G8Y6QAmu2Q0yqKMwXGFH0soELVieilHeej7tv7mK
BjC8Vls3bJe2Sb3LfLNsI2FUbXWGZpgVRM5qqgOpQ/FnzeIe3t+zjwfjRfTJM6IlDJCeg4pm0NHW
aUaQJeCD5M6AOfZJkdJSHwsZBV7mk4NCGkK1X6n75btWJsHvoJJrygBjnFylwLPoUSTkQCkAj7s0
teIgKm06oP8HawJhSgeJ9CVe0X8JPp0x9eJmF8imPjMorO1AH8tDEFIHStdlvHl/Td7a3dRWQdwT
z2k3/NJGJ2GrKpeMfyendoG5VKb72UjdSwTrCoSv8lPM2NeqJrwDvKHmvUFr4MvLC0qvojVaKbmL
J5cStBmvHwkukvkyZnLVjb94q9p1S+p8U4btf8jNuvro2WMXR1W3ureyB/r+60uOxCbmG08F++DY
GY5KtmNfx3LH+NtqF/aNPKMGk+5Q5bL2PvCHE/b7jZNmocARIojBEHrnWDWBeoVTJ+bEkudOdjZ0
6l4sXrILkMvZv/9yX7l54jmY8SRaqLpBCDgK7VY3Tt3Epn2SEy33kWdmzgMyeafUDV/7Ar1/kODi
lbo6LXj5SpOJgS0M/Wp3RS3NPZAfVKUdx7gI1nKKHAFgo41955yU4ZQ01et8UpNFgOhiSSCJofn5
8tKMPg8bf3LanUNrkgS6AKTh++lWIWY17uTgeueqmYadnRLnuCqUN2k79H+QIp2atvv6rTIV0QHW
bgmLk3Qsrl1M5JEmAA0kAoL4zJin+e8Q3s7HSYl2OLFj37wWcSVpPMV/5B1fPjXZcAAKmmsFrami
cnZQ27XyNZqXpdi9v4XeuhTUStI9dGi1KOHLS9WDkM0aiHZnLr27ZYuV53ZcfSmsNj9hnV9vVn0K
0T1ARBi1ymNLRNvEAfoa8irnYu0jKsRgRNM+kcmJ1XtFKGHPICZvsXyMAcMfvHwkOGPt5A45I6S6
5WuvvM8GHIjtOub9TngMnl4dClC+BiO0RlucOJJvrSePSPFDy/DgcF9evG9MZ0lXnnIyynDf0a05
B52UnRXdKk9c6rWbfRwHyMhyzj+xxNFzwj2wJHCZbufnQu1LaXofFyKnnenHEqANOZKg7RZ2J4od
b55Jnx7af133iAxge21qFsxWBVKGTZjaMTmvqsDa27Xs9zVjKLeoHHbnVR6GeBjV3a1uF3yvGVZ9
yrK/saVI9Oi1EhNSDTnm0axugtpwUXfM/hi8Dbh086LKpX9ind+8CpGhj1azx1s9WueKgQgpuXm3
W+itbqk0qcuG2vafv3wQtfSCZo5yIWouLzcO2qMWrrHtdszpqg9yXNId0+rsaK6t+YSD8viol2ES
7GKSGRI3KGRY15eXalDMS4LW5oC0ZbcLSuZyJr1TP8ycpyiYkcc5cSLfvCBjn02ewYZxrHfyT+lo
GswW2BC/o9mEjOMEnXpbFuIvkAXQD0RRnnhhb5xBbTfRFEM7BojzkVtkAnPK3JemRyAhcTZZLUwK
HqW5WVjUE4fhrb0hGN0K1RDHgPbvyycDOu3PZciEjI7VvrUmpn5tQw+ZgROv7K3rEFCTMiDZ4gXH
bBFmwsm0KBKkd1UQ7MJYfYAJcmpW2lvr9jgZkxPlwzDUN/HTaxrIZY0knrrdlIbIxNIp2Cf+sG5F
zRF/f7e/YbsY36XnVBBV8GBHNqS3hBq7WTIBznX0qF8k9uKsB+8yZvM1evPeZsjGX5aEZNtDLKK2
qKuv/vG0MsZrpXLMp35nVSTtYTd1Z5pcIZfeOuHr3lhJ7IAZ6PHJhE7HegEWtMJ6Cut+F+SM+pgK
xtrl8IY3U0Dv7f2VfGNnsIzIAvlanABG4cuX1mvON6FTvysZ4PKRFpQfuUqMJ/b5GycYj2YRk1Ax
DcXxPE+vRvFrXl32eVksuzxt0rOaxhvzFej5UUb+P0RAMEIpBaMmizE8pqDace9Y5TKoXZNC+R7M
2Y/amggwr9L5qd7wHz/m/5c8NB+fDF//7//k+x+NXGiLp+ro23/fyIf6TnUPD+r6u/xP/af//asv
//Df19mPrumbv9Xxb734Iz7/+frb7+r7i292tcrUcjs8dMunh56a4+MFuFP9m//bH/7j4fFTPi/y
4V+//WiGWulPo7lQ//b8o/O//vWbQ2T0Hz9//PPPPnyv+LPN9/r7X9+Pf//he6/+9Zsh7H/iUolg
cBTwtB8rqdPD44/QOP3tH3XTqfRfvwXOPymYUI1jC2ICTU2h65tB/8i1/omqpVa01Yaf7OS3/7qT
F6/kf17RP+qh+thkter/9dtjae9/XJZLN4muAFw5WlhIYjDh9eUur3itsnaDhKQddkcIz6Qf4RMw
+SPwaXvXLcNsI2OY4vbeADk7u5sstQEE7wsph+zrmHlTA45F0D1RWxSv4rpidIYd180uaecpX86B
tSZhp8kmAgxuoIYg7DYQA53EPvPgcPTZAQZh65eRZHY2RCmKBY0JajoZWkpUeTqV3Fdi4nfNXWJM
dhoe+iR3vCYKQRKBq6nmWBYk/oSP/q0zVUngM+3TGv2/UJGymi8uNQfuroYawAei4mJy6TlNxgph
ak+V/LoQMJXsM6MvYv/OcAq/70EZx8q0LldAxYN/KEB4uGKvObKyuk5qmcu/OvzywHRYNTUzs2Do
roNjb+lt8/ltmxnjeBXMZc0igB+I+c7Nm5yrtcKteexWWia30LXt7BqHcs4syA7eYOr7z4Bz89hp
bov2/qfd+LwHfn7nL8N4/copVQG4o5FoMTbmOPXrCiU86jbd19XpZvQcGd4Vr9OFSR/RE9s2bSBc
0dZbi2VCa7FZ5XpnKIgo+ZlVxcIrzt6/nZdJMKRiSmbEmZquDdUX9bSXO7BobfQY2lbeSYgY7T2T
fsGDnRUD3eYcXJPJoPHdBN2D5XOcToAEUCmlEPvXbgNOrC+Yf4DCN7ItRB5HByETqbJDhnp8gXXm
sUNpHSUzUH1vWrgB6c36jY0M5pXprWGX0huv5myok+xEQGK99OC8Hi01TnWYOjxdbrrOL9djDSbg
urL3v0D5bET1YeyYZZ8fQG1mnnsbsi/gLSUDx6IEhlKsbUO/nyEC7PBsCdxp2cfroL/AfAlZrWqQ
Qlk3fj4uQKWrmTEw942jhqS4npH6Ka4hUlne7fsv9aVb4yGYkkGpGatCFRsvc+Q8yfTdVgm5fJl5
i0xM9cbVYRndAXm35ZA69M/Hi9Co+wZ9mvcvTXbNCr2waSjkU6OktEFRitz7aEdVneUOKdC0Lx4K
90v8GXFqFI4gUXhABw8gnvXFfeaCc85cstrc3phGP4btdb2KvnY+SHsFfc5QxUQbjJGJNusUDX1j
6X2RGGmntsx4gnp/0wwV3vbgDagOMKYLAB6f6XXt4tuRbQE7RfJjhMn+La6KfJafZB3mGBM37coa
vJQYDDfcOwhKctbB2qKLsAcUC/oIakFfcpsLgj58cujIAfO3jN3AHVV9oI2DkWXaNCJ96fHyQQ+4
/GY3zoXqN5lPIulvZDtoE8Ng74WfBU+fMoKe4KNNBYQXqKbba/s2y5QK6kWA5JN+vLnWz5xnIeZn
bvqWi7sN4vXpjzgrh2m57NGam2D8eLXZ3mPLa1a47lccxm41+9SW27i0PWtrycxMlzrqgEg6RaSs
wJfZOTp/KAjf5jIreCW19JMxvpXFUHvG9+bJTpd+whCfz3Oryll+Gy1V8tHOUrPev5Mmq9y6KhEf
wFbksd3kMzweZOy1nV9H3duYZKnvGkyV5LnCPBmNO5d5i7yg6uk+YachY0ByzV4F8+0nab6xF7ur
LFS+IL9ZMGK8UoTwaeKhh2T3aKC8HCX5dv/8UTB21OLdiCfDPqukmT9VldkzExTm9ZgcRFaC5v48
NK1+uRl9IeCyapwAG0aFjwhsfFGktd5nkxpCb7iEZNJjY2qK7Czp+2fjUZz95dEgmQ9hQ+siOYfj
6GhQIDf7dQ3U1wbwDKTneKWkUm+ebZ7RdjNLBoiLxl801bnFl6ZGAAGVxCez6GQZeMgtchDKuKUJ
r2MGp7HREjqoye+mOyrOZtVvh7LDhB/C1NanTHYIRh9EBTyn1ZC1Trh3uTULBAkiM+xlI+5UI2y1
fmLWcJ98muZczN5V66+LCelD2LJlsBpD5LQftx1S2+vG9BMu8PQNxQy9v5un3W6Ni9VZH/Ig1zZb
uKOxAD/MEFeA7AzjqDc+SqspTemBYB4blf7+7HSt2V54YiMB4xRuWiM0p3ZjyIWi9i1eOudZO3Cl
sdokbg7Vbl8jIGn7V0xt6fofpjAmDq6lBLoGV5BVBlhFiMXCArgQhZvEIURnRFnmA5hFEPP7wor1
oYZ8tNqnVF6PvAhelVYN5UCHThHFleMXPYvJGKTd2nfW0rVMaspGePJZHhVEgfjVOs5F65zbBoBw
eegW3af9/P5ee+3X2Wq0elh7ysu49yM/1nUWgwzb6S5p6sIXvwO5h1i2N0Kr4q0g0F6MS5R6iJPb
G/r/ZQs00q+cZd69fx9HXV/dPifToe2JvgfwKSqIL29EkgljnUVx53ur25h70IML6Ei75pgy51r4
erPErlvl2UbNzEpFZMTKU0tcMvV7wj+tTWtm7i/6eY0Bwr3r2TsEQK8j7zWTtsiWrPsilD2xDdax
0V9KyPZ9eK3kKOQn3FDQ4LkU+OPpB3NVfLkcZjuYUuPHAnEwr65Dax4c72BPzQhWtI7LET9bzbWC
eNh2ce7610aQe+45whBNn/1ST5ngDTgI7WTUfYnhaMocrW1eDKpLPadnm/VGU0HOtkLDgVhHamUH
f3sqr/riUiPs/eQElOrV/uLChBjUU9jgxI5HAdu6NF3BBCoJyT3zZP2RU+pjHUa493x5PvVOTa26
OQcGPS5fY2QgylNT0wmdX4YbwAioLfISkVIjsSaqfrm/phJp+KIK5V0DcIOtBOVEv8g0rzkUZ6VS
2NEDM8A7/vE5eqiqpZ7Gq7SJ88mEyyng+++tItW2sjBMgrKM+TntfaqEtsSuFI/P9PTBDhFc2p9P
5RL3iabWig4YLOK/av6cGUajmfJxpRqDgnVBP/c8cOH5eZd2PWoPP8Wu194LI9Aeu/MRPe+2pY1E
QvcJdqU+m9LsAHZekCGVmrVhxER7+zw10QGKsqd0TIVdpSMQ2E7aRTzZ3RxV5/a+71YdXfThBKj+
ahQziJkDSDptrS07SwAu0gmjqre3x35tvtTzCiL20qpXt71/dj2N2S3KR7ACiDc/K4DPcrMu5HU1
Xa6rThP3JsTo2PrdgOdWfKjjRlnzdVyiF95tVA5itt0LR5HTgA1GgBFdhCVGtmwfB9A0w2hyQVK3
Wzeo5xzcbjl4i9qsuWfIL6xLg4sD18/L3pNPFtzCKkTKLTRPwcLUVbYwmK6k/HTZYF9AYO1XW3HA
DlPjakchxxX5CvK41eXGSoa5kgYyXzXlwwQsTX7FfkpVDU4Xv/n8BxbJEBulxtmRTBIs6QVGrDrh
owm7M4KzCo0D425UbucA7Aa5MVdneFgdetUTfpogUCIa2m3spx3VI+rBkVCzB5TqtpS4VnNniRjH
sMMTaydpzYxTIBqeIdhpEg1rle6dqoZbUoBwBqAy/jH7drEkl8PQZGrY2GXux+0uGxoCAVOFDKvd
92Otpr/pWT6GzZZaWCME45p8ioK8iE0ws1CkyWIM8O7FtYewQoBExNPRWJW34j7VWjhSQblOqzEw
rqo16TLoWIBtW3PcZkYepH9XBOI2zANdCO1v3RKxHv+iC0MdMOUw7/zkDE2ssukVwjMZtuOr4Zrr
2F4YsNhyi9lKZk502829Yw57pn4jSuI1SZFBrouXOVzuODErwEyQ5i5CXwezhApK3Gi77QoTDNC4
qM6tp/Nk+gom766CsSvGLRh3OlUb4iPAn1tE3Qou5CedjtCf04rn9215qY5L6qc4xhW+/pRnJ2AA
8yaGCOE1sSRPsev7XvGV9aTeDYINtASeUQsmvTRazOSwJrdu0k9PQS0VA2IqhyeaQc3PI47R9Sad
ArgUd0ngGn/kbL9/D0dJYkCor90GtWqQjB4o36N7yPwmHztjvDXtoZxvU7PxiuulJor/atQOSca+
DlFRPVVweKzc/hQEc93QIywAThFojOHxswdyNQ2a38kdMqPrutz3zMhO3S1YhrFVX6pADB6Tt6he
FUZUNoOFc8mTFMAH0w4T1ms/MsWHlEbZY44MRLVC/XDPoRgnvnlgFzv5dzI6bQtQJEK64iYckTS3
zxxTWiGGu8sEjttJ4gKtKKBnGprq2cgg3ZmLpU+qKIyFqgsCHQxRibvB1tHsRM4Lh+0pXEGQeCaG
eb4ttLdDgjo3t7RFKA0j7Lq7YDGYerOhg9c25daqoYtBIYOL61p1FBNK5/4uX4PVQvAnq80uPuGf
H5FsPy8zwoMAoyhu83961tVRDQBScQVi20lv5zgYiK2CIhX6LjuvD/7ElOVQcey8irsv+ciwSyS1
kmXOfxA1Dbjs5zgRXlu4yk2aoXBPj9CRRjttO+nr8/T+bnx87T/fLxBWUJ3IZ1J05b+P7zf3qklk
oeo+pRmEvORgVWGmxWYTG7Hg3eTOU9pfW23ah+hMWMwIAWfm+8UiLsMiVuv6JUyNbkjOJrliBJAM
KP1A7plXSiJx1gMh4pZTVGN4bzi7WOUbwyrb8VOyCAQLEBszgfIfbOl2hYVCkS+hltuk3lZ5yPBo
ksEzsKegO7z/3I/y/T8/t81BYGp2SE+PUg1q7i+PoeUxgglxluFTCM3W6r7ns9sRbWZdD1tm42ip
7TSyYNOzoetssfW+axhn1G0zzHDwWc2Jy79RVdOVA1R/OL+oSZn8QiPnyc+3JgQaVVCTGHQRKH/6
YNdI87y7UKhEAusPjY7DESGkhtm9RArRg8mXqoRi4LkXhwsbpxr7lsVWNbR9PJZjMLXqofUNbxaX
1ppxJ3Ci57Tb9hklr+kCkPKCYqKJDgSCE9ZEcBJvZGrDRETTLDbDIbudJcqO8oyKC6S8vU9QZtlR
24eDxfA9QRgyFPUjOoQLSxWvj8+uMsvcY9Ir79fGvz7iMmlEAgwFfaRhR0cxbd7PWRgjrXKLRs44
yj+osBTz7Zo6CSZYh7I49TQf9TGabVSXThUfjy0yBXJkSSk9ooGKfTzOGqHVrMlSVMEtxqFcv4on
F8B4c58tYKcA3rMNaQSu4v09+MZ16ZsDaPR9htiZx8VXISdmQbvA1Ezo4+tXV/a6vD/ZjT7m/exg
Bv2S5tnJWuFRqZBRNXQ/6DJ7CKHrsuuRCyrTrJ67aV1vR2AdHc+o2soBaP6UxeC3Uht5YtjbvrFD
q2GW4mNbkjlmUZenCwJ8TevCwDxv0rm14EL1hMd/UPIJJrBT76/RUdleC40SFWvCDcAlm0r1y2Pa
A5IK5roSH8WyzBxML0v1W9HKWnwnH/1zNrVhvhX2YFfLwaRjhwMvbCemDPz+zbx6YTZK1MgMo2XD
//zjHoKOxlRDS+O2hsjM3jQHBgV2G0f0Ptfqg5U4oq+nbP36/nUfR0C/MFaM/WFuAkwWwVZ9lcyH
yZysXedycv3WUOhkjrq8XENmi4uNrYQuj65NMyA/RYifNsXtc2gLEEMbYBX2MVHXFCw6fxEW1Dnq
Rk8VR5rX3jKQ/M+60GuPSzJkH6wkXdW69eeqIT5zm6kQ2d/vP9QjyODFQzkMaoB9hN/RYdnx9g+h
Sa9izMfb54pzKJvQuxmsdglSsL6rJ+UZAorrWm9rJK+K5Cyr7V5JlPVKHZYk/dTyNHDOLSLukfSw
bPCzlOM+rdL1Y2ND1dlzjA0SW/RVIocpbXaxb5EzKY2IkXCI7Zz78DQL5+AqgxzjC2IrpmnsnmIy
e4KoQS7jproz0lG0evxCp6b/lq7A7Ki9+n2ezDt/MWXpHGheo3UQxbWHuN6uLFLwcRdDOyrjbkXc
0VX3z68DXK6uuK3Dol8cAJ3GIUt0rSbh4ZLSKrv9+FR3p4KIRlX0XCsv5xSXsh3oxTEWTBoSBN9V
6YAu7zZt6IllOpBOB9WqIlmgBGggSmdCFyfZmEk6Nv5oZfAk33+PxzU3ELQe4vQUrhEhfr03PYFq
kOsX6nasHX1C14bK8j2SeqEO3GSm19C3ylgxOgKxw1PG7PXl9aFAPQSEHv4xOPLjxC5ZThtD3j6X
al27hj29KYYAKn+UPXYSXVE43EWZ0O8XJx7/Ee/7YhsLPU5CgwNdrVV8HEikCmaDtbbjx8RLdPKa
l8RD1IAZEcq4TjFBA0fxcSDiHS5bKju8QHt12SM7I2wbcrfnFNiwJ10XHQgY+UcYyrpNUT/1PJ6z
pqUJ2UtxLzrTRw4jGVEGNlD046rPO4upw7qHg+QgFPGzxR/raoxCUw25t1XW4kM9pxSA1QCejuJc
dYox9cpcAxyE4UddSrfpX6EyZzRE7F7K4eOziSLrQ3s0eg7cHaoC7X2xpNgwz4Mra28WL63n26nq
TuZZL0EzsEwgjbIfaIn5aNLbxx3F2JpLkSzl/LmqlYF+E7aMa0zFUGKqw4D9+P45eFVxhQzB02hY
FV3AkPrvS1c1GcJLmnhIPqdunDlAJk26j8gTLhQJCcGaNBy/T/CN4kj1Km7p9WPrkCsoTEpBHXIb
NKROHc5XWR9NST2dTgO9eCGvXBbyzogNQVr9nISJtiSLg/RTvi/oERJOPgU8E02w+VYaA2tSMeaW
F7Y++hncmltci3SZtOelFMQyequgiNFnhn57T4aySpxq/ernvZ3Lw4qIhP2pnWK6/Ju+rHQ7+Smg
a4lFOYW9txDdPfftMqfX2xyVRrZECaMmrwDxak2csPJoREbSN2P/ilmQylw2EPyl0Aon+mijdTGQ
XtYDdCUUYKf2sZzUhTo+hGJlcXsoYOicfn6qkb7/uo9jAQ49TXNwD2iEQ4E5nnYyKPQlQ/ogd88J
PMJ5atz/f8bOa7luY1vXT4Qq5HA7IyczFWhZNyhRkpHRyN3A05+vAXifbdeptc6VizI5A4DuHuMf
fxCZOcUXEABijw9wofVq/8/vyzCB5+j/bjha+mhBeYaqD4+Bbe/fnGBTipKnfbIvg5cuRngI8qR2
GWpB62qZMw20Ei2IdBb52D3ISIdjQcpJxYu9DXoQRCkuXBZ0lvFhjQA6ANhJCLi2z632kewk6CW0
iQ/OGumJ6SbL9pimi+ieELvL2TxWQYp/EuerqSfNtSzHAOwAVKx8xjt2wAigpgmZK032oJOH3OLo
0a07NRMbUYRRhV0fRj3I/djxQ1E2Ncn1so4Wa7o2QG99Ru3fe80TLspOUV0JfOjtHzAAsBE4z17l
BO/YgHgcxoFrQAs9x9MC8vDQ2jEMYeyw6C2epcmIKzktZdo0uGV5RSbyazlHdfxk6ROCctuLDNlh
lzI10fyMQIypMWVTtvD8gBovSXE3TzASZtyhWSPq5Mg4w8G8EIMG1by+D5XxxzwDM5LK6nRQJ7Al
xCLriysJC2CuiO//XF4IOaQoumZ4ILHZyxl7MgqyZZiJtsumvjc+h3Jgn6ryUR9ZsUmgxU9guTS/
JmWMuvYAQ5lFfCK5W6rwgBPTWqT4ILa8iaeMnIoQ8zYTmwPkmm1yHKCQJ/URyCHNEewDb47dlwSY
K3fuTTx1luxtETlaBFBVEZg9tKCxKX6MqZLmR9QaNv5yDd6/ybHADmZMj40d6iNnH68P6yZB7MfI
DemKeJyLxylsNMy6ods75yDaBvZE4mry09Bi6f8xLUIXQkPRaMBwGjmoUOYZ0hurA/hdN/3aJp1J
XvN4poEvOUT9mekIPsaOgNLZ4SCd/7dym/brn2uMkxwih8vwDFyETIV/Hx4s7RpDysa7TRieORhq
Q40X+RcriAMG11WdxnfEJCC5wP0Gu46oa+iX7Ti4kyVchZPCexxLkIFd8NQAoz5KEDEg89FKvpTl
CHwWuVUin+yAsKtjqlz/3uQaYLeMFAoHvPuwVaIUxRGdZm+exo7/l14ru0ATmxfAb/dGAzp+xUKv
yU6pyKYfcV/M+cXxMlmdUZp1n2iXMnFuQZXLY4cmYz40wrflzW+w570IJ46aE8aGwXDMBhUk7ska
CmU9RFHdPBsBpcPB9BKet7FK5QnXPG851GmInRH2LdF94k19CPZWB480F3V0lsAQ2NuxE3wu69F6
GjsX93JGPPZ3JITZfam83odaECBjxtOGyNnMelcVjkTF0P3w07R9Nyy7eC5dQ1mHZXAzokZt3Nur
ibFACnPgsdVWquEJASvCj2PudFVv4oPqG7+iKXGuTHfxTY1TvKUbHtbA68M7vqsFFkLTehCMXb74
gBmHPnJHAP1oeRwWPBIPSJDmr2bpLpehdV1xnKwSCWXWNq+x03RPSZEsl2IevE9DaDjXODLFWeRQ
6g+p59UPFFP11XTT+WQtDQY1Rhc8gVAmdw2Mgy9m43l/znaYfo37oXubjS5+THS2WdkTunsY296F
Gi0sgDC5nH2V4wSDo7C6mc4wPog8Uy/C7q3zgqfquchdm/HGhMYFttv8qwll8RkVpnytXHO4Z5iR
Pks8UIqD0eXtuUQD92BikfkZdL68x8nZew1tjEgPOXQLfFfL8MEcc/dr6Y3d14jx1xVeinGcvC6+
87qx4TSpfZ22WWnz6zF079zJrz83g8Q7HHifOdE8GT8SOxOPkWiyo2/Zw2er8O2TbDrnKgNhP9lO
YpzkMi2/iy4WH4mfgYnNsXESU9EdMJW0PvCBLe8CMRd3TubNL4ttDE9+gozRYoJ5S2U+HJx4mR/K
BnfdI36V7itUolAhGalq3sWKzwb4wEPTkNeG9WkXXMKyiP8i5+098sX4gUABn6w5jw4FDeGhJ2Lz
WGWF+cVlAz6TjR6+YLwX3DlLJhhj4Fh1Sirf+xLSd1JiS5wQTgIfrB+YnHh4ChI98MijmWEG1mAL
72Hw24J3smRwRH9MAHZ+qMw17lFFhEcCAqObx3byJkSmQ2jS+h1sZzkIREQ/0rrIyqO0a/XaerI+
xg3hEdi01hO5CxNJCJUs6w821Mo52PwHtxrM7o8wdHDVmm2j/TYbwXjxcKi5FWMzsmdgVvzGKHN4
kxw2B2jW9XUEDkeL4dSffYkr8CGuBBYuRyPDqDHpD6pR06XEoulPKxjq55QxLGlc1RSc4omwgkNS
SBSHS/Uuc+aGahR/pMz9bjBff0698+6XlYKcV6iLMQbFcYns9lL4QWPcrKEtosfIjas7vhhWrUzF
mmcqijS6lPRG06ltbY7kFCO49BBiGIW5pgu31rZy8wcZIQoDIg8qMZbvfxqQVfGE7zK3RnCVlb8w
wCKMKTXcB7HM7feoEnhz5sPE4nLVU4IW4H7M+rw51L5XneiA2z8lZ8eDNXv+V8ZZ7VsVt6Z7qlP8
5X0sFt5tq8dGLI6N7j4YvABWL0XgbyOt0hkkshnAATByswiB7bOnVjkj4HzckyNQYGaJ63AUp+E3
t5Lh0UZhyBCRK3wPE88+mfhL39LFx0edYc95tPM0w0giMj8lBdQZPKeqmC8k2EugkHyibDfesP0W
v4Uzs/1EmfMIyyHHKNEezHvJ3OQcOmP1BeDc0y6G4Y/YEcnXguQCLFbgFi8HrkLzmYBq75IrC9pk
FnflNRFh9t2l+r8LjBnbx97p8RQeApATmR5Hf7FLfAzrmKWJ/d6FQWB7n9lZraMSgOtdFDd51mS/
sKxrj6UKw7fOEhFjJDe5K0N8vssJz29wz+ShWqbmoc3mZz74z7z3q5/tYtUgHEwTReGwd7cO6t1w
yfgrr4mwBBii5yxQ7nnOvO7itBLFtUeixSn3DO/RbfD40ybbYHDugypUgNG+gwA8skg5MVi7WGM3
5bfFtVPIeR6eoDgZRHcNjo5ffGYpTDCKInsmI9A+cgiLT3Wnpjs/MpabyW52lfMc37m8d34KJtf4
lIbTxBCwRmB/USR/4NaahGn+26AEX97bPvYB9pcspKMsiHoGW8AdVANtfuHTODULhVp2zKAAUkXa
UZIl4wv2bBBZ9g4UKTEN8Q5P7L1QL+uhcT6NYa9nJgUbCmOzrUULB9zkirsUp/Na4lVXFmWEgzc+
3tk7uQEaG8I1TfIr3oYlU1zpVilYce0FXAnHWLMZq2I+WAOj3neVDUn7R+xFlcKjc2X6RUs9hQ5l
f9jmt6j2avcna1PjjcoYoAwc+wr2y2kep2l5gsScdHddbBgNqHDSzDisO9Kvn3OCF4gkSCI8J84j
Q78UJVrndCfDqPWkM67n8LcJNSO+h1NqVQ+2W1DiEUaD/2gbuKTzuLKN829EJoihAeboRfaJoX9s
YfrSFKVtPtDtKs+/gknhUY95UV5D9ZIwXOczMnwjBBpr8YqkQUxIlMCFjoPrQJPu9cBrCji/3Jpd
cnvq9DRaVDqkz0CGvUTrBKJdFgLXD7Qg1fAbOneBA/mQmr336+/hj92ExZP0PMz/ScBjiYWBaK74
KjtVeRzcYvF/UJARokoczGhc29Yq6tedNlstlob7zQZbp/etQ46apQ3pQVIuI1llVv8XXZOef5oz
wSjwaLxKg2qEHAhmo1tpnJmGxm13SllVSFTcmJixC7zto5udHRXFbomBcexw+HXP1FI8wpJGi57e
wv+DJxSr3AUD0yU0+jm5MqlseM9scmjXDcJbaNBXek6BhT4491r244Or2dZzC38jv/Cc626eiQ14
QIVdHz/Aetb/xmBbU952draQtiYNpqbUUzYT8wD1tvURjSJ7vjprOo36G1EkGwFE4EYX1Pj4Om6w
bEAqEM8kE1ybq7h9moIsajSjG/Tf09Lx4lt7PkyWftkOG9y61JsPGkKCwyZvMm6lOzkZKFnApRFX
uu+5s1/iSXTIdtB/dfkDfXE7ATFLJhXN/ZLAkZ+OtsnhjzMZRFHW6UYqR1xp9zB4UhWuLFwRYHl/
B2ioP2oM+MedmmPLgKUGlUPYFkS8woIbXrmevjyixZceiUQqk/GWZFB43sfe1YMvnwRO9VZsA3nt
7guskth0B+QrZIxOf8OwxI73EMQh4U48PX6+vEOtBVZpo2RIwxvNOpSEg4DS36OCkAsAzdUS3TjD
hN2uVevaSpln4kwmm3EUaDt3bOOBTzbxo+5vjM9TN8XNlprIPOftMHNjIpmsj0/daeioFo2/3hEC
8tKDt92mfaaWuDKE4FDFYkF0gVOgvqExBUvpPeaF2xCsU2VM1sUhcHCqv+V+q/EjOgs9g/NVaqn8
WknIXtQ+MeEWVIOMY/koGO6UXGOrJiSJGVpvwOBGkKIfvXYGnfiYt8nhuARDII4E6aRJpYGp1v3K
CE7PazG80/7FWU7n8KQwzQxHBqap/k4jxqJ8bSt39djHb6eJHkW5uPA12HoMnnonWLfrP8Rsohd6
EBFus0+lX2lpSY/VU8ankMxx+2PsLRqnirI5mjkE8L38nrMtmF9MmD4Nu3OU5tVlRMczfadry37U
mo0kj3mH+e0nMy1HqEnK6Wie+67N3fd0SfLyMfOhtqIPz2v/bdtLBr/Tc1uxnjBDUhnZD8ObFr7F
NJhArsZkAjNsi66dMn3Nx1bbNh+mEoqafUQ7qa+oXQ5sFPswtBjg2VP1rs07Si4eyboZNVMGHhII
3AGExge8CzPEuE8dq9b7LgMGSz8FSX5Av96gG/3OhnXu/b1oV+bfhgL1salJIn5bphojaFx7+FTN
Iq5+NJivmOMBEZ+atW0xxKvsuO1HO2SZr5sTVCf9cUoDVP06V2E0H2PiBhr6wRX/bTBzbz+2S9QV
RVNhKBOHc8yzQPuovuF2yKW1epFwpVwo2+xuyzqe3TDK7cQucNXjStXK1ae9HULrzY4OgAr/KInN
4DvKOmFT2/bo/ZifgxyYNSpm53fv4UpdHU3UCOotol/n7+sNp57chMuKvaTmuZYwImx1SjrsfTHp
11QhCEw5a2JHQcvQZNzYbwCKHqMaw4ucO73RVEOvf3FsJYBtjKqm/RjtRi8kcC/9ES0165XaTEyh
xpcYcQUfv6sYdohDrCgC8ERuqGIhCG9AcJHp3xBto7/8RlmCiKuPn0XSrrN/1bYS4pZPdqWQJGwb
sW8aM+tg8Sw9QCMivtfoI5FdfLgomvXt2p4Xckk0Ky/PpGRLdBDpLe/+NMN5vam5Rgl0TAqkqxX1
vCiw3jyXXjWznbQqR+d0m/xS7wRAg7rmSUr8e28zluR8m5rTR7SccyJjp698Xz/g27z2b37DHOuZ
6ESuH7utDLNV/7QuHiJM9EO/32wfuszyLjQTXRzaLtHbjS9jfTxnVa+5Y4EIdIWniafqDTbYSuli
GGhAW10g6lL84vbP8ljPOHcpprG7i7HcdsZziqijLO+BP8O2u1o9qrj6tY58hSOq6Vc8/FdQ/sKE
PI6pFCrAokonWBoTI31YjqMLHTYKiXcoMz+/g8ylySmLD6JMKI3b6VWOtlE/rb4psLo+4mzfDD/7
0sIc4LPTuZWbnTxzmgN5saxZjwpMRshcGaeCTvkhpkjTx5Gg6Ik30xyH//gl5eObvx45Rtmv5/cK
8ic0oHy4KqAc+eg3+tI+gGBqqS+gamtdARC/xHEVF5PH7dyn6tvhpUPJnOTggOBS3e7DvUksdZAe
DIa1uO8A8jN0uhcwavhoSxlzf9zBXAwMK6qqdMvTZNBSnqQkaM96RhFAa3pKnFQFxWnnTzOy03Qz
TZ0z7K/5gBdNdJm2lbw/xtuCrtNpcOKnhJAlvMBbyC2i/d5bihBpTMzHaT61KJL4Fnulg++Fvv9Z
ZQTO8AERf3281oFLkgiswG9FNGFpdfaDPuNamW6nd90U/jGFmfJdMj+uDXlf6i3bqnCzjfWmtF/A
osMXo2PMWOqTSYydXqF5nMI6O2SKIbp3aja2QE/4NpewM3I2ESbWfY4pbtGlPC7pSm4Z3Qif47eO
7BaeYsiB+qDqOEp5xaqkVYUdULv6NbLJV7zwPhgyevgJ6WnnRNDr60XQmKhWwCNdnIvSt6Jo2955
FhR9iGjr3NCvaXEE83eYFi45ZuF5SW4etsBSH5qTiWn7dD9U9FDiVvtz0iHfGKiOmOooG8L3cSlK
3wBxrhdZoQNby+h9SF93ENPC22Q4WYD99T75Qq3GnbA2/Rdp1TQFb2Itg7cTcYomfXgbHviPdxpC
yDFY+eKbzBefEes0UPpnt7C7H0XhabLeXu4CwnTcQGZb6XgTBG7xIO3PTNfYetAr4Ybzj0PcwbLF
mytmxnDNmCcWTynhg5RjVGV62Sg7Zh3orFe+535dodzplRIhy+CDqHjQq5esFD3TjPrAH82T6uBL
V8ftbANK18S0GTBSngPHXGpxyn0nhz+xPzN75wEpeG1AeqbFt33bz7axOS6X6ylaBSafam+TZuiI
vXWqy6xj/rF1pImALsdJTewG12w75Pc1jWBz++70xPml3QZzsxUgvjlMyNOm4iLMjEu2b9hGKTUX
mC+fQV/f5X0VKUo8B2MOxjBfg41LGc6O3nX3kZ87ozZhrLgdbduIuR6EPnL2LTvf9vbRTEf+MZ/k
WjvkueCnbf6cEQBI4KVcHGndmrX6DnN34U2MBkN77yHNLHY+HE6g0+SX7UJvjxw5oi7XaPsneyp0
fRNwCTgAdJgaBND9bo62PtySrtc333QVeNMBxj5n/dIbejd1Rsp7Kqmao3oGxRsN/zAvEfF6B9NJ
fZIsEyZbwPhATkTs7M/6dh+cIdQ33fR6TvkuTPRHD9ah6l5y7wd5BKWFt4oKpc/i/SfgA32LdsoB
DaE+oK3eS0Oo2aFL6ifw6roo2r7R3/9val466LO/UJN+XPFf0lVManV6++hgMeqKGayF90MUhyL2
sn/kocGy6b0j+oc/c9IuXd7TGJqcZlIx5KOEWksg2ND6Ud/OAX8DNMAoV9HdsqCzuPROq6+9Oaui
1WxlV0swaO30Q2tuLalmvHK9E1voTmxXmU7EkvFTNMuGLXfp0IVDwwDegGo0jUrfjHkThgoQbN5o
JwFWYaAZLnvTu+CDrz/ExnEdx0avT0J+Wl5Tt2v6s6w1zF4tTpGEWXjS5B+SsAbyvnqJG9c6b6f/
ohpHeKI3/2Gt2DbQJnFCEMyjBzpIvljAccO9oRldsaHtSa4MHluapHV+L5Wt55Fbsbsf3Wj4qTLd
Tq3dUIp6jjJsY7ZuzMMWVIMHxl+hEXulsjIm0EXeVkX1rmRbqrZKPyEnk7fLt52iyMcJ/6ua8iY2
7q1NXWZXPf3PmCBJ1Jv3xpXDRIXbsj/r+7UzUkfxxhvcsq+4rdZU2aohwNlvXRObMNcZZmYRoP66
fIpjdK8f+MjR8gdsZPr2bnAX/vorTLadoTv/1myKqabAK4jg6iEmpGPxHIyluchja6rIourR7YzI
O81y2EptZgo9D4+3XTlnCRtM48bc7MQBooc+CQMpdRlr2aUeFO/4nOfk67rAJR1O8PphOchnzf9K
0G69O1GuN++dAoEWUO/vWysQbrv8fqmhW60QBigWdx1XFs2lIZ8vtdUTDo+Z7x79TWJu2dTy3gnM
TnHGuVsnjlmy4FncNyAoxrou2fCvrQEyFMSBJ7QwlgdGPDpShPshUvV21hbMttb29x8kZzur1kVn
MhtC7xUP+hL1TuEGJWFHY0lyBK6I/LN93BHNvaWnF9OHyv4TlocaXtgl1wSx6RvIMqVL3B6HHcJE
bz133Tv0XOiwBCXzJO+QCyFWQ2BDCVbmJfUNfUmZwq1UlfVB3khn6AsHLl697VXglVSx1IkexD4H
b6zrtlI6Fcr+qWL7Fm+07dX8UrYwQIm/VQ5PGeRLLUWDlh6wKPbTcdON7MTkHo0rm0HW0qZYZz/t
l266t5qKWuUC5bmbUM4YSc933Pe9QAp9Hqiw0qde65q67Ol83IOgta41WsJ6Zf/b8RRBU8ftm7pJ
L9W9VXJ8qcsGsQlG9s0qqGPtHkEMgm5O661yE/ib8o9pBd4jbjaUSH5Cv+eEPQcp6sGGKnN1eyjs
VvtMWF6YDgp+e1yAMe2ftkcbQIPpK0PLaZks6y+U+LMyuysahdCaT2B0mn9XWoHDuoQZxw++bv65
fCwS/ZCu4HgoUDN8OIth8a1YxJrrLlfgcMPydlJtsS6iIAf6pyltXV1mdAStcrO1DkMvwYrsM+o1
ScArRh64yXE9x17qIhlxk+YBgZcufF0P712+2V6YTBvAvmyV1E60pnJcX9OEOgQKuZU1dRXoPdVA
2h8wERtyuE0EGnvs2PHigzLdSW8IKB33XtJhLMxH2eoDa23xx9Ei4+mctpY7FJ9Bl3VhDjdLPwKh
CcNSwBNjMAIYiso/jGF5ICeDDrCCFmlp+C2/OKycRheaKd9765mFiycgm3+BWlUcMhg2bO4702pf
FESvMGSIwHRZfS7OI1wYOKq69uvdVre2XZ3OASuzcHrw8h2A2A6AXQ8VqT4Zz1VITBAuVNsmtUPO
5gYe+3A0uYXpVvWFKqgZYiAs0M1AvRCaPpyUqDSmQOZP4ppHIet+nt6NFNooHWVYW5a6XyzkFNRM
flWOy1ODikR5z0OURD1phLlHSFiZ/ladSQ11IdDOzj8NBewa/5ra/uSFKNesZESOFEC9onbvlnE8
5v4wt7/Rs4hJnQy0pcUzrbZVnvwGD5Dxjx5FgkucI5acOWjQspBP3sSAQ9dlChr/pNEo66nPg7p9
mIgXb0j4KenEX+d0Gp1bPdeifK95jP7yDMa676U/RtPFz/uFuWZezT5wPNSpeyHb8ZvZtB2pvpYT
V9d44vPBoiIzJBfXwg6N2Tv3i+1ewfzS8VV1PFuXyo5n89oIUy4P9pJPp0LkxPTEwg6oCxK2X+gm
biTmw4CB7kjmjYL/5fSpvO+8yRcgNfR31mO9EFV9aiB3+ZeBsR7JcPYixQPZvYvZXdw+GgYwQILh
/OziltJAs5UJY3wiVUeVM3WsPcc8YowAlUHESSxxT7VLs3bIWbMM4TM9XDo5w0IKc0IBiXmaOleR
z4TCJid3CgNsWk32B/9ksgycU4tTuPcYU+HbFNppMQXRvYVR6eAfHJIL1XIifrqUL6Xwq+6H8GpY
LdGUevIBw+9RkNE82zWK1dK8y/K8OvLsddMLXsxBc2tBPN2nqOyF8eCJaWx+hmzKzU9sLf0cjNNw
h/l7tcB3wrd4VJM7HfoRDSbIMD5sH36Jy4cBUfGPlDuRxH/j2A35dJRwi6NHGx4HNznjLE7cnuUY
OOK7t1BeAaKNijp8F6tswGFgJYnxCDPG9l8hyXBlDp1LlpEDj50MyCcowfQM2VwR45UweqnnQzWS
Dvwktm3ZgMTCUm22g2IvlLcS3163IqILw+mPEKSd5mArkQT2exzO+Yqw2pukaeNvYuQJBqwcCPFP
TAIpobYXybf5Jbufrs23V7Gs1dEFLRPjiH2WgdBThqww1kE8n9SqXtwPnA3y3EaksWO3697swDY7
QqHWC38UQNnZMSAvBsGbvSze13hqOzN8Ue5SG+G5GHCnfc+yQLdIiwXT73ePOkvUjNR0Ifo/PZsu
jpTVsrv1oRDiy0BaU/2RDYUf/5I4SY03Ij7N6o0IZFf8tY03t28777hTr82XpBHRAWezzECYvdIc
dH5wX76jFsKdToAujuEFWW6inBM54/qgLra5V7ZWJQlf0obDgXlMVj96Y96E11kNUDNj00aZ+9Ja
Y1LOVwx5BlR9o0c70eMfYsmekmKsixffqePl20jhgXaRoGhyjIuiAC84O0OB8dgPu7Rzy7iKvswS
MX0Kel4+aO+g+ljR9JCCXvmTQeokNv+R6ZyyLEHcfmybqSbLlwiz5jx2bUdsuNPZBpEr2BY8Nyoi
2YgmiDDQSXphcckoiy7eINPyGg0z9CRI3msqeGp/LkyjNZ97BoUnlFiKkVFZ/lkMmfc+hE1xJ+xw
/MnhMzSnYDFnvOi9eDjBPORNyagdHgARYcZ2UyN/Y8q4JHf0deITsVX+cwVN+j7MJyJBZcRCHMCX
3V8N9iL1qUfA3l3TqVQ/OxdK2SFcbJkdZT82H23S2N3jDAfoFACmfO68sHuQZu4+Ilhx6gNRxul8
sb2qffY9lX8QM9i+sLuV3OXcTQHlKudr2nTGHRa3PuYJYp7u7NKShPPSZJvf0VCxq5WNGP6gDEnu
e25+2R1iMToBiYrQA23Q719g0OqeRKoU1kcXmQTcpSkXr2h6+4MRROE92bR5NVxmmVvHlIF2e+i6
DITc8if/mgRUeoQuSOHfPG/JCmTHYZJDBrP7j6WuYCARCeuYB5f5HTwKohaPs525xJma7RMUa6bF
dVDaxSmnQWJu14pbUGXOKbcc+ZjHifUtNEXwfZRW9jNLi/Ee5qPzIpXFUxb58SVqbBP+Uune27Iv
SCMHtyf20oy7e9IGxJ+cbZwM09IXfxqWS1Jkwrqj1fs6kin2LaYfwi5G5q+1GRHabQ/R1fNMdXEc
ZX63Kzt9jzMPP92oyC7SWOJPaQ53J5B2ySSWlGvSX/2WkHaHLTUz8FaGYVe1V6cKsl9KGNbnPuxT
dS4ms/sJ9xXPOZiNAIAusVPNoSkSdpaY+Ixj28n4gEZrZlJtFM1zOCisVM3RrqrTFNUEtg1mNl0D
P5A/8ohe7FQnvXm0XfxVrUK5D3nsGU8eZ/zDkozwBtPZ+2zVbXkZ8xhnJ4I0bl5dJXAiBynjG9zN
MTmzL4nP4Tgnj6JFrnFuqODeZJLJX3aDdewhnUIm8k7e9Dq1O3U+O9od4dVUyJeYROchwcmJip94
2/LQkxp4QTFU/SwNZybZK5yw5OEvLqGeD/yVcWb+wNKvju9MY/LHr9EMmcl7CqUKAix+K3OJ/C9e
yB1SBf5eEyT6a+mmEHox1GCAaoijMab2CIohYss5LzNQMML9oVIvS5EUw5MtoeHfoOc01g0crbA+
SAaJVH4MIxl678kEo2M8BBarjb3FBjKmssPVpXoxTbsiDBPGaG2q6lSQWBwtBIamSFfzl6xYCphE
gx50Ldk9dGXO97Kb5amqSZd7Uibu/Uccr03zUZKhkR/rCYedqz1ny6sYOpxIzcLrX7M8Il/9iAla
isGiqqGkHXKTAfvdjFZNHJuSWdEJTcQwX9l3W/PGY1A6r6Tkest/lRH/kyeMmZS2fwVewC4VPce/
RfWt386WB5PrzsHOl/HI1iAOnHD/zTbgX4xkbV/levAMUbVAaIHa8k91id3MGaxroV5nw4xU85sR
Xt+W75g+VQW2nP9j3Pn/sErEzuafX8uG8WyzDPBXRiuqTQr/+WauWuxQIKV7TQVTpvZQYCzDBpR6
TcOe7KXupMRdZQ82wrvCIyvnliQNkYSMt0f9HyJ6Bb+4jxQds1OIC1YvsslyZv176w9ejFemd2Qw
iHYfdQeGxd99e3T4txx1ER0Ybi96PjQOLsy6BxeRPKT1QbKz2KeR0Qi/iSRu4WOE4CjGZ4sFpNGt
fBynd/a7fFHnKYcbCY/ScDsnPmTbBzXAgvligbL1H5ODHpTPaYkE3r5VsvN4+WZZTP31aGAU8fXK
6SPeczM0q7Ep6uILoa9RVH6ttwshqRfU/Ae7REjKo20No+m84Eg3ZfN9Bf3NHy+sI89tH3xSm/vl
LcFNhi9QuwxH3LPfFSnXLOsr3dKnEUVCTbAmJvfqbjZz3ddN+Ar41Z2n+sZNzx5jIaxwXKZgZQbj
DhjWPqV23I7FY9LKlhu2YDiQmbcU+d8Sv5YuYbb5RUxuGS9HZlzaGCctJZ4rbzGVkP89LkP9UTKn
9nBjKnChQNex3wOWb69fsnGpnT7t4FVkFj6eM3Uh+5T0UsdZCOeDxh82inRgm77t5hTWQhFqdIn+
fAsmKNicWhHkwvim221uuaH0V8YVRdKA9SYeMs4p7QkYhcmE7pBvruPI/36EDBSS3Bi7tsiFPMcD
bQD20lhddem5EW7LRXStpucJxS/XqYy7ImZ8VJ92V026R8uM7zPyigJ1h0EhNmBEZBpBnzwRCI8T
4KGLE+i112LOpjF4bsxWqfQLo9mKSY3tFx7v3uCCw9VoyKqW8w13NJ7MW0bWM5+5DOluzMPkzJF7
HLJmsB77zUcOJ0OkkgSd5613Z+SRSs6J7fZ+9pLr2Nb6NGZew5/+l/W8Ss/+l2QIgTtSJVa146Jq
8HE/+ud65t2x31SleJ1QALods3jbMRxm/TD8a6yQhUIy6gw+oDoJ59r9ENRCo8Xh5ss6p6PlVVjB
CFsbOdp+gzLg3cAOMky+yZhHB/zC8Y0Il4rNkKZgVORfW9jnRIDCXal7cULZbNTBgeOIEuyGXbfJ
1Z1wSWU2hjemfr/d9xYeDkNK5cXAk3AOtGnusjn1erwEv5eiPiAj3IJEYLWE7MAUrg4NDnTJNZFG
gfUb4C+lLVTvxkG0E8Zk1slDZUzaLaccem0btDvmtTkBVPFwgFMX8SznTNLj4IwXmmyGh9KynCr6
+w9nu2wNGN0DT2xFyTQFc3tCwuPyH2rWIazoVwJZ/7HPUhKnmarmohyvmtADGTz1OFdu0s7URlcA
CWN1gNqdLhHWaDdLgKq4e1maApNaSNEknMZf6jxqAVth2Kx+WaJPM1E9UBErkR5nf9ai0V072i9J
bGTD0ahGDbuwd1YiefF9dFw8nU00DXgz7brR3YUx93p3aV+ZeXlWe4dER5tT2e2sUU/EzU4Xn7wJ
ZwjYGXgF8ee7mWRsr6LVtoaSZD3vxl27fsxukEkymGNgHTTMeWJMeanAWj//s7d0h3u2e4/m7lYX
CBfh8iarX1DEIzcTbQ0yGI/3/3kl/FMsjNeCSRIC0S+kFyGQsP+d6NRpRWiRRMtzgnoM6LJZ/QM2
/uE+ftj9JnbSx39++3+qY3l7GyiJxxV4J/LACv+1DCfmy6JyQ/W8z9F3wtUukt2m/ElWaTQQ/ZFe
VDv0+P9jKmDrd/vfmwILEq9Cz8LmHfm9828FI5YmgR445tw2d5zhGg08pNSkGbuBaRzHqndyeZ4a
4nrJTJNalZZmDJUxQNvYEvvTisNWHOSvKeVERbYbf8dyjZjOsO426AG1oFankQoNC20UROxOn4qi
1kfa7qyWcQD71Tlh46Z6/89XHSORf31TDiO8RdjPcavD9uXfylyX4TRC2yF5ITYRy7gz5UhYiwul
CI/9ucd6gnUB2KFPGninPvLFbQuPRNpUIQxgTrDqZodt4eVQG8ZxfBzoFepLTBYyf8tyUdgKOVNa
H7aB5j4P2KY/YwljwjvtvKyN2xq42KziOhpV+l131oQV5xpppuFkyHLsDSTD8xnwSl+pcOz0i/hj
gyPBoehTi0GGPYDJVG5V6BkChwfQbr0NKXNMDrBwwrrZYg1DQ9Kz1FbmerhpSFPzQ3ZqJ+Qg8Kfc
ZIt/YXu0PULhMUWYH23IMKDaoWF0HODlVK5GwipxZkjgtCzZeGD2i576svPKtvGzKVOcHd4cCFDF
ZxSk0LA2za+qmC0wI9E2oPrRLpxuuYxwcgU5WptZVDGsBMN5NHpJ0cVtaB42kfL/4ey8luNGsnX9
KhN9jznw5sSeuShHFp2KklpS6wYhqdXw3uPpz5eV0AyFFln7MGJiOiSRMInMlSvX+s1S+ILgKFoP
blbbUXHTD+x3xY7uCtUsDBnccBg36ox4RXcbzJkAcDSxJ5ArEpFvquUZr5WC3QWIIeEEC7axruj+
JNeNlgaAUhfkaTvqopksG/pxgW/ide7Rq55uYtnnXh7YqTQBd2lrV2i1NpMrwjgHQdEbS/XGd8wN
/mBpLRpRxeSbW4tzuKJvipi6QffGUnOE2a9cihepftCrENPs2yExRcsGPkTAc01y8LqcMorzmETJ
GHRb0B9TpBz0iLIMMkWFI+C4LWhqVmAcUE3BJbsfyqA+6qAdwmOIDD2JXUlZnBssMB5VMWN+mx2/
Ih+cPHoNX/uStcxhKlIDhe7b0pdashjX6HOag5Pj5zyYVrCp6tfLYOoKija4wKAfNrcHQrpLgK9n
RaSAy6/ratfQQTX4RzPawkUIije+U6Pj6EkgJP4TopWztMbaUQj0bMcW1NbbKcpG6scS9LA0utgk
mWLLH5YeE9oG4qu35ghwagHALypUiaYAj7/WdHduR5C9Wgk5ALCjq74rUU5JyKEtvRZCZDaO9v1d
oXCuN26tQKOHuF0Q2MtiVKPc6Z1NWQWaUu4W9G8gPxgtXzHJZAfHKxHVovfXpVQjpk0j51oHHvc4
THGTufAfRCtpoiIQnLORJUtIZY9fVi37VCUgHVAdi6xq20Dn9d9Bu9QG9abSczoNe3pgw0BdA8YN
U8ca6jJv4WuNaEw/FEUuWpQw/5OW2q7ddfnX9BxGBpYl8YC9vxyhoUWzQ2cctHMw+y6kO7KW8coJ
A7TVNpGKRdJNqStmVe7SQg1676HlEMqcbKkMEIZi165AVg1SDUSZACuwvC3mIhoMsj8ti8NqO0MV
DLeL0FXfq2dQlZR6W/AHbFyiH6cRUNDoyr1KROpp6EQfcUHYJXUnMK1KgrgdnXjekYdYRm9ulYZX
DspK7Y5z2bgnZDetABqC5D1IPPdwzjMzvxS/CRSn00gw6fbo6r7QUqBKqKD7PSjETKmjHP4o7nZx
+Q7O7MwvJOQZtLyTrguc7gbIgICICCkYntunpcOKTPxaAE0WZaelqW7gFyiAgfbofTFhwif3pp4A
P9209lQF/SZuGtjGj9oY9nYfb5dlNiiDL4CN0VDP8Oc2Y1xHWnqi/BWiPwDe5ryWexf4Z3YfFYmY
wYbdCHxsJEkJiJSrSIvXOkc39YfAtTMjmKgnVL9DgaEte0+AsAqMpNvo4ERoGwTeRsK1KqsDzQm1
UiCIEpgfhIKAtyWEyE5HHUGMSG5t8nBQOb4H5tV5rLQSfDWwek/825KOmxLUo1Bn77Nt0etx6n6Y
HMeFKSfBG8vzLMAbCU0ZfcUsjbfL9+okWl2Dx8q5mDKAIgJ2iJyb8MiIMQVoD3T2EAG5X/wU6JFW
IkxKk4W+DMUEHXKaisbbwoPHadHGRyL8eyBAp1/9SCh/gdMDzj2edUpCiTEHTypiTCPxnoTn8yAT
+mlouzFl+uEuy2iJxdflyDlX3feODV9jazXgjYYrWzIjSom9D4QG4teUegBUBW8uXMFoO9PMlhdc
8IiGBJXRExCNdQkbWkKMhHYt4JJlu/QlqM7CTpvRXyJ21g0CiqOe9SchE4kEpJIUC5CVqkAZYGdO
8tBLqHkv+7a05sSBJZWtj4Wo08kNcgE1QLEW+csCiYpqOP7oNKHDwJJYKgZVUorCDiZQAp0QWO0Z
0WODW2OZg8DnrRbqG50s0TxOZAScz0Ix9RlXvKCCZhP6NLPOcSZ08KuOJpN70BVXYAQsyTdasvlY
DwShgBovQGV9OCt9ZhKvtnBYUqQh2PYdOxVw6oWOI7He0eg3vnVsiJrqeKMj6YpI6fLeyyRaBuMH
XAa0sfg4EvC8tMKX11+CsOewDI1NSyJmx7tgQLSJNEZDGt7ZhjqqwUe9B2fpHwaZ/GGsOLNxT5Ye
Z8Xt2JaKk95ZNXQv2rhW5Q/fkd4hWO5SH+SNycmqcuzPJn9JLitraFXvG0azT2r6Ss4mby1R3QrI
/PktqtqilCY8jYmvzAuXX/M78Wn0wKUw1BgurbzNnNWgHja96wzchFldU6wwCz9vvXt4xbGoX4Ha
44q1lYr/eGaEYjGCN6Y/fjF62g2fB9TRebEFpkcVmUdElozHbY2OAzYIZTJNfWPHelL+DsVD1OmM
2hV1umYexcyVZSMSiIY/LIWiQJYBy7oUi7KL6GUpwGR8wQV4+TyxPk2AK0F4BXEhDk2c5s6njSe+
ZmFa11A1CuNhiNhmChaEM8b0us5dWFPOuwZr9iJCWrmPjfhWzruXn+JvZ0nkErEP14XlHl9lrQLj
qKFim0qj37tnptSydJKQ2QBA9XyujcdeZCALXDGTbIxQZkYvP8xKkkbXEOdDYwhkjYbrCeozP9eX
Yr9oq8by+/vQGgUxbOzJsogwZzjqwg0BfYC6wNXLN/7bt7Do12sGWT5lcY0a18831lsXTxjP7O4t
ueE60LORXl+k2zqzQmd1yQX6qPNgsAUyb3/5MdbvT2FBRHdHYxA4SK9VCums9U0AUf8euw9ZtQwF
zp8StkDRcewXhJDlLP/ynVf2mUiuCaFZlTYEEqZUSdZnW6hbAVrevnIXSvZJ6vice3CKq8oauuqZ
qbXAoEbJC+rcSsTjBY1jgiv132slAIpL4lPrKaprDmNhUajwNMSS1uUOGygL0m2+erecsBfcXHtm
JcopKkkVP3CCkpdjSb7NhXFaVzt0JOI8E88BDZE2NG/FJ3yyamsbIr9l0i+mQ2XOaHJLaBjIuV59
OwVtZXZQgFtH/ZImtihHa0ada1+qDh+HYOtV+C1Qhg4c7BivLUzODf2C0uXKAsmiJgXcQsc8yAbr
TI9g9YSqr5K0V7N5N2SuO4cfDatuy+SIvoiJKhDxnIDmoLacfdIZIWoyYx97JDltMIJgeBgddAeG
fU5xxel+KC4NKbQvFJyFSthncjXI/gsbiNaWr7SHl0d5vRzR9zAtbGp1dFhwI1+LCRM1e8wGPOf+
h5OOXGwlqieEYUm2cM/cQAy2wHNqc2Yx1C8/hPWzvCkDqRt8bNchHKGO+jd5U3a2XlSkp/sY2hxb
TV81hVvfe72X+h+CcVRQ7WmVCSDX40x857sm0pgtkipKCepl5kPrWFOZXEHJVsGO4AKafAkVDQsU
Y2M3Wo9MpNuRcUZX5kQDm6NCICS0Bk0PqJBRnqUbBSRWbEZLMlplVNcw81EdIZK9VHyLYOxBq7Ef
g6z/6tmWRyW0pjIkfk9W25gSBZfsBuydQCG6kKQStmrUhQogVJUOHCBRheADc9p1SaqWgGdDllTe
Ba5nRWg2Gb1T93vq5Ebj5kD94pDScJ9MQPOv1L5SyoA3CLsuu0okNStwG4EBSvUwDNW9Y5GalTsV
HkDb3tRViHLtnkN9qH54+etpf5tDmLcQN1QLtBpsvvVe4rhEaXD50f1S6S7l65PJcL67oUwIswjz
qAFbz92CzLakjPxSUqykjxXIdFE2U+dEuA7MtIP5kwQnLa+d0VorfldHVIYGgKOu7V9qpK77qDZN
VCTiRN9FGL6t14OBXR5FbLW+42xTWvk3uHehkR8kCnkxblq00UA+nSXSzlw5GbbDHnSMeml1rGqh
DgqVNkbStmdrDgXglV5mD0y8dmi13TmzQlOd2qafGcFOGc98z1dlB44Kwtky6CY7wh/tLGj3JPTS
MwEAFVvZ3dJQXJK5SqZq+AdG5I200pF2u1D6Xdf7CQGQ/D2X5jul97+laklfCcHGobyLwtgh0GSc
w+zPP+6fOggunxyvEZ03X0Pv7pJNyt/ub1BGAosniuwmSIFVSM/TKWwnVwtvF0uEgYAgjlc/ubVk
miV4EpUkRb+8mv72AHxmQME2Gruk/4Tnn3c9vLVNGyvD5gYF3XP0MM/nrWXzC0DDirhscYiPrvCI
b5yPL99fvODTHoMLEpO8ROiBcsT824aQjIOJ91Mw3cYEl/m963aohoWN7XPe56FrpTnYOu5cFya5
jofo6r40NPCi1tD1Jj9epx6JZfTGnBX1LY4iYdU9OGZZTB+8rI7n49JMzxOtMD62Wi262nRrxMln
wW9Evh6LUmgVd5xhGgeB3nmLRQbVn0OtZyI2L916+hsiwtObzJhDMJAE2ag32FrAkAEGLn6nqyoQ
ES8P6zqzQhabiW2yGXByF3vdz5/VB+80oh4R37Zej9TIBlB3lDgbfPhqPNRBFPYWfC7p+WJNVMy/
dm7Y9Eg7AJHr7Asf2VoPNmPNZ3bFU9HaWh9FhhSANsiz+FbCUaMzqU1mdrIi9PLL//12RC4aOYDv
HJXteTWn4wi9Fa+frZtA6Hp+/cFFTnsS2FYC2i/c8G+pGZsuhxuCGF6ZKkYaq1s2jT8KFY3qZiEz
Sa2BMYCeikDHINouwriuT2/DCUikBqLeRnzpQe8AfKYHvLh8tb5FUSOhqrYUrhYjFStQBZ1GskfH
M3lZko+QPQC8i1Ujji4na+7aFL4uV6WnYQlFCxxx/El0M0pJ0WWXd5jCi+pE6FPGx3zlDHCVVLKF
amZ1vWAMOFEmGultGNSUS9xOAn7zQRSDYpSCqdIVPrpej5HM4SBaoRfU9Jmwb8l6CE8fHC0Sad2P
bKXuo1kFg1rR7dnCHwUVFMkeTJ8rgt03O7k4HOEQIbg6NZ443GQ5FBRBblGh6stOvBLrhzvLcWhi
W5SOQWeKosqinwHWWRCuFsixPFGk4gj4dUK4rTm4tWIG7WaolXqyr5oMZwvvGFczvmbynK6qA2ou
EGMHSJ8HK8DT7iQHazmsLOE4lszFpYay1I0LhNTmD0sPmRLXme5/Pv7LMiF1FlEyPGtPq/jFT/GV
jyvQpG2lVO5yEnR1TwymU/WCcLO0xdCFEKaa0bneKEdA/tKSUpu5GZmPKazQHp0Til0mWQ0VrfIv
sks33qD6EY9fJFCaHn8atRssWiwMOjJUQGPKZNF5uuaaoF8pkpUKPqDODyXLyrNvMr0cvFuUGpvu
fYwpIxZAlJqt2dvJtMQT0s35AWXGJqM1hgtdYKBPYprUjNBPzL4AfIqcbUvt3a72vVoK1tciZiN1
VGCVKQEi+ggy9xtbQ27U2BdpgrXFhr+imNUmsWpdLUz0nJKCBzRSw/Li0ywL3FC/W+NNkNhDOu2W
euzSwIdCLWqQS0XS75Aj/ooKACT7DU4XiflQqyj2wN2fu2T+XVKOjAoa0vcMUh/+lGE8h9YHScWm
zdp13yhmaOYH+qN99wY/2qzUDwheKdMHx5xhjb5B3EjQky2I1zTEEmuYG2SM41lr0l0jW4JLsRgT
O8GXRhVX0PUXmQmH0iWTlbOyrXFyK+OCwr5DC2o+LH1hoqEA8s8Zmr79o+MmrUIbQhZbF1JkLaPA
ksB5k21GH0Gna/GjnNadPbJkk/PC7dGwqpDD7V29Kfaw38U0lH1rX6H0fV0qOqIK214ie+RRPcEM
iokpmYOxrseWigYzRpLzrkSSgHLxosW0iGPZMaKB9R4ertVRzUshUoAzrf3+wUmMYADoteg452PI
Zru8qZxi7mTDk1yYRZKCtwhIyaWeuJ6rfESnsjf2ngxdSxto4V7JhdOeZUvUc517GaYfTOQYMV14
yZIyLAvoVP2EWpKkPEpdlYVIZaIaTuzBPzZQP4wt2QXER/CGLCBYHVX7rsx00LeFYfUZ1VxZ75bN
CtsdxWyEWg4x8moR2plH/BVoVDMyXrCTDZWFrGnKovcinuVRyyYcCpggHtGSh7EQ3WpwTgR4RGdh
REjVGjXURL290kIrvLeiwp7h3MlAGeW+SxDNxsJi3iVFqCbgaz0Fh8eNp5gwsCsp+zDI651FTmpj
mtzf8Qbn6258WPTQlrFK08B7L0dM+Wl+zO1z1GsYBYL8wvyTkVI/g2M1txZwJDZZsQssmnKyk/uD
93jmyi7s1QAF3PlD39nip5ddYmm7Si2SJTzIIuOiELDQ2xaCYg2ihXmZo9SXpgGycVE0f/AqBcVs
QG8cgLttrtRC90WTxH1JgkEYzyRLx+FQHL9CeQ7+4WF0Jsv8Z7LBVQx3wwQ0HglyiPv8vCEP/UuH
JpeIYMmjXj6QKqmzOnLUc/Q2hv0FbGTZ5kynJacZ3Fl0R5a6SVKcNaYbKc80SfIRLD16AfcGaQZ9
i4U/28q4UsKaovzYiWaksgeTaKkFDe9WtL3I0+ntfColfxlG4yTSBPknTcp7jPLuMncDWiIODgss
KcEQknmUEFDFZtzlTD68nQS2xJGuHJw4M+0+VtxJvaugXNF1KeHlfK5xVQk/BvQZkfymxKB8T2P4
YNJhLZUk1aU/VQJDY0NcStpSDECq6eQxaqUYkus9M9aQtisezRoF+xcMbSjU+YGXJ8ZBscEAFlAE
znzgxjwLC5nlIBpY1IzN1N1iweEH+c6mANg1+05Vcb/dt1KwXk5bzzj7Dy6ZwLLd41BMBDhGld6B
BMQffs69bVBBAgi3UKMNZT6kUAKYCJJHuQTkJXFcJrpkHGnJJPAwS6sOgSO4zcsJcVE2WkAVnoKZ
IRpnUpFtyXE7mVQtcB9dNwTyBFUTQSDGu0dEHamPZeW6RaKVSykNoP4dE2Zu7HB819KKbFHNlGYd
tQSp+jqnuWITa0jSYYt5ZrwtMIRFw9tcrkh+SORGGU3URjPJsF5gQlLyCs6goHqpbAU8VUO7krUs
9yPJQFPOKmShjE4yeaplegiRXUSLpQkYyJarVGeUTcBlekpqqZRMsGVCKos8jcxswR3b2NX3IQRc
0JaAUxhJgjw1o2OMrA0LPVJcYT4rZ/OiWhDLNRcLgLOQCOsNsJ11A4zIObptXhXRIVJ92/yayY9d
nBWM2hg3RBwMQ+Bmj4atiq6v0QdB07/3gz63CrwIhNFf6joCGcQRQPSeJbhDic9cZUt2J6nQZCmY
MhQ2dJTeTLLp7dKOnRoLIdhD5OP7AudS6gPS3xZJdSzxUxrpBd+/alCoKE7qEBn43S3Ee1uqeMlB
WtYYsPm57nauG82pfVyKFUowtIm2DWC+hfamivtzsZldMoGI1xOMoCGp9PRo2Ep8m5FaAlbGfRBv
2DhTkKLntzz0D57/qIi5qLElM3OWQV6sh9ihi8rcCuRROD40Ek2Caj2yP3sOIWNR7kwIzk38x8vH
u3WNwnN1B0cGulaWi4/tukg3W/ZYREGe3mRpCTh7EWhdVGkm2clatGb+v25sAEWE0kHnjM4Dzat1
KS5NjLZyizm8idOwcr9OnBQcQP4lzqs4UFbKmOX7HJUFwvzLNz6XfZ6UZSiPc6B1TfpmdD0wkVhZ
lSiKa9RcPbzOh6l0zSNFydYObjy8ZYFw0+3uHPcKInKtAamYu7BJ860ZTQYutjZ7aq3fJWe1vVbN
XOiLiBZ0Q3l6+SHX+FRAqShSaRwf0D5R/251PAF8cJyyN64W3JhEpo2LP3sdi3Kp6o5lqhwgVJWh
E6Na5zruu7Hty7K8KtIRXNtGR/JAeVcXkVIEW/BTYI03GdPAyPZm30IW3lZhlqbQo6JUyUGpWjWy
xpuQTNUI9xmC1RTt5WqxzhX182v+n2/j/w2+Fwvbpvn3//Dnb0WJ3ksQtqs//vvqe/HwJfve/I/4
rf/81M+/8+/3Rcb/XvyR++hbXTTIkq5/6qfrcvfl6XZf2i8//WGft1E7PXbf6+ntd9gR7fkZeA/x
k//bf/zH9/NV3k/l93/99g3L61ZcLYiK/Lfln45//us3mrZP5oO4/vKPYiT+9dtDUbfhP26L+js1
d3nB//zW9y9NKy6g/pPqpuPR/0RiBx2/3/6BELj4F938JyU/Zg/1ZhOwN/+Si+v96zfT+CerzjEo
4Zw7gSYP0RRYkfzrN8P5J+V6ijscCG1VuNT89uPtf/qK//2q/8i77FREedtw4Z9qYgodcYEattaE
sKGPIrKMMXjrwW++pt6vXYXurD48GYvlbv+bq4vO15NKumP7KIP5lfKYx9Yf6DuChUvnw+uuva5x
aR2dfbAEb/08fuNlmDk0lmO98uKiXvvkwY22bKtM7/3HPI0/l7DPjkCx+wtV3+fGfBXNjJ5tLvJ5
8mZwdaGRdKtotrF5eVh+rjr+54OerfmePDkOz2bZKmnw1oSPsO8GpfiCkbK3C+BqX+hWPPP8547Y
k1sM3AF9ZW6hoW56i9ceto/qJWPa5y4uOgRPLu6iNzoGses/srMHO980OcCqrLmXCIPPjQ3r7Om1
AUXG84QA7yNlAAzd60Td4i0Ybt2Ldq0/NwX/O/rizk+evi1QtsfH230MnHK+R5ShvK6tRtuOVtS+
GRPf3ORa91VBEvPq5Vd6brjE3z+5YerCWuYQ4D7CIHyYgxTTIh9TidddfLV8yX7zPLds51EN7M8K
mfK2qK0LxfiVV+R/h2q1fhO3LkXJrn/EO3evV9EeBBLkoaPefnDn34t63lTlNk7eJFW8p2G9MdAD
7L75PhaIB/6/8L75qn/hRXUxA/6baPz3YVbrvSo0+ER20z92frUZyuEwB7dK9naI8fVIoEp9HSm0
jcq86fVj735yBqwSWLJ0Cm/Ai2Reslv+UyHAz89kWgznyzlQfd4rxV+Y11x40pWr1n+fdBU8VLeG
1x32/aOhhEfD+Dq51dZmRIzxlpIo4kSb7Oyn4u7mCnuLEro4pTps29Qcw4KkutDZWWU9/3kOVbR8
nk48gRyq9Sl7BOAJLtBDR7jaIA51pdmM0LxlEAb3k18++sFBK0akJe6KaetoAIVr6jEmUOC2veaH
k+Tg68amu8QidJ5Z5etmUzY5SdQpZfRYZX280WvnCCH2k0uqnsBq3whbhaHGsiMscZtQEFdImz5/
9K34Q+/WMB+rv6LSu0PM/JNnRG/1SbnvvOgTgkK/Kw2ZSIdpD8o/4oBYh9Otqyn3DqQQKk0NGF3j
d3uovyaZuht8sOIIrH+uekB/abXzwvC2U6Zt5PvXtRvfhPP8YLfjO/KCG1X18TxxbpUw2IaKeiNG
LNL83RROnCy6q9nUHrGN/Bzl1X1eauoGdOO116M0EaWPkY04Djy/g5VGuylNPwC6PqRjQvcsDrct
WoHoOdxYUXnj6MVV01dIrPUPhpa/TdPyEPScj6bOP02VfWH3fCYKqqsYrg1ZUKGcXZ10KraIy4/j
BsvW8IoMObtXGxRGwtloNj52kK8KVCK1ejoZm3Fm659i3qEuYZfUh7i6hNJ5JsCqq4geDyhXwAwu
T+bAhJjR+tHL8sKJ7rlrr4K3WWSJa4OjOQlTmU1o+w+caN++PCTPrYJV7O6VJotLx6pOmFg3zWYa
rfAxTusY5i4crleOu/7zuBu5gbcZFZzTNHiIOac3sZpcOFY9NzariOzUDcLblVOdlErpNtAu33YI
KexeNzirIKqgla/AZGpOvecOW8VKlI3WJOpV0qqXYHK/fn6kTn4emtFyPfgZWn0CuXWaMQba6HZ+
CbH43MVX/fQO3FXeUwI5DQ77jYcG2fUAHf9VOQUguNWj0wJoXDNtTumY/uGgFYXQ5veXB/65B18t
1MwLpwhZ2/qEDJCAKMwnU0XE6nUXXy1Vx1XSth8IO6mvmVuPJ9/SuXzVWjXPDnxP9rvYUPLC9Nrq
lIzetzmNwMxF6oVc6LlRWa3VVMcYwiyi9pQ17lVeD+Wu0arsQjB+7uJ/W6NTUyUuF9c9/1A2wO4G
v5l2rxvy1Sr1rbGmOO4SZao6vO4Bre5iXJsufFCxVv6elVH3+XkiIi9FbzJq2pPXmWggzcWhTzGQ
S+Jb7KH+GszoJm/T/mTFefDmVe/jrlYtohfTjBwkg1UmfzGftghdNa8KlsBPfn4br3CwJTPb+gRb
j2hPyQvfK/P65Qd/Jh8z3dWibfXIpWetlCfgmfkXHOiVP2ZnbjZp77v7uUJzFCVwZJqhiT2gGl/7
m4oG2TaxtLekDNUbJEL8w+xM3e/jbBsPqepqm5zS3k6h4b3p0mm4q6fuzwREx8ZGavx1E8hdBQQ0
2hwArmp7Kl33e4C48KbrL1nQ/joNMd1VPPA7irFem/ExnUS5zsARbjrD+aCa/Z4+fH2Hf1K3T0u1
Ob78DZ5Zaa74+ychYm6HzMtpcp7GVN1otZpgWhVeYnM8d/FVjEDKx88pDLLVTra/xbSx3WAIEV2Y
m7/OFnAB+PnRNQMgd4przAkV1YiOsJXdmkOb7ZpO0161ocMG+fkWtEobWBlJfULTiRMDdNO9Y+fz
hVDx3PCsQoVfGWULYbA5Oe2kQ9Nq/kSD/9JhZ0Ve+HHYAaH387O7ozJlUVRXJ8Bt5lFtC+22HaJv
+EOTiVflvIe6ohxdN0zuaWd52yY2sLMMHe91b+esQkfh4Dhl2HV9mjP8+Mr6Flr1X6+atM4qbhRK
bNZ11ranwjFRmzT/VJv+z5cvbYvZ84v47awW9+CPRudj93SKi7E7ahXSorFB+9FuFR2TRhR2diXE
x10SOx9xVDV3Q6Uh3kSwukHbvEOHN82vvNlP9s7gde9QzlXuM2SlDgMKIZxuJmWr+D5GAlnLdoy/
Ej0AO93npepdIUz+HgpZhsspGhFK5ur7XpmrTejS8iGqQ6rV2uy6TZtm542DcRC6oltTrapHd7LK
Y5iiDNqiBf6gePg3Grbf7DJ9dj8lHo3aOvTDgzEl+rsC5cRPfjJMN1pllbshG6b95KrfugkZdFX4
NE1JU6Ltp2W4rdnqFeCgTw5WK/tBd9vNXKMJF4391zFSqm2VRa/cbZzVgmgGJaWbXlSnFiD8bpqS
eaO02YVIJ+b9Lz6svVoPdkgTpsfX9TTSZ99OkedAtM6/A4Ck5uAiT4MgISJyGpzgzVyEwdXLE+qZ
KHU+8T8JsH0dmk2g2uWJUB4eGz9HhtXLquOo9xfu8EwYccTfP7kDbT7YNK6Kky6+t0qm0fDHZ+VC
kBXT/hej5qxCeKIPhd+rZnmiFN9tUYMbtj0GSEJwbjri95Zc+DrPvcQqmI9zkpWqozWnpqzedLX/
Wc2L96/7Aqsgjkt05k7VUAmdDuMPtzayt7k6F3sazeru5Vs88/RrLbdprpLciabypIYI65XTn3Hi
fnz50s/MH3sV6yC16/EQkCPVaaTftl2pbyaoK/cWh+ML3/i5W6xCXmegUqNOrX3S8eS+KxulvzaA
xm3LyR0vdEWfGyBx6ydztMOzdqonZHntUrNxdZt+j73h7uUReu7a4u+fXHt20O3uS66t4L256eL6
vmxeV9k37fX0RwYhsOl+nWIMvq0rEOeve+bVdHcSRAto8tuntG+PmTd8Qdb1dTmLvZru+jjaVd2o
kC7Qkd86fpBsYiRHX/ngqxBd4+PqT9CdTlWIX7NXjOZ20sILElLPfElrFaINYBmVlWb2ycJNY1en
7YM/Qf59ecjFgvlFJLNW+Ug9Vq3eNaV9qtS+fBh8GimBV0fXnadhiuKZQDmcQdm9fLNnlpS1WrWq
gT920xvWyR3R8fXiItpgma082P2YH16+xXODtVq1oL0TcCKadRowBR9srN117/vrLr1areiqTnpZ
T3zkCgxsoDbaYUSz7MLYPPfg4u+frFfXbsMk7jsefPJR03DzdwCHXreNWOv1GnoqSq52fcpj1PKw
oKFibn56eVTOYJVfzaDVorXR1g5juPSnMb7LWyh9Lkbg40HP3/uhv2vK+zHCkUC7GrPvuvE1NT6q
5nxr2EeniTfiT5g8z8lh9i/EvRWb7z8ZvrVa6WY4YuceZ87J9bFDHkdcu9KdViWbCZKX6t/RqDC7
N06FaXn/kGPMAvZaGFBejSjwVaKJUdn5hdX13EddxQUEYovZtlE/JDk4YKSId2gdd6+7uLmKC7mJ
wCNHyeLku9a9U1Q3GAFcisTPtNGksNmT6Rj6ANzVyM1ObtcO36ww7o5ZGXyhOB8dytmgBopxxnGM
yq8oU783tfJDmavu2xGM6La0OnzbArvZJEkQ7XubvlXRa9HOKPXhTa+ZwWPR8HNN6zrXRVH+EaG8
CUJY/0yz4d5AD/qVI7SKNyPNf6sDxnVS1PAvXQ+rjef284WLP5MDmqtIA8fLrlRNy07VmN4X0As2
Ewc7VM2zLxBxX7dyzVXMGeggIaM1pCeUur+g8/PVHj68vG6fmZprCNjsAJeulD47+aO3z7z4hND0
pXHXnwn05irgRG04V+E8pqeOnuUxHGftXWkU8b2uoPZZoiR/9LKmLLeeW9W7NlDGh9xo07dzZ6Bq
M8BbGtB337lDbCP8V/R3rpGrB6R+OmQFeoGF0N5b+qgf/Bb5kRow224oBnuXWZxasuh1HXmAWT+H
5CDFebrLewa/1Ta1Hl5xoti9bvRXQSqaZ0TB6yA5sYqubCf/YLXphYD83IddxRzHtTi5pm1yStz8
u1d6nzT7Qmh95srGKuCo6LY7alfEpwAlq73Z2PU+VJqrV42IsUpELKd2TQfBjhMaQQBTg0rD6L26
tFgFyupXeY6xCgVGDvpz1kYu7xz6qd+S1VAce8y7Iy33DEIJm+9eLb4YYmuPvnuOhjO2x8n+KNom
CAnvwhSrnxC2iv3BRcIfVjoe8+EGMse20N6xTrdz+D7xqQ2UHwE2kCNjhqq/w2BiD5Vnz51a99PA
31rtQd5WQ3LndYO3ikWDqmDSYKYpImPq16QgtKrKpcX83FdfhSC60VpsJEVyqvuCXvl4KCL9ld9c
3PLJJhN5SWArSZ6c/AoNe715U3avi5vGKgDB8onDZM5E3KTk4yr2PhjT31832KuwkBJgkOe3s5Nl
H33zVL1yPxcoxaejUWRprg32mJwMfLB3HrCyY9nVzuF1T70KC4mf5BkHTq5eVPeB332iLvfxVZfW
V3EhL6osyTDwPaF4YG2DLimvlDTJd6+7+iowhFbh2mOvJyfYMsWuKZIH09e9V158FRbKQrdhq3bx
aUqDjxqkkW0zdq88FZ5zqyfT258H1xjmMT9N0G8PQb1BH7h43ec877xPrp2YKvg3stqTFnvNvh9c
Mi7P169fN+arhTlTdQqgNGQnszI/ZnH+FQrHpVYgeii/jsX6anH6AYaYuFVGJ1VXrgjEdyx7y/5A
rLUq96jicxJlx2Y8ihiNPPg+bD/a1GL1Sd9OwbybTI7YmfIY9PPe6IyrOss2Q/OnkbznCimFYdgA
dzpXsZElNOzumtrvxsymo6HdRQHuEAaTtPhYcPoU9klGom7atoa+eiKAl7l1XXTHXj2IUA3JalOq
8RV/A2cTWTz1yP5RGSHekp/HokAwpb3nH/XEJEFAVc2dvrr+n6r7u+ZrG9N8w2H3js0AA8c/6xGN
t3BH9Ff4WG5hb5G+FNtC0eEPHppX3L1y2ncIo2NucUyj8m2cHXGaxKDqu4/TSuZ9azrYy9yHS2rU
ghUfiFp8z4/h5IY55dHSRpBblHAzOYxNulFr46o1yV/GY9k026x/4N1i/3vXlwcGhN0MnuyNn5oo
wKu7zPE3eV3dtOrB8wP+eBB73ORoEK/TN4XW3VIx+OjD/mCX060jRMu7jmONlkXoydsfeYaA+kqQ
Zte69qluoF/m1h+Rmd2i1LbPqnxrq+F+DjTk0e91+86hgRQGwcamgto16TZQtT0WEELn+VoMoTaq
Ww5lnXroahtv5kPb/hHnOFgO022uNrs0BD5Y7pLyKN5R7z65iX1PEQApXnVXvbKocO7UPllsuPIm
A4II8amJgwjpd+tz0NgXtm4RaX5xfD7rSTy5NuqAfabCPCHJHN47rT7QgeraPR5N4Mbwst1GU39J
xEEs31/da7UHuEUNiRdMyCkJgztE1X83A/v2VRFjDVaukqpM8q5JTnYXmke3QOjPHOHpvO7qqz2g
7EbPDsRRl47Np2wY75P2IjNFRJ1fDMpZgeHJB8BhQbGswYhOOXM/HMOtVg83LLCws/bMf5HxNMnj
wNTrw2vEYB+09sIR7JlPv1anQRc8hyjixyfXSP+i56UgWdqU7zPbTf4yIst7wNvnEr5Le+41V2lc
jfSzXc52dIKVU90OnmU95o1vbHIhpt11ynifu3G0DeKq25qQMmfWpOYdS0SbMOzRcClzAu3C9vLc
i6+2F8c2EKROM3jbcVEiPqunD23jpp8i1fSImlOw7+K0eeXcEQPy5Pu6CSL38xTnJwQCv1Sp+ymb
gi8vT8tnNrK1xk3aovRSA2I5aUEC+wyC6sZLsE2KWyM6qkntXeO7MO0Q0itedwQ7t7WfvIwzapPv
jkl60vO43wJwoduIo9vLr/NMeNDW4QGmWgbRKD0lA9ZbefklU/XPr7r0GmMMw79RXLNLT/+Ps/Pq
kVRJF+0vQsKbVyB9lndd/YKqu6sgMIENAvj1d+V5HJ2jke7THm319K7KhIjPrtVX67vlz7+pd/6X
h+n/+Kn/c0h4VUY1la5dPkLQe8/G8qMfvP9WBvu//u7/CA/bchwms4VyHM3mR1ZF+7r/b+C6/4l2
/pdz5z8nXa0sbFEWu+JxCOzmvOC6iE2vcV/HdQ2gCNsijw0Z0l1ujd7e1Xp9ugGHSmYE2fQvlLAO
bVvYcV0aTWrAut5plgl3Io969vpX6zg0uRu7c+7vK36JVNuWrFKURdl/i0D/j5T6P+dpBxyq2uqi
4lEtEhdTtZecJCW9clmF2LGeiGdWBir4hwmUoprpJxBqaf8DZteu9B5vEdXGIhG3+rg92tVr15xL
BJ91WR34dyTVE2KGKkDO0H4UA54iQgeUZskt2hLO76Z6VuOcOi49+dE9TvM/U/2a1f9fb878jzPK
bwKz80p+OwJfwcLsf3vJ2PS85UX/2zf/HyfSELWDpjpaPtZWV7ysolN7iqfbGwSG8IiIHYYm0Brw
3o25s3SdHyRQDKbJo9A5WKGp2X4vMyKcQSaRN2V2wphF815hJdtpY3TzWI5Wg85JD/d6EBS9W9+P
56CcDw4gP84pPd+DY6iuN64puxnedJSz3aKx8SdrP3W6umj8wAl+BPtsDhC+YQTIeV8wc8g35Bpv
YRs9m7WZeov1UGDmjZ2F9er6RniYtrVOgrob4qDoUG9mMsC4IOculUI4V8QSDpH82u5NhQPRhdm/
x6Va7RwgOj+G0uUXtjf/e27n7rvoyvFhc9oqFlVU7aKNH4IRbg+UDPbcjI3HHW9IEPc4fykuh3i/
y8W8Zgzx7/1uqU8ONIC0dZwnOG1/sL1ih7Tw93l+PRzBQCxn5uyCPsHme2WZKD9Uff8lwmGOkUe4
d6HbfGMwyd+LrfiM2q7+6Nn4v7hYFQ7aBSLpmV2TmEgkoSg6en6QZj0d9LSo4+orP60ZUEk2SwRn
dxxRY0YBkareDGRG4h3GcndfGl2ZGoCL3smJAkl5uvO/XFTND+U0PHFdJ5NRuMe1d/MdfzdWLnPC
Wb0qiz9AV1q3o07Krq12dRDkDwizxYNgcZUkfDJiJcrfeuma3VpxjKxNtB3xi0NINm7+RXMcXwzU
wk/wMH8YHHIPoZ3LB/5aJj0G4w0UM3jHfGFKcM4VHxU2sdO6icykm+wbf8oJK5kjVYdGVkxo6Hqg
zpujAMsHoMvyYj7mlbROJWYomS5Dm8f2tOYnU9bBwXea5dPUnpNGvQsfSS6okyNmsOrVaeIZc+/O
hA71aISoAgqZO1YyMhC0b1VXnjMfigbz3URlaCdea1nf7NVGQX3fiVYX7acfjvHA2cr4WOcnaoqY
QBqn2846+l4/jiJH14lXl9s14g59GiY3/578DCJNVjt/3NwdGvLCrP1TzarcR4Y37Cw4DYc2s8OU
beD+vg0XB8Kj6Xw0Hgr6ZDSy6ausneAksV7sxhVvcVmYHlvAah5/TNfjCW3N6hyyb/clhnBO3JXs
EoPASq/YqA6qX+397OOURA9f76jgom+GN1bHs1qm41aP3Qm0kPrKvME7dzpAF9bW3cIbMblnHbSn
eZhJeBUpldNb8WT/8nonweZ2GgZYIegr9LEXwcaqTBQ9rXUhzxJL4udoCufO2hSYAWuNxBkSp0Po
Ween1VinJ9zF0S7nNjmYOhx7wABB827N0rkinR4OrZhdOmb1GqCurZ1vrwobPykdU+0ZMBkvg6Jc
Q+FUIGkqoio7zpb0V7LqpbpsjrfhuXNK6xSCg3oAD1xFAMlsZkc9r3nXkLkODRs1b9M4uyPbW30b
xVERLrsI+SDUvF6wQbO1LFBthU1u1g/N9gLF3k+WXm//sDyxsRLWuFfSyVvMdd+WiKXpOjdgCfzQ
4Pqx3XaEmNDlijnwZfpbGkF2+4s89a6iiqJWNegfVK0cHqWyFqbNbEc9AQHzd7NtN9uuxvWcKrfX
UL/xdcRL1pQJAHlWBzPV3fd2Mx82qN1o8xTbVW4wNimUEXkuhb3Rs+C3kYVVw3hwutjSIds+YOav
zTZOl360DDbBB4qYbWhOO4ikRuqj+dhFUqsnkwJhupSwHsaJqTaA9VECBj2jhj0wlVEF7Xc5TdvX
yGxc7K1bBtAHaELfI/F2RLzJa4caAprXxlCZ5IFfYl0ZwbEclZ3CStPp6kdtgkVVuzH6YVumNr20
P+Hcs8mkTe/RyS1/wzun3ZTdAnbpusnew0epkiCf691iO8NOecrdGb7t7Wqk7BBvcuLXUdtJV0x1
HIqoGFLkEZN/b42tnXj8z9+TntSHVpu+5oziHvtALd1uysLqZe6j7KmYxEzVZDABKHZ1mCo7Koy4
ydjKit2b5q+BXwHFpveYK4MFYQnf+kK6NKHFDSheSKu/n8I+I1TPm7O7LPKEt5QKgiXZym95j+BU
dXE0Ov6Dv4pxiSu/JbxZ6cvDYcnPxTBLxOmzu0M9K98M3H/HwvXEfYcW86csfNb0luUhHDPiFjE6
D/xWTgJbTn9nwPOeZjeMkgns2Z+mdMP9ts7Gx42Qebph9z9VY9U8XSpPF0dwtgEkjPMSLbAo/5pN
8FCUSJrK0XKe6tbdYnede/Zfld6LOnvRNhdA49YYi0eJ6TTyytQPw44nb4E0rbyvzV1x+GLZSkJ7
qfe1pIcRFsaWssDZ3DEmNz2MjR7hfBFWzjOa9crZiLksqGu1YxucjUsU3+hqu8EhtusrhEJNzYhm
gZwqUYCEDaLWeG3497nz1ckS3luTAIdokFWr7ol45q8JWSYuvdbnz0XGHZvzw6lhOjatOy8kaF2Y
dbH3UV+fcDmLQzPcfqN8yvfI/6xDmM/dp2mG8hC6U3A/GNm8j6rOfNZ+beFmVNWucjMAm45ZOQeh
leS/P1Q8odLsXmUXOc6+RblEnKUMcQxQtxVpr2bzlG2AggTI8r1Svk7sMvL3qxN+DrOCOWDkhxX0
1a5uK64xYved0wgjrZ1Q8fAvzbmCZUPyHCzZzgbYsw8qKBaYm91p19petEeM/Y2mZE3yQNQwsAY5
i0Q0Rt2wOSmGV38NOw6rxk0LK8oSs/Orwxi164HDiBqeO5qHQY58/bfdTGEZ29mx5iBMOn0D6eEF
PSExcK7Mrj3DlQhjV3joE1wjix0WmJl06L9vke09i7rIdDNbY1dFsuLFITTItLVzLFLFUMaGWakE
KaR3MJzMPXUS2nPQ8k43qgTjzE1yRsrYxpn0jUttRL/gVPknKVzj2nT6LTdnzBtM+57m3nI+fSSs
aelWP8M6B8dqat8D+D6xSyBH6bRiPgSrjPHmGqXxRQXUTED0yr0knPtoVlHuvSFKb07twgvV58gP
mIyuJe+F4VnHsO2zN1/p4YqqscTRnL9FcsXI2uoUX+L81m9m8TcUVXVavWU72X3e752QU5s3FuRj
AMojdsdIHJx6jA5SjA3smcYoYmNx7Csim3bfywDsOWzXuI6GKYkc62XbFIEiauJf3Rj4V8hH+aUr
sUcakXTOJbGJjKdBhjHhw/IdNUBFEj3iSecjAxoQG+6SsazGJnnn1jogoonIocBXJUp79X0/2uPV
7xei39ya1eMWLuFrOwxKIeUWzl9kHdben4f8Mm8donfXfkVk/j6PZZZoxv7TdcvNdDXs5rmsWiIN
5kV2pXaiBxSP6tt0K33OI/HjRx2ooE7Yb5uPUCtmtb096ty2jgUAXyb7y+Cubi1GmjOTynurivWa
9aQUiQQec7uzewx2M2opJqv5YAyZmroHUs5RKj8rOW1z4kMnTE1XVJyFFfvUZRTulRjv0Q0Fl21t
xW/gouWBJWcf00dTwwgt1iMarh9q+OQ3aiwuFefuRbFhsl8m30yzTH7X0LfRSfVLygdW3K+OzZtv
EfHh4xyYOsVyNJTelvQAf1mAqIbYtfz6iDKAY9EtXLq2Gt2UUtvfItvWNYETvySrISKxq7yJYxQZ
7rCPBtOdkgKj10bDe4qbovvVwAK/ltIiOiSIYTW3+ttizN13kIR2+DVbnihzY5Jrxm55zqRJdDFE
9kUXeROXYdPtoOjpPd60ZWeI6ts1tf/kOMO6UxRo94sEsxorLCOvUec2rEA0VNb5uf+prplPIsuN
uLTLYL8MnX/DPzYn4KYR8a6Se3QEjLlPuvvs/db53QkvTJwAQirXp49iFq0vu3VjasxaHZouG69a
WPmxnDd5pxarPQ4TCEYrW8d4ZiY+KX0V3avZcd+Gduqu3jTMycgoQBxNPFI5CxVxWHC8mVNfkwwU
8AhbrpvSWAG6zm1+XykM6KHIwoSuQ3DynU6+h7q7xQ2+eTX5EXb1KHzGz4mI/XUogFXVw71V5BMZ
LL2z3h2nnYtvNJUAqRhJVNVLufITUDkPTqzQFILvzog+xskgj11m+dmMk+vsQtj47/0UTGW8rBY7
3p453Q2Z3h5qgo8E7JL7s1FX2GIbBfJCHpuNrzNimgRrrf8vzyrr2NqwkSrfdJkkg7V4Ayjuhef/
apWG5WbCn3Aj48cFurQHCOPs7SVzOVOjQKU9W9OvUc6tV9R5c8F541/W1rTSro3Ki64deeTX2/Y6
b25Nosk/m9BR9xm4tT/tUn4M4Ml2AxkD6U1pPUD3jIzYc+V09MT4w4jBl1d50FhXXRe7fov+6awQ
u8Yquhj+mTqON07q1HV8UGo078mEN8bgWamsht7brxUnFFzs9WFWnG4rZOdEl/n6TCoVPa+2IRAI
FMtOGVqk0uQLYuvBT2U9bXShNns/ZAEbGG7Y3slbTuLZcOzAbZknwwz9nWOI4dyGwRZHmOJfgBqS
Jyt2A+PVmGUS8vQ9d2Nb7DIWHJj4mQPeBN95kU4/mzEpJ3b4AfCjshsjCRnK20+W5YIw57HCjtO/
lwt6bHYWyZAK8ZPnK6AyvBVxoUMrZUup3oMwk4dSqvnQzr610yWbwdJeyjifl+5+tgcxciR3P0Wb
iV91JfILF2Xw1vZw9gzPvqXrPa5fsAIHzLZZ4hoD2eOm2lNhh+t9i9YhcerNPWBdXe8BrS2HBYn0
kdigx3zJGGS2TWvSoZeLWTXST/Ro+fDbwjiOs739W3vHT7Gq07ztou1RrLR/Ztn8bWphPCGEMnbd
0Ppv4dZkx47w+9JT/Y3DjWRigcEch8tG1OGEYu+W7EixLOu9Nl2d323I457mAR397LH/0BCeEOXX
hbhTreU8Q2TM9i7zTae83wbWAb35jZ1msgoyjdPszsPO7/Uv7fqs1Y2SYtMQhDQqg/E4cUHF8HLV
JaOlEIs1CO59TYdV9TK8G00lr9PiwTr0o1URZObzcbUYOZCNO/JcSHmwBkpWfj6LX3bDxyQDL3ik
+uHCNlC/M+Gy29f5zScixnEvh+Z5mN0He16jw7IWdRpOorwfWceLg1bbj37RP7Yh4lpAnYt7hrKl
xrTH6UoTNTCKPZyzd78NLBDQ4leo2sQ2MSYhAPwmA/tVF9lnNdbNT9hA6htUkOK8NFO1KHuN/R6w
Yu0vv03wo6eQNfBd1a8icewmTCbuuVe60Xk6UcjZj6Krdm2xzCwFzeK6egZrSAavcu5P/Y6X/Wu1
iyqmZoE2voy+MzDjlMpqDYKPPFY5ozhT6HqqmMKjVrLJHVT1gXd18he01Ua5UwUoi1rV3utgD/a5
lZxWrtTHdenVswUMeF+LP51JPgo8tDtU7vpIehQcSbznJLjhiVTdfpRF/uA2M0/yMGqyM3/5mEYz
+FeN1MB457rwuaLzfLFLw34uXMF+paOa92HI3cdsGsw4cPolnruh3AE5ZMq9svwzhRPrXngkyK0Z
ZMweRb9Gtd07hXvJXPr4GOXatEJ2sQdTul6yohKpBtPy1lBuuANCnv0rVUkdyQBcNWPLgA0+3lVt
+cZnJtLa7f7VE3LovIrUTsPoi9d2el8neGvO/AhLgLTZsr9EVL9OjSxPDPMiDDe0nOPMC0lzM66a
RVOFWJ17cpUp5mW5azhfMl3K3QYh9zSMvJ9xYAblnRLGeDXY6aHeIJfHqQ7X38Hi3IKMwUqwk69J
tgxp32LrG6Mr+nU3rqQRnJEhKf4/3gq4bvX3hE/mLi8Exe5IFe9WVKRmGV6n2nZ20+T/8j3vzXW9
5R22bwCEux2uflP4r5T6xd5A+XnwJ2HHQ5OFfJ1emil1aMew+adyZYl4CHTLY2i258Kv/b2Wk3l0
W8dPSAb6OF/9JY+1ZPwk9hpGsnXnPBmOEZsyDHeOFMPBAJByRsoCcYB8Pm0bke8pYKFawWt1bIYO
Lgme9r0byi4J+qbY1cRBqW8YQSond02sfmk++gJwt7Lp96rCS6kTl/ebPa5xEJQkDWZ+NrsxbYex
4B619F6yjXdVZWU8bRBI35yST51vOrqEtsQfEE1EAYb9EIQWmaLn8XqFDTwwSQZJNPDXm1oq2607
JkT4D5xbftpzed5hqrmorL0ChreuKOIZrpDzEJOLGw+Zs37NK9ztpiNI8QJzTtqlqQ+GW81EANtf
/1aFYtrvJRhUlHRTGcRBODgpfSUBbmP4aw39L6O4jSWa4n5eGPWj3bFRJbWelrq5oDeDT5A771sT
gG3pohhw6xXXHMieUV2HYSgR0YNIGUf7OrZuGVfRjA9vtv46XG390iXkeyUB42yQG6jfM9UUhxjU
WrIn14tI2rdmPZrNID78gPp1CUL4oSOhQOHa2hegcl4yBaGf+FHEJlpXnIPNPvsjPV3bOvSOd7Co
egZW/1b0dvgYyrHlaDHDcx9NeWLY5HmLQcYHeptrOTTTyvfVHu/USRTtsisKm9O24mk2PT0+MWBa
/rXUFLud+cYTwRVoiBsffwpiyzaPeoKSBbOGWO/oz/V1M/Ov0cnOfd3e941fIjNdLmJ7Gjc/Dczl
IAqB2C/QTHt4Rp6Gnj/sGcY9YtNpksDAoNPLW9z3i/HgF0fIKJ1XTvq1eZ637ByGRnUMiqijCqGo
h1Tbrneiy8QFN03hfmU2OJfbvNt45uOiGR7KzrkOhrTPQaPeaJ4+wta5WNnyNI58+9LN2BaoPDdp
6k0f51k/5oxCoUsWKl09IR+rKmr3etnmlzD3qYiL7Vcu7Q6W69fQlV+bQ13fhXaQ+GhN+KE0e6Nr
IPZhMPh/vGY7t+s8H5EUlLEoeVQKwrQe7XrdvStVvmJR2A1T8Fa7mGnGnLjVkJ9B1X/nY80kNZdF
hr71tpV5BUl6ZwTCujNk/kyLJdma7ckeTHzh9tCkk00zbevXnJGg4n0x1E85O0fHZ/q1ixYSoOGZ
ckF1wEQQpuEmixgj1JWc7lprc0rlZh0X5mCTqsqKBGosXoHFNO6Dgh/f0tvOLc0Lxl6iV4TaiSeL
6GWbzII5Ij4zi/7DksHt2Ca3TvrewzeuXjy1SgyJGdioqEmRsMSOLrqjqNBOTjYOd1nBwZS1mj76
cFx3wGehG4zFterNY2Buv9iqMneYrvSOGE8dl3yMkrnOqD6ty13XMbxrLX8GdzoSSBqxTSK/1eVf
f4jm8zYVijrYcAwXeZCd+Cx7cSU/v3grd382Fd1rZjmXPvjnefZHaw5nx8zTYXkgNEixXtNCiCpx
KcuJqWBK8+Q12tRb4stRfEhf/h01x0VkVfvBEb90NgUXdwnnczhR87Pz3rlr7PaZWi4o88F5raiw
x5Cjz+OELS80WIPGBGAkdqA/BQjYuHemu6qjHepNj+7ansc2/6T22cYi+opkSwGsSwrG5vt4sJqr
2ZNSD8KyTsVgT4l27lD/5uksWG6Zlf1gG4zb54OFrdQOylOv2NWIto8mMsfY1d1hZbBFwrVKFL20
JHC7nufMds/blu/z/AWoycUyHi1NXruEvznu7zLnW491FzNWTbSntuluCWqqr/XynbuROhTAL+PV
NX4qxwAB7vcndlROpDzyxKRXSatF1X901tbGebbW0DuwHlNSyN7yYEiZC6vpaIP1JZB3VEya/tYZ
0cq9Ejo5R2awRMyyBcPv0db/RoPWFF1O56mw57fs9qribWhpIgSkb1bnEqwYM5M9XUSBds7Ed8UC
u4GdZ4W1Si2LCIJ0v3qlvv9tYK8/GmyVwhDHalp1T+ZC+mt7yG4Ea5qFaXo7Z/Y/KY37qd1ZP2Md
PfuMD1oSOFxe1Ih2KUrsnKxtDn32R8wLGY9qMV0NCO5l9bFaIkzcurmT0ZX5cTMx53lXjbyzuFBy
+MXes0GLa667b+QJRI0wzoLM6olkJTNyq0nnx3T3BiPrxk3hNnv+pVYmkkCSq00XNSs6zWXmI5pX
VO2muFTKvASaP8p273wsa/Pldp3Z/XJR5iAfFn95ZlVmVzjTIXDVRxAJRK3BFP2D9HkwfS68jESI
nvjfvLGCVOv1u6zGm0eAgnTYVskwsrC2gkIz6kdo+89mT8rdOTKgKblcSh8XXtiWuzUrjw2CZXA+
8mYKsMtDZE/vehyCZPXlHT3OmmOINokzAzbJCKipzvwBqBsLxd260bVQqN2pRZeflLqojflFBRmP
RptSfToaOPLaWe58v1g5e5oXY6leTc/h8xnvHY8Biaz7PfF8JmM/vYZj6e0KqTa2TbffvRX9qUX1
247GP/QYt50R2l1iAUJOuWD8xCjbF7XZ19L8Z7lDQJnUK48uU9VXpas63vLJSwwZuW8LwfrOGYuz
BR0vlSFNjdJw+ue197y0m9pjIyZSp0LMtJ6pi2clbSNcSfU/sQxe0tXmRzcbU2qUFB36tWkSb2M4
rXe4oAJbds+qIHHKsemSS67DB1ngcwZFCuC9w4hnsFScSqt7DDMDn0swd4npWtXRV/O71xrjvZmJ
bLeFFqOonpz2YqmWl9rtq/diLikMu8X4EgaU4ooi13d0/rC7L6H/Eqg5eOpa9YnbayX+CC2AB0W7
PS7tlN2R2rgvjSHMV24C5znIW4K0YHnKaBZA/BkQJNuKEMUvgl/mNveHoBklnzVneWZq57nvpN79
T6ga9VXuoHyZ1bXjCrxauO6pz67tq7O27s7zyuc2VKBTANLGZCUy3SwVPWl/Cy92LzlJIFHFwhVf
rLLKQ0OQnPibBmVg0cZiAsE+0FlYaT0jp9n65nXtcdVgEp2f6gG9fbugWo8UvL6ipfid48PGKHM3
Expc/C64Gd9z/9gaWZVWlsrYQuqW46bb/Wbx9K5Faez8wcl/cWLn9GNHxMOwN2O0iSPrYUabel5r
70w/7y9W1bknY7HtnVAN7qK5u9SNPSaytKP7Oo9sKoGZYumE1bnXwnLl1bY3AZ8EKmVQrU+2CpgC
qEwW7hyrhNLolVyUGcy8unQeGEzAZdQbt+kb88eZ+L4q6TmvLgb41DMmGo+D2tKlMT76hd6AnuqB
bIImvY6yl8B3KdvNHJxdwuvh9LyC5ZpSXzDeoGZQWFrYceYBKokOIcMfla36ozVTM6C6iOJIIBO9
LAUfImbr4ZRnmieZMZncTl2u+HQcXfEqq3E9t57RpTU2q0cd3EoOrg4SzBmSQMoQ7xpvbLKtY4RA
W79SXTBjpMyby3meqeM2CxSkW5hf7Wlq9tlSM0+g9XCYRb89hba2ewI3OFmdI7K7ZVrKk78I56sX
7pZuWWRfBZLum8CLTlbn3i4FrygO4Kr9pKLHdqDr6/CddY17EW4mKMNmYdxrv/mXjS5ooLmxCBCZ
I8Fib2xm9kcjTj35kWefcBNvJ20r9wpOevMAA5bNX81r9cAf7tyk6M3t3Z8n6E311N6t/mg+B+1U
/3Yr2zkvWpKdFln34Yba+UOTzGcGJmv2JZ08hE4gNGIqpm4qtrW4o/KZJ0ue2/cyHKIYU0xDBdmn
mCrYgL3aclkOdMGKXScC1ueqcTwNqqact87hgS608zE0pvU486Wc7ElOl4Ho5rUikn+O8Gv/y2d7
DdicF05qNuZ0a7Yxj4/xJRETozOW7o10M1TxuFA0+3GNojlYG+XWZMlaPWP0qSh81xnuzLasanAx
vUElf1IZ+RzHDOPV5b5UjCXElmqD8zZX5f3SBds/Z5MT78gAzRNJ19dg9uQXrYyO1WpyMlaiPeR5
5n7z1KvrnLvNnvnF8HmbpzEJHR54ukxNsVKP9rzPHKno3TCEcl/NGym+1YLbjenQuqxptdNSHNag
4GfQhT+m6yiGq3aW4nGSuXUNxtxIGxG0u9Kd9qVZ0rKjGBoeen5PZnOcgPm3fgm/lOs3R2ukcC0U
yuEkaDbLoEBt2799f+kI92S7fmOGWVO6hTRLMeB8zUagT6bpBK9BX5cjiBlXp7Y9LvRrOHhpSFPj
oxrgmzMPQEQZsA37n5In1yrleF8GfJmMxbnhl0ev9YmmqPyyha9/2mgO47LMKLAhInichoCDvl/y
n8V3q2cxNUEa3DRQtFT0OSp49dCI0MmxnBJ/HGFuznV/rd2RDZxVX2rfGU617zI6sVR+/7G1XD5R
/afIsaLfKjf10bB7neh+AM+KXOlYBdVOM+W+y5a1papksDfQ6pBN97C4py/2jqfFS6LK5Skxs5c6
Kru3bVhz1jSoarQ7bF/+XzfXlJYM/vZcL/U5sjmHy2oa9ng+rKv0JjOxNe2goGaMJ6Pa/WUaUX7f
BTNtpkoMCW3f4EE5LoiTfvjEQNojSiRD4UwsNu/bxcjBeht1lrKcCyaxRPCkLWK0XOdTFXd0TR5b
xvL2arSLl3HsGBEQBsMCEX+aZI2j/ja4vR+XZts7mK3oeOftCRtJlhZ4u3cGqsSLHbTORYZZ8VVW
NCHNov7IW2nEkpPASICCeQKLkux/B7nffmg+k13gLdwO7BcDVmMEaJ0Zq4mFIatDX4xfuhpyWqHD
bxEGy4Hd6fERifCYEILbRxty5X3t+s57UE3jEY9CQxfOoTSF5o59C28lvxmsvdlm0w6HIJMeXq2T
ZuuYVssL+uEWwWzfrr9tb/UPq6kz5B9hSOocBrugXJ0UJ0LFND794i3Syx45Fv1iHU1341b5NEzo
DeUZCGZLO1Pc07j512XM1+m6jxLF4E8sanZatigsDg4OhUNl5tVdHqCziifHyQ+24/JQCuml/hi9
eyLkTeB+rj8LZxge2iX8609Ybm2dcyiM0uRmses3zvwZTxY1z+nVBAL14q4dpYKhdU6ZChAuFEF1
WamRXaVN13ySs5FQ6PlpGr8BRDU1V63LnvC2hMmp9fSimc+kr+7pd2/JShqcJv0NEOEsJFcUahzZ
jnebXa2pldlkghmvvl+D4bMhUz147vDJ44/6pluXlIytOS7NaH7ifkb1WWjayQGzS+OUm2/lYDDJ
WXXPhGNdsmq74fMrjAftjUtqB2GQMqFmkfjVFW1GhmFF9v/YO7PduJVsTb/KRt/TIBkkg3HRN0lS
qXmWLemGkGSL8zzz6c9H2XXKkve2UQ000AfouihgW1JmkslYEetf/9AnOwwt6aujjstPoXS21vo4
RNMKIcgRLIu2DGRcVUHvtvRrda3OIf2nB73kNK0x3fZCJ/8au7W7HxWgFanLxaHQR1gRztCdOGxD
FZO2yTwZqyk9rWfLvE7MxTqaqzncCy28D8Pe3M9xpp3O8WA+hU3Lfzb9cprJ0T4iQWbaW3oSH2Vt
1e7raoyusxlcYDdOtnaeNOPkWaMYX/oiXSquzbpRs9ngNzyu8GsIo97LcGWM344vrhggEdPtX0Z5
utRMll3j1I5k6i02E6mGuJljC7JP7Rfd0D5lVTjzFQ70EblSL9lglCc5SZaX+HRCzM+0+yFa8tO+
YSxpWmZBPg+AkybH/lhHvLcH9VvO11Qb/KgoCZ9Z+/VeRLH040IKT1hLd1O0qr1tpqI9mFphHWHJ
afoTe8NDMpUHMN52Y1uNQCcxOSawLDR9uAZIBwbvhLUbtLa5CGcjCxLTMaMdA21eu6pary9iyqFh
XjAA+hoxryMzJBkP6riBCVwcMQj3J3eJd9balcf1igFSPOnj7ZgvTaCNS3KbrJDGZGQOLy4YFaDb
2h43S20Hcgn5zyhhAsEZgkzP2frMn3bHNnvuIc7OLzEsSu5nP+6dMMmfVnzx7iYr6w8oDOFpO4zx
SQn9E8MJoQJnRfawGFn/ZMCreNSsznVYOV3oF6P+eeCq9txd6zqMqvaGzOCGHKZ2SAJCPRs/nDs/
mrUmWMoiPDFGrMbM3lxuEEoueMhZwpdLXl61Rg0VKqvhxJtETV5EyrUPsUPj7N0awzHEhfl6JXDI
T+eFbHGzUWcdQ6kvtMp0mLElihdtjpHchTV9UJ1KoO3B7E9TY1wu6KDvpCiWPWaqRDUa0dCcRsZ0
V6/0tWazNt4o3KeR8PiTFj9sWDAAywweM0aRsCJRG17jofNop9WLG0YpUEACvopZA7CFU0+vurky
+smKYaGolr1Pr1pS8OkxcOvTn00Zin1R2emRVasaaRsjw3BnRpFovKQz5xYbeP45zyvtcLGj7NAV
jjzX4vJRmxY4oCsedYeOSqrTIlngRbkoHWXdpUyW65L5q30lCFC8NMKKCZdM2qulW+fbRGJSVzOt
Q3LHxDwusmmfpdojATSpBxPLPrRrRifZ5h25xzUxOsldO/YZigpfRBQHTEfH5hz+8t2i2dW+ter8
qMQ30xvLFSH3aj/YUFdOkmIU96QQFbB3xvhAzeFnJ5+fE8z7/KworABCBGLAikeqDUV4XWXuoW6f
TyuECyepHzWnSM4bty2v7dZho3RbH/KKsSYausF4xaMe1nvE7IKcR+1izWuCPC3xXFOQPXb319R1
Dnp7HzVXuuj6c7OvunMHdeI6OFEQStiJbhSrMz1fnjvDKH2jHgF7u9Rl7xpKdltwu5xMs3hXFsJ9
UQ1ObLtewqaKV8sJFqF3B3PS4MsHThH0NiTQTsHGQ2l1P3ZV7nH6x3RHD6XmQ/p1bhxK4IXZZfFl
AwPiIU2q9dVcqvLW1CFiyH4wriF2ZBSioQRv1+ROi8b0i611yD7h/a0cj7XFh3QPS1MzD8NBq481
RQcYlLaZX/X5DJcIzLZh7BfK5lmZ6GOh69RBDQnr0GAEC087wSy7siLowbnhwYNl+5gqa7+gTWXE
pdWXMdDc0azM5JA4YB7n2OhO8QXnSNm6fthNxUmeT+bMqGvLB4ui6WaAeLeH7MWONeVhoGAl3jZ6
lfuc6pfDOkwjzwBrP40TfYtD0kF8Rhoch3nK7s2kNtSAJSKVKSBa8ez2IUCbNDRgxGzV1MU0cxCf
olTtFWS7rw0zVtrxFaKTOWZBNybl58axKviHLViIN+iKbD6nMfeoCHT3JHYzxnc5vcVZtnQEQCC4
TGDbOPZVIokS3TweerqJ1w4Y/3yw0oRATWd0X2XpQlEb4O2ETET3YbE65ySAA/0kSXkzFaaJ/70C
lezT5VnBTD2uNOSEdQZ8ONrIccJ0TO9GiFMAUuN00rc1RIhQVc6B2WKwZRAOxIXAANYW1Z51MFeB
4lPoBlEur6VeQCnRRnOXzrD5OKno+9ps7gEf4z3oKS8aQSFf4/ErniLFs9Ln/pwePLwrwLX2qlmr
42rNZvazhKak5gFtE2c5pCMiQ1QU7bEaysQfaIw+r8lKfEM39uxDBmaaMclcTpV1x2M7IQYgzJk5
qmmPezcrovMyLNXTOILqtU4XBrKY28M44zRTjdVMeAUTjuN1Gs1DJBsjh1eH84yiRYsXOJRzFq0p
8LDbPLS2tQYztXDnpMl8KhOEipyInPjQ5vhAYALTTWEkMI1iu//Wm9qceFZXVffA1cX13EH7IGIr
PGmwPwqkYNa7GlFy05fDdDoPkCkxFUUzU9CTiH5UzMBy51oa8U2sN+FeL1PmcYXxAJFmSL2MzZCI
svAQxmy1L6fQOOrJ+j4OrUikuypyrBsRuc3pAmOOZ7/NvIZ1BLZjK5Y6E604dEDytdnZTVgIf2GR
p+ehBfmUJrn43CscB3bm5CzgN24XkyErpguSh6PHiJ97qTvSFadsnlUdYuOxJMOxUbhp0GERHNQq
qn28JyMvt0E1IpzZcLSi5oLX39hQ2338M5kjRknz3BGZQT+QTocRxG3P0JbhZCTH9aBJpuyoVG53
kKxqfpV2yFpQ7KB7tp/aq9jKGa5OpGlo3YgmpUvXKECOQ13ukhyoJlq+dC7Sd/Dhl1UfhoDA6OxI
F9ESe/i2a4eW0zzGZsPYEoJRAHGHSARIKRMaEfI3wEmReMhm/jrZa72LMsafgxxjP52SeN+wAs/1
dEVtNOj9PSPjPKgyFKErzeqRvrjOcV67KUyCsHzMsvxhNHSAzpgaQixgDq99edC0akUaYxHdjW2j
V8Pnvc5QMCChz1nKiy1tQgIrwmqcaGA5WI37XWv6H0Wr3f45Ne2f0tf+HwxN21zI/zuY6ZfMtP3T
c/UuY2379R9hadYnG/NkAxqkLaUgM+1fYWnuJ6mbpgUO5uCQbguFsPBHWJr5iaBA2KS6o9OPCoFY
+UdWmiY+KdtB6Eir45qOLXCf/j8OS5NCtyiuugB9M6Vp82rvxcGdNeaFyiXtvapu7Dxzz8bKbP6Q
mbZJq/+t83N1KeD+GcqwdZQrOElzB35WIFM/lrBYxM418CSUDXSqeVzNoI7DNvjprl9+f81/Tmf7
8U6C2shVEQOnPjixkL3ZFDN2DFidhb4JSoXtAy3n79/kby7HcfkmDVeajvGLl39ku0AncE3thGN0
pKroolva/sA14+pPKTCgjB/vneU4jgEuhZO5cqX8oMANRR0PkY08EOUVe1NFSveZarDgCRq2w9oH
8IY9F62ocfJoFMOJsohU3TGXFuNuCJ2i9NZx7k2/LqOOWKMIjqonJmAPpNp9td4obC9EECI7G720
Kk3zHEsGsqomYbb7nqr20hihipg6oEDZaZWsvig7XGCIT3NpnGvNxA8Z7zqvSbkCF3R6XIwHohrt
14RTqvR4CSu9Wgps7Twj0YyvFhsY9lnChNmtTZBcvKzOlXscppKNb0AxM53rWencDexWUSBw1UGJ
YhSIUlqYAS9SlTJHhRQyA5gzlSsm9HJ5mDt9vI87i1ZYkdwQ79BLpBvUWM49J1ZRHI+x3UwHodS7
b2U2FZBu9Xl5HsNw/jIDzb/COrTPmiqbQAVEPFzPxDFTaSMzGrlwK9Y81SX2vVtUVu2tZaU9d0Mj
70KryO7C3m7xbbFCjJbNwSBUviBXarh30zQ3dd+Ii/6+IIL+YnUr7nTpZvUjAYrltdlGmEybPcBC
oRkbUQkbsGTXd6q/b1mRz4zXk2dWzfAUL0hZdunKoJc6b4LA6cLsnjiqrDk6S74ZXWPr20G1LeCR
YOo98cLN9LApyuw9uNnSwQNEyhGJUpybgokCzLYx5WaKfmstx+zLDLETHWE2X6z1FFfeOvTZTTm0
JjLRrLBQvs0aTeKwNM+JUv2XOcynz5DKmAlwrEpebJF1N7TAZn5gLj3js2ziMDTPDkkC2RrNp66a
icMzKDwdNpyz/k0Ha3oZoypPvY3JQwcIqf/KjN52UKvs2KFsd8z2pCMaxw1hlwLidaKdAnSFupcl
pEh5s+rDCstyu7xCRjAMXr62IvQH3IUh5VQRVDgmJtBDZuZgl2VhjI/ZJOPnqJ0jee2ipL0fnARj
0KaPwTnaBgd8iFjDBGg36FBzmt6s1mBsMoe5dI+CYDenRv3SNTB7dlMih3ujLioIn3ISL8SGlxOs
+zhHCBPOdPy9rAhJ1VMtO2dEMm4HJocmOZ9XbKeFG5+GmRWbnlI2gIQggbiEJJ8tj2OaWCPhbAaL
fxY2U9Y6zFllOe+YB0bY1l+NuNOBVbaErF0JVRndTDdUdy109ruMiq/8Vnfir/QuTJXjLpYPhWgc
eDJARV6VS3g4fJhN/waQc6UPIX3+Etpodsggzuogn3Wef2Q4ZBZtzpfTTlmFjQZFS17cDhuwpabD
85eq5rlRjAhmVMjEAu4I3StMD1EESry1msf7tZiqfjex/l5mHqBrkZr3lYLW52X9MEFqnZdvLowN
Fy4tPvReGJd0T2gm3QBBQUlKco14dqPLDZrfhJxUW0rmYxtq7rSzOUg2PgWnLY6UE5ZPCT4XNKOO
wCRIj/AdPWAiG1WeCN+YUGiraWjqpbV2XS6Ws6posEuCjDld8HfFndBSfsHQ07nYatpc+FEUi1fk
zNH9rGYOwzQwXePPScjMvcxV3AUJ5hFX5mrneYCqcrqOuABQkkxfsQtyRt9h7Jr5Vhg18qBzrCnc
RZACZvSC6Iy8cnEzEMjORoMxpqZACpCMDlaxxvRglHY9e0aR8JnIUuagV9e9STFDhnVpI+q2Dk0d
GbRKat0FA54jem67LY77PNehzFRGW/tJEg87nIcziP+C+izD0B9Fc7QMsP2CEZnytOtImFPoYBsb
vzt02rtwbZMXi6c12Un47dBRYzcHzYBsBo8wmgbAk0HFD3kdJcvxXNrRtwS6uxVEdjpeQvJIRz9K
c2Zl6DdnmmQLYgrRyM0SFIAT1mFWKoY5Yq4UMjABzu9lxti9hPBjYi/WB1H4ArGCxvCjNw5VGZlq
B7SYNH4tW+tLyegh33VSjn6caPo3WJAwNRbD0tFRS+dQABKSnSzNAp3C2otDDeLlUWaV6A8b0JNT
vPjh2CPxOlkGO7/Vs1w9o5tsHw3GhpCDtC7q/KntozOG8905w/Ra7JUREaJauQkKY6alSeIjz0vu
NFnrzxMy2mvLmNqtL8HfD9Jqj+8iRjOVZy1m+1Jnk/EFffgy7/pJC/EIGBuaMHK+aacGB8xCp7YF
+YDtJ8pOZNi0I9NV1erCt4rWuGRbkOddzYDSY3ZOdyzly8TrL8ipYvRCk9MP7WHmTu7FMjFy3YVR
yybTpHZZs/7K7jbsivgaJ4EZhZAp4D8jUqZJqnPH8CXaBrZdSf1CL1S3x1oibOlFjgS3WED+hdea
vTt79OktQYGG9txwN0DxHaMC00ZqcyiZvIFERS3CCdXZF7NRJlUAN10/tEsMpHZjrJqbaJTyKWFm
Iz3w7emsthxIL5pl9jCMSHQ/Yu/t9oyVzNLTk3T9wrNpPFVI5iH2zQYbCNBK1u8RAPI46SUx4rhP
pv3DumSEXS5LQgVI2hE6LrSU+UJavVUQ3rjxXVuTpCqvblTzYPPwkfy6VvnV4rruawx94nxgo+A5
YvUBEo1R8mgyUJx2qSVwNjD0CMKOdET5BaZu8uikXUxhH22avzqCFy0K5MhaKybLmxMXY1ldAYDs
Jlc5dxFTtt7TS4nyL1+YU+6Kdh7qAxKLmHak6cJ1TZwmoYGvUXu6tAKFSwGkAk7ZObrBPWVs3GfB
2K8qNkCb9JF0X7vKrowG2esJkVtNJo6ayLauTNlMEwyqju9OUKM6DnIR2nwqfPM8ZtEu11bN2GzI
DXbpNR9hqqMmmb1JN93spBzF5By1MXWLBwfpRABoBOc8MslfHNxOaCfzooB3Ad20HpVKtALoSNne
1gnnzh30ZuHubAacl2CjDN9hM7eHyHvgx86Fs8X5MfcugZcsvnlIOvNzqU2m4y+uqR+nWtOkjKKz
AsQDGam4ECkrjo1EM6/MzkQLW43p0u66WabmZW8621SyWdi79NV0T9tal+MBRIbU8dNId6zzWNYM
nZe542A3zIjhzovGmZ/atGLcgrzeyf1ME5JmHCTia0tUESfIuCeV3OpFz4zBKpjZwSDkMw8LQAgP
1kg6ZgSydYxAq/s6rAwfdjZMNfTnkQaN20BTwhSwQ3EADVofa4g7jtN5c08N1qtFP5ryXGv9YpIA
XFps180Vsv2uO+tHkapAYVOlDjIb4lo+FgDHu1irx8zPRwedlWE44llORicDc22Zl4a5MjsESjbR
PRcJbPsDRvAmDK9lzFgYscMOtCZ9eSwUbjOb/FeHNkKUZ2JQcszROgwdqFUkt0WqhD0nIiDGijOF
82TEHP93DLsaSMJKj0rnuaulmHMUtC7bwYhCwTprENLyucK8vjcAPY1g0btU/xxO1Vw/JXB+SZ6z
ugbRC0yrbbAWsQdzrnOyb2+N2n+EQvxjMPu7vPeL+lt507ffvvVnT/X/gAj3Labmn9GIoBme+qpN
nvK/9kNSvs9x3/70BzJhfLIMQ9hACQ7nJKHT6H6Pcbc/OQbgglKmLixlmJvN1g9kQnx6+21+RCNP
B6zzo39BE7weiTL8mWHA00By4v4n0MQGcvwEG/B5hK07TP2EVIpP+EvuA1JENCwLA5VQV4HWkoy1
d8W68fKKpLy3VZm2fj0rcVZDhJG7GQXWvC9Ko2/POI1gnlk4AoGeaU+rjhrKjmUAFJjdl53sEs+e
dB5c1sbwklQ6quvG1vMTS487/JSQlXT+asIkCVrNcm/1cgkdT+nTRnxJ4vYitDJFxTDdTUNerkOg
bWZGByH2+8yxhFmeDhLK40a9mf5khv7ebu0NtOFrE0qgIhSW+ZZE8JMJWmSts41FwE4qCCt6UtF7
GENxNGMDc4odFowtlRIDExZV9OWn5+iP+Mr3d1a6cFwAFsk3/AHJiRGrC65rt6AJ4KRS9+fLbNR/
cJx6S7P7N17E62JzZ5gIhZTp4udkf/BhW6ZmaQcHT5khZfPlIMIORkaCfaVrxsLGhpVEOZ7I3m6y
K21k80tRCyUGZXHA9aCbViaQPjtqxoa5tPVUYeTARspJjqzL7G1/JVYeEJZZLy6gxdsejFqb/Th+
25stm7beeNuxIadjx79qM5Em1myPuT9gzWEf9JEYfIkQ4yarK+vrUudMX/WYnme6zlaZX+PRPj+0
jYzPM/Qjr201O4lfR/qyHkNN0Z+ELhmvxuaCTMfE1Q49FVDFblma+lmtXf6txjNq9XQdpedxsWEo
uJyhUgnafNXTsxlJ9+pbFS2V1+HFEQUNiV8PWTpB5Fo7t/3mOiOTgTlbyQvL1hBcADs3uB8yyplY
VVtc0KHV5N0CQ1XHWTLKYQznJhtqYNWYl5odyIgXagPTmCQaq2/FYK7z4Tg18w2MNN1COq1ABbok
jTXfTo1E+ZFeh9lJFjrbAeLtMCHfDhY1NCpzhxAGTQTnDuvtCIJlCceR3z+gxi94GSgZVc0xJXUN
/PTDE6qtVZLl3dfKjatju2m1K8Avm4xK10C/hoHG2jC/HLjgB44VSAtdcV6UOHlN0E122LNE3135
/v8e9L/MbV3+8ybEFK1Puvivz0kbJeVfR13+VH7t2HtKmKPL0df//f0Fvm9FmmN9MiWANwUNhp+h
K+zmvu9F249ciFquZB+yOfVtvuA/NiMDCB383NWFu0HMHLX/ezPiR6wg0FmXPcq1aD3+k71oe2r+
XZFs5vNUPMsCfWKn1O2PtpPL2rb13DmYKFjwg6xphqHc4Sm37okTff3pNv1NjX2/7X1/L7iNOLIp
yza4iPdoud7lLBxMLPy+tImLjqIULbJeB6yWz79/J3Nzav94WTQ0ts2aYRLgfHByn1da7zDhstBM
eCWqsdH9XGLR4xuLlR0ULfqteRyPnCzU/HCq7xc5wxjWL+Mkqh4L8QqPSTOsNLA1UuKRY3ch2lUh
MtMboZxg4vgH5H279I+fVzmkFyGXIXXW+jCtSF3kmNNkKH9YNvemDpsUsSly5LQywsCwwUexYP2h
pFi/3CWOIDxhlqUzwHEwx3j/heSgwgSKFgrKrmvT4lRXUTO+5qbKr5y5PcNyADsYbarOwB9mbxZG
YCGNgS6P758On7LB4y5J3CssIjJAEGhTHQ0dCtx6RJWWYVpkGAtqOcfeLai0kauWjedG6hF15w79
TXUztc7VPHZz0FtgTQvMCzZfN0bLmezpC2I/3HyrYYMvXtsq0h2jGjIvfn1dq3liRpD9+wfH+Jtb
YsE83B5RZiD87/0taac5mpKsVzA7B2yKZGF7oM1fS7IBUKZY0h+66L5A5Ovh73Kqh+o4b1Gs13Xk
7P/wUd4XfJaLY1om64TjEB9Jbsfbn4dLC1YDCLpr5etQgHbjVEBbrkGc08JF/NYwAQABU9DL/Az9
AABJ33uL1SKubb5Mo9P+wf/5l0rx/uN8DKtUFvyKbKyUrzScGOAwoUETrfLE8BmxW+r9/uo3E853
C4J347kUhlQ6c7WPJp3JHEH2GZXrN3RkMDX7MYgAGv+wAqiVv74Nwzsqs3B1gyr4/h4XVr3kRjKq
zaox3bGjPop5xuUyGc7Qso6QNXCln11xXMeoDkPDPl5kvfibC1RsH3ZA/x6dY7d35uJ6Oxt7aT4e
lqX8in0iHivqbMiN8GydwCg0DBQR3o1BXSUolDUO+5BVdmo8FytyIdTWd61tXAxID05qJ2/8tWPj
bqIYPDapq6CeYFU4RX9uLD7IzAAKUhR+GFf015rcl25cYKTStRtP+knT069ZOT1Ekd6cgmrilYa/
vjvrLeA1JSVL7kb4STvXaQxkVd3q8T5xkJUu0p6xrP5wnz8cXr4/yzbzXlSlW2v1MaQlnnNkFeCP
voQaHyyzV6XRSsSrXR32tnYLgQwVoh47B84SaxzkkHOas59jb0Nb86e8k/ddxo8Pw8DRdlAcC3Pb
dn9eWFLVQ++GoQseCOQgusnZFZvZi/6iCAXopg4DtF7/wwP9t2/qGviSuEKnBfjwpvo6FRQJ3rSM
Lse+V/hHwMax2uZsTQi9drMU96f04fer6G/LGfZ7mO0wzaUkfyhn5aRLCwiW7d0ejjq8rQJ3mTHh
5Z5Wo6bAa4ZHWQEajpV8XEhVPylG+9DttPgPl29sK+njgkZWxEmI7sc2P8YzM0Vcq3qIOEm3QIdL
gVY/1LGWjSUsF71BibQqAek+mtvjsE1nJNK9G5hSO685lRy7uKlUA5Zec5t+P8gCg0Tfqsvvn+Hn
0br9y+ZLreG55FztwhcAGHj/PGSorSOYDq6vigd6svwiXxAWQJWanAPdVSiAlF7vK0scCQH9L1zO
rAGvq9FOhiAt7N7PIvYoA+YkGDjWHrV66AqiKPIuhvcjYFS3nRd30NsQ5vJqzAI9WTreZiwXkvLQ
AGcHdaE9zMniI2zbtJxPiEGgKy88HUh8kJofqgnFtEBQ4g1Vku56rQHxduInm7IGZXE56CpjPcUr
tpHl7GlFYe4YjJ9oOnSdqdBSL+dGR9GMZeDSYIcCuQyfh/wqyayL3z91f7dTbJyLrapyzFMfiqod
I/gbQun6U6pwcR5IjXD7wOyTu8Q0fxAj/m+0IeO3lunAt79Awrq/Doby61PPTPV/AChm6hxT/rkh
uRy4sOqv6+SleteFbH/1ry7E/mSaQCu0j+ArtrEVgn91IfKTogGgEkpTpzRvNeTfXQi/CkFDQtex
gcAoaj8gMUN+4phqG4qTo246EJP/ky7kl+IIIOJApsFkis8CAPN+BQrgLKecV3xIXFxRccK4nXDW
3JlO+jolremtCZogGqjkD1XJ/HjMAA2ETeMI/LAF/ZT1oSqXyYiXadoVQRU6WDKtw+QjFuSoasoc
3TGeJn4DOeeYYfuNqw83CaqzoBZpfJwDVkCidpBSEDq/i3vXJbFFc0+dPH5eqnY4xrWYlPkSKehA
P55oo7rAe0/HLWPp/7C//lLB2MpM1rlylWkZKMHe37+ptowkNBK0oRUODBACOSmHyaVd6J2nNShu
wJum3U/P2N+VzY8FHUoPbwaFh6bFcj4iZpGtaX0JTT0Iaz3D1CR/NWX5qPRi+kNv9PE7okV990bb
xf8ECg5qXsmTzyHWWPljm0aF5xbq9vcX83fvwZvokhGzZXPyfP8e/YD7CPzeKNBqzcW8oZt8dGT1
H76mt2763SZIv80mS6fNmnHk207006U4ca1XK5UewvjATpjnJ1WhvmDCu1dDez+2w13bGQGSLuMg
XY2rwp0vf3+dv5Tm7QPQ2zggChif6h8ASAT0hqpTXE1VVp3m1ZSdrb3Z7LKxN3zSKNUf1tdbsMQv
F+xScNQbnvuR5JXYq+jWkml8PDSYMDbJc1wwwO8id92FubwoFeJkaMJX9pC+jk5z8/vLZcv59SlV
yrFd2ih24O9O/T/dcWyeNGtF2xskqj6u7eacqaAZWBQWLLHWq2zjiGcTUvKxFhgv5c+WSIloyU9r
E5uDuMDiKFsAVyt9jQ8E/enlYLnnTWJfFbI4JX4ODVH2qnfWeZm4mY+5BW3spM0YZzLgw24mPC5U
F19mBhJtcKCvI274Xqvzf0sorlaRQbFYkxvihh9BF28712Icbl+5m7mSJaO7dDM0d+z0WdYS9tva
dv72blMfloyW+EVFGmtUytupqsSuno0rizDRkPEI4ij9wV1SxeGOH9mZad/o4dwHMJjaHWSH9hAj
IRPXMt4KLzjgnwUSh7bo65XVVi45A7x0PRabjPoq7Vww3O3KYB+eoZ5YTiy4RLsx0bKAySY0dNlk
Z0nW3WdwQ5A0pPN6VmL0M8240GhVbwbwP88bwTFktZ0HTXbll55Tjb9ACSNpkTunFXGK7hcv1qjE
rxWCQLorm+LZyeX5PLrndorFQtZV61meDepgsd1bJ8RHgxq+nrk1MlMZc5K0RZSQWVGOPjveuWHD
qzIXnDNnTSJrkOKqzornbBGfTQ4kvpLdfVjE2N/ico6fdLncbd9rKMtTHNFdqEx5fDEoSHUpnjkY
qXW4gAALjbWl4WPTChwMVoVwmZv8dhtniwDk1G1cTJOj5U5GAk8AZLH+Iip1UBql2i+xrjyEqOcq
ztXebpdl3yyOS+ORPDNTTQnU6OsDBtUuUZSTGXAgx42nExgQVvZVlTv2SeXyKMwMTE4mbkPsIE5t
iaUMUrS8Z2EUzrtGE5lvI06FIs9/bna+AVzFVww6781YHr199jySJVR53O0L7FyreX2C2P/qhNpt
s43u43Tj20A5241N/OrgiwdtEIPvqFuU5xhy/DYkYx+46dIcZmN+VTiItt1qE7YKPjcSypW8se5+
TVFw2njo+okBKQaFSecbHfdJAbkdiLRc9mXHEpRlf7/aPACaTWgEEY97bDDu+xmhMUYV5W7ScizL
MA6H1IULCta+tZcr40oZ8HAI1DXx8mj467A83RaNPvLC08AvhTX/vC33IcYtdhlpPUYUbQhGQ156
UC5e1dmrPbLI8rV4TlrnPJ6MMzOcLhpd3RY4OO2yucvOGoJEg5W6vU9CE9flybrCDRbKTTdjtuQ6
JE8bU1DCY9v1paJbx7oqZSGZTvQsUD8GS0XkSB629zbhQZZW32vwAgKMpL7IDjmiPvGFGeidsMKM
tdsU7uFZLGP8dzLMyGzyEn1Nri+jMLDCdxngrWsGTKbd6iZP9/YvIqpe+y5/LiOWrLTkbRdzqtqK
b9/LjMaqvU8L86pNahatyeKAdSoQMjGyxsExKHFW9qBgge9VGnazFiVjle18XCf9fDwXtcv4EbQO
E2Ls16UVnwtMgjAejPg6ZcdXY3d8SF3T0jN95TNNOdaWY50/2z1+MzbyRzw8cB+CAzF47Vjhirmi
ILXcxFM1K75L2/sWCiOk3/u2aO/zarv3Fl4r0kGODNMBxjUGSRjnx685XhAHb+tUq+Vtkesg1yn6
tmjBUgVFVnVYuyOrAqoxHjwbWWvUbucl4+HS1LHK8vrAJVb8erTS/PMowyXz9DBdEJWG37BJyHxz
FlqgWfxVqJu4kBWEASLreMJgBveT7dgXqq00NjOZe7LSkNYVtrEHVsAu2JbThdHzXa64nl66EC0w
akYT2iohjuB3qd2EaD8Imx4mD1+KdhhtKqy81Z6WOYovhQvREKfdCgsOCn5mV/dOUuIzx1zZOLXC
rj4wotXEJjJBYDniy3syyoVKKzK8QfpYgyKXxTZ/ibbssLD4yIYzLHumdVsYwUilL8RVG29yr3kY
vT6rMRIOk7T70uZxfJFp5X+xdybLcStZtv2VZzWHDHD00whETzKCrShNYCQlogccPRxf/xakzJeS
UqWb983KrKaSKDAQgPvxc/ZeO9/Yjf3CaBx1BcKkYPRbLxCxqT9PMA5P7VTLbUgb/5OhedPOKzke
a7nlkQyfxq+IJgERMIMm0LJHBZcu31+q05CC3KhtBMCvDXM364tkpgkpEakFBBY6Zzn+FJz35Awo
0QYh4QlbF3js85jmr3TosCqzOMmKJ9hkw/boCrBTNc/ftkXKyVs1NmJTtqlct/qyL8LMOhVLsVF4
Ng03nsPS5TWQLBjmPPCBCrs5WbDN1m07nu2hSz5XJSv4tzUiS/CFtbK818r0NcoxnMsIeVJXiWTL
Er/sKfkDAqN8lTr0rpb1GHCPAOGTvPdSXKTZXzeV+2bF+acSf3qmIJDPjF6R9yCGqsrC36aDLtYN
7v+VYImDoR0pig7AD3aSkcKTFeo0EaJxpYCfbmSIW3JBcuIIasmoHO5TwgbBrOp9AEVluoiRPYRO
1nQsJcs6FeWzVy4fU0AFY6FiBc5qrOSJ/6Bk/JpE3L+sSd5lxL826uWlXQqMb+VCaTTPysleUfJJ
9qyWuAsPZ/mfK7XfdGJ1TmKMxHWPwa/xLVLph0JtUmXbtwYYDvSO5zhxUYLFR9MabsNscXEs/J2o
TGjSNXlAXXDtdNqT4dbPqRXv3Iz5cmGxr86WSemUpWsdW3XZ19u0me+jkW5NxAGKJkx7CDv9zfaA
2Jmh9pHT7r0tmxMyZLmFlAPlKno02v5LKqCJw71YLfUgHLp3wKgYV4vkCNyHcikfphtb67JjoXin
Sqz7K1r4h3GpoRFN88Lx3dupdQOQR9IEUoR95KxUbZediQFwIMQl7F/0TKne8kUgOtKExfddrAqZ
0b9BkLzpNXH8823+t4OiowtDQAPhrGujdOCs/+NZqpKuRO/qkTQiKAZQqlMsGc4Bo/d7KlnF2ODe
/+KK/3a255IuTkcua3C4/7X1K3qzXFRVGjga7hRfjnXwLUpMM8YC0bbzp95zD3XK6l7k1m4IPSg9
3oOYWVgLH8ln11GIG4z510vtomPFJ/OANYtNWZnZ6wTwgTRTTk+lB7JxAFTqNodK5O+1bJ5NMhZg
bHK+SM3bidETOm7oCwli4mDZfkWcEMfRoSa0KOGWsk/DAwrCbFk3eEsSGCSbNuddjAdCWuqaw8O3
2mpopL9GiQdojGaFxj6RZQ00vJFvuy3tGznzLznQPCOmbx8qXzDWAyNYBjCSMkaNbKffdyjOPtHI
Aj0qwPr4YBWAqpaxihglC1zBnpgTNkGwkdKWAgvtDh+a9ApUcpQ9ZlI/Zw5JuhSx4TECif891u9v
tdf+A7/bfyZG+x/kilsmxv99xy1Ik1cgh8mP7bblJ7532ywT+RkNZZ2n3TDwzdNN+N5ss4wPrktL
1GPq77P5L2P9f/baxAfUAUxI6LPRyWIa+69em/4Bi5lrIBazGff7hvV3em0/tzposhmOj1eN6Qev
o2+JX1oAfqVFPfWSWNXGGGGGdbogpaDe/XA/ftMd+u1VmHQw0zaYaP86669TLKij4ioevOqriOyA
p9xoxF/0oGg0/XS+d01mSiwsPgNbl/XF+7XXnKPoNRfT7SrrOwvwdtwoGPzsjxevR8W7UwxRgzrz
GoS8FjEdERDgIfCtobtITs5s4kNfPpRqTJxNgT6iuh7CCEJXnenYU0xcNO62zFxz3CQlgVjsSiEB
qk3Zg7eYbNEfrNQIk/1M9bQz3JkdHnqfoXps4BNw8kAO1A3B4j25S+Jcr0+RD2kDrm6KFUpaVnQb
VqVd7vV+cDvCMUpg9hhrzDcLqZS3p/Y2QKSYTY+gp2zUipz39EzkDKtg5YzTaXRN+45puZec9WrS
n5QQZER5Tpo9DkPhg6meyurGEgDgUHbVZEhoaTG1u7oLCRAYe30eiPMdMaw1yFFGMkIG2wvSWccG
zB+gzmgI5bEgxE3oLPZTGIdPJdNYb20LENw7mXmVxB7ih+muL7CBbNBdoGHj+AYVrGMOVK7LEu5c
IyA/XI12YVkvWPmBxDqAucsn8L/y1KSzVe8pkdQlTKAhcw4ZcfnlvgKB4wqVEI4dlfULbFz/pYVx
+wgJTb4PhekU/A1YtWgQ+edE7+03WCrmu4W4pqTFEML4kPk0GBuj5DS950QFpdUG+5LsDfCm46bj
NJzuJQ7z9M534P3xwbDXoWIgEu2ESQYkZWFMcql+nV587lBNAjoTE+TkTnTE91lGPomd7tdy3CiS
7gAmRb1P2pU+pdOhccIBiL9Nc2ptRmkHVi6DQfLs9R45VrGdlXJfSyc923M0fFcz/K3F+z9bmf+n
yYRZVX9Yj/7NtXxd5V+q4eXH5fnbT3xfn039A9Jxl7Smpd4kUOKfy7NwkAfzh+hPmQayOnORfyzP
lvcB6SarNkMU12Kl+dcoxLJRBzM74WyPnObblORv+JbxDv/cpHVZZWyWaXy+uiEo0RbF2I9FWu3W
Vp8ApAhSv7nSvCEcNhYshNs0q0nxGQej1namjC6asDycd65BpABnN3d0unOGOyjdV4kDvQQWjwd/
EJW/2NONNj92UYXcGPm/2SDAoq6qt3qLxQFIlRdE7WQ/6cbUrKuGN9KqwucUf/VO8WqD3CutwC2t
a9vR/F2eRe1RbxlfNoX2LiSx3Yaj7p1WfgkFvKdtok9yxEDQoW+lmh6MVUjpZB3p9XD+s0T/SAMl
urFsvCS0x0b9YidVBqMlGpIsSHUswVuvHrXurRoSPX7oO7+MtyOj5X1Sc0KvyJh+GCrjc1z5VGma
mWI5BGmKo8qvQ+VujcHX99AGMfaWmB3XIrIroDszTavGqdQ1IKGnjhCzZieECu8k/jk8kJMd9utY
c61VmUzJAUCJFYKucLCWZHV0TtvuURSx+OhFvXU1OW1D2eYb/GUEihvnKYmORlszoCWNFeA1Z6px
eMkz4OKrptKHDTJu94zTgfYrIWLOJsum8MyQWL5CMBk5wTCznSTOMTQR4TkqzXg4EvtlP9qLU2gP
iLLQNrEbTg++Zti3rZWTstfZtvGm2+Uy1+XLwdZVt8ews8x12WQixQrsQ1br+yVShg7nVdxq9nEg
CZO8GcxgLLLo3GpPDm+x3WSHtCeIMWkaGAyh7WOrzgxcbY3rrGn62Kehy+xTDMvsTKvA6RecKIJl
7KmQnU3rMVx++Z4EqS5q2bNaldWbRgjnTvmXKqqooxH/+vD37fQzU3FSOEYG020mrrNhUvbKlaC7
mZQn+2mxjKUZMW1qtoCQY60OgG2QlgecfT8g/lsJPScwts2YoqN/3nbNRDuPkMxtW/SnqfI+Rk5X
BbkC16R0/Jl2OW4JvOm3dmMFUa2uHXrAQLeh/eBhDUY5MofRGFZkRNuuOm8BYXBOc9KtpSBgeK3A
+qo5t2Eo0MdF7hWPV2DiMuMw7aZIkVFqI3XGUk0+VGCX86domgUQTJ4GBvRqJy2Tppo1bGcHmj9j
NQfQFB6UebatYJJ6cpBResXJm77U7ZiX9kGBvlzpHVkwZgthuAy77ujVbDqEd2hHmnTfAnTv7Vg1
O6owAEYovzkZECtqT/mT0RFG2ol5hbsM2gb1xmbUMJATSqdWQ9cu7C1sYAvDY4A6i8G8IMZD8yqM
/8lZTeFVWGFaxQI3blF2kJ3W0Psm2k7LH329TB7HKk8OIwrubDAeXZU5VwNUkBVgZF6IRrCFuzbH
ZjN5n1NGAY03vs7Sdbb50DyKxiADo3Zv4XI+R/6QX1c1/fIVkEJQUB5Qj34Ccivn+FLWSh2iIgu8
XOnbBNneazek8w6pu0+YdoMLSWrdvtY8/cktTN7AsrQfGw9r/SqSLkl/dbJued3ebQK7Fp6jgY29
HyaxL6BkjYGTpeWaqDEwbC05FGOY3GCqxrfMy0s9FaeThcNLDfmjAsiWYYRvJbl6Q9adSw+isZEx
TRvCK0eNYMfbwt5EVr6bTPD5Zi9u50Gbb7GjeRzzo6/9KKtjHtvjXiO9Eqaxg6tIYfHa4+1QN0aS
jy9maDinuqr3uQQEJFzpbXqBAOY6GbFwkAOdwEyUzgyDScuz+85NpppU8Yk+RJmZ0TYtyMkxa8ug
B5mltzwooFqY9X2ydEXeDw/3ZqLvdlu0qNzXRSc9DLWNfJJLZvE6iVlqtzarqLcpsB2uPJHXNKY8
/Gew4A1I/U0DdHbOsW3zbmwJLDcOuZX0gPQYlyBtA3Vc5RUhfF3rvGAwDkHM5dZGxKW9dyvIDqE3
I5x3ob2wZBUi3rS2Aek8LyrC9QgR2OEnazb0WUI2vh5veuaKG1yN8kqjgF3HXTbfRbTnrnrfhEml
s8jJYYyuqkw0iIysHuINolLKbpfNYRoTBKvd4GJpRIt6Zrjhb0llB0lpZyGaOZ42XsPrNqOJqBYg
JKue0wC2KTdx5STX0nEuzPSqTaPzb8N8mE9kY+ZnbywhT2ObJwS9mjiV40hY145VBF7viEBEqdOR
djjvOtAKTd1pH0si3o6x3laXPDLsrZGq8EKt74F4hZnF0yQ4yqxMp7pKwFjDiCvPxTDlm8Yq5LmX
NXxbLTCHMdBzvGq1hkXBFoR8xYO5UXU2XYXkr2zLvhcUB2291ozu6NDDuAsd9h3Xvk+m6DXxlMm8
ZCCuyvWbnT210AQYvFBOMzHMQZiIi2/y6KlY3gANuaDzkUczt7oFUGjdp3n93mbG+2AY1ZXUhupN
zT00daMu1n1643oTxJ8qc/Y2T95drfGhyXGa77FdIv2euvgqKktt67ZC7H2MvFcuGcqX0inSo2dP
/SHPufGiiOpzWhbyouUoF4nXNV4N8sLomJIJqhNvW/sMIxPXf/BLVX0SRh0z07R4Hnvx1GgzAaqV
ZP9KUiVWEGB5JeJw32e4CGF+1Lc1eeL3+ZxGTxgn3/uEjQYQNd6SagxvCH6qtzEYtRX4YYIQHOeO
bLHlv+zjPZr/ZOd0hUmr3SaWAwMyVsI0xbalQWPsRn1dWxgdSzu+Mgvi5GKdYFAzjl9qohUeXKDc
t1k2yhPOYibGopwPuqRaIndwvDbtviDsqe6OjVs2RJWA1U9KhY+VFcu7Ci0JdkmfjnSA0ytkf1iB
fSJdnIwAwUrN+Vs7CkAMUJSRrI6PsnKf0qjc5rh2j4PRGLxqfnlxh3DaJPAbNpAh3Ec6l+O5pCo+
x3n5aHgJhhoTZCUYSsZpjnWnKcboEBOqfaX71alhXbn3vGg6zWDYNqCeCZkTXk2PHdF68qk2Lc0I
Ol4Pe5eoRJ40P8Sq2GnaxlaZXa45vImTRLVSwbzLxhNvUi4Dx6nyl0X6nZAt5L/MjV89G6OeXHu0
BMdDl8dEI5DMxpjSzKAfKxSMRRvZd85EEy7vpuqpKGzrwvjHWzmxDfzSdh9Vp9l7k+38hDyVXI0p
1m/92lAdes+Y+lLF0SfEdMN7NkXlBhi6HkhvZj+VPmCLuS/qPSmdpEUb5XBHzrV7ymhx7ECKqk3M
X38p3L4+Iq6K3+fI+ZoWQOzL0en3DYfibYSa8EqPRueuM214vCz9a9WawggMjqNrVZsh4K8K5p+y
hp7+pu1p113sLInQJGE+ABngC09HVkHdBDKgLKi5Q+szTG7RewEnbCBxhHAdDpzJpxPGIPPoYtye
EtzylgsmIMWNxQLVkWM5ZObN3NTiLXOkzW8E7Yooz/adl6REkUqi6japFy4i5DPr6DQwZGgGMLnJ
vnY2i3OVm85TVw/NiedPXkave03dITpMEfVC6oJnROFYBdDT6Mdkdv8o/SrfMt375DokYtMl7rfe
ADsh9h6jgeBuSz/YeKJth66CV7nhLhat3MmxJ6kmu8KcVXMH9fah7KP7GqK6U8FER6PVFMK6ha8b
QA65GtzhNqLlMNpfphk8OFVIPjuEhoZvcxg7u6lsLyUSLgKn5xcSJW8ICGpWcSnarUyJHrWoK7GG
kwBVkzXKZJgaW7gbDO1BWTQ7ypDkULbDdZOacue5fbQBWJysHWSGsm2fzbw+hIlWPXL6QEVE1PaT
1vH+ublWB7oSR03BoMzH2TiT5xAycdbzIHZV+rGKi3CFxKTdKlwr+8QZMFU0MaAcc3o1XdKbbDC9
RJ1zxoDFz68yG2+TT/6Dwi+iWHhIGHA6wpJpMEzjptZttdUpOkpifje6G2fHrA3fjVQe65gM4ZCz
BBIxs7iP5zo8qBGuz+RHqMhpLx+7rM1gN+Br6OVIrNuiFariEArPTE98EiEyCHdM9rahHbWJp9zM
QrkfbALHIzqLK8u2GeHpzasRk0RtpIxIM7PdNPYixpjH7KrumfHVLgeXqfAi9CWA39bgdF50w0gR
3WvmmQX5IzOD5r5M7XAnOkHBpbL86BJ8McNbCfhH7Os5AVADVfIV7hCX9lVXHKOIwFIdIETjTpe+
9fx9NVoPeSwMnmt/3/huUJn9mr7toQhr3CUIjbd15j91rCoE3DpXRoPHvbAG5m6KG95EUb+Rdmwe
GnNqt+OssYwyjg7sWJv30i8Bajjko7paErhT6V3RwQzPnqc+eU5c7HUWaTccA0QiG3Z+0jevbdW0
e4Zo3ZZDE7HBk1ntQstBV2xie9EMVBzYHfcTlX/QCL/Z50o+Wubcr4taG/d+C48LPOJjrmX5Zz+6
TmgjNStJ0hNXGoZTmSmykZ0W0Ue65KD64R1b/bBVVn1ljPzHLSQBYq73PuggYEU4Sxgo1n3FV1o+
2mAFV12UAMKo633lUrHpY08Wrb8dkWXy8ha73Mxga2TmU55CDOhSoINRPfYncJ4jB09mGU4m2Bsp
NNyGfBmjPQIx2IqMiFUXHcgWuusCkcofyojJuk61jz5l3wwt48ywS5dMuI4wVnlMxhTWxOjlgS4a
hAsK9JJGEMFuTnt4lRa/PCs/mVjxmiFTeUwVTqNBT+z9XLbERKbYvMh9v6hcAg2ZezITCwRECgrj
3rH9jvUbTACMVspOl5J53rRRqQ4p9HtG1Um3TrT0yxSbl9baFq2TXiJbT/cjgXmIkIBYSdj/ZmF+
JvLBDXIjc1A8m/LKL8798BUA9tKZIDBTCePgpzrM9ZA9WDKwGaa1U3zOUlntZ0Emcz7SzAGfQHD6
l6orPmuuGPgRDsSCKLMMhMO64iiRtRaBF9dj798knvPRnLzXkKDnjWrbHLOEc+oycnOGdLoeVTit
QWhMhO7CIqM84eDdzAdT8laC9m3W7OuYnGKdCB+DLPOBZHFgGt43kicnib7vaGPSAidHG6YG4y54
WYilON4Wp1jXVdDb3W3n5P067YYbY+4+LX3atV+P91NYkuXiaQOHS4vuEmr1Uq/pLVeEstqDd8u3
0265C9ClaZ8gyIkQ/s6H2bFJdvetvWt0HW2EBgsugTQUFTGR1VVVkEaiOg6zzvDMG3GTgMeppn5P
l5l5taAvP0/SXEvKVbo2XY0nnui0tGhPeffk+QRVD0M7XgTtK1a8uaGjW53y0CZSMIYoq9dqPqiq
0AjSKrCjFBO2oFijqGEeh8VLy/y1MjX7VrFCl3p7NOra26g0awI415chbs/Eo5+jvOfwx+7p1Qnt
gALaU+iOxyTEMOWO07eO3QnBGm9A72ySiOXX8c0HxhjX4NStlWOTZkaAMyAYhWayiw1vE+tzsq9r
fMiNmtSdYYdnkhwQnfj7uPXkqxRpA+RMkfJMy2eP8ua9qwD8p7WeHus5iwPfxnlQwc9cS85ZYHP8
d+KJaQHl5dsQjxwxUu4V4UXa0dB0B192C7qi1d4MbFPr2cIr5FbxsCpJNAe6JIpdZYCZXQSeZJ8Y
7SY1iWTrUQidw1nHJDYiK+WwkREPK5eTqHnPNW89r9+qLOyuXeQPtDyigYxghJLFhLaASc+DK8Pr
MWffruy3sG53tOrvCk7i+7pL7uyxpeWo53dN3JknkZPRV0S3XlUC5SiKoyIzIrKjJ/wVX4hIybZG
XplBM8Ncz4dhXFkSXD4xESPHN8fZtZEKqvajkyhrG4v0fnLQQc5gv2pPvUIg/GrHVUl8HG4NfO5g
yyQ0UcNgK7WZnwgSEqb5piomkOLuvtXLY22NLx45ScGsxmGnoomkginV10PcF0FmzeW2KBf9JIde
ooaNT6ahlTtLaJc29j7nShAR56V0ZMYKP+EFnTKUGVap9VzCfCRg7x1kNVRvK0JdUIwvKg9PjjuJ
ldkkCKKYuwR9vUjXSecDO67cAHOx2ieYXrb9EL3kZr4d4yleCas+No25k6nI1oM1iDuAFO66ZxPH
CBXdtknGruhpnwYvJ9bEv9B2tvBC5kkwRP22MLRAgVuERUmkQtrdat3wRNMBUpmU0OPKpFhZTsTL
6oTWSii8+vmchTuQsWfAMOvJ/aiq6h3qBUuMSxBRGBcX3ymTdYTq/oIbUIMKnNfQ3emlzGLJuiNk
XVftrpJJsXXAt+ATMzhAcKZk4LeKtOakJx1mO3L6DBIVJ9E9RQ387lS8IOtDfBd6nIUsQRMwcfcN
vZbApM21ZpMmWiwv5vWgvHOeTJ9xL732itPm1Lt3me9B6XAlIKNplsEYYdnSGM/T1qI7GdZqifnq
tqpi6/JS+9AtjLjZaO68FmxtrNfRpoLUu8rT7h6tBfzGUlQbpQhV1phD0sFEAQfuCc40iRlreG8V
tPP6URv1z5m14K3IM3rITfnEmQybLggtpEDpDcK8+2q2Pndd+YbbJ4gMv147JlgiAwkEA6Y4XEtX
NAuy6gvRt+PK6yTMtzjdAro/O6rLgykC20BDGumJUd7Cn0ho2oowQBu7C3maS7SQ69IhiWHgcgzx
UrUarSna6EoZG7Mh7xiCND7lmWhPUPXoG7SQ56bWvlhh5a5EYhfQIKcFtEPKhAOjAeAJzZJYdB8z
zMxGZHLs5uQj5JIqhCusI62b5hk4zSKkfo90bd/TKOWwyHLnky3FaHVFupmxlr5vok0F99CmAJeV
AsY9Su3dTYeDVmdfPUm4nmNcwik7NG7/EnlqXIvZfCIbAVaZGZ/VwmbS4n0/deRG8MrNhN6u9W4k
JYxt/pxVVbhnAMqflam+LQbeYRe09jbWiYv2aVCtyQWw17YCiEgu2x0tiVXfsd5Y8gC5yXmK++bE
EYvAOWvcJfrVQFRF7DeXJLIep0xZp2EgLyupwiMQflB9XwkPfDMkSXv2QHgFX1f9kgj/o1f0n0ko
c56KrqmQR83u0dDZYyorPHQ1gmmLxWcdqz4jY0VhGUVUFLRuuTe8eTd1zpMtrNeuM57IvIr3jI8C
7pa3nzW2+eqrR/0kY8RVZo7WsVEMOPH/F6l45qAIzXkSdqDVM3zylPN1F5UYTKnFRsc8to58k2x5
gS+gkHsMrXYZbpGDVY9ixRHC3jvGeIbhJV/SpadbF82t6jXa7/mDNyLUktqzbbqonjOt2gi9Yw4h
l8BRe/4S6119HQ4a30P/2auqJb62R/3lhRUabyS7cQIIptFIYyYhDPyrZjUnuucnQsJOlulflXAI
SMibP+FuBBZaLTo7lz0Q2X62uNrrr+688DvhqW4bxz5jB0d5Gma3U98xerHIrO2jhyq0LkVvXaY0
ulDgTZuh1dfMyed9WdjnrjKBS9oASFqdzC+wVQqAX1fsPUqJlZZCFvQTajB7NG6HfonqgMNJLmoa
9Ekb2CHlkF76CD+ln8G2dCFhOqj9da/172K6EbSxx+pc6TWTTsQq/zsX/i/rj2Ph+yb5P1cvZfbT
YHj5ke9zYc/44H2D/2B3sy32GRz333U7rg/q2vScxSvGdNjF0fiPubD/AXcLshzsofwUJjkUd/+w
yNkfoN1YELAdVgRMbfbfku0spsl/OWlcBLOIaRbvsoOBGMPq8vc/6CNlGToiHPppYzSDfes7U33q
HIN44TYtxu0Pw/LfiHd+GUB/v5bnYL3XgTOjOfr5WjhOsxIN44QTKY+DxNTK61nKYh8OTJ2zFCHl
n6/3u8/mLiYdFyMivI5fSAfuRP5u6coJtEPLbj9aiCCLrAis2h3/4lI/qxG/38aFdYEDm89nLczy
H2+jRTpKC5lr3Fgs4RdDa5vXPlT9gzvCClvVeRjS4UEQztvbAJ778+f83cU9G2kYlxamsH/5DieN
Lo+qtWnDjlbuTRfyP+YfvTynIqmu0QW0F1JtvANheunbny/9i07q21eKSkq3+RgCCA0P/Y+fW0QG
JxdXTJTbaXEtnCLbm5Lc1T9f5ReD27fbi2YBoIK98N3BV/x8GWKCc1tVxE/mxpQdmRv2V95YpTtZ
1OKeZva0AakjlyJHZRen5ZBZF526zOnQD6s//y6/+cRw2nieULktWo5fdG4cpToIt/q0qSkI8B85
2hrqc/UXSK9v/80v7+Ui6HN1g+MJaKpfLhOJakpSj+9UsCvMFMdk1s11npBJamnqM/weAG7z2KJf
6GanAdhqetGD4eU47v78gX/W9n6/9xa/B6vOQlT3l6fvhxXCisjCTvBukDzROntvKKInqxst+jJT
9JaM5DCUiE3u/nzR391ly2VBAh7EU+38clFvUWnIGaYDpgm+XD/6aigyI//+RfgCcS4DEPv3i/hw
9jMvt4mNlkmIiYdcYNaj/48HRoAANBa4FvAR55dvsuktGRO4ygMDTvTUF1G67ohP+wsF9m9uGIoj
VHlABnk+veVb/OFbEs4YOih4ps1Ekk/QetjVGoH+/8937DfPgonM2zahH8Lc+FUWyVltsC0jRN7W
eubGQFfDaKlPqkcFpiqwp07bOTBj/+IJ/M06bgo2OgPEPfLXX+2ttIK7IWmg+dSjKrZWXlYoBlhz
9CIz/2Id/4Uo8u1p50mwFpqjyXf1zU/ww33Ma4kapJ0R1SSa5a78kuBXgl2QInhzo+PjQ1FY7iZj
yKCt5APp2qgL069GK9tzbKR0V0s0PdPBq4ws/ovn9Tf3ASsjQt1FDYai7JeXYiY+MUFE2tH27oxj
Mfrl1qh6UtUsEf/FF/2b9Ycv0mJHQzRvswz9suJ2g04Y1TSqDQwQGDNyx/7ygNmcM0J0ZY9IT+zU
ZYgfM64mVPnPj9m/PcykRMCwpFZCsabjoP/5YR760FAGGVOb0bUj5PBEB1eeFf3FY7XsyT8tsY4B
s4DiClWcBUD7lxeTtPPG7RKJCw2h17qStaIJZOjMd6JxZ3ra5s8fShjLr/3zBdm9ULcuBCjCTcQv
9cjYV3Sn9JQziXJNuhdT3tdrxHo20o64I70HVK34IrUKvKvKJvoiRu4myV6H252unFGPMbAy0a+2
tKJUdBSksaHsqp3+Ki8MIfd+x8A8jOLCCHqyC5JtnpcpOlOGL+aKtj06nQ4tmloTk67Rb0tadHNI
JYwEhFDs1juLoGDa/LbkzGpGWLgIzYTB5HoFAhhgXgD4iSJ9LsAPibXgDIILovDiaNvlnjDWrWH2
xia1kTQ9No02wUWPbS9F4VcRAuwMIkVzA59LnQiDcLxLPTkh4gJfcQdQ+8RvxFuhmnLhp73KdNCe
2jlOjjXSw+dy8vv7djLSezIsJw73dJdB42uuXzD8TznypCVJGJ/bPMktmqpunoJYADm0lgDIIlyE
+OUW0cgCOrFHBBYNPC4w+5m8lLqJbxpdRf2Shzlqbr1KSp1OB1erCEaJSTl105cQ8yOJGlDDv7ZR
kVZrDGft19Agrm/Ts/jqe4ylcXwIfcRmae8Ddi74zm3mygLcUz3YGTRNhOuIJ/u5tm5EP0fVqbbN
trqyXSgRauV4yqfrFtXMom8q5CZ60A82quwOz8qwnr1UFkSSsYEEri0NczWyAmQHJvmtfhChVn52
zI5+W5TA817Tm/dfo6o14gM+1szdVHORbMl50Lsj51hxI0y6Zl0nB6aeNsEGG2JEUu9u8OshPbqd
0G49LYNwTqAbNZXJJGoIyFowEBsDMygZwizC48lDi4lOrk56OtOR/yIdv893DU0CAlByDw3i4BBA
cRyymmkibLi+W5cdBCurHFR4UgOl37qec+1Yc5MR2IyplW59i4iKk0l+WRQIlp8+YHplXbIoMpuj
JmoolSZ380Hl81QdvbLv1Macs6Y7Va7Vn3ElxujxCvIHAsxt8mNG1iM+zTyK9U0ZTeKcDGFyBUKq
ZRoU9+U7tYD6yKIXlzu6AO2nSJV0pWtJKB6a7H6JwSUlL9o15GsVSD6q5A3BE5OtrFTdi5VL21jP
S5FNBkDRvIOZciEkobS6T5yJ/2OSdSqA/MVzunfjrt7arV479xhBNXNde5idA1Hx1SLJ6Rg0zhNa
MWtlicqIg87sra1PJ5R4Kmm3HU+E3rb9cqjX8EQOFknpoq4E+ltLz5FieQ65zDqLw8h4Na+1m45x
Vf/mRnVcPLaT78MIc3r5KJ3KmZ7jqGwh5gGYgABkLmsG4jqeXxnO4VYjIz5flwSz++tQsYCtMTzr
B7OntUtfmPHClUWcyEezBbcCwz7NPRDakfjO//nf9sJ/GcsO99/bgi4vzcvb1/x3SNBvP/m9zUDZ
98EHdLNkZzlwGIBJ/6PNYBjGB/ZxHjd6sgtbx/x/fQbD/cC5DUodjCpjaU5Q8f0TxWN/gCGNFBti
qMF8Xf9bcGrj59JRE+zoVC38Wj/v5VoYIcEOl7DYJr1JM57SsDhmnX6TVVYwT+5hMLXnzC1vJrTj
osE/79OaT8xob4T0s0dTvpVTiHHR3P9wD3/TjbB/3o7/9RthlvqxVJ5skmlGV7XHVOpHT2N+Flcy
YoUtypMX99u+wpsRNgXrtuquPJu3Ac0VGcIzGZKpeKq9Tqwnaz4ag/FiuXW0wqJMJHorSLanD7jF
VPrg+p27zTvSiSdIHrS00zvhRtWdYf1f5s6kK3Jr3bZ/5YzXl5/qonE7oagIaiIgSToaSQKqpa26
+PVvCuc5BkES1z6d1/Gwh+1USNraxfetNZdgekjlXdKE3+k27lAeHMY0umAjcTeMFaFCfdlts6Ty
t2kpGSvij+pVVPADG318NmwPwSqxtaN/hVDtEMjJARnZBdVHa8qqoWFpRPdaF6I3kZSfXSnfKU1v
biD27gcD9SxRi/xJtXk5jtWR/ZT2fkP11wOdbaSUWphSXfTtzokSkG+0sxqFe0aIE64cooCEw+JP
xadByBx64mwQ0fccNETux0xvPaWZih6M0akbothRzprPJdL2tH1oLGVBa+uqjgxpaceJv7azLj3p
fGwztTpMuVWAD0u6dWjD2oZmGJDFsRgS8tXNg6VkCiqE9roorJOvx85rweGvrdx/bnW+hTP7Wm5j
ySGF2+uukoQM2iy6NkvtnIe8rVs6hjS+EjcwPOubpzF+B6v7rodJtGpHWltGXWzJF1mHwt9HXbKh
APgTw463GSuynAFN32s56mYGe3YdDP5V4xfjkb21ysf+Zhf610+fPoc3J5s4d9ohkmR6dJ6/HcZu
kxq7UIZTYvdo7HEa6Ug6SjAcSLQsh5xEU74zSb5xUoJ3y47wmCpxoavimsUxu+wYtPSalTNHg+1o
5Td+3+2/fsqvrKfPnvI0l7z5qUEmMDBZQblriDqCnALc0FnFLUiXliyRmroDuxWWuJweVrSHXQP0
L/Chc5NbWeYCbZeOjqO0jpyx35+//npy07h/83PMiA/dMAg+JUt80YQENTV8Wf2xFzPNhJ/d7eyo
lQUIVX25LHf6IM6KpDir6qFbFNhvl2A5HBqFGVp32cRLpyubjArCggAdb5Go6d5PKxJQ5ODS8+vT
pqKF6CfxRjOge9JX/S6j4VbUaptH1vPX7+Y30/mrcfLNs7CwI/e0WUuCixIaZ88OrjpE7gtCUhC7
WEemlNkx9K9HPg3iN5cxmP/CNET7qOTdCbK/hVmkPB9/06okiyj0q0oSZ4grdIzB/frO1Gn+/+w9
zFYqD6whQves2HXOuNcH+zSK7ZbsLrpYsDxfyE3zJp2EdBv7jRsO0TYyjXWvSiO5NZxFECkQr9ca
8HN9+T4qgIvAmX908o65zB5wOHCMOvZbf/caZmuYaQwSwEhb7Oqu/S5CZMgqJCrWKQRMto4CPiyS
jek7typCxMAYe9fW02+lCl7C9onOYnkhZaTmJAeo2vcvaoXwB8dbdjrhgoF52vXhzyJUb7oBZTJ7
DnSrsF6qVD5S5/ztbDRbM0ZckF2gQ+ofQ/AupEshzyLnVjMBz6jfjK5eFmqzSVFOt2gIB2GuG+gH
jSFdCqc6H5LQBft3LWHNGdXmpsvl07SyfjLRbr2UIqnmF/KR71Obxtwn40KZHdvRkydDyqFuF1WS
7koNUumxxoc2xmF74RCesPLpN7tBz/mt7bCG+Up8k5tCvjQUn54nGqSFhXwMBAkWlxTDhOHBds48
VN7oIqttonq05qM7zBm3Q649ODjMFl2cbJoq/CFzemMngnQOq2y+VKzh1EYVvKTVdIAGfOQmZ/Wv
/3xwr7WLNx+cV8Q1VS5F7Diju4gmTk0TxJjpPLeGsiVK7gIDA6/rFGHOWueIhaRsnSWZdOSDn/E6
/rr+bMrP7LpscNOJXZwDP05G8jLblE0PGqDgSrClcPQYzDpBhK4kd4+xpv8UUoGUrkH1YjlauTGJ
75XtwceZRTnBaZ76tOfMhfuDYz9R4npK59UVJbqJoC9Sovnqa/Aw+pZqgpWaSw1eR0oYlC5l6E2z
oFtmgW2sHLtAD92oZ7boYnxc/jbx1B8jphW2ZvBKijSG0iqxm5Ll8Xa0kxOOQaBbygoFSiHf5DiU
121QPhhepNFE966MIcCHkUsXbVbfQiH5Fmjx95ZJfEHS21nqa1sR+NhozHKNTO37kdlt+rA+G8Wz
RYwMwY6AC7XZYR+20TcWh6rViYRrdSwqmiwWPQKKtVZqOSo9jpdJl6lYxjN/yUocr222ImB89B9O
gLsrFHq6Dqg0rSbnGHTzKTeWjfDXv/WVL/nZb52tiG2OpRxDR0uIdnBRtucWMGuRXelacloRnoAb
z9gZnaVyrldWJfsCWwmyhVO27pRkWflYpMAp5cH4EmXlZdx/H/3k3JLsTSHaqR60FT0S2dBcVJa+
LUdtk0zWN8/beQ6aLvSWZdGs4vzBQ+mbUpN2B6u8iU3rNNfajdmmMPbQckNtMs+YexeSdJa2T71q
AV9Guwby7evnoP7unenvV0FvZJ4LurbcGZKjb+omTA4x1AB8YSU2UptENc8O8dHJ/ehST3MZmfJS
Gp1Noxjjj1Aq/a0ejZjsSexYUWtAulXY6UpR8eNoeqBvq6Efj/3YaZn87KXNlmxpoNXi+2m9i9LY
QFjq4M4PzQhoXBZ47JVtJIxFh/uCD1DWGsvVc9A3vgOsDK/gTYW+i3xTIwiv7DBq9l1qS6jD9fIc
cDhlmyynZjTKU/kjJuChOrKfMX83u0+382biGwh+DCXDyXeVIdfLEbXJIq4xGMVVqKxbR4wrLaBG
XGpRtxwQ+S3bNENa2ZAIjo3oDN7CjVV4l6IZtgaBRq4w2DOLBOp5T3Sj28pk94VwA1D0RvUqSaxk
beL6XqhqZC6ElcqLIrZ6Sqfhd2omVzUGZmzFqr7NpJhmqlpA1JDg1SQQLslfRNMVopRaiLp+9VTd
4HUuaTAXZ16V5MsgrrbtkHy3y+Aq7BSsoUl6zld0QmD8hS1lq8ibwnKtJhArX0Pfo5k67KIhBtvV
Trt6mUSoqjW/1TEeT8/KSXK3eU0qZL2V1dna+sjQ/t1omW1g4HaZDYdXsfMk8gVQAbBbqjAwLogZ
Js2zjn2g0kXsWnnzDGGjpCxFuI+CzHxFyFqH/q0yVkWufFMqYxeP2nUbaWfaGBScTjTiE9X2TCeX
dsi0Y/3Q351KXveqb0ZK3omMrGSR7OLY/ha09UPd8w4MufPhNgRXtJW+qar1Dc/hJTmY9SbJS2ZK
E/TWmBEJVKjhFaXTH0MU3nz9EH/3i+TZzkRjyg16K6OSUSjhpTJEsL7CVq33JLZuA8ns0GihYFPF
YKwCRVeWYZR1W4qBO3z4gbVhgqGIOlIzOve9MdyUjecf+a5+V/ehevTuu1LbwaqrWhY7ZPnkKWoF
+d9a5W80IJMrNlH9SQxqz5LMS8Rf8mJ0anlhUlZcWWQNu33S65dBk8s4qyGeNYo8FfJxjB55cr+Z
WeccGWUEqyoapd1lenyijsqmy/2lLNnnlp2fmHzqdjOukc24qRJcH7nmb8okr3yGN+MnVVN6PcmA
mSFUNjXKVTlFaxaG9mkAv9/T5Q3Wq2VhWMu4bxde5N1WFT6VkJRg4fgmhKbxCujCkfyNWVfqPzuu
eYePl250haLgJGnbWy1KAMfXLXC4uL+i586prqKOAkfkmRiI04xZgoL3XufU70b6aKy0mmitQfF/
5qGO7LSMfpi4n75+VDMMz1+/7ePCJ4uGiv+uQa821XD8B0IUgxfags4OtGO1Vf0CXQ2b0TBsT4nJ
vkqq6kE28rMypBrQoq3AzE9WGRWDcMfusruuJ2EqAuAbMKCr0Yy+WxYHukweVllRH0HV/27FfuUG
v3nH8MgMKn92g4i/vTVqfM4VXiX64qgRy/S7EtcPnc8CoQ/6TtfrHxbzM1ZyIItGE1yAQjiviApi
g2Npa39kvPMQQOkW4bOPcPbY6J/mh0+W6gno/nbNM4U0BlJnNDtV6dIFaJlzlAOxG8rZk1bgBtRy
/xKiOkLIkZgPPT9TcpY7YqP4ZRNnmRn2MGK8I3X6m1WyOYNvLgm13ry+/r9V8P9vIGHThX6Sok0Y
eVBX/xEyTliXd/8AepSErWtw98PNc9Uk9b85K9N/+b/9l79yug6DeP6f//Mzb7J6+tMobmczXMw0
1/y+1n9ZobZt/3WCDaUR//q//1qRS5nXza/a/yd/1K/iPyAZ0F8WNXz69vIbEL+im38gJCSsio6z
BdiKifjf8BnjDwOXqmVT5Ycs9ipM/FX81/U/ELHRhJ/IYZCuWVr+/VCu/hxBPM/fRmFQ53830vhj
ENzyA9DAwLPRIWu9H3FiSLMylxLztjSUpwxY9cKUSa8ooyA+z0dHXamgs4Mi805i27oYFajDyPfP
6gmyGSrteYPt76nTCzwKEMASomDV6w5D+jUWpeIiHez+xOrL+saLVLwPWmJcykRoAEUBzcecdVa1
MVXNBLoWXVYfQZEznAKX/ZnI2rUlomBJhNR9GijxWrVqkDSy/4Rs2nd7CU6FY4s92egnVWR/V1ow
z0IPtypYmlWHbclNrdEmg0q79pPoscmTh1csMsp1cJGdfQA/VS0UPBmYYuoCjwiA/1weSR8aogcn
Hu/Uwr/F8/CQ+xCMLWGfqKn0I1AAKTfJy5TOTYFPv5jItqqklSe4bcuFplbfSGrEdIFb7D4t4sdQ
sQ8VTkYh0dmTVS7eV9CmMd7IBFCutAy6bZQFp0RK50sSo1lxilJeKnT1UeqPwJprpssm4NdFCsan
vieB1udnJql3aEyIoYrEiSkjpAB5f/LiqbAOa0e+k9Ny2AyU8F1mZ1zINNpXNPOfUEQWi0TmvuUi
FJee6ptsKMFVY9q8qsYeNkUtk/Oc5sETW1ECR8OsoYRbeQ+dMLx7P7KCdSO3zVXSJsFVmwi6uViX
hYLlIO8T9OGNqFwOhPrOqcfyhJRraBzEEq5A1RkumgCsQqMsHk0jV+5Jt2SxtfzR1YEgr1+J56Yc
PgGVvXYs7EkdN20FId6TPHjJpOCFHtRLOJFcWy0jAxsMcyx4RL4F3jlkq3Qi98ATwxZpHMMEm4ND
CdrvxM0rN7QSikGZndZ9U8JKD9EN7YYJWc63EEDGb8/rhLNjgHWB7WNbLHx1uGvtAFZlzmrRKm15
EtVDTGNbjjFkh9o3vDxQPQMGmO9Vm1Hu7jxKU65VocFDHgq4h7OG7xkaHF6Ik1VrABvQi5+ZlLGF
sNGQ+EK/ptMtcJYq13EePXVRfxcV/G5UGeO5gMN+mzYc0OqaUeQ3VC21MTuYFA5WDYT5rTWRkkWY
X2Wldh2HBfW3vuMt6lpdLcHfJdB1vYNXRI/SKPZZw9vPI55BLGCxvz7zTFTtggnsWsLzvqCXBtO8
CE47dBhy1563ZnKmhBR4X43BbIJ4KblFUZKewKKqGZ1Gb2zoiQdEZTN0DYXxCOnaxx5pnzgZJTIp
z64KzQqvx8i8UHmbi3KAhk0XfCG1UN213Njmdb4nolba9mP+UFTjHYSUBJyPeufVjJOho7ImpXa9
JPf5LCkzfR36+BBEmDHs9OnkVgE0VkK7OlQywgoUVN5B1MwvUUHpAd3sioTqVahz76XcnPt2cjYK
fq81OIdKFVd5y3iSHeuiGLknuePqAcQm4LryCCG27paWygksN6IXSTTnRUK8rqYSUlFwtEF54kmL
ukS1kpqF9/A6/+UVFCM9S6zV4If0QdjNggMf7yQT1YOMlGJl8JJcc8pEUhTecZFAioVahuEmCR8r
TO+yhDdMtc38ElSp7tpQtpfYXplzbWDVsiRXC62ARMqO0ACWpfSMqHYiwNgejyRX+Pd+XicnYw3z
NXWYPKyivJ9Av1JKA9VqmPInkwhCjmxPBR8DH1D7m3h6kalhrkHbqSspTCGBW+NdPB2dsso+eC2r
wCvyG2zFfROwUgjvh24GL6QbAmVNJkC4ABf/+mdn2kQJH42TtrEOHlvDVdmQJBKP8SOgHXlZ5dCm
Kz9HcoTab41JEVNlp22yYLiDUP2iVqHlEtqo7Jy2Oy8UvI2dzycLNyl08yA5gxR2VqT8/yx7F04F
V8ODeAFRIqHIHj1kOpjxJlV3Nf7ShSyNd6KCCy1aBqJqYPzSuqYgPRIHXLnOHLjy68iSiG2uopFi
RxMz1mQs/l2rhi6SDEpfnG47vjvZF3ua1A+FFN1GhUewV8BYiAsHB2jDq9UJfF4oQIZcY4z1ZZyY
Fwqs621C+uxeiwWB5zV+SBVUhqyyHPRNdU9JJt51SvQkpqCEoqG13TXS4HYmtEq0seGWWgTaX9tW
DuA/DbftiKCqQd92WkzEQCI5J8RjrPw2q9yuAuIOgexADTdd9Ala2lewfsXWHdTbHr/nVW/EDz0/
yx18/uPICB+R2VR49IhFKAboBuZFmxfFhs6uhckQxRUxhpNDqLxPx8T5k/Vd29LzK/GWmIET+GgP
jAMkYgzqiUvvpM5PTwqekFejn1ZhCORhJy+0YfRuvD67Ap125xO27lUY7UQfledaVrTg5TEN4hJ8
ZqWpXkHLkizV6yLlnJqk6YMieTsaEQl6b/9J8qdHn5vMQALAfZip0oKU0/se7CPpv7wthceMusk5
kazhbiK/7Ggn5au8T6NrCRo5TBb/1JRh8XfDRE3XS36CET8lvf9CVWpd1/5T3DDLiDxotpJIcJgL
j9zIgF9nd6x1XYj7CENSvwF8rK44OUKfLnixLFgBo6XTlylZLMsE3y6BBvBJ8I274FlHNzT5ZpQm
fER9sQMYYNDmlQ4Ngd4g3SCcjMb0QEwm5yZi7CsipJ+fdotXpnA2QBWSTeKJOljvrgjafNlyvGJ8
o0koXd0A1l62in6nBDwNv2bSNToRDMQvh4+GRsBELSVXItN0iub4EzVu3Ykg/GtSfxfT9uPcyfVF
BqFYjb1DoMvXdQgBBne1WNkGH8ZYWNqGZGdx4dfkHrxS5RMn64lBghTSVP1dmNnej7Il/WJMqvtp
f0dLsXLDuMs2pODEK+ipOXVFNjVCZcpRQwr9FsnmuHeZZz0ZgpTERnBF7etsKtyA8zeWQPMf0hzY
G/vmTd0B3idK+mmKJ8l6pqt44vjLEqyOglA+WOAZAITBLM8Bn2rroYAeH+hOtZE0Zsio5S9gDpkZ
ES4g7GfullrOU10h6kVryNdQGNearypnocVXU/MwTUD4btOJq7bj9w3yBMXCL7kg65HFoGIPEwY8
bjKtHktCM+BesfACbpEW+cD/addMZ74CCj+xgn0rqfimSwYqyonWVaf1xdT8p1zED37n4FGdtthB
kprntUbYBVMWhrIMrLjXk8dE2eJgBxrbaRMnZj8qJ34p6HO2m/HRmyhtE5/80cf8uNRxamDk5ENP
PL0/eZ0MQz2wV76n7tLAeKmztltFuT7g+2cfJLx62/VqtXE8LV6FLb0fx0icdQvpxlV1ZTj1M9a3
aWLxO95/0UN4cwbrMFbsl4n8KkixMfVlqPYgY0pWoijqeYwx/kI5CP7JSfV/R0T97X/1/+Nh1aJc
9vuj6sVz9y/3R/L8lGfhj3cn0+n/+3UutdQ/Jpsagaumyq57yqf80/umGPYftHNRd+Mrkf+Mov51
LpVes6hlpGeYGTQS7Sel0a+DqaROQGtoSo6lySoBYX/vZGq8O5dyFHUIPedsPJntJmH2rNCU21aN
8V14N8AyO1CX8rcgP5L9+75F/+sS3Ce/2CCJae56k0oSrwO99260UF5F4r6GrKE7PxT/ULf6sYrO
+3P2nxdTFVtH0I41EOn4+3O2FzrdpPSTaNwvgKxdOMWqLza2ssCPndJT2KjWkUt+dnsqjhAZRxS+
kLm9RY5qhbB6XbppXvKH/FbfB0jYjl3kfcn0z9uihIHpgfVAUeZSfQNIlU2qK0RVepct8QmpPy0z
0XqkG/hmDP+qXbyN7fzkfmxMdJPFAvuBOTdekcWr+bJmejc13RFJvxXJvSnEQnWqhYl+7euLTcPr
rwLc630h2TTZPem4aZR5kdwq+1zAYwv3gd2uzPJSK48FYMwHOMEXjG6Tso891X5eWwdvCpIdpxmE
u4O/F558ZqsXso/vmv7J1/fxXkpJIPrsKtNDfXMVvVDtlgwnfw9TmJOJqX3zLoGQ2sD1siOSl/kj
my6FInXyj6IK5w29v5RS+Q1tWT/YAxwq3TheFwa4ia9vZ9ZQ+fN+8NeS7jbx9PFtvb9I32lahtI+
2JdPpK+RKzyIdZmd9I/5ifrI2hLkyD0W6reObVaw6I7ZrObD/fUegdvrTHJT1W42K7E3B1XEEXc/
gUH1Yh90wPGU+Cf7giMvbiaw+nWnby41mzCqOgT03BXB3oGJQYnsBibBZbFWz/rz9Ein4dM39+ZS
szeHGMqw0pBLKWZ7UgZkQ9fHwP3zj5cHh1XJMFUo1yqf1Oy9yWajNE5Scjeyv7AH49QIg1WE7KpW
QP1A3/16nHz8uKb3YyO4ZgKktjqralaVAfiIU/ke7QSZZEyu9RKt69+/CN8tVVhWQ+bYacp/821R
kcNQXTJH5AHpUup2NKLbsDtmYP74cnD0qURB8OBo1Duzq0RUmVQlUANIeEZ00BW8kBChpeDIE/v0
MroMfJynhblsNgaomJUaZZBgbxN8P4wT+cbK+yOf72evhbyLaWtBY52ImPdPrHKSqG1Nn1m1Kylb
XQRJCEYp2nz9Xj65FR3N/UR1xymHs+v9VdJiNEfD6MK9krjYATnGYMw9cievvvG3C4TBJPD2IrNb
qYtU9I7NRZbnlwdtC37T+dZeakvd9bePN1ejOyw5ryzFTj9FkJrv1dNhcf0P7pOdFtY1E3+AMvsJ
cQkXMZCqcK/58ETqOL/w4aj9d9eYfbcBri3Ho0y8D/RkS5T4quyOaHc/fVtv7kJ7/7aGaJDqoBbh
vqvtchUYBFqVZbT8J7dBrixkLZOZbja6u6oljjFtwj2Q9m3EITXItv/dFWYLbd1HkKGGliswwVWy
7wbZkQc1k7ZPKwJDjkLUv29i1ri3rMaJOjj1+3Ktbvq1uRmX4eJAOu4yfPYEK0R4e/XT2nTLi2Ex
PHJ4RTbu6kc6v5++Lky/dItsHcL4bGY1UD3VJXSyfRM3Jz6EGB+E0T94lH9dYi7n8EPwQwEE2b0D
WDHcVGCDv77AZLh5t7t7fZI6oQ+MBabv1+z6NzO3Xggr8jqNj/cxWSJm3Yo1Pofz+Ny48A7W6uf3
3dZa8h7Nm+ScxtM2X0PhXA2Lp69/x6fP8s3PmI3KII0q7IBKuLdNKvLTNtY4Mu5nkulfY+bNJWbD
MlGUsUOYFu6xlm6okj1X8aqA71Yv/JXlmothma2AP28SPBpUhpGsXcISPzJZfnqf0AJM9gDTzm12
n2MdSWHfGeHeNwvCOYv0ByZB7/nrhzn9IR8mZGgudDPBedJXfT+P1KIJ2Meb4T7ML4BruYl0OjSa
m/dHxY9HLjQtcm8Gj5JJTpeDgt3bELQ0W4AKO3aJTwcodv6JqCHrKjuY99fogywZNVbG/fljukvW
yqnyze8X7dZaFcvR1dx0mbkUtVfNKapaF+/D4rrbBjv5dPsP1hg29CDjHMX8yPdoUOMYAdKSvZ5X
F1qUXvRKfmSJeaWgvH9zBDQqGkAdNm0Ku5z3N2vmkJIiK672AEqt52qU2j0cWXqpuaZVxCboXf+9
LYzxRfRdcj+MRv0D23RyK/Q2Oje1Xr0J/TjcldrgA3AdJG1qbbXeT7svgJPbJI/o8K3q4rzxIvml
95XhZ2um8NpMUPvnnYzxmh2Poo1uiWnUWwRlS5ZmolaQZAuVEl6SSNm1mRkyHBWPfzZQphJFm/ZU
tMgTteNFIQ86/E2nou0GASq7IO8N/UitjfrNCD70HDOoCcqMIEZtRdEvzuH7YnJfqF3rpTQtyW9c
6nFQUOduSCXBK4pTla6Ekt8PMMly/ta0aACT4xAt7L6yX77+ej4eN/hkIAowpVMRQRQwG9U0dxPR
95FziIHFrauiqFYFyGKSdQtHOm9KS7/km5VOCWwez9FRgyysiDL/+ldMs9G7kQDzg4LURFYyUDl8
EGJlusjCMGr3quFdDOIm140XJwFDF1ywIv3dlYyoNo4kChScaUdgz6bGMQzjoOt9mYtR5yUfQiqP
TEmvkJ1396PS0LY1RjfnA52n+35ky0KncJvr4cFOMETTVk/EdxMS2hMlX9pCtp7JNygHCPkxeq1U
oOQY1g7pRfSSYhO/aoD9U7OpCTjAbTck5W3jt1WE30C3aId6nHchuOZPnq2mV1Lfi5e6AYWpVmPz
MKRq5yw8ryWHsIb237tpY4tiJUPtJyMnMuIbs3AA5IOjhzNfKb1/6htqem3HpG3Zga0FrkWKBuKI
gEjLFQHLIDHLWGTnfpnh2AdsEBubPuQwvmjYJh5zdbweCd8/POqPJuc3yBqvdcX3D88i1gYrdhse
JFsM5zJp33Snm9Jt/IQggLBL6geTAOUdhDgZcIuv3fiZ/9Pvim6FcSvffD00X4Uw85/j6FMBD/aF
IluzjY8lcqcpSDg4xHKMSiFVMK97nr0lPl2s8pqWESKfmAaupe1LAUGyIf37VpNRgEIubqpVBfXg
ojS8fkeKr+yOeSLtHXJl144dZxQDO2vvefCOuyGncUn9H4+4ssYzMeyYF/Nl1TXjOTm5UHy7idMb
1dqxmfi96JLdAsdzMDIcnDVOmhzV3z/yrpZhCtWKfHCsZJqKcr1+Qaznx7S6FPU0zCX9eypasMJK
CWQP4uzUbRyidlvKdXbpc+Q+ZDiqfjTmCOQpzoI7VjcF+YvQ0sVAewO0MHLdqzpNWZvJ6gs12lQE
Ox2GqCuuyZBjN2mlTXyOCkkJFwDLPdlFfm0/K5qFG76sSoiYWRY+07X1aXzgCwbXSrJ0cimZcUuU
iSzRsuEb8J+FlzvfpDhyroKqwaUnR0hwF21qxfdqGxY/sYx55FUJId/BepD3HXDTczVuGn3Rmg7+
K2J+9GNlzNdj2buBxExrUTqCZKMaOuSh9w95sMyw8NrOOTSV4zugu6O8Oq8cTwDUTJr20AzxAKgz
qGgqjQ1VQrcpKlvfjF0ZN9j8vebu66E9XfDdD4J8R0gkpDAKeJjN5xNhrAuv0dv4UDWRs2W5Ijcl
s6yrr69CaOWHy9iyyoaGOiF/nZ/BZF9Bzo/h4eB5AoVo15hnXgQzWkwiF5YaN3VWiLnMjadC4rZH
yMJIzjM3rMihWASdcVXxDa6//lWf/CiHepTOnRsUsNVZrQA/S4BArCMRsrPtdVkDBYHtcNTa++HA
gUwKQAozGaUVlp3ZUR3OixKYisAWm5bVaWDKHpp/Yq3s6dAuBvJ88iI9I3+YvCaawotRCrVV6gNU
bfQ+XoHl6NF2jhnyazDLnSenW0WWtOWYxqBnVZrBXZ9ucYYZ2wby2LYl+fy0NorCtaO4ckeLiAN2
GqiwPC05srufdgbvhs90b6zYCmXsCaMzGz7EKBiFVRX5oSt8f1lBjXcrHZ6uFRvHOEvTHDu/FA+P
kh6jiJ7GbA4mFkvHGoUvnxDT6JScOpA0QnYAv4MAaZPMctM2iQ+O4jk4F4by5G8OFu7UcBAnqMRT
0IOY7cpNM8m9wazFgY2p5PZm710QW9IcaUupU01lfpe0N6adiYledI4sFCIke9ypiwPgmcDt6sDB
+TLW4youzGCjpmFNuIYh3/hAc1nhlXMsMArKal3a0hEfdmlDqLToY2VHOgqRS3FovYSSE7nxWBBd
zS4azUyaAtaRfXXdC3jCXz+n6Y3PboAQWJIP0K4ystTZiJAksNdZ2BYHp2+whhhQkygk+K5RGfua
cAWCpeojD+2TD4xLQgKeLmtb9uzVBJpH994Yi0MsGRqWW8Xb2jWJ2p3S84ykxiJ/Hj0BqRLHWJaf
3Sx0MotdgaxRhpvOpW+Og7UK/wcYQHlw4hQPr1fbII3HMVnpZSaWpMo2+9xWxZGP7sO8RfHConEJ
PcTkbufbdblMdfynWnmIKuxXQx96KNcD40gl5uOnzXGa4yc5xBq72DlzDVumXgsG18HvSTqy+uCR
kHbWow6S3d8dMhO5TmZNpNcGUW663zdPsfGrVhDeox0IQZQ4SEXeirV+3AxSaqJuwFFoSJp/ZNDM
PLXsdzSGKPA6ut9TevN8oKq+3chml0uHKOzzlS4ZJ1WL38khpdIk2wKXwKkSNIeSQJras5EvtMZN
TRrTwouDI3uvjy+U0zVFcZVVyGSXOSu0llqlh5rZS4egprGlRNYLWT75kac8jcX3H6ZOt3EizoCn
of4+e8qJJqcIMyL/trQKZ2WSL7fIVfJ0NGILVm3kHeM4ftzDs9d5lQRwrgOaOQVjv32t9qDbkmzU
1qEKzYe8QP/qEcwc6cF17+1JCltUVJ2yrkGmFU/huOo6josjn8rHmzboOdjoyyZurz7f1FKW4sgJ
HBZTNorKTB3G3cD2hK5APmyi3JKPrBKfbvBMUIWc+BBBoMp8f9Oo0uDMIZ84BMgFlWUwqur3DC3F
VaXCPV2Am81u9GF0iHjWemMkPSnvgrUHHu2pZt3/2+VUVmXYjECMNR4BKNrZz0FN2lqGcA5mHzqI
zyTcm4ny8vX3a3xctGhmq4gpwPqqBmvz+6sMpVwmoaent3BkMCt10EjDJb6wrShHZXRJWqxP5AGv
26bWGx3Ge0F65CKtspxeaohItUzt9lEWQDRdWG2wZ2y9Q7gpQpVeF0fXS5l0wTWn5fh+TC285UYz
CbQCxfARRJsEgHM4y76JANMzEDSzdJadiux3MPr4KuJQconeEF19nUxh3ZkUtidqEwXorWJPuuMI
rWaTMt35HuoS0QZEqosMla8p0qUUF9KNXo7qbe6MQD5K1MwSZED8s4vGE42PWSkyqnUVhRoG0Nhx
Lgci+UA7IFo03UDkNySBy09fP/JPxtmUWcxg0hhsPPTZIw+01qzaoha3JMY268KRheuMGvhArB6a
q0cTsd5DnGhF0c5oh3btRyK+BeR2rK03fcXvpxWb8gufOH1KIuAnkdHbrzwvRGoh/o9uZSvxTwfT
FwtUHOXmyP1+OJ3SNuTkjfkFsQ7vY/ZdyUYlK2XsRbedb0XbIpTtU98yQdZPTCND9+ItpmuC6Rop
uFGazsKspR9DKX2cTMBkq5SwkSYp/IrZhJYTJKKPxEPeyk7pnNPM7m+7vpQv0tw5aENflkdW4E+u
NxF+UUGxUHFGm+1rhGqrcT724W0ak8IhBX5LgNC0EqHIXht+cKwb91FgwTosQxhko0s3mKPR+3fJ
ER90R8i77PO03g4VUvemwoQPXtt0q6woKJV2fHxObgKvd5I1ebHaUvJaFW19HhD2EWZ7sAPVSUAI
6DLi0HCkD/Zxqzf9QuZxTlKc2+aPBKtvgBK2iG5thVdgENWD6x8fNls9sohjiCp92xS3JDofK8t/
Ms7psgJJnw7LKOfmA7AwikiD9HhLyYpgBTaZayqLxxr+nyyatoVSTLU5AbDvmnenTDKa9NY2ERNY
lLFMuVbWdEmHtUGpYIPZQVuL1sK5EZvl2WA08c7AkQMTQ9YILKnV5def3cf9LecdC/EG5f/JyDab
ZQqlL0opy+LbMHUuibF4MaE7mZ7/3bOiiypvH7++3MctJ/tAHe8bhC3D/NC8tyk/I/XN49tuNAjL
lHzjRrLHe0qYypEb+3iYRP7I0dW2/x9157HcOLKl4SfCBLzZgiAp70pSmQ2iLLxHwuTTzwdVx1wR
4pDRs5tedMTtilvJTKQ55jc80cREq6Pcw8cpik7HA0163zLAsA/e6OR36QjUtdW6cauFxnhZAGIO
Ejexz8R7R+ZJxkAtAId5lGft1V5yhVsl0HSqF+w91KuipQRYq3YDydo6hz1EmPfDBe2pukFJHagK
eAFnFVzatV6l0gvbl5ojWl+oA6KvKrbSMG7SrtjWppKh7Vka4zdpzYaKTRolSTgHafW9rPJUXDth
nhf7EQr7Is+CZ4ev15X1CW/W6GFGY2Xxp5b6zsDLk1ZFMrbPI/ye7aCK2NgqcF/u7IQvEeitrX7X
EPz/gxqndTFodYvjZCTi7xNa0jUKCg45LaIvGHWWjihDzjIRAfa+kFq9Cn3SvTOC/cOzNf7h6sKk
GYKL6wMKP+aPMsoAQM8c0G1hG/jz9jgX3qBP4qGX2ZXzU/hXCYgU/8krU3x2SDOE72GA/NJF6oyz
h2VgywGO7UqtSwVVuEU+Bu0ma8CP26p7G5JF7nzqKqu5dSxhuVjSdPEAX0MPjVu7KfESsyhBwAfg
MwD95hNjf4ProiOEfhVR6XyuGiX8QwKcjdTxher4BBfDF6kJek7SyvKtqIQqwc85U4EJbMV/UYHM
jH6tLtACVchYxXalHusNlJ4YodF5JKCR/RwTYKKfiBQOzSa+Au2BVMtmed9GmfIVQpeKUIepDVje
O0ie44hrzW6AWr9Op8UyGiug3xbrPn48qNtSgsq2gNrrz9LCimI7DySYm4nvZj8o6DssTqqprvul
p4oBN6o6QynKiG3c1GM7n/xwaMvP3NQ4sqMpkDuYZ2tKj9At7Rgf1535Ggkb70dCQfdHiErqLfaL
scpf1Fb21lIimHHqWEgTDVd9cboyreQy8QTY8qEwkxfeCL3wh9ytyNecAb4PwWUJkxRNSwyVzfJr
LkW66yuq1eo0dVuuAOsqgpn1LD0NeRMrmTCoNFFHm2LkFgJ9nBBrtNT63sYTGgEEOgElbj1O1m4Q
jU2ePFp6n3Q1TjEItWV0FcuyuAXqNGN2k2HoqEsMLi9SS0Ab6xTHgF8hZm3XIY3027UKxGfRKIye
W3wo+IxuFD/2HLyvIgudr7Vwmwf8Q/PfQkBqaE1Myvw4MqvrSW10bOnwwPrR9F30mZalYgduXaoP
ElAzdiBd8mKOZrbX8qbKg9YAyrch7ypencoU1409x3u3qWPhm/oYg8yXKlTKpqvn12omm2eJMgkr
DfJKBtWxtK+QfaanMxHXfE67unnCYFuFitd6LW9/0j41bQtxtu0I0n0ZDtat1yct3nOujHe1CTds
m/bmtp377GXWzeEOy1/M7RBv6ut7CK0aBqdAyxjBHpNvkAXs+0iW0Q/4HoKzr9hGfpVnyfKhvfuh
dO0vId1w/Lkwy6QIocjpG11UcnYMemt/tCMjDdo8tz1KWVrVBKGS4eaJOfH8q3G9/nrAFOzC7UaW
YYbeheR2FIw4jN1ko2r/ilsXs9W4EsZn1ZDjPZ+DnRdRdLMgjw5d7FdRhY0UfwaPUq08LN1zWzzL
iTD/OcPfddx0vSd/TRhB3AvXy39Fulcpfm7XkMKi3HlWw07+cKzJpOOma3C0oFnv5wgqSmTCb9rw
deSfwUL0qEB6KvUuPbWYLzIz7H7Z9C0Cs8C/UAcN8DkyM7tBgwtneN/oXeNWichswI+HzVWRmQh1
qFGCB2bvajO8j2hAzFx3Z/UPNNbwgWht/BSFyvxaaM185eGOHPkK9gSEk9TnKCPFzfw7dT3J8jXC
DFlybv260idl4yAgyycL88SEStgg4kb8gnmdKdl73HEJMpnck+lj6WbJjTqmlRbw7VDkwbDU/Nxi
YTifKd98DARRwSVU8Ci7vTESDkPVPu0V1Grm5iW0O6xgu0XbyMU7lE8X+gieeoEYh/lCRNa5qPyt
GnOY8Xge4EKSHV5u9FlWGU872UYWzTlWnSTX6Sbk2b2IzTLaZkK3MGqvUBSkNNvnaHDPM09aPaYY
kikGRNIcM8z7LlSzW91Mob6OFqUmqKryO29ddzk7nTPsylFDk47aalvt88Lq7z2uaSdgQQSwgrFN
XvKoh5qIrg37T3OS3Kfoncf72J1shf3d5VibT1SR/T7UoseFJz6cKax8BKSx6pSnyYgA9JKArnIF
08QayBNai5ZhHcJHm+3HsTe/F4i+3Vleo25RUEDIqCmTfWogHNgWxbQZCyffEo9wDmynp7fVGzfm
OPB84iVzUeNO78Mj0O+w7Rj2NcD5/SAQ5x5N6V4iMFo/UbeJrkzqy2fiwY8R2VKrMXCP8RBjBg1x
uJ2wHran2bPal0GymtlcQWmMFbHB0Ns6s3JLaLnaPu+G+hDkenqlgtl02pdZICiHnrcVeFJ6Z3LH
IxMylkoiTTeLAtBbQ+5dTXVSzXguVat8CZX6+zh44j7CvmWDqLn153TQfmQ+AIRgMaBaBFB53QKq
gcULqM3VS9tPjj9R3oUnaOZnCgBHRiGCXRIigllqvqtMJAlTt8FDtn6JJ564Pg+JnWzt39IYbFW3
8Z6wqVBwg3HCD7fBrCoh3eqhec14KTaVgM5Z9wAwTq/YWxL3fgswAotlGhTM6Ci9yXu/r5nIqrd6
XJmH18r/FsDA86WP0d2m9v/E23JzFkyx3gvr4VZrZ9sY6eDpMLziZufrG0K1TbJVttzljJVur1Q/
2Z2e4ZLArCdIQR8YNgZH3NOrlieBALgaMxpf7dq77w0ic6NOf+SZ+K101ZmS63pnLLN7P9YqvwlT
L+90Uxleh+LGtH4m6fPpubz15E9NZlWG0bWRKuLE8l17fuN7fh+I7RBc/sAD0Hd9bfMUb/ZcbYG+
Q0EiUP0zBI11SYDsDd0H0kTuWby2PmCVoIJUdqkb00vWlPByw6xClkCF7YszZqbjTJzVQMrqMu1V
5BETvQZMNuM9aE3q4ugtJIoraifL7el1WUlUwa/gd3G/EAvTqESsfpXFqm0SY2HazC9ou05fhNYL
P0OZausosbwUjRluysoInxxcRhaOan/ZV3qIfWs33s/lIh3rte190wyPUEXzm35ue+w4cJVIzCx7
Ov1bV3vk7aca5luHCeMPYDiH5xpD2p6ozp5ePOkogZgxa5YTqeXpUVa7nqOsUZhc0JIebD/0dw9H
6Uxo21iHOi8zsfZjUijqBoUNsckou12E9lj/vUf+lRLTff27/NS3v3/3t9/rN1PI/9FWepMC+s//
+v/EcV0qIv87xXX7U3z/VbXvya3L/+EvtxWRi8VWARoLXMulirbQxP6SWxUP2iskGupZAJ2Wm54/
+ofdqv3XYoPg8ZBpJhDid44LivVfAJctyG28Cq5j/RvJpdWZofNGMY1fxd2vY+5ApHG4RZSpwgBd
l8pWZtVOONmz0Y+btvhTWuYFwh+XVbkX+feyfM2dG9cZtpqNxuJUXTaK2E+Nvo/1dgtd58wVerhx
l1/lLT26paQNHEZfg3DzaqLB6SneVoC02wxTVm5G8pptFxtim4CG+rtx/1flqTerqP9cqUsDko4B
XlJvPTk+xep9CKWZDio11m2CCgAW7OBri7velnboD3GGVkJkmJTTx1Jx0EZRadX4UVYqnzotlagj
hd1QkuE0+Z2Qc9LCOw1VZIaFhXzCqHbKo9bE/eeGS7vdllkK+nJpkyHEjWbllxrrhwiFlFh+Jp23
voEPmKJ96M1zHQyuO6afyg7D7m2hWySeaQVga7fMxN6C0Oo0LjAsbPb2SM/Lr702ca8MTNerXZ6W
GVhOqaN3RVCubbim5a6etMHaJ9KN9ki+pBayDyI3d7mOpQXaoSoCLbVhX5G9l/gGU2S2KCiVZHsg
k8AymLFmB2WKHa+fD6P42pBiYzbYNWTbYTrgHIF4YRfENdXiIMnMtqCQNXkoEnhoAG881Dp72mSF
VDdoJJSAR2KQSmiSzPKnGzYk4vS7G+8qi2r0xxN6ax76AF2VIe4/zved4YqaXvHM8ppGitiPVHKK
/4PrFP0WvOAY+mWsWPFGEFjaNJ9y6wUXpXbeTHjdvE5Kg2LNmI9afxGpdXqnKfpwDmB1WMt920zU
UV2DNBW+Mx2a1ZkSaZJPxWxsaaJ3l7aae3fYaqOdXCnAYjZhPtWXyCJ6wLpzARiDCmg/n9vRjHG4
oUGpaubb82wBYlgFjp0e1W4OPoWsx2nmTZ7gSrWRg6unV9IpM3aKMhYWDt8qKJwJaZZu9+4GfPg7
1HuC9ArOgIgbAAI8VYGiLDw+wuTDVZDdDKddZup2TEbjWWRN90CDE3VcUbQ3YhDlpZdH5Q5XMQ8d
ncS9UcZp9J2wKOkIx7itDL3zrzIdfhLyVuAqkKpD+wHy0nLtvMtBqOagw6ymdMG1ML/1zFbcwxxu
X07P/PBt/2cUmzeXdjtmq+tSfjRFepqKRAsIkcrrOQGvjMDSOXjsCiO/DGMs8D2eeIMnXnVWUWCT
LmJNIZOpq8x98AbXehJtb/7WcMAT0jWpQXpfuJrNoDajbtM3WXzmlj4seXz8BctCvFtOV0OfLgXZ
FYyT9scxARhVS4cuxWq6shuks6MQd+lmLs/IZq7O14eZr96scEYAJElwrxtiMV5JbGVQtjW/NfEi
StnXqDXVaTT/mks7iTeFWs0Ppz/w6nV6Gx/vTDqhgDUMDvrhvJVSSevIVPBcw8NxB8wAVX+ogg/O
1OVXzmzYP06Pt+qt/11o5IugsS/4NV7HwwFpgxahLm010L022ypu7ASdWusvcY7rou5M6aWVZ97j
UCsDoojW9HvG9vWTlUcIrp/+KR/3NlUWwF5ghRfO7Ju3z7tPXlE9bGYS/CBMZ/TsCT+fTISuzvB8
lvm8u7yWBeaEgmmkjkdsvDhhv99YI66YRlVjFZ+aavrce7O8LLPJeYb84/lzxQ5f9O3CMyYTH+cG
JwJOOF1FOGqEXoejCsUDkFeznemt8M7GItvKITlXp1o25+HccMpkhTzq4fz7Tcz+/QpWEaYcRagG
ptPFu8V8YF8N3IiFluZfT3+sj/uUjjQoiOUhIslYE5wlojsGsFW6JzESZTSeqldlQrEuqxVzi5dV
eqYEemxqJGD4LnM4gESsFhDOB8bSmMMFVVI1ewvvSKJK5FLEVMRnhlohA8BQIVfB1FSE55bAei31
ETt2W6vIY237phvkNtJKXJSs2qp+GHPYoIhn61nr0xIchgCbwPFCV7uqDOaoqecbACJqv8U9YHqg
Rx0i4l/3qnk7JQ4OKdGonAVIrlaGX0tkDZnBXAAyqDWsIgIR9abTUjPdJnk4BQZ+X0GGP/RONTCR
OP3R30Di7zbY37EW+CLZJSnCW8T/boNpUkCqyWaUGG2hfhvllNKXCK3upS1JcDfdXLoLDDfOjX0y
TUaE34hrXmkYFKL7RI+6RS4py6bARkH1O/6Vmbszs9DtN8VkmM8Iqaqlb1dUOALpWIhLYcKaa5en
J3FkvQibAKw5lKWWXODwKGawfjQLT92tNhvujQ5f6Urq7XztDJl4Oj3U6q5ZlovbjNhesygeU0E4
HKqE2gA+i+fZ7GNtLzVTPloypNMi07bbaiWCjQAtxJkbbgWrXvbvwi8EpLTQqGEzrhKOSgB3BqkE
rr5Muqe0aeAWZJih7rQ2rOS2b7UByhOCX5d9NtHV6QtdazZpGIO9zwxMcC562WqwT0JpX+GfIKu9
EEmytyhri83QeUmJVqmeW9cTXZ9yT3GxwZy4H1yqyai5jsHpZVxdnm/zwbwaCWDuzwWnu1pGpLMX
TUptq7dRjzxh7YHQlfGZUZYbZLW3+asxXQbyRNq87nSEdTGidOBq27wv8xsbm69flZ3a0TZBRfHK
CItml1mjvCmFCaOFh+nME3FkfOSZLA2lHECF4NoPZ1nw6HY0C7g9o/KmbY1rOutX9K/vGjv5jZ2Y
8EvXeTUxIzy9uqubfFld1JVxOlddQHYQog7HbUpFR1JUtXBSNoZthmvMpVrn48YemmTbK2cNtT7O
ExLsouy8GLlr1I8OxyvMxvag0qNWMon2xquM/JNZxCWqyyqKjWYCjsJTdGVvevSRnASNzTO32Drk
Ycak/pwNk+wBm3J9NeMwScxEdxpmHI/hJ8cp3HYzj3NP88rr54Q00xmoQtjamKNFb0Oxxo1XeGgK
DeULmm7WOSDUxw1O7YbW0lIFYHGMZcneXattTBSutIa55U8tuqTlH8BX59grb9P6zwbHSxzkN5UY
oDj0SPhnNW3HUvqurD0Vh900lD5iyNbPuou1KXDD0jF3BZf7Q1JqFrlj77h60GWAMff4ccR/7KnO
v1K4rdBTFZPEU7ewPNJ51YHk42GgtTNSBCgp4VRaAaxV5p+7LJPFRZS5Kc6+qYfkoez6+ffpzbvi
Wr1NCoQiXxH9tAUmt9pNXhRWMGlNNBDzYtdFmM9gagLVjV7WT9xrJ7ApWq58S+bJadHebcS+r9LF
FVom07aTtb4xk9J6BL2dvZz+aYfvDL8MnreJCIe6/DhAlKsc1VP41nPWOoHrJE0w0MRGrokKzqMb
adbrvxyLDi28JMTSl5qbuS4xCTE2nUOHFBFWWwStGxWB6GWzmRz1nEfgh2ktuQKtI3JwyuD8pYd7
1YvNfpazQDe1t4ybbBqRdDXjYW85+Vki3bIjD3bsMhYFTJtPC6x7qXu+Pxe5EbmqBDESqGV9J/lV
3EcCmGahOT89g3qXC5bHB/gChVR4+lVsp5nvNRlCqyKFuorb2Zn08OPsid5503lYl6RpbQuv9y1u
Lp3D7BVzBvHSW9TzRvvSRYX0zDV1bqjVpeCYraojpYzmSVy1gJJEucH+knuyl9Hm9PY5jFPYqib1
yYUYQqaPCf0a0q67KcZ7wsXfo1SHh0FtQcw4kfIkp9l9HLpIQ8i3NM68dx+P7jIqDy47VwXfun7w
2rmcY28A0DlHMIIzNcUOejLTS092+kWUhy725xVyz/Fcbe2ki2+40quH2E7aX4PW6haoGWt4kigX
/PuPTFZjo1i3MEiwMjjcdhIzdzyueicY3cnb1U0vg6kV465NQnV7euWPfGQq8Sy8oYIE/cDmGoHc
mGNhO0EhK/XCiDr7Vvf07A5cRf5yeqjDR+btIzPUUu5fnhlqR6tZaXVTcbIZCuYiNAVU41RcA8/s
2sO6zT+jUDta4l0Iz+tRbMVqa9MInQBXoDzd6almfcVzp7xGc9iSPmai4t6uSnntDmF3ZhuvHva/
g0OrYjFNGtsgyQ+n2EWZNONIOIG0DYxbSLN3UdaY93YR1kFexN4+QoPzlapGviucBpVwvU2+R84I
2Pv0Yh8GOf/8EkgiBkkZFYd160NFgr72ptKhTD3nt50Ms5+d3Ux3BUb1FwaOLzun0usXZ1TFM12z
8kwb9ciBRkGSM8Wd//biHy5ElkhEMTPgc56lTNf05oxXmPnhLhX9M4G/2FmZiL/8H6aMvKiNz/Yi
A7E6NXZpz4o7FU4wVTmoTo/WbEXue1nHrvKD53W+lqZWvI4Yvu3Twp6eTw9/7CQtLHNiSo0arL3q
+4tMg/4+4S8XulqzQ9VBPEz4It72ui5+nR5q1aT+5+u+G2t1Nat1NbZuLp1gwJLXJwO3roAXw/lS
RAMrJG4vnMwxKMbL4dFyRsiz0ZR9LY3KvhXZfI5Qd3zmy9lG5haM2CrQmPGkFcnIXlNnzO36hntU
jao/BEPT9vTEz420+sQSrGqZKYxU5igzgwUztyVOCXRr1CY4PdTxs2z9Z1arOCNXtXDI884JtNoe
76Vd4EeJ1Md9jE5BbTfp1m3BLeUNgO0NzhTDbTuOO8CR59LCo3NeEoaFrwgdevnzd7G5oE5p8hzg
WzjMbQBCWG70sTd2E84LZ+Z8bChgMlzOQPUphK62VYwYvJZ3XF9GPJn7vO2tnd5MRpBT3bk4vbyH
Sd/fHcx+QZ8BZ0PIRquhPLR8FHsiOMU+pvTN2C6/ofAorqH6FTuZOP0ZKovJKh1GctyEJF0GYTEJ
5/pJjRCoSmF58jUbzdkImlKbStfP0bOO3bpQ/7gEFs8IAuLDb+UUZqE3GqNIqXVXzSiVOyOmVKeo
wJzbEkM/ALzGbQEY9c4Yx+7MpX/s1n0//GrLTkbnOO2wXPqAoPE3jt0dTp7FPh4twBHEyxvqRP9O
A/KfL2lRhKVoQMl1Xc+2hkjF1Yh7byzNNMhhIFzORC/70/vl6Na0AIIDDlhwMKuVVZK8qE2HqaW5
6u7dEgMUNRK+42D3cnqko5crZ4r6AMVyapurobKW+CQjzwkyL2eHKA1lEDvppwsQVUEZJvN20odq
JxcKlKi/NBZ4UnrpmKjVlHPPhBRHzwkiuMukmfX69Ncm0lVtx+qmAzmmOrbNrVkY3m2XGk0gxl5c
np790XPybrxVxqOCY5zo9TP52Ks3Dcrgvs54Z9b42ChUBlFkQQNL5cE/PCdhMSiVoXK3drlSPGkt
6GZljM/Rg8+Nsro5+3IstETWnHlbxnsRVc6uq2WyPb1ix848gTpilxTPSINXc+kmipelwplP8qa9
mp0oUSCapONXjC9MXJqMpKF4R87sO22jaftcH8SZn3DkcNBrQezc5stxda9CD8g1RrhYsgbTGIlr
EePbGDao15Y00V9Pz/bIFYP8LnAexNUpv69b78iptOqkVAylR+XXIUdxVVIy6rqq/tbyhO0Q7lB3
p8c88h0ZE9GHBVlLcrj8pncvYIfFFB5PjBkljQziNNWuVAvrkf/DKCihQXh8E5xevUjOYEs5t7kb
IOtSBq5e/TEazFBOD3J0+UAM8A/4Cd7Yw6nknSFmgLTk1EbhhLwLbrZFcsL5Kh2h31Nezh7HVDPO
jHp0Aam8uSweIOU1epxI3LBj+B1BQ23ilnKreQ1z6MfpqR27Nz0L9emlNqOTWa+uDij3iSgUjatj
nLJ9Jpz2cz8l1c6NC3lTY3ELj8SQe2CV7eJfru+zWp8vOz3PLKTvmnMlqaNLjXg94DN0kChuHi71
oOVqZTkk0dR2PWjySTntjFFv9nk991zdxXg7mwb4ntPLcOQ6YBX+M6x+OGycxA6Sm5MTWPPYbfV6
CH9LBduhrMeFFrfkdPYdo/X80bXmTT+5/1L06u095rVYICBLf/QDdzvppqjPq8gNLAODHL+a+hJp
G4N2ui87xMJg3Kjac6WX5nclp3nq94Usqm0trQj9r8KhB3N6RbSjS0JBg8qORmS0fsN6u4+NCbWE
gLAVuIiwVUiNfa7ckSS7d0muaF8mYe7Trs83qR5KXHzE7LfCnp+hvJi/uzbEqDQPN0qamJdYPaU7
NXHT+8RORkh/bjicqQwdOy805uhGcGMtwITDbzjj6OQWpuUGYFxA00ZOfKmGoX3mwjm2QSHXL5rm
CKgDYT0cpYnLhj5nihlgPhgYymE8B78uHHeaEU17r5x1/J8rRZ6jRHx8LeDiYt8AcIr6IQHx4bhl
GaWp45E8uFqNeDKQnm3rxPku7XG1P/3pl4fnMOpmKDjGBnAkEov1lx/TWhEeMLdAHcviAVk9DUmS
cZgmQEquUWwzRPtuRK86xTcnG6ZzOLHFWeXD+ECIiOIWMZYPWcZYo89UuBFESYHu2gYWcPY7UwSh
ExhD8y7NdQiCiVDtGystsYFHiuaTgnILNntGh0qcWcbS3kK7xBsJVYp0RE+pwF+os5G82oRWn0Z7
tRnM74mcahybJUSkHQ+jfufOUZb6upO04zZy1PaJiFx/XOqR37toUNBqkmgr7oqyQ7KpKprpvuwR
GDoTGHzcyCgLUAMCrsV2pT59+Kk9est6mZJlZVYybrvKSZ9aipv/ulzJKAsag7PCW7UOP2phJVbk
ZZTcWkEvp5TezpLD70wvpjPIiGP7CWl+rjV6hmzgZWu/iwRcwIVeJxgJpGp96aSG/gLi3tgZdUtt
D5/g5o8+Y72JMtUZWNSRYjGTRMYIAjnqLh8oPkiDmkVhUSwml4MLOk41sq1ek+wNdXa+hGPU7B14
iH7kOt1uSHgBWzrU11xq2jYtgIopWfho1eH4ePqIHXl2l6yW5GDBay3SP4dr0nfo75f5QN1p7hDk
IvHUP9mAQJ8X8aO7yaoj2M6Zlv+cI0NBE6d3gUxKl0O4mSYlarBPFPO/Lv/xmxAPIQOGrEZH+fA3
JaEd47Q7OwG7srrL0x7OmhjkL82sqmDC7jH3myI6h5s5drHZQFJpZdL3It45HLXVYw4hLMYgkcWI
m55V7kiffmmT5p65ulcIHR5Zi4hCx0+YWwWev7maYBtqnedR4Awa1c2vXFDKfm1M0RPXjbhBwyDF
OjMe9W953xU7AVN5X5WuSQm4SZ90WdQ/kQSIf9WTrj7YytRUfo4o1ZnL98Ozu/xGNgYgKM4Kbt+H
yxFGkRLXwOaCxsqnB2G1ys+wDUMUnW1Eybsygd2OEtj0R/DTvsy67Pant+aH22f1A1YRWDuWbmyZ
JRQQgbpxFHsvcojPFR8/XAnLIORdxNMwI0FpHM4y7R0rxdFRCVJXuaGDd5XlBuKNinHTWsN1b1pP
VteeiQ+Wr3vwrC1jgn1dJL7oIa17DGNj1rGtJErg2gSXPtaYaCiVdksS2+yTMlK+nF7IFRz2n+22
SMzDvtJImlef0oJroTqKE2LKLMIggmcbpJ2H+Oqcmu2faSiaH2UFjVoOxeDPDehBuziXs384Xcuk
CRgWlAbitevUZWKfxZGF+XACNhaR0Kih8alad6IW9afT8z26cd4NtYq/aG1GwGTYOGU5mVd4ID/J
QssvTg9y7CPiSbD4ErzB+laDzI45TJGSKoGu53G4LWWNhbXbuGhyYNT6eQLf/uf0iB8CPpJYVglN
uAUkCYnhcKsqHfzkLm48ikhhd625+XwLAzl/xO0ygSIl0nxXSqs4cw2cG3V1VS1krCGf0egaPK/a
oa9h/8FtO9o1nTcEaIzVN8rchWeey49fkNcFKOBCC0Jbc40JbDIpbQyBwsBME+faVEv7RtOi/PL0
gn48+4wCIoUQB51fxjlc0JHrxZX6EAa5h7C2Fw+g7RFXiG+SEWI90Noi2hfZPKOfnObJmf2z4gAs
h3IZHUM/j5I5qrbLr3sXjGQKISNCaWEwezr6PLnbOZuhREzUNrobHdnqTYm57uXcxc6nusiLXxDP
9Y1NC/+q1bz42uqac4n+sQVZ2PILwpi28Vq1tU6spC3bJgzS1nPB91XZxYQg32vYaj2ylXpl3Tal
PeJpgD7emTQPPMSRaxFuCDIBUPVxUlidqFFDU7hGw3obo5hwHS1Ytg3iEFJsU6dWVZJ+op/Kqa37
NNKQ72+tfoIggr44YiSNbiPj4SptC6+xsa19KeoEu3ZDzT/z2sef6bs+VKGBll9Nz8fcxl3cWn6c
IVG98XCIp5tcKXOyDZPK/BKjWxXvJwNNEbS1u/ahUUPDRItOGx/RTlDvBep2CabyRQtjkKpF5Xud
kmdB07lvkhYZKGlRGECRaviiql+0g4Gduz39wV57vvFk1nnbzGnTz3gMlIjG09ylvD5J85NRz9Vr
C/KF+dRz82pljnobDs6Ezg/2rNBaDYt/l6GkhzUjDZFvSmDuP5FhRvfBsnvkcGD/2An0lsqcrmDn
Dz3aAi2iMFo11hM18KS/8Iq8wUtburhIxTbSeDeKpSOCGKpt88OzXRSC7UaqlyBUxOcJaHS6RWEU
OSJ7kSZ6VEa92xRoFrvPmTG32bBtxqaFD42L3jBsLFe5UJvIA3pRilaTaBEVraO/aLSISIwc5lc0
gQtKoME3oqjDlyQy6Gwkrlo9azH0d20vnD4v6AeObeWXRowiiBkWY77FWMszNmroZHZg2UJr/SiP
aZAojep876c4+9YO9Lxw+PaafGPk5iShzrgWUbfIxt4vrIm8X2o4zm7QY5h+D1CWHxFwc37HY+b0
vornRI4tSRR1AQ4OuXzt3CIad3bZIF3X2SbGuliOo4I0TfSDglpTsIlthUvY1swdphhdSQVHy6lh
BXVnkbXqqCjqqEi2iAM7MNPkFbGz29OAMLGfrd1Z1wMvRmpgm0SI5Pm9nJQ/EGyRorEGjDygqbRo
scuWWmnmhB1qKkWs7ND46dnqxmDfuZaUkJyF2uqbuLJyv61p3VS53cFnipX5F10AJw1mw4meGoO7
x9fi0HkYADF2fl9NJXosKEpNvmIV2Ze5jAgPhlbP7wkv3cd+bupPYBHqCqX3CtdpoZfaw1w3KZBo
fWrHZVeOw00TVp29Gx1F4+8HQzD4nVohV8OXs+OtB8v5q85he6HSg1mtpVPR2cjIbi+TVlVxu7Uq
sw2Ij6Yf9JmH74bX8RfRBIRZqBSZNCDgDfKTFUYqAj+a/s2iHIiN/QDN2p+FbJ/LvLPw2jZcjEEz
I7RtJIYS1JhEPePNR7kk+d0b4XyVDlS4kXFP4ofQ1Kf+ytCK4ipT6q7cd7z6+OtY8dQGmEtDBSYw
Q9BNiYB+NzQHoxu3M6cnpVWcb3LIrAerc/r4wk5jaIt5iMdxgUwlYitkKbemksoJ63PH+Tmij2+w
/8ZBvVQUW5c+kMC0CNwZihLiMLEtKYfHZuUL1ehEMGPv/LtBKS9/GBDVTTZRnCrjhY1YKcb05HSI
H+lTlVzGqJJ9bfS6/Kphr/DaKdhV+mrTDpnvdJb3zU0jpABRMagpXdRRjsdEMYbU7pKs7DcUGCPe
uN4iJmuNeD+iAfJsT5l+0VkxjsyTZ0i/llciw+R+msGQ+VqWp19iS13Ej+qs5QK2rPZHgebDcwRA
Xtv0rt1/0frc1i5sy5md5WIQ9gY37vhFjWz7RU9F1iGPnS7Kn2NSTF+pmhlTMEymhY56EuuPaCUP
055DEfKrE0MVP5O2yfVNMYOjxigm6ZzrJMKV7DI0NdvY5S2VKV/rJnrcXhf2CJzNISLntQIuaTtH
aBXtoEVV+UbtJ/VqsUHKfZuquUK5OVO/1WYmxcVsVshDD7nSI4uqkeX4qT2oc+B05pwHk8BgAf8n
He4Ekh14i7t173wbpi56RaIKvJdEbjTEKgGlZOSeVaULstTO1csqNrFsr3WQVBdZ4Yx7N7VTdwMJ
JBMXWm4br7oyiBAVH7stLjtnQCtMBeWEEqyhhvx7jCJnJ1QI/Nc6+sP7OO7QC2oXGqE5qZm4ya1i
bH03JaJepCDH8CXrla58MHTaH/s+l/3Afols/hRmaerXA/26IHez8YtAkhcvbGwdvI3238yd2W7d
SJauX6XQ90xwHi66gEPuQbMlW7Js3RDyIAaH4BCc+fT9UZl1yntLLZXzqoFCoqqcVohkMLjWv/7B
alrjpKwRxd1hJdTLH12ejeOm9idCRqTb1udGH4z7xE3dO70Jli82Fai15QS1lzC14vQeUzd0vNmI
IOIq7xAskY5dltm3WOOrE+KVI58gIgTMQ3Wifdl0xqzjnF73QeR5QnsctDaQ4DBAE5siz9S0WUyR
PkDzm67IOBrzj2ztsdoQLGGcZMQVfFe23fenFnnkjzojkjxCX7yUYYf/IWdHgO+TdZb2BR+BCr84
wny9YLR3I7weB9eFABIBCoMu3zqzO9+nsjM+axbxBxGxX5wTGnXIo58GyYWd5gortVzyadftzr7F
0Fb70mAnQMtuTfQDWjsQldGBkuK0pXJxb5WekURV3pZ3EvaQuWmqwXjSmqH7OVrL/BWV9MiL19gZ
7n3Ko2QoZ48098X2eLs0vT5fFEjyroyrOdkXOAidOk7rzuFUlvY1QErxYHrCJLGkNKfNPFdVd2ep
LL3sysVSm6BamquWf4u8pKCu3a1uivybsAwhojQrpRPN80A55/rZ8BP/DD7WiR67F1mt1w99pXot
nHQj77bD3CE79qvJOe/KoO1O03Rpur1d5xoZlEVpQi/poSlH9iA4P/HJcdQOuY19YxOg+yle80b2
Xp369dWw2KO/cUdgUMq4PvCYKrCvMZ/HsYovKWT2kC6oFJsZoVgcudowP+ZdSSAO0VZaGw3cl0sN
c7Ig9CqU4gjMi2qIsPI9i001MrCQP4nlmrCEaWztsrBElmOUl4TO6KJpTtlCfG3AkIa9wFbtvCBx
x9/pwZh9rXgfu2jotSLdlKrGF5/wFO2L32LbFDqdaB/VPE9ONNDBO1tXq/0zrDOqLlSajqbSgDX3
WE7+XrcKstsGft9QStPEwFrp7Tc5eYm+TWVhphHWbzFziylYdag0CE4km5YEjW7xljMrGyt9ky3a
eK60XlxBGSsxLOk8+2OR5iEw41JFrmNz1TLPKI/txuRTMpp1gQ5wqPh8VzHmNVBfCapBzFyXzdaq
kuncz3w93mcafIGtNyZGH3LyT1iZ42qybSRhypEr0uaHLaf+ydcbKqIyceVlgMDGCRM1QL4v5szF
PK/zNRnRNikrUuai8CGbkF3jpwVQFxqNk/QRAk0sK6l8Oc4CZvao2h2nbLdk0WC8R5NlvodaP48F
DvEV5C8MYPjnCiL61mFnJRUkTgLDtQ1KFIEwiD4GI3hV1ecYFxK15M7WGZt5OdGaYjghv3y8dha/
2Uz4Yn/CHEk71VpvOQn6xPsol8ABmE7j81INTugMg7Wv+qLbZ5mNk21JOBlOA3DWl9EPSfBYMHdp
7t7uU1/Bb1CVImVGVaNjSXEsmm+WYRnjTo83K11/b7i9fWobC44yte1cukFPhp4RZ1cU2MIm7WKx
rnCjE+9QoF4COEjmaejpz9abewwUe1MwqmEqgo1tFl006ln/kbOGcrycm99vzA+WWqHJX1pjTevI
b8pAOkiUFCciN9pPWlIYwBtS7YsZfcRSN7c25fH923f6FdwBWQ8KKuykAiRFa4v6y8KutNXIuDug
r1DmtsDifqthsLF9e5VX7yQsZjpsSI8vjKsWvcz9IstIFBpbeS8tz29DH93aHtTtXW3O64vRTsPO
JvvleEwY8EW3VQp+Y2dTtVEVQ1Iqz4/BTN/09mW97N/ZIIAZ/1rp6OZVUglI5zw1BmLTCdHH1Qk5
tAucQw/CblKPEXYq4vbtRV/CcIBiK2kA5ehqN34EGjj9GIu66IPNvChjM5tevkn1K1FfGHH8nvDq
JSLOWgiPGOMYLtLhowtUJTaurSeDTdyY9s8xaDEQtJzO/sSQXN8UQ1reitIqvpj9YuynyjE/v32t
r+xOoFNnHRgYNgPRIxh3dGPKbhPc2DJH73NTIGb0rHT4cxz3W0ZF/6v9EK4x3yu+ymkiun9+GH6q
rlc//4GbUfsPPuU/Hru0Ko+NjdaV//9fav/5/MfJz2rz2D0e/I9t2eHlcdP/VPPHny1n6LMn0l//
5n/6h//4+fxTbuf653//1/eqL7v1pyX8Wr86EEFi+eXWr7/JX3/v6lHy9z499j/Sf/w/9fgtfXzx
1/50LnKcP5gVMUZkBLrKAVfWwp/GRZb9B3w7A9kP3BEGCuuf/OVbZJl/wJDkfX4mtiPkZ6TRVn0n
/vu/DPcPprcoehEK0bihYvzX1V//+Wnjxv2vlj1oBQ6wNN4DGAFohFdOJSmNoHmHB1kCj6xoMVQJ
C/ik2p5hjvyZ2gFFV6k852xyjHRD64DTjKmZOnozq5s/Q2CSxumQESQZgYEUT0oa86ckCaS1M+0u
O+mxSNmbYqGh13QRhynccAbgQdKcAFBkUZvNzKLMTCU/nDJpTsnSvCsX6hrl6+U5+F6nRxa6p/s0
gyJolqlGIqKtfyTAwdhh3JaBMRpfrTHOMPLtsAv2+7E4EU2JVUyt8uRxMgv3K6NxFYrUKz76xlxm
YYwk+xSp1BzxSC74vQOiPSHaqUjVpvOE+2ZACKIaxk3TUzDjHimxVmztqMY2/IaRbYbXLN96fO/i
ativpbyFNkfYe0z1OyxnJyygN0ZH43FaNxgdn8ctsOhZnhd8/X2hsk+8Luawt8YJWyKvjfPuUuRT
uq+s1rzMtDqn4iw95wvVWzrdmU6vytMlzopzL23bnzEuzHtboB3fCB/MgUDTpribRJXSGYP0Wp9k
ljTJeFKu+NP3nPQM2gOJ3LuQn0s8JwDi4xGApdn7/mLHt8MCfcDBqqFuDLG1B0z2h6dRTBR8cApw
jWoVEU+yjw3tJ5JIrb82G8eRbsADwxJ3W6Yxdb+2kUr5tX45ScfPZZQsWZpcpTgiER6AbkOrRmuT
mG6f53YEhzEwLjPfx5J3GXqVbnRsaZPIpMH7MY4a6jLJDrosSN9Qp2PTBzh0O1nlX/gQCkAp3GGI
t6BG7n3sMA+FIoE9waZZpgSsa/SDx753FgNQJg/OPSqx7qKmLGfkMoFY9ztKU6nvALOSlC0PNNn3
dL2XnV3Yw0fXlli/wnt17a+OI+YtInZG6lWvhuA+CIAw/YZ4N7deBTe66PIbz5384aORaaVzOsa1
aj+PuB9/pmXNfggdVOYDPVz9MMFUTve41BHWNaVFEjVTEIy4KUnn2q8R80V9rckUIFXSS7ejl8/7
ofc7GY1eOX53lQOlO9e1dN5UKOW+4xSVwO+qzU6cx+a0jJGxMhOizqEfPivGfPnSQT68bITRJueL
OdZFqAX5KmqdUjPdqlJb+g3+zeMHXxjDdDLU9Rzid+MEO8ub1U0te/POcWaTyMS0mb+WMNnnDdQ+
UYEr9vluGMn2c3K/M84Mn3SYkiBcogydwbptUsZP0QC94i4Ti5ltm2oWp6qaR30zgiDFkUOk57Rd
Eojrj7o/Ql1R1pJkofAA9s/owJr2pJWpmLAEhblDV4HPtG+QWr+ZFi1fbktRCzOsZvZiOIKs2h8k
wmUAWVDLH2oqCzfSimFOsABX9W1fZAnyHBz/yQPuJVCGaLxUbmXuDrvUMLU0jGUAjtCpSuDKbrji
sc6lfVIZo/gA429AM1xq+dcYcv/chmVg01mOhslDiY2xZQRh8/pnaLh/Lm5tXdfmZJ5RoVk4ecHE
e/L8Se93Y4FeiEbGnPkcY/mebgStY3U2T0aNNFBX7maiajiROtDRZqYn+exrs/mFERfUim7xq3uT
6dTXyYDJFAbKTZMNNTWQQO3EGBKOHtwm+F1p2+HvQlTH1sLUWESohvPd3Nh9cp5bdbxZsA/7sPRu
cE+km4avRcA7tBOdLU8ZmgTpzm/WKY4cYgJD5UhyV9hkDTQiQk+HUu4a2aWrGX1ZlMR0aIm16+yh
2mTAtdVZqazyi9047r1RUMoFe6utEu/UbJiOiFBLbVqCVjP9ktTOMmY77S0qs9jdpAit4103KEF8
Uiz1QSMQltrTCGHKLHTqGrivewHohXkbxwm2WTLMk3Z8kIwPtqnZWGDrvYlRnD9ssNyoM5STDahf
XF97o2nlJKw2jmwGJw/HhnsMqF+Pi+1exbZelMDHuPGzWxqFPQFIrq0JCNbcbH+borL15GbybPy/
SjuZ1uhGp1H5aeZoTYYrs2MYF6VewrMgrMbg527JddHHajfbLRm7g9OLjelIj6jnIk/ktPftYpFx
iBQl9oZNkiRT32974VnjuXRE3CjwsRxo9VqzF0YSYW0HstlmraF9J71X9qEak6m5sDMeMFkexoMz
VoROzp5WthvH7+dgk/iq/JQ2gUf7L3q9C/Eqm13mIbJTN5lfJf0FsypvxOA+WOYTEoXbp4KO+1bD
ZHradhASwIZVLX8KKQo8mgy37VY+GbyeyprMB4zrxXKrjSNuY6qQCz1/Wc8luks79j6YuZXW54lt
qjzKJj1eJ3Uo6EM/jSVI2VhAooh8rTW7fdPyy2ch72TrblpSo5wvg3RqUqJmXEW6D6REGgVjsgQY
ts7AxnaeUUgMSMcG5CpMMo5nAMjOPQUmc+WF0PvkdE45WC5G2eP4AKNjcJa9XpLIdZWhTzSvaa6k
RfgmvciumUrXvcnIEbc2JokYD0lreXVYGEsdRCCUWXs1ukF+4o+z/6HjioLP5MxVPoeMPThXRUHa
wVmhD3yxcpVrgwjRl+jlhy43QFR8PCc+6KVHDNrSd7ILs5UE8h2YKKkiX/bj14JQaBXJfkquMPyZ
P0HfineewC4+UgDctghtIBvASMPszQcjVYwPOITs6qHy+vRLYXQpgDHN4gJRY1rcUwnfKr0JalF+
AjA1nc9aNnkzk9GBvuCMkySwtwV6bnq8xAjUk11xUZ+JjCuDbZXJQWxav2vwXGf3t/G5Kjxb32f1
iPWh364myl3ckgcWpbwR6YQ4zW6sswSfqe91Mbj1luHssgBJlu18PchJJA+o9IuHzJ0cK1oyl180
k9X6TIvSIWsZZWl6OltD65AWqDk1SJjjdHJHrUicB/DStKtxlokv+iB2l4+GvyTGbToLPdsyZQq8
NAyCxnwoAaHbazk75XVXT95DRupFs53a3LT2fZeyVUrDrNXWGW0GTkB/Xc5tW0aiz5nqpMNDn6E+
4nRoC2c3+0E/nAilFVY05GRXY0KZzIxTMjq3mL2tX0ohlbO3gngRpx2R1g5oW82nwV28THqoBTsu
0cLl0w2dNlDD1kocQ4SpNoMo8xZcGtNo3pfFlH0wDU3e+pU/zyR8oU3Ckmm05qh1B6ryzuCTrFfU
x62YdX6+P6iEAZINwXTOA3WP1X9d40bRAzDNo+Np22LJ3fxDjgtX/gEdaWyGfV4SBZzOWkscRJFF
0pymdDcVek96te4/xky0hkhzGv+hSeJ+3Eg2jfuJwAQJnBh7ZAIQY9zvKG+LJyJTk5O41xivZL3d
PlW6M93V/YC1e6x74qQwZf1x4VWdd9bcskVTJP2RyyWcJuZQbAmu1W9itfQflGa0PzyRjnpo6Glv
RmstGWkLIYPsestGP1fa7Bd0O+x6P8E4etNWaRCEbTDqJrhquSReOCxx4u4gh9vni2DKIUPQdfFD
5rJxdhi7MQnFvcHhy0tCUHDaDJb7BcAxO6+6wWpDrEbHjjTVyh+iMdenR0dh0RZaXiOAWakfBeOi
wpXU2SDvF75biUvNiI0qYujvGGHrrJPgsuq9a6p2LJ8k3qHZ1LElmCKmLSO1nvfFyuxp3FD1Drdi
Gb3+ZOnEfO0OPQfPnNjZCf6yPZtfxG6wRZDFdFPPgupUDg5HX6tpVrMLcG2pQt0Z++qsm3qD8Uft
iSpsJg72d5CaQyADDAFNCClRkOlXsbnnH3WHleKr35Sk5k1TkY8MXpzkU1bGzFoKUYRC4vAaDVSu
11baVScLH/bxnd/gEMp4/g2YsKAxgAnrouNa//wXoI2PJTasKQdlLUlYbjVp71CPtk+/dO1/9cUH
PpvrhfwbCf7zQlcnyGerSVCiI47NUqzNyQhG7eD50m68piXWoXfT4MKcSBMNA60iEicmImRcayte
a6MhH4nYHde+RXwmfi8Ndv2FbG9tyH082rBVeTYo++W6u0wjmM5Oq2iZLXtnEI58UsZzcvP2db+8
u2CXwGJIkXhvsP4+vLu5IarBE9T0Dv4jp7Qr0Evt+D2R/jHGwBKrPRcxsCYhmiS9Ha7iTD7NHBGZ
YAV00xyjeBXTS+Axns1JUu1/95rgQrCiBw8fL+hjdi7O9bHbxWNJWRTw0syOPW11CAbviWAPAcX1
CWEdTZqe66/EY9gqh1c11EwDg4Z3I47x0dhVmkPVGM+qZwxbl0gOujQ+ffvSDmlXz0uCzFow4DHt
QAl49DKscDsfOCkjUljaJ5W61rUjxHCui9691ZdRfufQnyKdQJ38HSbyIWbL0utZCwcZChouZ2yX
w6vNbWOCgL3IKLfhI6NwaLunyRm5wcAFnF4duOu0aaGtDO88zxe7h5uMdoWpFqAqzdbRypWrI3ed
bXCFvBg5qQkNAjpqZY/bUpKZD2/f4qMRyvOFOiRF8DxhezFMOXolzDqtZWr41DaDxWenCyY+DFkx
z3fOICmzWN+7iR3hfIbDGZd7R3nxVVrn6Ze3f5EX28s2MRTHq2Z1aMTb4uhZz62emRYUmyjrgJkx
zSY5fGMoaqlIb/DqCh3iX97b0688ZZdzHj7lehTiQHn4lNPYkkvujxyDHfYhsmIebTD7DSCLFjjm
JPsg8Rdsu3MVJPLq7Qt+8ZzxD9Rhf8BXpb55ceIZmVp7YiEjNAbxue4sAu9rzW+fEmHTwry92NHd
RSdEfgrvEi4eMJ1JWz280Ll1eyIZDREV9KfnaAbg7zW++7Voc6KniPx+7/05OmnXBfl4cdQCAHOF
xwvWQdYJs6/SqOpIOoWpP2yK98/zF5flmgz9yAUGHsb85sVJ66eFqANNRMgO660KMDZe4Kl6UTWa
GXSg6b0P59GGAbdmwXU5Nisi9uPDFrOKoRrIYY9UYqFCoGG9Z36MO5pwNn0CLiSGmRf17Yd3tFNY
lGEYHYeBNpja5PhEaB2P4duMpszSxh8xkExEjuCPAq7LO7vklYUcxFygXqg58AQ4OgvEnBq1iWg8
mnkt8BlP8AAvOvgqZj7//lIuXkVrhgEuhVgCHG7IUR9nPaUJII+rzjbPF1VQnjLI5fLevn1HSh7e
br5W6/BynRBRZxyPwoj7czBxcUVUW1wRKb+lDwA6dsNl1jhLdhYvXnJjVW0MhYZWKzScpUsiLG+W
eD/YhVtc1sZUjNu3f62XNxvrEddmZIYfLROTo5td4qpZZy3ECBNPny3sUrKkfcikwfrffn8pi51D
i0yR8OJmE08gplIkcDCa4c7rx7tB9hCUhrvfX4bilW8XOb/oLo+uKEszuy4FEHpnZA6tZ1Fs7cy3
w6BTxd+4ecgs0a4jjOMeHm0fpIWeP+R+QsKDnCORLjE8T3uKYN7E75zTL1/5NefHgo5OdqzBbjrc
qQAsBcwmiEpUWdkJ6DPv9zT0y6nMOWOYdySXjlYO39++l0edCHuW8p+Pw8rD5+Q+/jIN2PHERBgk
RPWJoIp0es2r0enxnm879qkQ4z1Bhv1p4TPeQXom36mUX9md+GiuFm4M/PlwHD1LmuXRb6BW8v0f
avPa0wvzoSrW2kAyjH/v8/RyNS4VzQg+lvgCIgA6vMdSFjVcp4YMDTXfaVIDCHe7u//gLHi5EKM/
hGxrkCxfQefoYRrZ6JOZMQN0LtPzm8Ag7W+9CZjMPUezrOYAmB8cXk9XVxNuoj1zD3cZEPbY8+dm
6gfGWPy3tzfKK1dEXQ55iL3CdR1vlLHr/MQyam5dm52t77bU07O/826zEeARUI/yCaRAO7yiwnGo
gGGMhb4tqnPw1h+ScNHzTHQ/3r6eF4WDC6OSOpCqnz6NPuxwIXi1qco64I7MNrITG0rw5v2reWWR
VXKFHxO4+ctFOk/OaZX5McTzsvxEEkr7xBtl7377Uvy1i0fAyxGFROnwUuRIrBQT0TjMByu54ftS
njdd/15P+3IDIKfHlWC1/+OgsNc//6Vzpr7F9lagBDWxL7c2Ntc27IkVpnwO8pYK/u2LenU5mGgY
9VCKOM8cs1+WQwxbxt4MVEpQ73xXjNNy2sxAFYXr/Z4r2frdpsTyEfGbNNN4hR7tOQJpZqj4nAoK
v7cJMVJanes5jXvVpL4Xvn1dL7YE8AOxAdi9WNDDX/SaucywJV5DgjI8ZXYa/d9WF2y+31yFqtFe
NdamyX5wjo38tSVXg80yYbputxbEdVPP/m/fOFbhpoH+rZ9jvlmHW6Kvs0FzVU5MGU37eNIT+TXQ
pUvvI7Wk3bwjSn5RhLMapA4OIQp+SsejN3bqrdZ3kyZmnpGnny2rgsugW83H2YAKHmdu8o5K9MWT
Yj3sReGX8KWgrjtaT88IUWTEjtXHCinD2Ro2U+BnJ7/9pFgHshu7AarwcYEa09rAtKvgBhfEKZ7r
cqId9OOpQUDwuythgA3yRX0GboTj1+HTgm+pajslg8iUTb9GnpoQ9DNfElb89kLOi1JmtfanMoMS
BtuGfx6u1CYjWVSCd7dYz+4hyKfLNI7NbxJ2wkXdWhDDxrGuPtQBw08Nx9FiYyRIYfezQiASLgLC
fsiAREeXZenauT6jyobv0IJldzLdGt7cX/Xd4Dw4FcbXEXkB7ZVHbtNnEcxgBwCf851rdxBOmxjO
285rIBUyyLXTG0bcII5dgr014jO3SU7zlknDCfPL+yYerexMxk7ytUXbJnbm2mXdTaOKr8DUWytk
eAPf19HL9m5caj+5ajsoxCFjQOu6SUx/2bQQHC4CXPGhCNtJnG3tiqx3UqzN4OcyTK4MOctHk5x2
OHpLgi3SVZe2xkPmaZQ7vtcD+rz9OF7uYxwtcS7D3JImlv7u6GkgbJyynqiqPqGGbfFfZPD07j5+
+XbCpeRbynQRzxCklYerxNwOHW1kHNp+BZxkFVN8VQY9NeSoxVfGXC/vgHbHlwV7k0YLktXqgxJA
zj1csFJjAUTkaNBI8vZpCiSOh+WQvEO6fWUVDlLwVRCy1ZHn6NuKKD1dHOgfoZosSvGUMmtxNPnp
7Ud0/LHjWgI4Z2CPHARAckerEBVt9q3QyXMr+wrPiTqpYTXHdADSfbfReOWS6NB4QSn9KYSPy4U8
q/u0qlAV9CO2B5Xks5AwuPzzEPgtFuNtJfnPMR3xVzbiP/8zouP+Z7USA9vjH/V/kNmIHMJkK/7v
eYynbfHzH9UTnM0DRuRff++vWEb7DwvqPBxsg33HFl+9+P+KZbT/gLBMn0hLilkjvgms9he90YH5
CFbtM98AyUG1zT76i97IH63gK+lFfMzAk2A+HvEZ3+I3HnaNnCMwfoHKcapjDkOFsW6xX4ozVY2V
CXahhdLL4pMufpxUXYQ4avooGVPnxkuyPdbXYlvV9Xv+js56Xv17pvS8OK8ivsgwNbmUZ+rlL4vr
phZIc7SoOhKVgcApoz3VJoGcqq3j07bRMatQo9udSbgiN1pv51FK4tm+0Mf2rPWtXESVzFvAWBu5
E16RxXk38n9SenwZkJxvhBCNfs7dNTc1uD2zzTy+Tg05fYdIV00odCs7xGMgJtPP6e6xWUeFhwV6
d0K5b/5IjWGcmF8if9mlA6mDtpaiscAuoDY3uZovIEYHN3KW6UOH3XRFRmJOViBfzekzCN3O1Qrn
UVs5Fainuz4FS5VoVIPGhmZletXT3BnOpe+Mf+ud/c9eyDeDVP8PvpXwgN96J7/+lD8P3sbnf/8v
orH9h2NZKOL9Y6KxbfzhU0cxwmX2xj/WMe6/AlJ5Y/5FLIZzzB+vBTLxv/j3/c6L92dL/+/dT7PC
f7BQ8vmZOFVjRXj46tXdMGHXhOyxAo/W9lYmVH295LZIN3XSBckAnjpBMQiTptXSC9NJpLN3PLl8
8BavSE5db87X0sTUmr1plU2PFmvpcDc38cHceLKUX2dzsLxopULeQ0n0vvpVvqSQx/Lq3rc0ILee
+o6AUMpWzUNUACvff2DcX8FNiZVvw/VUaOGahMZwnvkhIh6GO8NNqnyXFI2wyM5sVaY95UVvy2e5
mmF5oT6JlGhmfBlM42zmnWlTfKgNtG2jRYzghR9nvYXtRSkuOr3XxssCdaLYLIVujjsPQZQMHWJP
2mtUsa59msxCWEgqF+XMZ+j48+rR73Q/jXzhWgmVpZf6glJSI29SebljRjNEToFObESaeyH6rlsD
pPRUzRtIAc5jXIEi3MZBioiaOCRrsYYQwwatFOeZyiqowBaU2Yd5aid1pzBRRB+kiNrEYKaMJWRq
smwBnoMKnlnkza41X63ZA+ImWOLgYZJyqk/jqRoEWV+V6xbhiClbplA4aHPs7BIuITOjjB8GSMi8
qKbikX7atJs4qWWyU5bZmLLfVIgqYUBCh1KJ/ITOJLNnHoznVQDAJIgsDG2fdMgyDoLwZe4JyzLK
Wog77U8OM4OoDkZzYskSmjNM38nqLoo/Sc/VMwMapgncVgeA26RCgcYhT+AeqfSp6W3N/JTYCVkt
qadE5MCOvYv1unssPTeLnGeSdVB2MRbjK/+6KWgiT9HEKHnpiRFjwWzlaQe2q6yTJID1eba6wCYn
rUBKHFULh/nSB8XNCECw6eygual7jFdCF7Y2Z+joGjeWZpGebSJvb2CB3Zn1GHzpdFl/Q+6LRWft
3etJps2hm1v2TWUp+d30E7+JbKtH+G3qvfpiNWmqPkyZXXyp9Un/1CTDtCmHOvi6JGZymSSmV0Lv
NhwVNU5QKWrQcjemGt4RiBsH8mmJ1izcLrRnp3uAWF/fFDTiD6atsilCJEadXPYrz7TA/cwffSPs
iDyN5Gim53mpa7uWOGwLhshpzBw4hGQO0X2y9JC3+WmxVbXtBtPZtIt+O+BRtfV7072AzMCPsE31
MfHLj0MLTdbEfOEJyqY6RypmbqsytiNejhzAXO/zT61sqyoKJiejbzebegrjHGv9bVHmunvuVcg2
oxw4Oj9rnNQLztPUCKyNr8bO3w1k4eZX2KxP2dZyayG/sA+y8QdwZRBEsh1j/WoYkBtvpJNo7tck
a2ceLzk60EkrgL6IUGEoL+VSSO1qmeIWgirCF+9DoHWeuzW7EU+QijC4J+xP3SHUYrf+OLhDcA3B
Sn3zkcR6awvnCWYondnxk9LqLtB85e4zpNz8Eooe8QsM5LLcKn0w9K1J+AmxArOdmdgZdgIWVGZ0
baQnuvllNAbFjA35tQqhdgN45yrLvR1+AGn5iKtgrs5gs1TZiVZDlNsCRcVyJxeRWHB4g1EM95bb
+NM+yYfKjKw+ycRFg1uHHsWTajHtUnHjFj+9sTSza7tu6nrXWZVS+skCIL18Ciyj06KgaTCeUyWd
ZQlf0HKS0BqGoHqnS3+tDYA+ArWZtDIwjqOeQ9D/547Xx2QrdUw2Sy/Tq01dq+77L1/SVzhAr65D
lBEDBopShv+HHyxnxFTFs4Y4ZOjVfKvFOH8zlHjP/fcYclg7KAeUhv4JjSSI3uEqC+ODwqVPZ2QS
WCcW3gQQuoryI+UdpOI6by/nmJfi7Us7JjVY66orAM/kBC7Vswbp1zq4GMvA5wmtkEppRp02WXUo
9aTb2t6SbQFH072pW1oeVlgNbnXCqyHa6rb3+e3f47X2EckR40cwF4Dgo1sMioKVYgvekpTJva9n
yQWf2gT1zqx+u+nG1WOdJ8KdeGZQHN5mn3MzrYxFA0Apg1tkHMZuwVHmHZvIl9fDTJ8eBVoMBoNA
VoerlJ7MhqUFE3MD3oc2MMnsTsr4YsZv6LffAhgEWFJj/I1mDMPdw6WW2ckSxy3j0CHa8NyfjR/Y
/iW7330+bBGqtrX3gvBz7DZYuI7eCT/DOUiLKX4SG3+KjtTKazMv3g3Xfvm+8XTIb+XNdiEVPRth
/tIeZa1whwRLwZCC4Yum4661JHn6zj545QnRXhLUsrJowJboQX/d+LXTWGgOxgC3lKzC1qXvu/w8
H8qFuqpqEQ69fQNfuyaLQFXmThj3kap0uJw7w6TkJQzC3G37nam6YBtry3vD3vWXPiitKaiZbhES
uaYHv6AlYEiBJUVpB6FwKlTlg8jP3Z6XW2ELclaV+o+3L+qV5WgLcP18Hm/Yx2ZfHoFuaU2UEsxn
Lb2fGts614rAPFd9UF1Z82y/g5+/PCLXTAuwg5UpQy9zdBOTZcz0pp29ELabS0Jf8ghLqw7dwbia
XSxlzEG+s+LLXcKKmJryweeYs47N5hMspdIBL42wMfHKXTzS3PlEBJHS4ey/fTNfvbj10HgW6WO7
cLhDsKlshwIyfkj1Pe3ynCwXBj39rUfKyw5Hp/TOazH7eOf0eO0C2fy8BVCrID0cHbzKLRJOkN4D
0zWGvVanq2N43uzauvg9M04IwytEyOnOP9cxwTMq8str7SUcgBS9SAcGMgJSzVvrzHY4efs2Hu/J
dZXVWRo5NzUVLe3hbSw7ZAg4g7Hni0F8W0UX+8CQ5babi+GDdLR49zfW88jSRYXPB/z4HMnipJj9
jJlO4GXIx2yV7/vUnr9gTVH1oe0lcv/2gi/3CbUBjGv4sny4wcQPLzDtF21g4OiHBsE1oVm6lN6m
8PJbPKjGM4V6MI9mt4E1/zfW5VTBDINIOCQ+h+t202Couc/5BIzSvsXCfnUXDKqbEgTp+2zowyet
St8bxLx2bDL8QwHNB4758NH2tFMsfBEuBthMqQHmfqFb30y0PZu3r+3lWwA+zvAKVA56HLa6h9dG
kvvwTIQIXU1Yp86c/OAMqvakacXv3MVXV+KRALisEOAx9DdkupobZQTkhhrtV9ppVYf20tonzmD0
77GZXr4L1MYAIQDlEJJfxMlPbqJ6pFksFhd7s1jQPrZYiCVWuwfC+O05wwplUiXYTMwgxx09qsyr
VLzArAZbGfRIn+JqA/H5f7g7kx3JcS3bfpEKailqKllvbu5u3kdMBI9ODdVT/dfXsqyHh5uRhRu4
0xoGMh3WUeThOXuv/ScG7G/My9sucnsZAmxNymQkTb8tf6wec5FWvgyXGKLJZhBT0ITDYg/LRhh1
FUTjIvlOc9TrH8You3XTmppUdsdI/Wa38Hh4kR2n5KIMSWX6f1hI/1yvvLtbSUG/G0it99u787hp
xtrhU/sEdEUiHszdIuI/5Rn8cwtgeoyYi9OeMSh7z9+Xq2wgVkiI8CHh2sZdvS71Y2I64Hekbp4X
v28/yAz+U1jlPz8a0lvimRnJk6n3Vz//XwumCfgvAG0lMZuMcp96S7nRQZH+YXe7bc//WsFAEGcW
zyEPJoPn43eRtV80hjJmLUKyMbvvXrYo3J4FZssoY+jbbrrY9oz7tM1L9w6ljSP+8Hz+45EhitJB
kQeQgTMKAevfv1p/1ZC7RMPrN2V3NyQrbQu3s+bDXC0KY3qPO/g/3Ht4PR7RmxKQSfk/6Cr41pos
ZZsPW3x91asbw1wKOTsS97iiwgr+cD7+42e0UItw8bkJV3nd38Nr7QYyKtYFjzk0M9wg7gnoqOf/
+JC6vQo7KkU8xg7r93Fg0U1oNlPHw9MKos+pamvvKRdfbW1bkYME+UeLI/wPv90/L7OQXz2P5w76
Di8f/H72ryBKR8jNoQqSBFnl/JEJ660K/HuZ6hevHL+5MQhQH49VLYY/vfqt+vz70uXRZ6aEPg/+
BhnWf186fb/2k7UUXjgDj9oaLvKbNMmBu67e/Cha2mh+2+fXVg/THnOrPgyRB8j7x79fTr/9vtSP
AIFub4OKjpHy77PR3KqrCtgi7gC/kmHTo0OkF/4n/fP/9iqILm8Bp0zPUAL9/bNivlrWJgturig8
v1mbNhsJ4v8PX+nfh3Toqk0m/vySWJ0IZ+Gff38V0rQnNqKpi4J1DBLodSL4zAOVdVtZOfF06ING
1RtEy1O+W7DaNjuMD7L9g/Hj9sj/y+96exeI2G+FD0U5N8bbbvwvdatnJ41M16bHo0cgMOfHCGDA
EbO9M7qBRu2///3++WqccCbVJOpy9Ei/XwMEjbKkmkUP/o9hhOIHSOnz5nj/hD/JfPPvX+2vavHv
H45RKN4KzEoBJPnfNXGztcYdWvYxAq5p1OwKY1BNoeg0dMnRxKd4wuAeEIRudYThtAFvaCsq+vN7
ERRGe+92AaEkm4H5iPjszJjwJXdE/7iBEmm9jKIu0w65k9+oq6qm2Y2W1CLekXgN8+tS2J25zZXV
BDvARDgew576uf6Ic9PNP//6pP/RNP//5mSQCuBffvR/kIguNVCp4u8Uor/+5H+Ggwhr/uuvhCoY
9LcO5O1S/T9zeun/F88c03hMP7Sy0L78/+Ggx0SQG9zNFHkrB26n5P+bFTJRZIZk3nJKHKJYKN3/
o2Eh6sW/P323MFcOEjhEaHZv9cBvT1/cGxwZxPNcUje1o8R3e2lGc2eXRdSaSk8XjSDxL6Z0W07D
28yzDOoT5GZNSI60jeY1r7ED/xQpp9QDJ/u4YN9cpm92a5X+pwLcbR4YGbjiUzV6smh0OuO6yxO9
riddLc3wCHFGVbsbBG2j7Q57q9EX8d5sc3OCQwA2JgnpOlvAjKFo4BV2VqGjGbjjCyRhJ8o9bkwv
WvfN9Ch6uyrvjMAtnsZ+FObRT9ci2yaV0te+LNw3VdFLwYYN2ObdXXPnluswD/pgGLHn5ltlwDiA
d0BpbIUVkv7sYjHCPwih3H4Xw4GEH13MgolLNw958szVwk8Qq/Wt/IEDXd4RRz3O0VQ4gxPG4zCe
izidym1MWhnoiKrqq4sGC1af59FjtBT2k7mowzpxITyXqWWu29uksP8oJ2X798AQs/Rod16tD4nV
2PoHYO0mOaZGXlahAXvpa8LWOYYqM6YHiyhCE/xn6mev9FLqTQkrrYlsDPLfhTvpPcTVeW+VPR7N
NbfdlwncUbuDnG1sTLcojkx0PRnJxGuyBHuhomWdx5ORki4UJ8bPLGswFhWVWzHrUr0HPLO8IVyz
FaZlBXIXgTOLomsDer75ep/0A7VWSUXq3IlxyscsmlMrM7cQt5c5C9UiBhqd2SJykvLWbux25HbX
MTQW3ukVGlATn9yeWeJGtbZxgKEut85U+0+sZGPdqSJp+xeytpXbbpfKMoZnwqAg+AzSzwIVimmp
u0dPNkl933sl0mg8fWPjIeBwysG1Qrx0a1LzlvXU3xeytNR7iyDRi2QbB/3mpvuSB6bBaWAeYneQ
8seYxMo9TkE+L94O4wfwnnFanGJn5VY8oMwoSacZg6Wfnspe9ncrUg8X5PM4OO9TY6p0O1YdiJ8b
CKlsBfSDzKu21Qgo4dWdBlOdagSDpGrHvlmHHqSW8pjMWPAfUS86K6tfdca0raF0tKAooOx/dR2Y
VOAW52l47ofSrA9LJUe9DUQSJxsAGUYGC3Kd/UMQZ0RWkbixFNvZszHH94hIMnACGvTfOOdjokJn
BQzw0cmh0iGQKchhESwKucDe1E3AT87EML+YfrfOJejFRHJRoSJu0pMw88kglaFhKppusJDN5FIB
JsnBoJKsql004WJmKwjTWntwnUZornM4TypbfvopOL5vve+i1qFi9pRphbB56b2HJsrLfpsBlvHe
GrkySWIMGEiQXa4SsX9JJTN6GRVBbNc7Zt5F3wMStlVdnwbDF0BrBwQP3rNYM0Zv8zJ1ztfGWebu
ALy8l5Fv4sl6iRk+mREAHlhFfRmMxevY+JUXBqDNsm3RwK+KJBXwU2x6lMCuTfbnARg+DW1gLmV9
DpiWVVF6IzSfaH77wWNSQ2CIplw2P5JZy63ZL65xUDrF7s5U23AjXa2q3dSx676URgWSl9CevNpl
menN4eKTOv0hZE0qtCb3od0PC/3ijyngJr5Ro+lCxoib5UOA/Mr27ZyZ7QvIJ1KZlHLgKbUDQQll
PRabdrbmo0via3eOFVJZPev8sjharXeTx4/a5e1UsJyyxNsL2MdY7QATQN4IrGx8WrOx/iBRZL13
mHOGVtAGZw8Ay4Nmsl3z+CvzwUX5SNacnusoq7JZRMhUGb42DW3dOjO+JKvRf1EEYsAk5voU1mgz
ncM0CfnDJMGDATl/C0aKEswNdHUSzFqPsqEFJ60mfmhXvJ2hBl/+JiHnbZQuLHFgxN9us3klU9Oa
yp9KxutHbAENgmLiLs1uQIzlHYHOk4AXs4idB93af/E6ZmJviQ0xYboPnXdx87T+pgxlfihgDl40
6Da52GR8Lc+2MZQXYSU6NPt2Ie2jytvgNjY3lwvwJ0U4uMpG2R/lpNPqpJrYEJfYMIf6QfTZ8Fwz
hymOKF7h4Rue87Q4bbqL7WkBOqS6mVK7Kav9UpfwukyjEI/mWrwoNfCVLIb/wqwQkryCy8TyY8Y1
hzlWiCkCj6JfE9sAdS3aLO/fSWZXb4k3dsOWz8BAOQD9ESWJ21zaxlq+lDcILHyz9iExJftCMnlh
mVjp00xQ46nIiJdoa5v9B6TUuXWrLn523dEAyAu2k8YdX0jiddkUteVYgFyzbL3XBsSwUFXeigLb
Mb6YquJSP7jBY2wN4qSLXl6mKV1OnSqg9Okifygt1qTsmYuHJZ26s9TmyifQ+hUl9UxlvBgXuTJu
tifPPiPRftZuZ7PIbAVcapEQRAstgW5wiEF86kzWMlqdyS6zH5CeDxkwPwDvxKx2vs6fYbebB+QN
/dF1jICdoMs1vcFYfiTDXHyxlxbatnRZO6BNTjHe1i/mqp0lHNbp3p6L5RxPYxOVxlQc3YIDZCL+
9yR9owQTZQFTX2yz2JgERgAOIwoQyNLoPxE0O7hYrhhzTT5BNbqjURX7w+3q7M75582MSF+ybvOQ
fBIDEwbpHtu4MINns17zB3NuQH/NjjxP+doehmrJ92W/qtfMGOsoLmOxU34e3JMCx7IcbOszzjM2
g8Bun2PmVwBDRhV82Amwfc506963c3VsFdWT268OwHEnuCdAWH4mYvmpYIpsm7j3r4RBu/vByoZz
g9YLQKwZXDszUE9x5qXRisuaxAnbcB6QcpX3BffSTVMVjy0Nea5PCD+AtGSbmGIKlttYnYbKDw6j
SqszmzFQVBRX+7F2adqBmwt1nC7n3PLQYOVlK8/onjJsjKP/oq0E3oGpxd3slv7VyOPy3VZxdQpY
lmyXXcTXpB5dNGbbpvTWnahd9z1Ze1iTZgnDXw9tG9E9eanr9X6Z3YLHZsVEQEZbBY6ZkrQf1n1u
NcXGaUEO9uP3NF5MgPkO/CfIvwdttS4mwMEKlZl878c+f5GdBbWOY/WQl3nBfrvYW43+k8yH9lT0
mXnX9ODUA6d8XNYpIyAA8FqT5fc+vKMDHkZS42Xc7Ln71XfuUIGcbDGZATRpk+yRNeGQ3pQ5QbH3
IX45j2DOu3t3iJOfrh/kX516qJ/80m+JeYT5Mop0ucuBhhshvT5GWoMhfeBCdVr+qFare2vdot2T
UxXw5ZuP1cCDDMlcP0v4tFHFTrPpK7Skck0PZpw1oSoLCGLr5EfAqMqvqNcmsakNgERR1rv5YyLj
1A7n3u2vDTXhHdEd3rleh2XHYZ3soAjAd2oL8k8M0BgyatIuODtFCt4kINpiqsQrdW/+2OvM5PQa
ivTgzDFloG7d5Vw2g42iZ6wvaNFWgntYsdjMGY6GMcyg+75nVjCSNxEmtV9FyZT+MgzR71fH4txJ
psV7Jl4TGgwcL+NzQN1+jgs93HckBNVRuzbDjvN1jXyh6u8pg5YIkjfIg7ZrX1nWMupmKahIM1Dq
ID03ZZ/GXIf0ShCkb99rkevtOkNg6OekvtQetZtHObSvczf5aWNpDsE450nY2SKOHG4t+5S2Rsh9
iKrQK2fS8Qr+azqkuynN5FkDrngf9TRRYQfxDpdKdZl55roZtZ1fuSiWU4ZpQQL20NA3RL1Jn2uj
e+w5MNEH1E7oqL4mYxvvJlsN58Vlj5nH0f4iCSA/0pTn7BBVCbHPr36lPTEPyPx2REF2l7Iq+k3q
d8vZdocS7KCez9baQlizrKfGG7A7Fso/lsEqP0SqX2G0y52MByByKQ5ueJWQzlujuqspvY6JUxU7
5ODVvg7IFxJG7D6nq0z3gdAk7bjtx0AYQ7jaVPYDss6dUQ5sOHOV8zx2KJjSGcyGLlGlJXlx8Nq0
iyqtuCwU8N/atpR8SUw2N13g1dE0B9WRfhJSrSQYT7op0ZrE5fwxTP3XNkiLs6cycUqTUvCQV19I
qE6pCldzjwoGzaR0phUo9Oybm95Zmx3RIfKun0vrnGbZUz9aVhU2dSyOlmIR27n9rALZvMByrHCx
ueqD7fcrEsR2nxCJErmC2sawSN5uQSUKRva7QehPFthyQPRL4ixpJU9LTUh9XfBdd05c7WYRq0cr
KNNogOt4cYfU3VAMkJo9N8/krRGE7rjLCRAbjaPudv8tXfdX4SQmoUi4jpbVR5G2VIjMR22Fg8Ex
7s/Gx0g9HKJlKW7iXi8/V0VhHPrcWQ/LOi9bvTQeVw6b7EzVlPE9It2xiKwyj3dy9YaTVdxSJroV
RFux0JoIB78rIJIkn6Y/NxfmIupYaTFtnSJon7nlk/5FmXFb1lPJ1egmckuXK9FWyTWppfHc1467
X40gOPcmFLIkdpgUGeylURF3r2TgBJ/BMDXX7NaT54bKFTkgqjqSi2d86YkTIj7JT0KNOOa58WMV
zWUxPLsahp8bJGT1NmqkldAyCa4zGGHgTSu+LNQDD0VXqyv/0/xUrI1/YHPNj2taEvCRGOOXRS7m
Yxy33lm5jbOtjKR8QBaTn5aaIqQYHNoCZlnuSYka7lHj1Wcnn99d7gXvATLSr5JM85DYUX/Lo0ko
HEfMNiHH6UT+OZLReniprf5qdQro0pjP58Cc20+gp+uJY4YsGbNxv2QDosMiC5oHUB7zW8PD8t6M
2P8hjFLVpTDlzhQHb21tWdvM08WlzNl2IXCMnyKlIJBLvkloEl5G3x339SKSs1jn+gAvJosAxqoT
HPhlu5TetUSpugMuqXZzaS+7JAazxxwNEtui5wvTWQxojna6fc8+fGpMuVz6tHtZA/ATKyqJXZVo
M8rmHC0o5NtZGO4dw4DkOKiGbkc9yE2MGwmBuUMEQmXdj5aOt6m/vjYoyLd9ldjsUrQTsq5/YMOe
fq6dgNxqJU21RwQij06TDVHjwoHG22kd/bl/dIvB2iPFGd+ylLEQXVQOFRGQjhYjaM3k0O7jsqpf
6gCEpNNbUVrZydFeqJHTTsvIkU65yxpwyY2KrUtgdW1YT9zrAZoOj53vt6hNcy/jirbQak9pwbbI
1truKIei2C+Bc+/X3u2RbXiMLfOTiLnkkEi8HDG/BBTtURxyyP2H1VfOBhajPAzwLY6c58O5nvVy
XSEkXmOpunMLGmo/W05HoZF6Jz58dSp1I1GkNy2Fp/3i4XuEuTGcMkv5oa7N4SXoqyKSyIZfVq3L
J9Och41ELB+SA+V+ndSyRlWDfjarYuNsuLZGZ2KK7NCSDfeAPWzcd37zo1stYMVGtWwtr/FDm+vu
T8UkeANFD2sufDLIxSWS3RBjSrWp/TTZ0rQMdjPP4pnp+US1ObgfmBebz2Jt/WAn4Rht6NvoPSkj
7WPXNfk92+44IppHnh+yWyYHH27UFqGZ+Gb6ZJwXzG22lVcJypt+3BDtXpVhu3TjyaSIjvq0zjcE
A8H9TKcKqKce3kvG9+DIJ/FIqib+HKvq9qbvxW8cybCoHaE+cyfWW0bVZVj7vkktX+dnU87WYTTj
dWNkJLi1kgEZZXIKPqnpuTB6VXGXZuZ4xgBt7ulmWUjGV+M0WfmlWdwR0r2IHwICQ0L06yTamEmx
/vSEMrOI5OPsoNfZBVWefKGXkuz0mo/bwqJjxzwoKB+zOYPiPaSDBzYWb4BwvE/AodadnGD8tnPD
HbpeHeIbA55bQOvVx5Jby8VsBnWgZW9EY972j95cZZdlqXhS52qK1moh7bhJXepmDxOBmy5BaNW+
DO1eLg8z0ZPvvZNNO1ic9YubcU0MO7PoLoUfwIcuMu+hXZxlzwFiQxcdyx+icOw47MvS2bR6VV8q
acxP4OJ+xL693pXzOh3tlLZM2Eh72PtlIncZFqWtLTMcHlzvL6Jr5YaZ/7gzqnLaigRpNf0cBCTE
yVVymzuGcaVnSh/MFtPVy5fsOcX7hJa99vYmdMf7Pq2gB+elSQAhXD/UWYl5nbq1P0O9l0/psM53
gSIQq/CdOZxan9M5GCEKE/Xm7/qK0zDIpyYS3Nt3c3PTdAt0oUGei69dP/cbnfvdzlYrpO+4dTj5
bAeEp6gsxf0U7SPd+WEPTnt6JW6Q0yNxHMMOY0kMbzek8VWQzbM1+hQOUR3c2pzKCyzOJMeQP2qD
/e/W26U3QUNHHE1C6NPNFNN1XQbo5Tf/ubkZwWVsxczRRRt+bg+amK55w+NbbGVuIh1JuNaudtkf
0YMnXI7SbotPI1t3pEzpb6IUt/oZ4uSnofv0RSyKaDBOmuk11VxnSf2Ue7HMmCWQCR1Nr6lzhuoz
VXQraP7Es2dSKZRNHiXt8jklhX0/TNSb9uJSURpyfpaDWWxLdy1+1kY//jAzy+Vt+NbXJOtBlNBh
vrqiCe5GHmKLi3tn7UEvem9JzU09T13nwWz98TJD8j0K8q7NcHBpGFswoSMVr84eCES3I+PtL/Xn
VaJHJrmb26QaPSR/QD1DEdtfSxETB5VRdIyJWb1rIszDTA81qUuzjPp2vVOuyf3EwfnWN84PlefT
gdL2p8yGOyPXTUTX6LvshvuMH7wIV7+zHlencQmIs1oiHqd1B+TcDFP6bhu6zvaJqOxuRyLnzWQ3
DrgPiMCL+TKyQb65Mxv6zOFKzdJcYUKe/prJ4sO/2o1Pv6yrGMFhUFjmb2Rxf9E1hp+CUK0vZd7+
SFKlaFZIiwokb4hnsMuHxWqmcHL5xikjWpRJDj2JxemfEWHheQ9qWURTrOzLZOTJzqh7rrxCca8S
ZfOrL6ziHcT/wfbYNIVDWzwdaOqMZYr5qs4yrv2V0/mQF63PpWW74GLu7dm2n2eXfoQjunxDM+2y
YlIXoalN4wii95qNQnHz6SUr2fwgQ2V+w4LVbzoTTjQN8zQSHZ2Ozlizx24iuAVrPPnTCC23AOCf
6KG/toll7RrDePUWz7uPZXvxpmbd8Dxl5ALO8tHI5Rmg4HxP20ay0riLgqG5KOC033uXDXHwm3nr
53QUvKTiGoS1+UgMYrWxF8MMgbeO234uyidJnulXyyJPbAKss63qWh9nNeuvzmgXYCBtm6u2B/ic
tJ5nR3XivC5KH4lMnXYul70DiVsGLZTF3jEyCR4FSNGzuAkaCS31HyovmDZUWPrJ9DBAgwSbnmqX
h3Ja0QGmbtK/YXZRIVeh4n1St03WVSgCS2uiu+aVlhPFGWrqMDN4iFsbGQJsAjJCm3iC46zxWUFn
I5Ejdb9KiwYrKH1esC9oNliV8U3TErgK3+g2U8kCHgLaaLXZ6MfELde9hoFwkbE3vQCPNvYwBcS9
hohMFw232M5Y0Umyn6eHpA3yx0mmw7bsm+6Qcz1+YRBV7xsadicA4xnDfUKaGKB5x9KiGRzjn5uE
TvazpCPt1igcLLOM77piIlYSpfOp4mP9XKX/i+ENgZ5F7GtyA/BUSQsM/GwY+dNcp+xr+SB2BhiJ
V5xtdGrzVvMbpODnrbWbXnx78bFSGV5w1oXTc5cYeRLGxZoj3Vjsx7HrXcbCWwgvi6ehDcsV4ScK
JTOiQhZO6OaNoLYzuhDyvHthCEbTpazkfaHQEmyR2IqIlMcvPs6ZKwdJAmxcFuAiOFW27kwXycQh
uUcn7j+ajmRzINULH18S5MSRN5eq0/TizOHetdVz7NUx2aGxdaYhEft0zvryoFSd3dPXTSO/HbKX
vln6HaRuUMXCyNT2ZvLb+gPd9dCpspds7J+HuCgfYCf393wQ6iMQ5NTaxTxGKvHobpZLUXPqkwE5
ZsONU1bUF5IhiKG0S27wzKkuciyrxwBx0aedAi0PaXnMT7mbofKFuhWSVjEeDJj2d0xdSirAwaEz
G6TfjGX4rFSr+hCpQ/dGYwqsHtre9KEX2bjxbD2emoajMAwaj5lcvVQHRYoXG1kTbFaEapvO9nRY
0PwFzD7l1y4eaxUmVEIHQp2vdWNN39uymu6XMTDonnUfgc1lJDS9tqXtrr+tqT8dud4tNCMpknzc
ea1g7tt49QWNn3VciUt5ZKkXQ8RldZm39ppO03XkhWjedF3ZZVtkEGuwoaFh45ZZnbhprgyVy6ec
EAJxDZTrvHCxF+5dVdbifckJaswibHkVuRkcm1bUZvhiI9te+/572Q90VAwbvkEkvdwf0Z4HvfeB
25Wo537p3PaQZwVAwAR1mt56Q2Z/t0oVMKTt7Xh8dEcckWEa20+dK4lVHIgLTXYzuRXNbvbGuYxw
gd7CInSFeMYuBppJk+08Id0oarx7ff1KbmO20qmsydaYl+qRSVy1qxGVnnC3uckxa6usj1LEessG
p6r8inWyDEJm6/y7GiYWjKCYvv3Q7wO4kku3GvJEd2y4smXSX8DTJUKjtFvAtG3xTAh8+t33guvY
rP63heHQ1k4nK+oq+dixkEKrymSx0cw6nrJSOBMPQbzcWfXaMAu3tPNi2Hald6QikOlRdO5w5xVx
/RNK+HQ1CVoQu5Eb23Q0Yt+7kgXkfsAWcszjkDf5NecCq2j6TEShiEKmcrsG9XjvTnj8TiYNpuBF
uRK9Ct5Hw/t0XEMRYTfEWm/dAARrJHLGCuy/XF+L2eFLHOigpRzdrmruddobdKTycnj229UTuxzK
yfiaBrozjqTQJOn33nAHLmkGq8eryZapMl3/sscb+1u4fK+rY48PJJdkexVTmh2sUVdfFg6vnVAq
5xbde8Xeq6s8QxgAH4ORezbSOTXGl0wY3o4vzD73htltVDrR8yvsH+7Ehn7bEr0umHbc+9qDNFrv
nhBYdZz7afhGyYtd1eluU2ZdbNxJ9eQgEBG4eqrb4ZBs9vU6mYcKa/+lBmsYdTZAXnN0ll8BB8Fz
aQekSSMrEK83c9FVUVR/N8Xqvqxk8rybpD1vAyPzSWsB6B3FlZve4QQtTw3z6u+11/S7Ja/ITcDH
Mu2XllEto3ePgA9dtHeYAMicTcDtssvTar744+T8GHVbHsaW4ZSa9DtZTGymTnvy6rZMGdHp9gUX
FsnbRTODkC3Mjda38mqy7S9IIT+TBvArwkECVnOvP6ZKjo9LnNLnyRKqXXZozNPAVJFS9LSEATWc
zBhJbFvxyE4jVW/JKopkN9ZXYj7tQ2qI+tImM0vYmMlHLxFZbISFbMGmMrhkPJXH0rfeizm1v7ZY
o/D5sn6UUacv87iI+6BzgwOoIR22aOA2o7vEB+x56oVYl/XIbOaZsttOwqVAtYUmgZ84W+XFNQKm
WAOC6DOp6/LA6vefiTszX0XCSFLWg3ivq4VjNqucejMYxHYQN4qGIWuJsGCLIgbPkrAomNG+k/mk
XpIunS+mPY8bZA/1Bfr1KzuS/dK3VXoihgOI2tJzZ72FlTMzdCrFTSewGcr0E4IN2tOr8OpXFQwn
k1SaZ6MYCI8d16e4NX/MSzIlKP1pOlh0W0+VuQ5c0TxMU3Fmbb16wQlGiyLi2a1QhdCIa5m6hfAN
zpq26EbBFTloU6RHVXiA/munFbuVzSua2XTf1BSvu96vv2OBZstgc0xCOQr7KevB9QuXVs2C82KH
G2AdbqXN7aFTxX1bIwYQkNyPZuLweCUOxX4yoT1uuzS9dFZrb2ksfeuchPRt5DFWVMhujpJ+ZLi7
uIx1Sk8feLxsYhZGMlpvRXzBQnwY7FU+LTIOtmmjrwmq7atyhuEtLYrsF5HqloyQI3U/gnG2L33T
1t/mdnWeJ7YAsoIDFHbQUX+hU5h/kaPjH8Am2LcR35PrDO25MeP5jkgdUiAS+ymxrcfcH7zXLIi3
nAom5Z9THFUcfEtq4NHSbhvCsF2R7Sujax4YRbVI+NGf4EdXIXwk+ynPl+5xLubvi0o/R9+h6VbY
QXVYC/UCrKfejY5uH+lbjtOu6SguYm3d4fRn6Os2Ij4H8zwQcA5RanfrwoaGz4g14/w8dHYlo3T0
NdPgmVnAPE8IH1xykJVTp2eV5B8SrAk6cJX3b3AO6Dy7ynthaSyc2y7GFCnEQSXsGO3Y8pbG1b8b
0I/R9PPsnaxWd4v6Jdia5orffSwdi+cpUMnW5lZ+wZULAKuE+tLrbrM45vTJqjc2KxXac16PatsH
KE7Sib+VKeJToO7Bxhp693NmZnAQjqa+GmfLDn1G5s8gUdJnRkXTi0eP/pjpeHnq+pEKAQgCyhm3
zqeQvEf7nXD77JAXwYepY3HyY4IquprseUMl6U+qZfqxaWko7DbE2DFcqScv/VG7JeSxOCvX6o6g
+njfq+5YWzyzdytfxsNsJKu+Q4UjdiQbLmqnM5LcK5XlkcGcdcMqY1yl1/aZ1RJ/6fva4MP1qfPQ
DaKnnYcSlmrRwWc3MDw+BKvtH602QZJquOJgiDWPGifv74QATfNW9kt6Mtek2GBX8/aqSfQW16t3
cfq+u1TW6MX7jnHLsslas7JOylepm1FQT0kb5gQwxTeffO5uRts05tPaotzYMSGpDkL4611h52YS
WsbcjaSMCCf7kpt0s1P2rDmb9n2VWf0vmMBChDEK1iWclqLNr9hI7f4idOu9+DWqvI2brgMxKyOX
GvPNnWQsr5DYEufOEByKh5Th7phtg9JUfFCbZOH5RNyxZ7xMTubJy6BQHZ1JgYvHjWMUttwSzl32
3/rFdo0HtGRFcv1v5s5jOXJlybb/0nNcgxaDNwGQgpnUZFFNYGSRhNZAQHx9L/B0v0cm6zK7evTs
HLMjq4IBBCI83H2vTSl3GFZdreuoonRHpLSBxZKUP8xSHSSNi4q3oOGJHGciFy5yfdeKnp0Ke+z3
SAI0tqLoSx02S+etQQS76416zt2pIq2hizpH5NLO57h0z56M8T3eyI55Qz5mFp5Ca+E+a4rpXOab
30Z220QnE/5ltd8pdM+MThWulDq31kFvpL6I5cVnVQ9uOlXdFlj+mEQoo6Gkpwml8ndySc2TZU7a
syEZmUXyTDVTvwB/8EaGYnqdq0HZdUCWnoWiddZuyMsquywnLlvrQhKJvhvLmjU3tYb6isRB8qrS
kVcWnVGUbIKOZs4gleRNbgzTuxlxXRp1PWC7nvIG88RAOMZqpHxEPz1c+HVncyfKw77aGpwl4yov
G4OjsKfccI2vsfpuj6Y4aZSU688Iv99NwJ4EpChoxCzdWSfNdmVU89jtQ7CtZu9RlDCmCyOuytDv
8iRR1dNoHGL1oa+VLJW8UcF/8ZWmz4hsmmomTS9updQss4tcKHJIU5w2WX19Wc3SJCUYAegYT7mZ
XfcWPLzRSnc2xoDOGtfamBDbtrv+WlcrWUtoL5SNDGJ4a4ek/KM+oCtuhdNNuZnCMbu3GrW1/a7q
R/xGrGA4J6U9tBJXqLyariOtwV07CJ8oJIjHosRRyB/CgM4CzSGLNPmKFVBoXoGIyMN7NscsvW9b
Ll80nbfZ1hmnJvc7ro3ldhCOQl6hkKyONo2sDDkzJU1D/S/sshEXCYC69JYeIg0nzaQKhHT5Hws3
7K+asn8EMf3PSGv/P+KadMQM/x6hdvdWvM39W0YT+9uH2+zJ6//5D3X5Nf90ZZNd+BeVECR79gK4
Q01Hj/d/4dMs7V+abi3yJIRSBo4B/Kf/hjZhKYszBcIl8HjyAsP/v43Z8r9MgGr8GoeeWnj8QPr+
qjP7a1823j8GjDYEYSrwNNrAjQPJpFxQLJaWiOzughZa9/Updi9j9yJ0zyP3/PJt82v3/vC6u/n0
kC7/0SV8duP5ID3+P7nC91EPusExxguQ8aD7e6rdu6vSvcXsyn3gH17eTkN3XP75bbN6vH8+39+d
nz7/er/5tX+9GtxjP8eXpvTvP8aB0EgG+g2glsmX5Z0ivzTR1c/z/DB9+GmeizLmk+ZEHfVOJYZi
APfh7opI1n26e7jbv7yh1nIf+PMpd2f39uXi+uTi6fYkdE+u3cuT6+uT0/Pr61PvfHW6uT7ZXF/v
lr9b7Xar/dPN+am3u9l5jzfn3s3N/uLK273vb853V/5+/37k5/8ADv/w839TKJpyaZH4Cvyzp7OH
q9327Oniaf/wsNnc7s8eQnd1en262uxOV9fXF9cX64vlR9xd3Vztb1bnuyOCN2d5Vj/9LAgcPj/L
Mi5p7Nc+nuXLsmx4li8vt2+XoXtb8jRn9/rtNuZZkhPlb+nkc683b7dvPN7bcVnN9/yf95V7+Ri5
78+P5++vj89Xkbt7vmJ1PV6+s7qubt7v3l+5QvLH3dX7HTlB9+Hq9PTx+XX/fhO5V69Hnu+HT/hP
c0Ka8XlOetrRXGMwJ3995m/P/OWva9ddnazXG8/13JXHP7hbf3tEL/SBWPhp4APhF53qYxYHY+Az
Q5bh1ev7/uWCVkn3BQtt9/qcZ1W4p4+7u+fL5/Mjb3L5qn4am33v86S7QQ9Te2LSkrmtzftYfgrT
yzgqKLXQXyHf/fwNLibb34ZbuNpYDMJFWLB3X4ajaazPwjThzlnVZ/Fw2rfallYfV+jvtYW3mpY+
zeNzLJHk574l7nU0xbg9SvPzlP4axtuwv4UeccRj4UCw9c/WgyAOYc2iyZEX/+/PDyHNZlTLQ7Ts
DLcvtJm617H78nL5fHr5/Hh5/noju3evxz7nA2Hl90EPHsUcUUc1BYNSknE74562DTdV9uN0Yzt0
13SBX9h7pfvHRv7fepB/O2JMMAfIvBHILkfaIV5kktQ+lPp69ss6JBJSYlrZ7XwI/akT8++f3/bh
WBYccJ2WITCJC+n+kDnTiAGL3y60/WimTtgimXgWQI6vmyTO/wl6/sfT+hjKXLCnHOxgUA/29jJG
BOOQZaEho5tvjDmk3WhCUkTacc5//Tyt5ZP4/MksYxnYKoAaBZhCsPB1tVhQ3XqdThLSNaWBI4YR
rKBrZ0cW5Z9G4R5mmHjGEVjIB5uCaDCf0hBp+Y5B12pAYmdTWCTDf57Lt1W4TIZShwX+FfYvEvGv
kyH7r6XWpKIebEcTppmm3Q9cuTSvMKxgF+eNWkE66BK/Tm0DzYft/E4Kg2rGzz/HH2fr2NghILNd
hLZffwyrj7hgl4gYEokrZeQgBx1Ao3l/OQpsCBsyvQFLANKHcxDptEbUWEVARrhvG1K+9ozodKiO
ye2/zcXWdRlEPOCtBRF6aPgTUkkcIvwI/LGWZa9xiqWvywmPvLlvHxejIEa2bMtc5ITKQbhktmab
GMJElDUozo5OGcfrOw3TspDq3M+P7UO//mXFH4x18HU5TuZgTcRYU8ONKEqvcxsSaNtt+z44Sax2
lUn5fbl03Qgao+dqyzpbSeQJlZG+N3PYWtm4wuvxWTPpc5XVdaIJOgA05deY/OVGgNkFbUpsAfoC
HAfV8XUhRYoz9GHX9WQxQloDbJLPV7TAauVWLoNWrH5+Mn98CYgpDdgZxmLR83U0WcE6alB5MFqR
lFyntQfNjoArJHS4/jzSnxYViDUdys9C4UEC+vWI6uw80/CBxqwqN89SQ5dPEZZYRz6Qr6QGFMu8
aD4Nrh/MZTEE+DpKGaADBzk1YhojyE4kdBZlg1DPzWnG69yOjJOfZ/VtZUHc4UYFBQqMsmXAh/g6
II0m2Bkq9Espp4j2Lvq74oxK4qt+Tot4d9/sk7vpcj6Pnuf3+NLZkWL1hyMBkLoc7p8X9+GPcDDn
YawzKRv4Eco77Ua+ti708/Ld3IQ77WpI3OHSpnv1l3yZkBA9abfahXarH9nqD5/64U9wsAeLSMNL
WKonH/d61+6KbRPqa/Q+u7K21j8/8MNlxOcBH3yhDi/+HLDRvj5vii+V3LXd4CuCFmrsxpqbBmTL
w5FR/jAMupAF+cFK5Vw5eKZhpQVk3OaJ5GB+YtfV4E9CebBHNUEdRr9go3hSuouqX5oybFAXUBj4
ZeW1F1VYJ0uYoFn23nDqh3lY99SnaWWEfrHN9dbPpTOcZmhTwNocuxQteXaiiXzYSzc8KsrjSBUr
qE6UiZ43+VXlBcrSvQVfMTW7lQWAO41fy6564rxeG02qHtkp/zBvekJJyhNdURc5RHSgC3AyQLq4
OZez8zJSDn0q82NAuj8MQgSnLyYai3GDcbDzJ4rZk12cBl+fcnktGnFlZeX4V+Qh9jKZYgXOEOjj
0ImT2/i6UEZzalpJbwff6IrJdVJKggi7kiP755+mwvMCPQfFj9zMQeBtAn6g7xDWQZq12im1zMnT
p94+sssse+PnL3yZi7KQYMiuaDBElu/v08VfGxg4qsXgj0js3G7IHJiqSXdG2afflCHO9iklxSM+
Mctb+DYoNBieH8+Rze3roEGYlxnGYoMPPaPcWU3zXBeqFnsz1Wi6XCiSuAqWJvhSIjc68vn9cWhi
fFKyROAfm+6n+RoastIcMoSfGgCMuoYqOeZC6pGN80/vjr0ESSiTXK5NXyeo2VOMDlZCpp2H1jox
MrQEnPFHYIHK4ea4vDzYK4vpF3MBx/l1GCkrRVO2+eAnuoqjPP0jXj2p4SUKbHuXBljER+mYr1uz
UPlfNGXVDvQBOWO21albs5wG0tZZflsN1irWjzFJP4K5w9dsmqBlKcsCWz0kuIVqP6Y9p6WvYJen
ekHXFC/GqFQXTVwue1EaXJumoHLGbXjB54TtVYsuGTEbzQIpzutq8fvnt788kIOfCPom3Z2E9bT0
aAdbfKMnZmUrWNNbQ69v84m0PYFCtM764djnu/xWX4diZ1hoolg7wvs8vDcbWN1UCr0A1D1olFNx
J6TSDNlAmItRc1XEp7MmUwFSryva2I/EKt/mqch4vBj4qPGXZaF/XRhdA1S+l5PaB+SMGszSUfp4
jSUydTNEWaOsfn6s39Yh63whdNFex1bFjfbrcLKS0Xw5yZU/JfVFJnUPlUZPM2ZkT1lbH+MCfts8
8ALD3UwGV8Mur31YKX36giltFWNjWykGVla3kidJnBX93J+YXSuuW4sWrrwcsk2Q0J798zS/7ZUf
Iy8RCY+XT+8gzswkTMGa1qFRdrIqF9THadPj/TpX0VPjVNsCMMqR9/htH2FEQmgLTKC1XP4OHmys
tSN5dcpgXd3IXjWFtPnOZeb/PK+D14fbOl8ohzIfhcYfH1HgpyeaG72SddZC+cYdVDuFkJ+11zRZ
jzQKhkT2G1p20urIGXCwRBkUgjArZhkTJ8bDaKswqrCwO0pDFs12v2PMbDc5Z07p9kakPf88wYPH
uIyFkcpSu+CsgQd68NkLrgWBliqUobpYuQqoLN3Gc1793cv6GGWxoNFgCUEtPqSBBfPUIVkZcl9r
tBRZQZQ8N5oW/e1zYz048AgtZG8Ku9jBpx2PdWiWM8/NqCDyrXPaeu9Veaqydd/U7ZHo+/ACQNJD
JhfAQcYqk5nSwQKcZrXPapHkfoxPh31iVTqZkCKkS5t+I5AHV/IUG07vFvU0mxfV0BSPc2VLwq2N
fkoQgRRl56mxZUVPeZM1L4gUiuTNpt/jDOeIYlhF9PRBtdFjVU/8MbDNdi/mpRwZJqlz9ZfLgLAb
wBWyFzxIgPgcxG1S2/dNEwW2h3wuQuFHiiNQ0uHI13SwS2CczCgkjhzaYchPHYagYVhi8uFotieQ
fQBm6eOnWrLFoxLrOu1OzgQYBuD17V/OjRdlUxdj/VElw+fr6xZco6SR5ooXpc2J45UZtf48KYMj
cc23nQI0DQcne468uCx9i0knpxaT1GS+49T0UuZ6Nxb+wHUJMYJcS08KiQXj76JtliCQJk5QC8yd
w354MLOOZ9fNBrpd0o31asAM0jVoYTvy8R5wPpHHMoypMDW65MklfGTnP22CqUJvJdC3nJaE2XZR
C4bn4M9SWgvreacMdnVTZzM9BFGMwKkfoxXg39FVlHrcWHUbbmdsQ+7/9p0ukTlXDLA6HDf2QRSZ
2wgB8iTKfScjZEPANKwTqdGOzPzb5rhMnBgVMvkSMBxiBOlWi/O8ZpSkMeKbpefpckhoxP/7ubA1
LqkTvLkIib6uT6m1JaQYtKZVsTrv417qN2qsFP+LtUK0AzSPqBMS7cF2BYTLkDIaF4npBS0QI8RJ
w8K45H8xF2ZCWouBjI+88aelAg+ZvlAFesIYKNl7SevWqg3r6BhN99tGwovBonhxlyfbxGX26yMj
JqAtehkma0sJ5kMK3yiea1/BhGNDzjE9wdbz2M1l+U0/ha0fnwFHMskJQlemdvAE57gLy5h4wLeR
t/u0pMhbPZUk8FhN/tdbFhsI8fECgmPDO0yopQZ9taozInDRNK5hSlEXpwmNSJX/8+v6PiXWgskn
TSiv0z2/BJSfXtfQTrrcwm3yEWyYD9XAlaN22zZWzZVjdKr29vNw318bvGwiU+7SBpfMw2llqGYR
kUCUKUph7Rp2CWNNi7qDTg8vmU06DelW5tVu/nbY5TuGR0Cdh0T+4nH3eZYJGB5NmjLJM+WiRnqo
tNhVGbVUXnR9MwFaZM+iez/PmyNZ5YOLDitmWaesxoW/x8l6cKqOQEC6UabdSqZ/YB+VVn6SLm52
NFZNXghkZyPR3nReKxpyVlQRR+b9/UginyTDeAeeS1bmsKJAx0ozouoPaN6k/9xVHUTt6zxXEuFO
uUb6uVJtoRxZUstX8PUrYVAV5wNOJu7dh4hOW8glWgtQbYFhSytEj7BmkmQ8Msr3hcsoPF8VQwBN
ZUl9faVOAsCDvGAAfpAu79MmLsgGdvRmArtKWFhHDoJvwxFRwjskFGcsSpMHx03Yj7rRgxry9AE4
RJ8ndxno0K1ad/GRDfTbSKwTToGPqymr5nAkKpKO1vSqjRRyLHYF8ge3FQrQqqY5ZiRycFtcojGV
j4F3xK3N+mb+Zsb8q1kvLS9SreYOsugorsw+k+KJNlBNDs+40Vr6pku6EM0DJMZi/NuAnUvHkp8h
1cvvZB0SpjNwTdSqMsPTBo4jCf3/6Dpy3t2VNdqlnzeBb+tyGQvcFSUe/gD68XXFTBIqntKG1xUl
fbXr6eg/U/X42H3xD68P8x4MuXk0zOswjk4mGB3ghnXYOthSQB7GXnIVkmddcHGhdSxl93245Sug
6Utl716i66+TGvWGmjUniIeOTuyTVG2RbYzKhZXrf8fGJghcrEiXZA3VfxJqh0z5MNWKKJs6ZibV
8oROGRbSVEtGta57eIt/+7K+Dra8zE/nkhJDYdAh4NHav3Svq3Bwu6I+Rsb+09MjFc6ZTmGez275
759GYaOaVOwJdQ9FlpUhX22s6zCy7FNENlAEf57SHwdj08JoVOVm/9Fm9mmwOc6oTtOi7kUa/nt6
lwEgiHXpFPnb/Lf7vkH2gAPPNJZk/wcs9vO8ZlB3KBAZSrH69iqaNRuYVCrveiT5flNCkfl5at8/
rSVbIZN3Uhdc+aGRQu+IRovLVvfKuLNuBZ5VW8fKyyNb/h9HMXXaDhb79G8p01ZxqnKgP92LYz25
KJJMPcn7JPnrizBzIf9OKZ4sNdf7r2tijDq1dKyMZW5BrU3bItoowzwdWQzfTmaDK8U/PlHUKTkr
v47Cb01XfyFrntSF1itvsFr1ZkgjD3SlGCORVhx5eH9YfVTWgAgtXg2LOdXXAasgbCTS+/RnSEVb
eHDrLFTRZCDfSHRTqvx5QXyL85gejRLAs0lHshceHJexyCyjDhnNGDUHNV5Ez3IhBucsHJBJNqZz
IQY5PJKQ4eq7zOJL7IFujcs3Z4pKsIVPyddZdiKZ1TlVBfX7urtFIVwDJtdilBE4I7a+Whl1Caaj
lR6hfGRnsolFogfID5W5NCcWXOECSbxVdvF1mGgwM1pdGWk2SzDLBf0IWwraT34Dt7HWXDMB2+J1
ZgPRlTCuqzxR69ENEmvY3QYqjr1dSVmDuWYox8C9EFtBXxrVX2pttI95l2CDCtMG3nffleo6tGZQ
fVGn6791fvFZWumzjTbEQqGSQSiHkhpWyLzT3uoEAsFyus2FUE6aaOmwKNEG7eREtt4cyVFOCnQR
3SZF5XCKb0NI/lALnAW5aSQXtLLkQNGAeG7Bw6K56WqwKyUEOOH2CE4gvbZpedpWTU1DfIx2bz01
loo2JEnCxxr/zR7dfcucWjnR9pMpT9luAJlJJkxgNeBVE8DkNBIB6Iwk6G+5EKaPveiCDAQVFSbo
CYpy3UNaRKs9cdy7ZKTiB0O1IaiRQSyntTKP7SturcApjAGtm2Nn2nSCdNG+By1QXNHRpKduHkv6
LXhB/K7AR8b7vjKRACfCEo1bgyzaYqiEFklVQHphNIJtjitXtYRGe04eUMVPxUKSsftVbdL+71mJ
MXaUkZUZrDQUx7O5NfN6Y3VhgLFVBgsMsMai19fRW2wlNBkj8iMd8WtoRvEjFKzoUZNqsLZNO6rG
iZTafMc9/Q9vLb1fp8TCPLSpbcoz2ahHWLCodE6lcOjyFWQo+zkBrKy6aRhauddx/9SQJcRW6nZg
al+sCq0RU071e9FMzfOAmOMsCzrzCT8s09qXAjdEFIZWfZmq/aC6uYMZlyujoboOA2kIPVUP6sRT
IXuNqxm3ScUtq3pOfGsSub0S4AlPjHiOJL8jgqaWLmvw+cKUwbCJsLWTtq/yl1Qds0tnEOVrH2XO
fZT1KF9mErz7sGryJ6XS23sqadKvGN7D77CgAc0Fo2AnHlRnNN6WJeSTKNYJxJCU69MKuCGEElnr
tdErIiFfdA7SbA9at3Jrd5Mw3LJwustWxJXlEeDZ5rpWypYrY2Rme40FhFgnoTV0DKVWds0hKHlb
qRbeCHb4WzE504Nkyz0Ohm0PkjubxqFyM93uAKNayAXVKQHcxO0xTNYl1VEsbNAZP2SkmgfoaVK7
ceBKLL2mKTBBbeghYw66Pt/lmahRsCggfyW4Ia8AWMrEsxT0JlvTEfWq0UYjQIXLbklyM5hAloaN
cw3KbEZzSTrpnmzSbKwLoUln2LyaT1IB5v+E3oViv3AWYx9UQ3cV23amr9ugC0/SuU4Sn1Kg3YG8
w3UVVY02ipNBJaJYz+2cnbWWMN4y0x6vzboAKGonogHvwyMA/5J3jeyja89updqO7iSh6xfq0Kp8
lBPAXNpIsFzxuiy2n2ZlrM/zhO8RMWsOtoGaZWms80bJd0IbR8urWtjKq1hDOOnja2ElLrqlpnHj
UsDrU0gm0OxIHMKzM4TxImB5NW6UzOMdh5Bpbfp2AqMC5KAY14qkGui81HwEeWenyaU6RbbsD71h
3PYK6ji/0qaohSkJsaWd8TfmhbRF6lWqFeqgriUQCjofveJBE6FmOuS1Ivt23TV7S47C17gz7Ny1
sqh77Nu2XVAv4RUGHdKTykX8fTaTml0D8A4ZOCXPfBZOmq7kDCqTF0Mogmhe6+hvyzmLLmqZbljq
TdN0k+Q5/SCArMPfqIvy94qlBQCboFxslSkCSjxGpsO8O3Gndn27Cw1JxU+5HZNbvW7NZwL4Ol5r
fT6cU/1X3oMxLy6kxDHg/eKz+zzUfNRun7bai4Oua9z23DpBcA5p9hRl9SDT3OJYm3Dk2u3HWl3m
uy6O+9/AMRIoU7M0IlTNRnnt8LzPgNk7qA31nFVr0k29NnNK9SssZfk9lVCCSmNL+JZtgOSKqygJ
pCuqstLzJAO5XYoDT0MZCM4INJt3hbCxiHbyuKeSYc6RtgZWRH40MkaqIPpcU2vMUBfutCLvfxNM
dbegiVhspl2IGxmN+m9stTkR0Ok1fKCZUkOZFRNbYxJwkhhKrnI0FxlqbRtisifk3oBC0KvBXT1D
kZT3MxDsctx0XZpfaTJwR8RWrVb4WFPBMEqxKLls9LZ7FVoRnIxj1/6OmoXD3KMQz1lvLF63atTu
loPNfHHwyQG93yrjXYhr3GOVmVWz1jiJCs8Kjfwd2aP55GRpJtZhWjXC1Xq9iqmUS+JJSWNt9kZJ
Nld8VygF6UDIToHvhgDyrUHp3KkcGp4OCjKbO0ea/kohxVQgPKQ4oSaM5s6V68WnALBBfwc9E0P0
CjkZXuRzkEZrIxtHXmkzh/UOVHIN73ysitmfCGbV9YwnOtp7awZChAEMozqxUKM1NCYojuzvxl0A
u3HamlLfA5immW8VStFiKEyHHQA0s0QBii9gqLkaboBPwEmYRWNHZbmppxyOpC5GB74h9AV0bIHN
MsB1AKJFIZiATo9s4k6xyEEHE4/gNF07/a8xna1XwBRW40vAq9ATUigePUhc9m88b9X7uh6tvS6m
5InMVHMhteH8G9V+9VtC7gfn0haidOl4DyD8zU5yVheAZr0qqfCjaqBdnAd6TAikqn08rYNUxM5a
jc1ERixQpbcpFVqwWo1UGUQCYHhcSS+ll77L1JcKsXnvtxgzo7kDG8Wmk+n30N8IhVqMJaaNmQqA
YUYbBrQ04n2FaD4grrT9mIAvYbaD6OLfKkgRy3XGOpXWuDWX5aPD/Sv2kVSrpS/TcXsTG1qIht0I
I35RpBgAa8H+lOhlRfg22HJDd+tsY1Qg9Xn+QNiJookLQgbIp0v5YpSZ0tapFZRxsEUTb/LZ1ct+
CDksmlajplcSq9lufifCkPs1NcYMB2yt6jM3yoHFuHGMIH0nyMDq/jjQBEd0xjZqkZhoM2NHIrFl
0lkiJ/u+BVcKugI9Z9R7AOMr59quSkVa6UNXWA9jnYfwDkYgpqRPIQD4ZdWYIdhsR5rvoO3U5kVH
zW0+qYp6znZWkdEHmiJOniMvdgBi4k1qltKq78su2owCW4urSIvEbrFS7wCaypK8wwYhVHdGbqTd
qx4RZApXaaQ0g58EhHfVl3k/eUXfJdNm6O2YDkCKZMjpJTmWcW0QlYh3eopKBZ78XAXjlkILJtmu
rgWTs6P9Jm9PG2Ui8GM70fsbCMBVj9VGNOlXWsc5KbsxzTYYHMW0666nMhycXzPGIJOH75DtbAe2
CP1aI+QJvIEaXXJTVmGT/7IHNZ0SLt9Il++t3oZw1lnQ/x+SApQ+gKqiz0CXtQZXBv5Pwz5pdWTy
bpGDJ+NKQMcQGDWgwuTcikTxTDVtDJcgLZe5IPbCWMcWx+Wmydmnb5WaF3faz3mEYD1uG7FJyi6Q
/amOLfFLUdJ5vtQjMoDVSZiNFQ15Az35sYW9sxWJNzsI4KwmcTWAANOkXKYxvIukO0tt4+yi1hUS
SVYT9sbsm5URyDsuw5qzFn3Yxk9dRf07Jybi2qJ4lt53kYdjY3NXDno+rcKe5oNbO9Sknp1jEHAQ
s0Afb2LhVPgRjKGQ2A3Csnxoe1C1RAmRkq61YG6I9ExQO+u07djStGoMGZjXB+ergmAL9cgKasVV
iC7a80ouBJsrAo+sXosyF/O+C8ghvDuyAzZPGxNNfTaLorHPSjPvxHVlQ2ffdE2cLVEjBsN3aCmg
H7iYw2TT/aR0oBxcCzvz5gJRPyl7vJaTEtJwBizU65y47F7l1E4J1TpK/WQkjOi8TOjc84oSjkMp
YmAgaiIZKmcWAA3cSKUa8nEcRWly6rRR3CJsSSAZKfIIxaAz9f7REkgZLrSGxLmrNY3cvyLkwPHD
NoS4HxOVLdq2Bh3ilt3krQtn0rmmSKQUK22KzRI7CRqCVzXOGsWmryMFpIbeWdwoHN1o5PU8NqPV
uQqItWiVYB5fEdLVs7Deg9JSgvMR8oqxFtOs/QpGAby/IKqf1ngxx+F1ruaW5nfqPEp7ugOQWMh4
teSuI+nJSFtiItTbjpdYrAcCScUPgqSQXxQnA1Bg1QA68I3o4H1s5noss6uptRU8Cwz8S87SxA7i
M3BkdA9NMhCRVScNc3VDLn+sH3tJM9K9Iaqk+zXoIHUAb0fc39wsqiELOvToxydhn7LPxdqgSetu
aKr3wBjbB8WaZ7gMOINZJ+ZkhGCxQ9VItgK0ybXjRG3uhvj6NF4ta0O2D4ExYEhRhajYenLeO0qy
Wuc5ec81ikyapFyC+J0mV1FH7qyVHQPHlIsBCkxvEh3xb5giBCHU8NwyQkhlESpwggyoE3HjleMk
XsYpLZzLlK6/4CWeFUgt8GVg97eQYdL7MSWpsY8TcM2nkdaqxrngB5/PwbUOw1mOEwq3Tydr+mJF
TKtnnh7Rtbmt5JH13w6Vbl5GmMqANhiTEXqKiWVNfmf0kVQ9zUk9vsXjYBjFtggY59oKuynwaLdT
8lWu5PIOXsTMxkUMZE+/+kgr6/dpMbMMt3HntMqlKWf5nSJYLquxl4NLvSq4q8MmDlYQLdFt8MCS
95BPylklJRjldVSMFZ5jUdfHPlO395mc2N3eaeCFuJnm6LtgTLAyT0ejPzWNxuBTaIGdrGpjwaTT
qqG+d4NCWxcJBk6GNq3q34YIbS5irTXCUKGTjq8nmwa3NNPAIGNXhtGa348uO1UKjQeuuOW8mXFw
+IVRYjSvMIYAi2TXdRu4utHpp1MSlho2OeXiUrHonaAcpFm/aSU+HppGLDVaNSK13ucm2YhJLatN
b1bitOwVO3MrJ+qfOJvzwZ2VAcAskJlacsc0SfdWETex38dOOqxitapXSi3kFzxiCnVbJst33shw
a7iiWdBeqVDC5ECydUudgiwCYUNw3UUZ+brIGNTGS+pJ/MbsxHwdrRDaryTG+brq8okcm6zUZ1aj
WSzYWTXuuyaB5mMZNP/V8MqxqYnV+LkOSNNCehSjveFOWVTnjSRX4NdieZRDF/Dr9GrhJMNmrgG8
gE9iGumzMefGqeoAnfGcsYcbYciJuCFDUisrPVGam8yGZO3n6hzDd1aq/m6WtIym24HmXn+gge6x
sR0r9MwBew5vitO2dhWtkt9rnDz11ahQs/CmQe7mbSIppF2lJqneeHEZfMpJKoWH1Cx8so1MIjGg
N4OAC6cnD0qcq5VnqR2HZ+hUxVPZKqm2roSEs7VqCulxKGboy15apoqy7QzcL1aTFhKFJFwSe69t
C0VxBUxrHvHY6mSwi7J6sfCLzrGmCKKV04/5W4v9EXfYsn9Qhqi3vJj7Oj+whrEWn3ik/ULHB6vO
bkmG+m0BQYxY0Ixv5bgBhtV1uo3P7STeo4IEjzdV6Vxt4P/rr1CKishbcMAXWjDSwYhBMJw/+BRg
I0lGLqR+Q3mVjATS+OBY/S3wEP0KqxmN+ALTM2ub9bIze0afV8pOzYao8J0hLF+LLrVKLqtN/ADz
wAJoWxD0+1IizwVnsT6VKywXxCO8aaVOuSkQb8DECgBsoarIVGs/a7Cs3TEIPyhLCrkzNpZuAVA5
5SPuA03p6YFUUTyJs5D7mYZbFr4QuTn7zQAjHeQ5Ua3Ld2yr7LMDoHpSSRhIIkmKTS+ep+B17Gv2
cxHoDhCxaHFjcQwb9I+oiWYzKGIwfoXcvoHjY2S9zLH6iG3ObZriGroWuk4J05MUdprt4t2UmKum
CuJ3PANUwzPsxHgYUydu/SDvoV3qaT9Ifl8qJIjrWjTRuRC4XK3A1ATDGTy7jN0ntzO4v02lEnel
VXVKrFhHXpQLW/ESuZ3vda2mEmtNMEg8eMx8JGnX170fIuqyl+yS9Rb2wRB5FNpzdYt7XKrt9aZB
2haHJbT/GRMazxKVEnudDjndKzqt7dyU4tqAQGUAJxORaSEjY+jZTSVnU34uSZGdgrtz4icWI7wS
myNX8U0uRRstqpL+RNSAaVc2if6CjYMYgv5UJVR9q6zycDM4JVzy4D+pO48eubFtS/+Vh56zQG8G
/QYkw6RROikjpJoQsvTu0PPX98eUXnUGI19GVwM9aNyLwi3cUjFozz57r/WtwA7gXzY6aV4MFQvD
D6GvNW6igQxjibNgu9mFQ8uiG0UZUcGWCsCzXJXdOmyF7mJ1z0ZANYpebCRJxK0PCRHMZpnqkdhL
EOOcq66UjJ9d3Ers3CMaVb4DYPxpaFU4tnl+TRuqrnz+9Wga6zhosIk6IgOo0xmT6su9kosNGPZ+
8tWOFGtfrQESATKfCXHojSn+lfe1TdzDOGvRVYbBLjR9div9+FEEaQNKBikcbaNGs0DLsoPxkAXC
/M2DjH0+5eJNlctjs9NI5+pci92XQrSD2j+1naU983oAdBFMiW9TUSqEHgFFu8PWSh+DhIGeAZck
b0oDXJavDDGvD12v50QtVWj1iS1/CfArAS0C8oR5U0OW5DVOAh8+Vkb+9JgUFjOROaETDo0bmrEA
LS75dhbQ2qVbIn0USR6HLO6l/J14HNN2JToz0dUM9XXcxUw/QHj3RXU/FnQBPjD0lTt2DOS1kLXW
OzfJjEf7Jh8oyD02v3KxrwizAwRXlHyrQruxn+3KIVLMpp6K/RnFXhs+MdiI8gfBbuMutqj+fUuX
6BQFU/m9ksBLejkkyl9OXc+fDKZUYGmLRlPorcXZbZz2CrqrUV+s9kb0mY4exua0E8XeCmwjZkHj
ItNTmpr7setmzeWbT4Ekj1F6I9qsdja5bVL2GqN1zZdz/lwbeNncOaywSlPjDf2OlirRFKPWRW45
OvA94WyL6Lc+7v8R/+a+/ykQB/38jw9fq+Y/tl3x42sbl8ULbud7WU0iDqP2N33nn79t/qHxLMGg
J38DJT5up8fup5ieGAZk/NHfHvbln/w//T//4Gs+TdXP//k/vmMnb5d/G0ix4jXZBobNq2He8u//
8+fuvub8uf3XuI3P/vk/JBxL+ctEBIopX8YmsshN/4uDo//F5Bc7hbNooZHJo4T6w8FR5b9kfD46
3mkwOQqw/384OIr9F84IMKI2mlJgWwzg/+u8H36P9bhk/62XfyW2wntGvYj4FoA682EGj6fDv9kW
mgTG2AIB0Q9wFIGN7OLUdq7Kif4t74dTwqTspZ9wrNt7cxThpQTf1ZD1zy9ATIeUzsHJvRo/qgkb
CFELiwzRMt2KWsNHFBXKhjiqCziG1Sz85UgmamN7Yf5w/VYDVqPGnJXLg0ndztsnV7PhR0WWXxga
n19RrqlBSw7mPIbMtXwtsjO5VDtdp51Jap8oJ7nx6rIk3i6RWxmvaZ4B0KYdd2eOnXHsx1KNt68e
vj83+TVlaDVJ5txIttVV5vBLKxa/0OlNdayituCB6ZsJBf+mwr7+IZsCZwmYzHejSYiiBlb1gvoE
fR7/2leDZA6LqkZFrAHyifu5dvw7ah7UmSyMjUwkZUjeYBzJV9LLfnCOVDbObLtJNGkF2gAvcuqC
IZfM6kQdlZb3IfzY52qWBwI/oV/eFpVJFLncm+S6sJMKXfBelEyJcLSbGtA10+EEhJE7zoVKoos2
0+SNo2A2vQkqtrOMR5V2Rx9W/0RmRb4sBKNqucJKYv1HEqFm5HsuFcM2YAPyHGlx8pmblTxZmaZ/
A9FN8M2ETLDd54lCAWrWjvkUgqv9e7ZGw3xsjSjLn/V0pGZ3jKlO9nYnmV9CYwr0O+J7ou451ads
ByZx7oE3porqKSYDdVcmdOgIASUuNqwATnUXUDp+DE2raCjzreR5NmdyWYjY1SFnDxGJLaXQzXlT
qEH31aSE+a6Fhuwvg3iNCWYMwz8YmVuSHyczh6qpBypPV3rrg93NzbQxLC67ayVRQJWatEboJpRt
ZO7xUGjbggqy9Fn3pNpHeNmhi29bQBSYnmDFt3Tnrgoxo5Q3ybFIPALsyXyx4f77ejexgcdTaRBP
H8OLqWj2uUo+z447ZrN9aw05W3ihxPb3PBvp3lLTixz7hqL7s6MkOzkmN8ZFyzONnsmL0u2GrPoJ
W0z5iCKBGprI1MFh+prnv2onXuwO04jWg8vZPxSi/1Ym8VS7WVLqDCBsymYX9H/9PWCk4TGEBHMv
DZjrkUXFj1iSIrpIpvNZhH30cxAx/SCNhj5dK3vWPmdaX+8qZuI7VnL7hsxMC3UYUcdfKKyzB7XW
mJHGjapfF51jMeodNfXDOEIJdudZgfoMYUSQujIy+1NG8nhCKOa5X6owG4KWHERvYCsze72tD3ej
EnVA2hncKSDPu5hpiCpFB+KWoseKSYmEf7Jyun2IgyVmop2FJFnYY3LIey4ayGC2J7AVCX2omVaR
Jnk96kkwk+RB/isS1dx5ii2n7rwILV3igeikJz7iIGVPZRs1eecFQvC5o99MPFhplnvCocJvDBRM
3S2cLMGPFlQ2U80ejSho1uR7ZZUpbct2lvNNZfRt6am5SVRhog1tQLHE0kowZlPeJXrRAnbMg/lp
6qbyi93O6vewLWNIiLUUPE50Oe5p6Vmmq+DaAsALsNxNBqX5aZV28eDEaGS8MGuSxylW2nCTkBch
wDbnSbO1gTkedEnO/xbqWPxyCvwcrkNg298N2X/flJAgKD4uSqQggijIG2r0NJf3dHmM4L7PBNR7
1ZGxIctW2EFDR2WouHzLCaiT5XEABkRkj05dnzgPJr1VcNF9oRzJJAMkrRQd29QwN8rcW/oRzPYS
yLKm3Sqdn9Jr4X/Xkjz6kYp5ytUQ45CCIJeV7qsD/jWPMcv8BbED4UZ91hZfGfiMhatGbZlsmfaN
Jh8ySdW2JSGQjNQTW6jgIbQo8gNE14o7Fw1GfNQcWXivVWSTIDJgl+WbdjXku67XqsiVBgTbbPBZ
iHZzNQosfrw7szspNaMPh/YZnwEZf5Rr9vb4deyEZPlpaVVo68aKM2stTUJT4uhhuKkToeHlRnkU
Xevs+wyvGhImhQMm9a82mQkPM09vRIRghGNYY9B7b05SsQCE++C7Q4dL3/K6dV+yUJI/oXyke1xS
BMjuaBAfSisHboDXJJUS+jgXBIFwBS5an4Su1GFHUhif8jJpLcyQWiL8wrT78nroWp7MkeyJ5w47
QOLSzLZzLzCbVLmwqq00Zyg4FZTocApRBuqYoxc58CsBol3yBeqKbCGsdMZj1jyWSmBc4yqonnSL
a/X+wv3W0RAFKgtnxjaoCk+PNpfDXC6omU2cldIDkauzP7BN3/Zapn+Ikvbn+4d7kQq/XrFx8yI3
xw4ByWlBgqyOJ0QxE8Ej9A0qg+4xsmN2tJHRWfDsBXIL10jw2HhDRArMhiGTXDyrrY21ou158OEJ
MwTzayalE37SRv8gs8VBeRJqYUCbrZiGD5oTliYDDKlZYANk3fwsWPmsC8o5Zfmdp+chm6RosaIj
EsUwvBLqYUda9s6hvcF3LYWe3iA3/qZHfcNChJjJvKFWGtUr8PVy4xN00dBGn1WY8vRIGAq+XNV/
tSf6EH/HKF/+atd7Gwrzf7Y2//n/737I4j347+Gg2zg52Q0t//SfzRAC779Q155shFB+/wXEQ6Nu
tDRbxfrxzz5IUtS/dJAVPKZ4bi0Z294/GyFJVf6yNO47knFoNg67on+zE1qO8vohQtEMKQmVOzZi
ddmvrV712s5Qu6iNfpi0eroOpaH53BOV8K1ohHEfacV8n5rMpAKUn3cS3cwrBtu0bms1e6AJFV3y
NCxbvPXvMVRGjAtkCVXoC0Lx1aeHfKIolAfJOuhqol21esm0gkqHvDjLcXsHApQklcV2TsA4Z7/b
idUCRUjzf7dvWi7Mwl6zuDnYNZH5nn6VglklUtPplENQiGzDiKFBgTg3+1ePyMPvt/X1pgV86/p8
GcypGipiEus0hLenh5kyck1btQ8OUpDxDi84DZvUMo9wE8ZXQWuzdWlv2PYgS2zm4SdDEpbFwGBO
laQJC6HItrlSd7sxD4kngFNAYngQ7IveUXdk4pLTRcfrxsykcctERN8qMsmrxPfkNP/yxNnohag3
oaaGuwtnttricgEVGfObii/eRuz9cqdf3UljatW8x+GNgqu4YRTrkzVPvE18WxcGG5JiT2vQZWbl
VyWJAGRNaRP5BN3kYs7eRyHoeTnYqhr5WoV1TWrANkms/Vj2H1vDcCsp2EnqRCrsvxOo//nVC1nN
NFgf1h9VNWDAM7StfYhUs95LNqLQqaqbCxdneXhefbp/HwUSJPUXfTh1LYPPx6A0WXfsw2Qss5cE
ZdHEkOrCjvilj7E6DLYdbE/EXqB2XLsWQhRekZqp0bHPpvgRP6IZ7kRFmi/5QKzqAjGBvNXsJD5M
oiJq3FEH8QEtHUN1M9WXhE2hDvOmzuqwo+A283KTO9OcXPidb1wNqhz6PjooGdCdq3cgzQRsHrKy
DklVSeSKtIQKIVm9sF6+9arxHC7EIRlrAErK01dtqIRMJ04KDhCJCHIs4+qmVuXKkwuj9RKqVm+p
LTdJUjU7DExEabS1+tGp0+KLocaTLxWG7NFNZPxWFj/iqEHXMRbzQ9ISdGZGfUs4n6ndOlUjbTty
DHwSpZTtRIiUX6at/JiTlntNqkB5+/6b9vLD17dZtzHsQknBj7++fkUeI2gCsnyQg2y4RmfDQEJM
31iB0p2NmsHryF3YdmOlufSdAPtbZe2WZaY/SaCerjsUip4RMy9+/3ctS8fJz6KxhnkKKZFB3Ii8
NBNfV5HGGOr2Mh0/hqoe3pBeyfxKkrUbO6jLm4kEbY/PmvhAtMufYuS/7e+tKsrFws8iQgGrAsfA
Ers6cqvNnRlHSXjM7fy2wFTx0ZKSn4I406s2MS85/s4+4RztxRrHCspabq66icZQphoxcdERsZ/w
yPOYfXIQQy8o88avyMVw1bjWLiwcq4bbC6WAipmoXX2pHdbEqbCk2HBKxz6Q6W7cRYviudD0wlPJ
Q/lsRY7FcLk4at087yBS9xfe2LNvO4yEBbnKfy0No+NySV592xNlRm5D4sthCglG0UzkpXJZeNmU
Dhc2B/obV9ekdYkZGK7m4hU5PVRNo9jIjNhBgCw6gsLrBnJeoQzf+rqL9rU20HCxrb0y1N9sZ54e
gV3tZzEavhNav3o5r32wLeWDFqt/d2Mw7yXMaAu3djsDqnUnRCT+lBXSNtPTX6nuxHe0pmv2vGz6
EtNQfVR04sbotOMsT/Kmwk7KoJkuo9JJ1g1hT/FmskV1MytyQL6YudGt7qHOHGI9cizzA82QrxNJ
NJAdSCUqxRLn1VQSWz22sQpJjRBy2Z2//+a9cc3AH8u41SgiVeuF0vDq9jTMi7S+Gq1DQUTUVu2z
epPnAaEOdT5fz6aNRhIp8oWDvvFEApewsfBorDmyrZ7eqMQI5UqrTOegkQB9O/amRqZBIe2RRY00
1icMAjPzvGULeI/bprvwQrzxSNp8aiihbF5/XJunh28NedLaLOU5iTRyQnO1fai08FHJy/JCZbje
eC3vHpg3CgTNlvnr2govyLIxnSlyDmY8F9Ab5c4nqYlAKrMpaWsAmEgtxomDPcF968vGNdthusBo
OC+U+RGwD21K5WWQsrZpjXnDJtkopUOGidoXCKZuGezXu1Sgdw8sTVwj3dfwDMbTPhxbZ9tFZbRv
5Dq6YKZ642PLTTcMqhnsrIqzuu9M9fTRIIj+MDYKnV9KU8KjShpik/FE2+wSJeuNZxuEL9RbKktI
Jut5RjINel8Umn0Q7GJdfMDBNrFLWKXaZO6yZFLvBsf88f77dFagcFoLfozFDIwUM5vTZ2sA3jnr
ymAfGjkyN1NcfBVjavvvH2TNTuGxInqYsRdrpiLzWK1XLat38rQd4mMpQbAsZ+Ie2xQv0zCY5lNg
iWavaM54HeY165lo4h26PWnJjm3v8rqjnSEN1aVH/Ww7tiyhBiukvuxT2SSenjmqqgKXY0NpscTK
k1PS38IenkFaBBkqmUneRZo2bYK4jpnR28N1M8DbrFuExheuzhu/xABbs+CbqSf0dclclgrOkhID
l1XAIJ4wZ+xRKvT3bFuDv+ny9Jt4tIpdaRC6ZkQ5waJY3kheg/Lx/i85L2sAfcGxZW7Hb2GTfnpJ
UMvJ6hjU8RFGdV1CNU+VTxi22QoTbUSs9VLwIWHMw+jY2l15CTSjnn9ndTaktOXwVnMZ1jwDnXye
sHfQeQZpPXtlpWqbgUmbZ+tN7VGdDnvyiPojE3fbC9K52CGXrD/aSmEfEyS1t93YN38DXqruU10N
P3aTzMy9zcQ1Yd293xcNUeON3dB1jCS3MwPL7adR7OtMnb00N5Rd4nQFmVTkECWZ6OkspeaFpeT8
kwIkmC/KAplaXonVm4CIL5pKcmKPdRmAnhAA92zcRRDlnZ6GvnoJ9Hf+frOxplBdPNdsws+2qiKb
m8qKuKV5H7v0B1F9SJF+YYU6345ZFGXwLni/l52ltXqZzDpD3e5o5XEygUqGtXHNxAIMeTmPuPom
8tLnsdvIaiHdE68U7uq4+UG0kfw9SbP4Cr9Vti3sJj7Apr6EpDpfPdmhA3ZYOqOsoesqC4Ss1OZq
kR7VONRAvJSpX4pSe5Qr6RLg7fz9gedFnUydwNFgRZy+P0LrqhEZTHGcp6J4GAQqOiBnNRkB1bCL
Gjt+VNS22zIzsC59Yc+/IYym2XyDpiJdEBXC6aEH5AANWLTsGJsWw0eDD4RmjdKGAeKk4iwqvyUB
QYVUjuWPNkCta+FQ8MIG5d/735DzB3zZrDGktviWADZdHshXBVqNPxNlnVEcJUViwNIT+GiapW8V
ToVVFrTl+4d7KX5Ot2LLToxWH+4ceo1rl7XB+D0p1Lw4Yjsajy26ol2Ty+0NcjJss7bVP9YKFNM+
Jyk1IpF4J4157YK+VG8thprkkcITdSJ2xwXglOu4AmqYJoPmGlkcfmhsFe8HruWdkWNoS/KAhNqp
G280LFGPVT3EF87nvAbgK86lM2Q6czS+V5cvBMwWKHkTHZtxyD6RESa2sk4KRF8LZ9erJAHORmJf
qrhW/XbWZ7oGhskHAkLncttObxpIEJtRe5YcWSzThyBTrGv8bfIuMf62zW9CLgQGtGRCWZX3d+i3
/iX8azm+RWHAW/O797t6eptWlQcnybMj62MLmhk5HrHp/YVre/4l4CgGryXdGBuBzurbC/DZms3a
So+63GT05cb+Jk0qa6fqpriwpr95KCrXxXLG3ZTXX4KICIOhy7JjVpa52+DT8LVEe04M07pwpDdq
K+YkuOIYPS4aGHt1VmD9CNOd0vw4YJneApUMcU/Vzd4atMG1U8nEYdp9lqzK3k7t1D506Yh6vxuQ
c5s6Mr2CpN3338nzNQdIHA0DB9EMxZW5fCZffQLidJQA6eb8oqBxdjk9PG92pEsb9fM3BQqiZdqK
ubAuUcacHgWzhjJVypAfe7uKb3urN73KxnpBfnC+d1BS+tKI6fb9Uzu7rzagYssCNshgigbn6qCC
hyqbI3s6Spb2szNEtO2bVN0g9m+f3j/S+VaMQy28rGXnx7RyPb6Q5dBu5bScj12exZsRL/WGbirt
77AursM5VFxpbiV8CmN3C982pDOj51fv/4izO2m/LGS8lCadirPfoC51qR3o6nEANO4XFsET4DnN
C+/l2Z1kIIHMiKbxgudiPLK6k7paFzIuvWOvivgKlYdxK48g2jX0NdsQY8y+ratL+OXTdYoKk0ET
1xUc0tI/lteXN1X0QXS20zyHhnmrdMkjTqTBzSPlEBf5r/cvo3p6HX8fDBgS6j7QotRiy4959UZM
+tTmShV2z/lsML+3WqNyJVOkOyChlteWzrTL7JbBqs33wRGKfh/mTbFJLcm4YpHpb2azCX05CQg/
LdrJUxiF7lJs7B4s3nQjuql/UqzM8dg7ERhbTIQ/A8/D1NiMF9YK/XSt4FxslAILspyOCCkhL6qx
V+cS88pJoA66AxGg+TU5sNIm5Bn5EGR17qKGVTcOflAPBgQu5JAuCSC8Zt/HjER0YjsPraXGG/i4
1abAlL+xTdbQNC/Sg2xli2VrEHc80vY1AiN70zZD+lGigN1gVSGFVA+Em1ixdMMM49eYOCMh14F2
VBML9ZesJ99tJwKk0I51SaOLyEtdb4MbUi1Dd44MhTm8TNx8PVi+qdBXfP82n91lrgwMpeXRWqpg
ffVxyPDoTLVtdYehSTCXmaj1q4FDvX+UVa293ACqPB5a9tMygxxttVirQZQ7rR7Ih6m3Vc4fQos1
Frrf9WX/eZ7In87nmFG4kIx9gKCfLdAUU/bgH1fZf9ySZJ1vBYwTH2HGJZbi+TWADcnUleeC9i09
s9Mn3cZoNuXmwI9ziNrGwat4DLycS4ve2dvLNUB7C3qY8Q917+pSF+j9lLgjM9cews6fqEZ9UOoC
04ae3VNtcK5KENkbTVuINGVf/y2r6IpIRu08krgJ2TNIvEYQpWTwpNM7xgzDhft0upldbhPts6XF
gG6UNvY6lUmPYpRdtqQc0sQwfHZmtifFEEn4Ez1WlWLck0od7Yja+WE3vCbvPyWnC9Xvo1NMMRhj
8L3Mnk7vQxWUkVSSkHvIEJldowBpCYunR5lH8yWm1/m9WKb1dOr4oGJ6sFaf76CtZlFlhXZgMwFC
pFMCnzIWTWqlhh9yyvILF3Y12H85t0Xvy8aWv9LAWR1QY+o7stJrtOgD8Gu5rl3J2HTuHTym5FiP
pZ9MKG0Y7GtXkjTrnipycny7NH1IU3A171/pt06fngIKHwThFgvl6ZWO5FSKuTjaIR7QzdAARxXH
BsjV0lb3i84qLhzvjTvLE0/7G1Yp/1kj31UE72FaW9qBD3xwQ13IM4Tm7Q5V+CXp80u7939vrn5f
aYbdtCOZNlHNrV4zY+EZ9Xg+D11TWvczjWG/H2BhDKG5mfXBuovkSj7KFiZlLcuUfe1gbWOXOtGo
EZ/UkruQfNN2TWn3GwmOBf4y5dKCdLrp/vMbecfQCiH3QHZyev3NLI+qOdCVw9Cr+pMOPfHD0JTZ
Zqq6cGsz693Cubb8sp8vxWWdf+sA7YAtIwgQnB0To9MjS+yYQr1wFL51qrodUnXYggwSV+8/X28c
hQaGTDEIRJXGwvI8vFpvDUgW6Qzj6WC3kYLSlwZqE2XphZfqraPYKNUQxdHKYcB2ehQL9qsThZlx
wG+LobEsPgkdHeL7p/LGo0uYjEm0D0jPpa9+ehBFwk5kD5NxABJlXoWyFO71rixuTGzSj+8f6s3z
IeeH15IP00ta8eurhvWIntjModoiCjZVwaiy0PLuwor/xrNHz/YFhKwwrFxPKth6RWYnRv0QU+js
5pCcQdSNxuMAw/dmAlNzW+Lx3WnCkS9cSuikXKzVu2ma+hJ5TEMRPcrquU9Ks016ImYOSjc60QYD
wERWe96GX0F0UGxFLCqg9ZQquYF7mzwLhLVPdK7qa0yC9ndK4voDZBfnqEShKLy5V4KvEImkx1Az
qvu2ygCbSIW1bXWZmXpSW3GA9T+Zv+VTlBgeHM7069xOODtMAOHoPFOTvgDT2uoW82241YgFWEhR
SloR1W2Lr9graEFK5NbfgMwxNuDcCpf3m+3o1AUV2vRF3eo6ojW+B3FgfYMlLzS3weOWYANsJ+02
imLVA6PTx35mdFW5UazGrG9ERgt98UTKX3Wtt35IeluR1T6PA1D0XGq9VCnrzA+jtPk4IR3/qOkd
El6cfcFDoDUfojItM6/VpkK+Eq1ufXcYEbtVXDXDhoJxiHfJHNIyThSs134alMmNY6Ro4wPYMrNn
Fkp7C2auKnAIRijkR7mwvpAaZGluJ1QbA3isIP6ZNGrlIAPjtGmyERRfDSbhrqYS21VioIRBczm3
bmcZ4timNj2omgl4tB2g1BWeMQbF1zlHHdQyHkPEP6hcv0CbtB89RJ/Epazj49sU5l3NCC/eZlVX
CAg7A0aK0kkSjUZWKRaKTiTHe1Xugo89lx+/bVr0kH4kWBGAb/cxxt/7ZYtyxVdVya/6sBA/tCAH
J6XlVZkC9+kxQzZm0D2rWQLgn31J+4xTGWBSq7QdWWW2sU/U0UCzrQnrRxpl8602NjVT5sqCFqyU
SZ+4c1uklO3xFAF/RokDGNCoMw+SyHyl93PFOFovpgeRo+CfRl3dTwmbbUySgUbA7yimz30tqZYn
56FyjT8RzzRsrhZRQhLi1M3UoP6i8jyyR1ZasDMgU9BRSwKrSY4S5tcAulD4SpypcDPkWTvalUif
gmjxOxCzqt+2oSynPkwewmR0c7Tv1bYKPKic0WcF80TrjnZvbsO2SDqP9nVjXJXAFn69/yU73R2/
rG+s9EgBmJ6RwPmiInj1/ZfmXuppYyKjY215HssJeZtTj1Lgjjz8boquawM97pLnaJUd9fu4jIEV
mh2AbqnwTj/WmdVUYxQYwcG0B+MDLtX66BQSEJ7eEL9qAdMtKLtkEzLI86uhw2yS6cE+zFX9Ecdj
sVHtChFCzd6PV5K0qRJExb+7MswS+YpbTC7JP+BHrpaTTgSqVhZpe0iNPr5Lwybb2H1igdxqQg8Y
kfJEOXKp4by+HctBge3zPZbpI9LdO70sOIgQYXV5T7VrJV5CEIZXhuq8kaPN5Gytvvjx/kmuP/Mv
xzNRdiGJURFRrj7zfaV2EzSx/hDMNe4ndvZjMkHrKRWxRwp0YUFbKciJd1gqDZYy5n+0PWksnp4e
xhNz0gDVHYYZ5jAupdbPULPeR2Xc7xNWBpiEDaRGJxZ+myfBPmKP5wVCU70E+oXfMrr2LKCI+Je7
elMwavSkMk82UZw0HxxAFZhUpunCavjGTUG0sFQvL0O1tWxBz5rGiYx4OKSAhLd9rtsPSqQC48G5
AJ+8CzbRAL3oX98Zbalk6LoyRkYDfXqp6LwMWVsXw8GpRb2fbEna9yj8XFSnBK61fX6h8H/jSVg0
hFScbH7hJq0ed0x0baNhJj+EofkUJ2rNDDQ0vLRyrkMdWtz7Z7f8+tflBQ8ChFyYDUheKNjWtse8
naOBDtV4aITUbQj9gFyBC/7CjXvjnDgfmklU7zT/XppNrz5uvYYsOx3r8VC0NXQ2YwLbN5hPLAft
DVv0Sy/vm4cj8JfeFbdMWU/JKNdwCcXqeFjSKjx0JiTrIoK+mqTqB42nS5kxb1xDmmToaajSaPyt
1YslNpshmIvpMNh6tEWiXG5LK1Se379Tb5wUqwOmYy6ksgzQT5/DwpTsoMiN6SC3xldgIw+O2v/E
V/fTGvti8/6xVoLMl+8D0l6NzxFTZdzMq91IGNnWWKEZOeTW1PlqiqG+t6R50yeNviP1LNoPVFyA
Cvv4qu/jwMWXNvpWRPJZk+HSqmQj8gtqhPd/13pnQcPN4WtFK3Eh6aMMPr0GTpxJopiU7iCFfb+t
7ARMkyTb5Baz5L9/qLP2w3IssK+LVkqWmTyu3kNGckYcB3Z36CjBXaTa0qc6gjE8VGa10ZoSqYJG
/JDu9KFHjOyEk6+pdsFcZVcgKfvd/83P4btAp54xEDPQ01PPlBKBIt4Y+gFSfTWrLL0INIa7PNJH
XDH0npq+1JDeo9RTgxFETUdGTKcUzR5o0XBBMnXW6n65OuQLLE/8Ujysrk4Feiy0Won2MPrqG7nH
YWGMlLIOMgTfhI7jEmtb7CDZ2W4FXZOw4sDZ1XZCLQv9xhOV2Fhzm+8cJrieLaXqPTxXe2NUhnTX
NUV2PWdqvs1U+mkI/wBxQBNz26wcLgiElh96+gEkjIi+gsbdJtx5jfrvHMDSEiLQg5rNGC5LR7vD
AMxKAp/OtSMn8DJGCDd6oh/ev6PaWw8ztozlO/VCBVi9Y3JPDpKKU+3Ap6OCwDPNnxClUh6PlvxR
6xPHb4RubAejnnaNOqa7KXe+xEmgPnZzVR0hc1hEjhS6p8Pc3tELlsigVYyNGBh125ok4UXAJCsZ
RAJ3ItK3Zt0HXmkSuTk7UflsZ53t5rxsTJ1iQYCw6G4UFIcuSZgz9nN98IAuZA+SCiuqbqbpQl13
/tnUX+jlSOGod7S1mCSFPu8AFpkOELiS7ayVUNiy2Lhwf8+vMoQG9sdMvtHisIU+fW8mUcrYmc35
EBpl50kCvCzio+KqbgfpwifjjRMCb4YigjHeUsKvvk7k9bFjbmX50KHj3DVzX28zYCwX1tK3TgiP
IZlJjNLAFSzrxKu1NGQoy048VQ4IXmzXwPXkzpXzYOdKt3n/CT1fcdBHo761TG4UE7TVOw6OXTD/
qOm+98pehp3kmUr+WE3GtUnz78LFO38PGW1Dk2BmD4eBauT0tBw6u4oIGu2QmqnlSuEke/lkig+y
Qn8vaBN5P5Vyeczk+VKP5Y3TRI6Hhhp5JIP19QWdYeaxh4+0AzAp61MT6l+VSJZ/SLEDd9SyLgUV
vXH/KEoQGjNppXG/BmcQhWC3VThpBzmXFV8WsbWL7QZ7vWR2z+/fQJ6Is6+bTtmFx07nqaBLtrqF
ijmGYkoC6xDZ4U1TV4W9iUUb3rYlzSr8ILr1aUxA4HuEe9kfyxbVCBCzPrW9eTCLa0cN0JSXE0Vo
1+oUveyBDPzCgKNk+GglQC87lpMvtGvDZ2Fh0Ng3ugJjQCN3u/ASp6rojed54tbCBpnVFmOkeVBc
gJ7HZkHYri5RVrCI6trk2qLTr60htZ6QP7J2wZ5wGyaNhxYcjT9NYUm3l1IVSbq0rxqrfLKCvO0w
J0QGVpW6f6qGJeA2HLjwoIOSovEBNaufzVLRxitrnJTPkV4/DQYeZIz7bZIhGJKyL4meJt0O6gJt
mZClNPPLBhSWV8F19UJYkVd4zzWw1oD3fauy2A53cvtoEI+n03OZenWvs4R96ijUfzCOxgM85iDX
bKsKnqcpdYD+qXIfeTWCrWu5XvhEEZkBlMJyTvSwEGjyBeJ+x4voaeHCBoKPfb904PiOsdHRSgFD
rHipOYyPE9RLiF9zXC09nDC9AbGjIGcs0y9KN0nf+DrQgMMGVvE9zcw9VFS++2plDo1rlGlE7JCa
5H+jD6IXs/Q9Da8E/f6F4OXok6h1MAUmeUmEmbNyoggSc/NM+3ZA+Y506iN2+/AG1262E1PYfmxk
e/5bsYAU7YBWA3iOMl3QdCM8ytzZSD0TL0OPMm7MBlvmczHHdXBvDM4cuLRvojsp6c3kwqbmjW8J
3hn0FMxpKVTW8wyF3nOFg2Y+FDEEU8skkxc27raNQGZOvGcugyvFt+TkQpF2vgAYdO8XVS0uJhKQ
17vq2CizEXLDoR7Rm05yStiydtEbcf69WuyuNF6XiSjSttU7TVRGIPVlKx0oz9prwneanTqUkmcb
dbTJDf1SJXz+weJ41L/YPJcNnL5acECgRxB9e+lQQTTwgTJDo2+0uwaT4fbS9+rsc8WhGHdheCLq
kDX7dBFQAsyho7CkQ9xY0U3kKPNGoaPpy1bLaAdkL3GwTvgEzqu9hydX/IJdAnTNGDQ/MSvpki3t
VG257IKWn2M5vNzoYs7yrJn0gZ8fVOkgZhOvfFTHD40Ipms8AZZba0G95dUHZqaHxrX4X8ydx3Lc
SNem72X2+ALeLGZTllVk0UqkqA1CakmZ8CYBJICrnwdVE//XZGvE6N1sGGo1VQZIZJ7zntf4NSAn
q3vdzclHmMDvFhbET05hukzmNu+KGKs08KW1hXjRhpFtencGqIz7+IPH5jc3mjOYpmeJzKRtXv7/
3yoLUOo20UHnP9uSYIzIyeVWTba99+tuvPrznf7NF8JWxTXxS0B58Q/BX+zhNlHFffSc5r17sEWZ
bWoJ6fzP7/KOXHW+gf4Co/gw5phuvs+MXTyjwyFD0ePaErv5PlHXY1GoHVvwtLUjBhd+Ke0tWQ3W
SlUYS/lyMu4/+BC/WUULYwQXCohkzMWWM/pvlzVt2oyEjla+xHKAy6/IpLmhy5mIJ0zcSkBeWI5J
Oy4MpiJ9/XlGSFsfeQrCz3ZkIBH58+f5J4i2CF2QnSDQtxdt1duP02TkOcSyQtQYtATZoq8Szc6e
a6/CtzlOnG2d9515VI3AvOnfvjVDOs7yECiRzue9NF7Y4TiW7JvPhoV9Q8LMag1VPVqrrHgl8uHn
WLnG9s9vuaAib9u7xSxjsQdAQcFR4Lz9tqnRm/68qNObcXJ+kp/LEY+hdPOMozCOGCJuBocRQoQt
ju8ldoYpKiyxD2rbf6525MtwF2G+QmCEMPn2Q/hVHyVJR44DoTdEGxHneMQKJ9r8+av+BrR5+zbv
EKLZh3iSFktcRFQzqfIJpw/YOq6DxrbuA6PI77IxbD8XOTxYmzBlrKiiYJVnibytWx/hXz81d1hi
hR+0YO+4q8tjyE7K0cjQGY8YRF9vv3+vYmvuMX98NghY2fFr+ck1mb4UUtY3uT9H2wxJ0gbXfgxC
RZ8D6M7jV8NuRrTIRMBYmFh/0Hz+7mIBey/7HCxPssLefaa2ieJZDOMicXH0PkOSso2XOtfIcYVW
08DIpbSGfRfqnzCIo7va1f6GOpE9fySsyA0VBj1RqP/1xkj/dp4CceZGbF5vL1UVC9tnwsQYaHD0
CrgUVyikeB88FWd8/91jQee4FCs0BpBM3m0CskDdOCY1OgKjSInHmY1fdmLX05YkI8L6Smlhjc0o
eSN6Zy5XKb75e8dMCRaqsfokZspV0X3EuPfBgC0SbFSNS5SVjmay7eIx+ABt+t3HxWiAC4O+BbTa
e3cyWTIO/DIL0xcHX+3bmYSDtTFl4pbdHSeFGYKMExjqUck4OXoTBYOchuLomuRJZb6rdlVj1nvT
R8Ps9W2Ka3RyyeJpP3jQf7eqwJxx/WCaRtro+4zKKQDqkvYYPtfT3K6MvMDDObebWxdJ/XcxxsMP
ObbuayVy/L2tjtrdUyMEUNSOi1cGYl2P6OoVeNG/o6ovzyAbLkQqxlbAXcE/RFdz2i/29dFzlyGl
9EpdboRLXG5dRfKDNfxOrHF5L4q4M1KL/9L7QiIxnEZG/Rw/12ZICrDdCqa9Sq/RUfjbpu+KdVoV
MYawE+5mwsMBK4/FHbwBjWLZD/dOUOo1poPGyhxQCZJLKI8FaMRj09vTKqeC+Ywxbrf3Io35VWzy
yiJMtxG+9Wshivz5zxvrP7dvRmUO5k7mkgvvvUfe60FWhCrJ7AX71/hKBzI8WlX17c9vsizht0/k
QvSi1iTUD33V+2tGHA7Gr9rMXuRoRyuJWdkG3LPftFY4fVRm//NQhPzDWIRlwCYACfftJoNDXzkZ
Is5eakv6q6Y3yaNNy/amLaqOoM6hvzKoqW4IOiHGxhkxy48Xp26nt1aS7Wsr5sK/Q2ppbcPCVxtS
nsVWOVG89xiPPQlz/lBDvxT+764OeD/0tAjiLaT8d/sV0G0uCP9JXygbfQjPcZJ/KcaxIe9BD9iR
Qzdp7uBW1C9ez1G8MqMsPwxE00GQcScM47Dl29VjJW90PMWfPB1gVl56afHIPjKCgHpz9kzsTvSg
izo7GSP70GqeAC2wb6zlI7oKE+l+1hiwa3snvkmjuCnWVtXheSMIEf8GvllIyJcJy6QDdLe4xv4S
FzWuA17iGGZl0dFuD8VT64YNpsjdZLVrH+vGHNTcRjfFw2sZMB6G7q608v7VJFYSqk2O2fgH+9Tv
LiclGPs/pNGlEH+7AJTnGTnHYvrilZbcRV7RbmpQqe+aAKEt7/1vWfgLeQ5SPG5QIC8Lrfzt+xkx
uWWWa6QIf3x/4zSEvYU4I61dt422Nt6QHzTivyn8GWkuA0CUFexA79nr1WgEc22lHc4dyga4mULi
+/pg+jToQRLMx8D/hKAf4W9BaDiUHzPBu2co89j4oOZd3IDfLd0IcBtTE8b6TBiid2cXr+hFXWMM
LwAr7aEkL5nIAx3tal0ffcRDR+oP7x7ZgLmqQvFXI+FuJxH8dbNv28NseWJrTjxquLBqauZK7YFF
022q5690PR/F2/5jG4LgyPEA+4HeDDPYZeX8rVkJIZaPedrhgVBQPSbAWxlJkFhRnne7f2W2dlf/
LJ+69ufPDl/p94Zryyv9j+Pa/ydm0ouq9v/tnnYof1TlT570N4bSy7+5eKhZrvUfaCOgUTx0HCjL
Qrk4Skfef+C2MH+HkkGDz3Dvf4zUvP9QRJDktOhMGfp6S+WjKqKF/vf/MizzP9QaUPChnUfIzwBm
3jlI/8lR+jJv+e8e66MeRrHPCy3769k47O2tJ+MOHyEyCk4ucbAwLdZG1GJ61UzUgQSOCFmsyLpE
0qJqN8E2P2HMQTCDJpE7II6PMBC7MvyjHQ9wIpIOw4wN/YYg68mdhiXuwScxzghFT741eBOaH+nG
3+WslNwQ5i2QrvZVRFAv1JNVVhHxt9LoOZvgwBNSp9DpujkzjK99VJnkVgwONRKYiY3+OJFs9JBm
MPIc60jLp3zuY9yMGNoXvHMIMZJkKUIXrxKr7/NPy/cwkeZknbLXfMkyfELckj7H5OBZ32sdlNV8
GtDFF9eCCJ/5WepcGU8E7Jn+vtBW+dBHaR0DX9N18jsehokersg2AxOiQEB1r20nNXGUNTKr9L2N
XRd+dsLvvzeePIeoKDzCRtluzAZKO0lXiT8V8BsJ+QOjTfE0woNfuvarDlJdPfAx+RvU16l7nbkN
jmNu1trZqbX55190F9bhdQvlwH2KOxkR+WjEGVgxoWAtrqnYQWCn0aeZpMTMdP/TKaqpOnVJaTkL
fZ/stwOicsh2HjFRFFQkA4itm1nZ+OAUvtt8l02HB4kzuVl9inVuZfshmWPrpW898dK4eWbcS1O5
3VUH/0bt6nT01A6PaBMPeJukr83Mf1w34EDptR+ISR8SPXBVi2LK9R1etmn6M6q06Z5mS5Vqr7FW
GveZ4tLhuppo40nHrt98Lz3Xyu68NC+jva64k9c6mHHoJqY0BU1xMg3XMY1p7gkHLA754Fjttspq
I9vJjGC5ZI1Ruld+cSzUkZhpM2y+9cxm6n/mSc29LoXpZz8cs1VwUHvXTb9xneX8oCQin+XGKjNq
13lN2PVzH6pME93VFLl6bV2Bz8A6LScWWpa5CWTXzDfr6g4G4mzf2RBw5RVG0BHRhxMH5R5PTRmv
PYyvWaCMxVgxeZhxxetYKgevVZnLe6huXLyhZM6y8XKeBRRPQXQ3KTGU1xkpq6TEkR1+k5jIo1/M
wU0l97vMo6s+951yNRnU+isdpkZ38BtP9AfgLb7tEKa838Dd7h5r7JfVCrNEwiEMM4teqDqrfl+6
Q7RjGhzKk1npyt5DHZf1FdYwg3WjM1m4e6ubuc32+WeSEDv8nHplRzSsKepbuhwvO10+dKlmlm+P
LDk7BUgDcDkZSbR8DnsbT1GdZ9O9C3pbP8SWyV0AsBmNzRiPSboeqI+4cIM59z+t84oUdq/L6zlG
a/tatVnKPISpMaFMdpIZV9iUTv7Rx2PF+KoymfxYAPmIbCXhpo+lyGNHIgRKDItI63IqPYKwBl6C
tyLDeGqGOtm2piFJs2KAAKHcyUbsgJG6Er9iTxmfaiIfI7QyYW7TTFOLroi1DcSh8pOUecP5m2Yj
BtEPvZs5zXfm6cv69y0gtWrqTEgbqTK/DmEy2zeW4Wm9h17JpXKdgu8eZyZ3hlA7gzjc0o2dfSRc
LlgIn9n8MnaD+tyKKJ3WSDnVdYlmk+ClJMf/NaiQx5PCLWR/SOjasxPM1Wo8qtztok8V3G+5DezB
7A6NcIYHEneVi3+iX2fbzvNYeJY1B1wdNQlX7/osCqsd+aa2T5wUG/LOiGeLJ5DIsP7QG6SC8+AP
2T6OI6ta0VvO/X2i+x9zbVfyMWHENR/7wSR9ph1sZMrY/QKZ533j7LVtkWBl5zyQJyuajeZxckUi
v5GXIa29mkYR85629U0AUMC+lllbjg95yrc6lGPFWkbbzz7q6mji4SkKPvexXOjMR7LlZclra3JW
VmUpLDLEvWKyFmvvqTHk85h6o7/LJFldt0MQL2mlgxGUcJ5ntxfiPm2HfrjxEFPNekmASXhjh8zh
a3JJVVnQeDACJ+c3M7wbQTKRv0/6nPsDq3pst5jVEmRbGFiMr9pk8hu2psxhF0iCjp8iNxL298kB
Z9orRdDqliXp42ApFY6WbuIaK8Z/JZGHy683GAWp3eUpm3CRLq5xvM/zp2ScO6xxz89dxwY4ET5i
JQSeT2MePZR1Q4Rf4Hjd/Bn3A4U7ZV53/S0OKJn50GPgwWnL6MK5qVTC67GDdCMavpjIcDFsauza
s5MIm6ghPsgch/Ah6iPRv6JHCoq7ucRl7GTqsKjuMGPEUH5dOy4xnbhBhMHCVW64P5eHf8jqgaOv
Or9iM9cszMufFVGKxtPEqc6RmiFDXc1JFZPaSapZfWNNUSdPl+0KKuSyW0RE4jxfHhMxEF2Lo6jy
9LSbFlWoXOLHQkGGkgoapsGVGDRBvX8r5e4vVdDfXU7Pos7/Fkc0E9TF9jK0x0sayqz9rgEdZ4wl
xWAnR+2SLPlQW56RXRcFEVm7xphF+OAlrv1AcGCOqz7hS+O2AQsfv5hLRN2JXpwgYuTjedFtkhqB
zMpubPZQlrwJfyPrq/nh8sqh1fjFSeiG56/vIZoeBAPppSywzY4o3Xb0h/x5HixOmhnYMsMmL7GZ
5U/I0sTg2a+1PePN7eRchV0WATKtc1zUgoML4wiv51xYJ+YKzaywCXEa46lJjFHzXZaRryCu3t8r
zPG7g5NXxMMZ/ej9y+6Mi0lHRn4K8CPIKyjz20oTv+DQqjhlj2YkjRaP7gR/QjoNq7PvJr+K2y1I
I4HWxM7qeO00Ym6JQD/vpGaCodgHWmfI5G96tMXdlYkjBCHaM8Ax1M5vPxCes7hiZEF+LRUTkL00
dZ19RvU1po/o7dr5WDGrFHBwiygj+C/juZcyZ9KP1DRDFmS2rbMR3PdkmxdqoLS0KmLWMmfAlmjd
ZD43a2D/CAgrDqqO1Ccir4ks05Y8kQ3WE+vUul3/vbbpZb8YaUfAHm7p1aqI6jw5sjXMT27FEZUi
e6krt901Xn6bOFEBG32R7bjZ45jMX6AXGACwlrlmb0O3MHvrsvNuQate8iXDYvKNVexZO5t85apI
7tkm1yS42ysVwtMjP/yWOL+Hvqbwy6ajVuRJdB2+dySiP5hjGp4cxLg4qOI7CD+M5Ip4yo50kTs9
92NIS5CU3VVqWmCaiEgf4xg/K6LkSD7k5Fp75Yi2yNYlWuVseBg694DRyKEs/a9+rZ8VaR8kYozT
NhTWo+UOJ4PpN+uekY3hQxJQfpCvTRdmhLR89ZM2trf2WniJv9H2LO7zuBy6v8wAZtyt9GXI7P9c
j1qCkLmnom5u2zLb+ZPvXZVjfhqD4D4o3SvhGCe3lHfCDI11gqB9X9fT977Nrv1x0fNE4U9w028o
btoHnNPHvde6CT4f2l15fUQan9MrEIZULm9HrvjQfTYbPW5ymyhmJ7uXQ/tkzMl9LqsfzhTW+CYF
hEnnzqdWEs5m0V0RF3IdOeIY6ubeiCN19PP+aFujWo9D+pd0mv3YECaHBc7OiVq4Laq5peq4RS9I
amAW3Itx+uob/tM4M+Ksg6HaV2IO13QaEKp69TPUGbaJbridRDlsbQSAeCL8wh9FbWfZ/xCi/Ww7
wGS9Q37BOOpfdjw/+MhxyEkMH5y5OGaou2VexU+QYu6lMX0hTyxY1XU/rJpsPmpvtjdp0wzd1ohI
bdurgbJkrRsQLXbrW2Kk92YaXCvP/AHleLihwMS1K01d6CH6JPp5V7jpSdYVMScqnjdBB6G4QFzI
wDT4lrrWT8z7H5rMefKy+MukuUpwXuLK3CZWsNV2OezGAr2aQcbmWhORKjfabZLvWdzYRKgFbVWt
euVgjNUsk96VBhdD24J5eHxTNcZISnLlTcFd3sb4TMZTl9y4kaHKWywtvJFkL0IVMYprpy3haOmP
urOhQ7Xo1RJN/V7qdlcTpPw1SIv0VODbka3ZQ/2PRvTOMpb6+zm0hBRFmEtABYCaQ/v/dqeqS38o
MNnDN9QSwfCosU1BGQVw5GwTp6qIBhRmYSGk42ohdxJGaWNJlVFgptA3hsewooQ5pmMPQZ6Etzag
+aQMda88ZfXxjjF1uSSFNpSuUC3yeBUwqhc3vfQsOKqdUASM9PkC3vsDv+9C7RGrkKurd4528nhb
Yg3dbtsSVO0QZEpkt73VUwKHjI8UVbrf4VuFoMr74IS+KGT/fmmQMqBrXFSSOOTgMfIOuppVAGot
s3g/dbWcn+06d+I9CZ3GC8EB1I44xdNBNdrFF82uk1TcsvPxN+bUUwT7DIqyU6/JP2FXkH5xXzYO
4Da7VXcqCXEm4paLRyijO0o2y4Rdu1wbYzjnh+Z8NHkxQN5VH4/Oz0nZQn0f5t4la9WLw4dLxVrN
jEE4P5ZOLtEW7zdj3CA3ozt502M8d6T+8EehoEGb1WtlJtRMrg75eFkPCfrBHi3+XJENMz935+Ig
4zqpXdnV3DAqbcoFN66L8butTD24UKwyrNAoRrPe3TXo+YrrYMRScEPIJCX0pPuljEhRd70SzKka
KpWR16i1MpZOCXOo5nsDIs9bSE0F2pU6mZ9hxYdUDGaswltMpGj5Rxo3PA3JP/H3BEjQiVzepktc
Pl6XSiqSNKX5xHslVvySrAL6ZnOcK/XaOXVT3U2CWcIuqkouUegU3DDfF8t3q6F+A66c+6CI/Kls
25Tzchk6zOZ+ApPxuXoEAOo1tjv+ma4Zbz6k57o8l5JKxlxM3CRR9EFRXl/eGQZ1ahsbhgPjmK+a
M2JxaZ4uy7U3Ir5WQFmgjkUY1022ngw3MZO1Jzrb2g+krfh7HTRc0UvBpQlpzraWM0gQkCyZul1+
7gNh2ZXYw4ellg/sd0FA7mREQkoMrAorjczGbhzucoH5zcNgl4iryg4MfVvrKeh4zpxqWcxwIXNz
swzZqQpERj36C6uZfPqcY+hJdiCpOP7BjxOuSzDjwX8iWZDbaWbeMqEZgyoPXog0B96u0HiNK2kY
AyBTXeYDwZhZ7984BizqfAWmHqqtEw65TfKswJn/e5U13AeUrxUeNJ6gQMQVslavlys1uCV/E8ts
LlChDgv2AJ72yhDQ6b6jI/G+uL1K+yMkRTAUwB5uSGNPvFZZKT7updj0LYLnoVKV1OH7qLBKFrhW
kpM1HFF4PzY+hqH+Kk8KvS19m74Fe7WovDKLXnQHAA4FGFJNg2q2nAA8X8oHyX4I6qJ+FaOuryCI
mPL+slqI4A3CW9rT+i9SnpP2roPmFe9Te4qHp5LCWb0SJTUuzWWeOmB5Md/leh7tGDkRjFU++2CY
lvGjTDXKLLvNkmfREm60ampTo9s0Yp9BIaHCeGhrHZgHi1j48hgMvpo3QheErQEiITjGTpEH8P/u
kIPtcPd8T+X5CqvbjrBrWwT2pzHOeCbqM0wwlm3G06DI7fHJ4Vp2jyBulwfksobB9vjyQiO3epBp
LGgcyJ1N3GdUsYpePLbuRZsoYrDCVE6fdMlaehCoaqkEsQRiZNXhrP+ZaK9BPFhaD367cQgW1N+h
jY0Tfj+O5/6yehSYZFaMXkyo13SEz4tXJ+1J1B0K+k3WyXmzBUDOPa6rh7c3sm1/f7l4biK1WCdS
WCN7Q0O/X7kKc/VIDAsEMRaBpCyYpXEVD00ynYLMY7Nqp9qJb+15HIMHPYKuXEvfbZ31GHNaknLs
RNX4dWbGWvWQuUhsfCnOexZCHh95w0CtqVeO9tlxfCSu863D6zqci3Y9P1+6i+wMAyZ9b4Un+v7q
L+K/7OqE/SFVNFKhnuAK0oGvbOKE+KDabnubpNVozHrE50Mjr3weB++opQGxcFVbmXLVylJqStZR
3i3NXJsz7/bQWpg3QdYaIRVe34x7ECN4nPBuJ6ImnKCorqKpm3M2jkA2GHknlVy1jY3qaUQdxLju
3OTlvVq2QCbnKQzuBRKGKBGbJy9p2noLIW2q9h5HwVfLwkXtUOV9NP9IAtJ6ybEHXhqv+jBYdC7s
sflRtHPRXLUhQMFq7NwCWsxgpfYe2sDcbqoQ/dHamukZNiOloXMF/WUurul7S2NYZTV6/RsXp5xk
7yxBX9eTF3PCUUOyUi07JbfXdpuUUyJpiO+CLWKiAfKNEQte04hG6a5c7gp5UE7rlC/I5xPKVbNq
X8mvY0SAn45Bc6FZPAsoMgxA5F06rsmD9Vjx6YBjhgQyKle0astDm06q3g4NXhtEj593Az8pOSZZ
x+djkh+YolgVvJ+ysL+HqOl5jJY9fnxYRorVS5IYXr8n4Jv8oZUOes8Wm3wIjYBEqd6Ny9ux7ACw
Tdx2qnuwqCZ4jC73IsbJa4caJ+TAa6qS8nyHlza97QqIIAt/BabWc75GJ9JMT+l5Z5WI8CHdBBh/
e+vJUjOS/YaV4OyIDOES2sJi37mUKZcSwjtv9xdYVJv18unZyM3beJ664UFkbF67ovEy93Hg2HRR
X7XtB2Ej7wQGTHXRZqNIRJiITg5D7/ed89BRYXUd0SzJELhXKeQ3n+0gb/WpdOuJOtUUjl9uLm19
ZELq+j7Pfiz2Bsaw9pWmAol3DBk9d638UQaPhlv2X9SE39DKHQx8Yn20V93eECWn2jCPbfrZ4mwn
PSyC0n4rqnkKD39Ge86ucP8tJZdvhfKPeRB1ASMikIG3VTaiDOzIQ6F3l0pjTr1Qb4o2Ts2NRUnQ
vPKAcyQmUzLKxyHNUaN7osZZI0VEJuBHkwTIfoaGJ/KvCtLw/NXsjzwTXaB5JuQZ1yd8nkqRYx0z
4mAIh+ZmSsCYNmzMlOuScLToEW6D1VxZ8zy3p9joLfFSK1WpO86uQe8912AR//m7vxud892x2sIn
D26/C93Fem8I0M1hZVkDYTuzW1IoZtgkB8dZT6a+cj2ykVe9ADfcYbtE12AFGVC6VoNdhKupCtzw
g/H5wnd7cyewkYHsvhDVzDMT++2dCHoVNaJubRDw3qyeIXiWDrwqzCF2Jt4c8Q5NRioPWZGSkagS
P/5I3Puee8b7L/ae9FuobkGs3lunCyeVrpfG44FUedv7hmV9XL8a9sA6pxqTlCB+ZRwKVKLIU+Rs
hjuCJdSWalp7h0FCqVmpaEr3Eqiz2Ju9PWwoCB19XTkO8XAEiVsfdYnLQ/ffi4YTJww5qp8lf4oL
QurEu4vmF3ZOKq8AD59AWqOypyDH8b/pcWORJvunWRbEu3Vc12LO5H3CsPCjUBFG2P/4GMFiogl1
yoZK8I8rlwVu4zujZR68dGL+Z/kiimDmdZ0iTYFG9rGtcuF/UWUJwWFlNUjIEdESowOlr/PdK+Xk
yr5LZ5oE0O1zE1snQ6Q/Eyq1bBqJyU8jiWfAQyo6IHJmwCVroirLJjl5JfJNkKfld1NrAmgco57t
pzR7v4GFCkDJrJMD83ipv9q2ZkW3Uco7lJnwzUOfV+UK98jJWVq/rr53IsO3n7j+gbFPpZ1Vf7G5
63suQm/fx5PZohs9f05Rj7wr1p5i/EyoKH9WTjGKJ8YglGGOU5svo+v3Iy1WU1fXhZ24/edp9Ay1
vXwFoZg9fCaSo0x/mRmUYTIXfbfwjg6+6hqcxsxiDgOhvPvWHY38W65xylunvVTyZChktur8mAoP
8PGx9qWAUTf4bnwPgG/t64TopGldFkVQ7cxsmLOTAtoiRSdHn2aC+hSq2ndoRTmvz4isXVFf3NU9
7k7bdIjndh8RgW5R7cejec+yslumwmlv37V+wrcWgmgJUMy2oiq5bHsQ3CLvi5DLRm7g+mPKxSUv
vIlQAI37iipioixInIkvmyxk7JMX9dySSWlWg1EKw9tqv8j8L4VuG5yvFzDhLg2EwAoS2N77EpWY
QOxmQgXbbRjj2LYyhojfCXsBKNGZXjLtGLyY+Tq2YGPuSj3xGLcGaM7d5d/aYeUNj85QsU2DnrH+
kHpy+/LOY6FcbiVhVa57BZmTpTYGI8uFQihuv5BmY5tkmXVA/1snJjr1kOWxVV9V56tWIPCLd1aY
1OkvPfbC2Gch6rStpfwi/dWJ2kxZm3x7BB4Rv9k0QlRqPTODzGGvgmY9mjLHJDZwqXNO2HiVMVCp
nUb7OSpcZITgn9m1SsKyP0LS7NWTVQTm9Ckc/XJ81fVMIgzzHzDNonGTVYnRqPMU52o0DjlcjEOp
muhhTIXnj6vLjRZwjnjEQkZaV07M+qtWEaxoddO2Ad2lg0jeeSbBLQtQbid2L08yUk5/yLohihh7
1rDJf/mYynhfSmu09QEpml+epOlDcVkFIO78Upny3CdNPwR32CrF9IVYeHHQBnXUbe3Sy+1lBSCo
ipugb/aMsQ0ihpMSN1UjlCW9BtnC7VXRMxZ/aquWy+sHAyvAN5QOWhreDO6Al4N/XqFdW24mSy1m
Cqgw3lxJHMyGR8ySfPh5XtTUEQ26nfHvpdRIUhST8O6F9oVHgTSTtPtIrXY+Ud9u1+RSoE7wGTFF
vnOm0/6NcyUir8ZkBHvDOU+j72Hvpi3IaNBdVU4XrAH/gREdf+CnarzGPCwGvV9IcyXVz3TKod/R
5mlrD8MjWQbpAP+VYHl9LpH5jBtsN2DVLHPx4jg5PDePpdHF2SMGvNgyzbUa831j0DrfYZyWNxum
rUgXg8GK/nKbsguwNeuUfJ2lqMENGM2XjGp0N8wrnGC9lMQ+3502Zh9ZkLKzHIi/oUfzHQyECmXe
4uXly20dN2H2mJc2Kb+C5VwealCq6SYf7dE/1hPCrzX1mL3CwhUJFb3QYK0ZQfu3eZvW/gcDqLMD
3ZsrDusfjTHqLlhXEZKMtwdkaM9pNsGqOlwuLk8gTFJiOP4CF8X8uIMz8r0hsiBZZUYQfq4LKR5j
B7IN3mDDbK1FnLYktDu1sYcqpa11NVSc69XyF10iK/ceH8Kg33ZlFCUrH8XFhjssSyjPeZXikSVJ
18LiyUmOymVkmKwJQu2tdaEHXZ0EOiH9mBru8OhXgUPONUhFu2GFdk/4XoRMYLweDkCA+PvEfL9/
GOIm+tZlykwO9jB5uxEvdxrj0nahxtIj5ptM4gm2Tk0dd1ue2uITwiemD9T18NTbqS9IC5Zec9JY
yZaQVWHYUxuCprkz5gDreB5juMjCc6sj/J/he5hH/SHAxeHrn8vPt5M4SpdF+8APiKIUFMH7uJZC
LLCqP2CxNRrja2LO5HFFwmLmU8dOOu8tDoEYxS9WaBDx/oet95sR79mp9e+LAqPdKELmh9jPx5Hh
fSRY37ROUYyFc9Scxhq3Wc08CLdETquoHQEwBahneNU7QS/XDBI75+TFdv2trn22hgugamUhKIfT
2bW18MTc5tml8Ah3plkamNvB9qebI5L6VGhvwtCnFlCw+qQ1mvsqIbiClqdeIJ1oMsdrwuit6SWl
9tfrDBoXiENNcNPwZIdG8ikGuUG6dAY4YVPxyim2VCBTFvTaPaQuUdxkZpfRuiaxDclFqxakNHFz
vkoZ4PnzEIwwWx5UFjjOI26B7Q+pYD5gklCa+Z1RWfMTrlTRa+P32PUr9MrHCfrirRWVZfXLAmgW
K8Wz/hct8Sy2RTNzHeSZ2eWDRU+Hmgqh3cPOaW+8rJ/Y1dAuF1eV9qLpa8iU5Mufb6H1j5KTGp2p
q4ftZOAtUsl3jVsHtVhhU8s8iiBu9QrSQYPkG5oPdmnlslbx5y5r5/IvyrZa7KyecvwurRSUBjEh
4toHLqPag8ek9peRDXgvzTFioS3nfTXdY8CB6mRl1jWDstrO1UueFqMHM8XHespNsiq6ISi1DLZp
vTgfGoWnsPLsXUahF/JCZaQeucya74F7MW5qdxFpFOJJ9ZEpbtBtM2mOiIm31xSqqroa0NmHKxk6
wGoXbiGsQwBBtvG2/j43TjEdhSfIuCDv1WGkVeEN7SJ0G0Br59S9NXN42YexTK0F0fRIHtpchgrJ
0FgJM9hp1p8uyH5fSkcfIugfd0GF7n8fwiAjSSWkvFtd8HhMEkKJJ0tS/GB59dHKOzOXiJwZmTR4
xizXsXRxpTBsNkK1avGgJnN6YRRkxO59YzUBArnN3EBjDH28pgY7BWUO5hFqWgLenW0jrP/kRiiC
CbcXhtYFg0Z92/wiuB6ShT+M/iGIjQxIplbyIWjdvtzn5+ECUCeFKx9MzNUKGpgecUNsljsLLSmG
NGgiRjGGUZeYCrbMw1MsCyw7N78MgWjiNc7bttrhougfjLm1sVqXnjS3riUmeROTQTc+fLBwz5L0
N5sPMYQoSyLI8cz1ovddN7vhGOGqoI99M1U3OmJt39dzE4CcGHpy0hUZeCHHo5zK/koOnBZfrKkl
9XYXQVizn4LCru2rC1kS/i5gEOaH0WvkGXpY1K+u/9kxO3fcUUaYd32uy2SNcSZxwKjRMgtyJpna
D8QN5NXdZSoDw6Ttb0a8uRmC6XIhuPby/3B2XjuOY1mU/SICl558FeWlUPg08UKkpff28utnUaxB
ZyiBDMwAjUKjurqSIq85Z59tqhkJW8Y8xlD5ulfVfuqiYrKCL609wopr8A6UW8qnWHgBqTj9D0yi
LdxIHaLFYbjPoEZmu/gIArzAb7Ac7HsLM8hf/aKMsBK8Oh9Gocjlz7YUaDOGzJeYeptlwtICP1X0
wwImM0sAf7Qrk0nN0mE0o87GqGrEL7sm89m/dHPxNyeyiVbr4CUySBsEWLJl4mPJBzXriJYzwsxJ
UKBm2EVMttxhYzUzblJcDzRP5lNVIIiZzQ6ToFK1bc9ziUMwxsqElYKSHJ2xlMp2GcgN3F7uKbLt
qed0vPLrlBBEe1comc/WyM35RNaDsu2PekOH/InxxhBcNAgqDJdURJyeA0eyXPUiDrSTD9UJAV6h
pcYGgZxveE7ADsZtz6Ku6hu1Ms6RWWc00ATl1TAAlXTfx0ZTg8/imOxlNgFocKABqQ6VaQlYqoxP
CPhTqvDgCFcp1gv4rbpUfusJOuGjm8W4cUaTpRfHkslUsTJApnGeqPN4T3Oec4jLJuS0ipU4OSZN
6+o74UhgBm0iBuniqH5k7FMRxa9yUKd0bVsDGPVgYl306NcDfvGkhgz5XaGNefoWYQIXPcelmemr
nLxD556+qv9AhnqD6s0cLiwhAJPme2H2HLqBRSiwUooOtz/6YIkkDxRN9WgKPF+UK1VZQeIZ7cek
TZWvrZOTjObjJDHyTUpooRZmvzrmh5D4EKoqare17Al2LPNvFieNdIPViVEn2YMYZfFAB+L0CNtn
zLbURC89p/TNtR/n1qMBhrRtHHyzdwV/3KvfVUwOa6dgYf77XNFvIBgoVrBvUA/OcWsY+NwiQU2E
J23VKdppYeLGRWfFx4Af1N0bTh+QD6WQm+txsoOYAyZEfG93SN+mNMkSFPIZ9lsiTnDoK67MT9jC
cXqxosYsH0sUes+JVXOdQCWkprETkcDXjN1mkCs6tvK7joSlPC6HctbDj7rTmyiYvWnzcYQnbopv
GenljFCvA1gMx4lrnzJcQ7Z15Efac5tavnXKdF7gR6vhBiTj1WAix008G/fTfl2ZFn90XdVotq2S
hPYJWwkl2zH41ndI7x38UYKhIF9ZjfpEvV9G7tngq/YFU4o+WMe1FOq2SRgx3euxgd8Zou+yZVM7
CjNtpQNTONuK6xzFqOeZ6wVxGRpAhkZfrWQ/Vrz73JnUdZ0yMlrlPcghWj81109AmX1wlnalHYUq
Wu1kBNlACGtjMqf5QAM2K1H+QAkBemcfQYQeCH3AMMwrEPzHC2jtsklgGJu7QtrAcJIZzIwywdih
UBPcMUzWqvLrpBW4JLOlsvZugYKiOBTKcQqkWnwUvPP3QwEZUoLzQZgoIIC+KeDijHvGVutot3Df
UxlSwMWZw7EexgW4uGPmlLpqiQP2Dx+qATPXqZ2q3+humumsIZ7geP33LlLfk254U7g6zn4FlkZ/
Dg10blr+fFOKjGJVTaJdnbhh+6NTUqySK2aYUKEzNw12jFTHydNpBwRO070d732CcfNzlqfC2DWl
llNUkVXUbOvrsvng+WZvrP8VD/PzaSZW1SxiJjB0s/Pz//F8aq+KIR6DZCcy12heWptiDPVDkVPL
24GJjRLQqta80C+akQp9oHXsxwrjKHmyzdHuPgrSvZkh8CSkFjgmiiS8c+dI1ZsX5nMJdn02yW1o
VaAuTE40fZc3fh09dUxdMDiKoMff2WSOM+il+mpOvUVCYGnTfX6U4n2z0eeHITWOgCpdtZA23fpv
WL7ZlYHljttoyEF1IEf0WrPWOYC3WqOrF4wRoMEBHOtyHzGyyZ+gwHcMdv/9lW4tE+esN3SAyHuJ
BpqNT7T3X6krHfLngwpHvyxXfgt/zu2rzDK714agQNMqOTl2VmeG+b1utAMJFhTQeQOV3MW24tRe
mRe+aCikoaPOXeK1r8Gok5YzjiOaOx8X9UtnlbK7I14ubi5EqXf5c4YcvCLMmMGSvLiyrMrv6Any
8oMjdQmK+N9CnLt3WmjVonGf4XOGJjc/sfcDJWjT8BhHPXtVMHZsmGB3MC8kbQq89DFgulnmCBE2
ZDi21YUeAaIDmzcdPWlU+n2Z0sx4RahOlCrRWLUbC5YgXFM18809OllTXdMfDMW+HqZ7Y0YujzGw
UUx2X40YKK9GfOKQgrmX3iwgvAxMF5qLyU3pw/5yBYSXWq0/mz2WqsXKApdJdhhupa+yAQM8ajkm
LGdd61+DsQq+4iqIJyP9czp9ZngJ1oNSwx7OLVYxJ6PPQOXcKQStAs5u2k2tpna/z11q6xVyqfi5
HTCM8iwG8s4abTk/B1v2MoACwAPGbW3hX2Q4xEU6icsDIrjQcuiMCDC8yoAb7pcRSFughMM20ElF
rmAuNpb5CRnd5F/61ocWpMYsnkOo5j10RfT/QApdJrRtUID8+ElEFswQULOc6mrsuu1Q4X+z1jKw
rUNB+C72oUURr1MlxVcsbENgrk6p2vg51MTMp0Iyi05CKjBc06on5bMYnfCHo2XxJZe+TB9qN520
jSFSd2LOmcLcivz0UXVDhkqVXhug+lPmcApBFvu5VAy5bNxhr/B3sSERzPEfF+hk6TFhZDhk1gnC
KvbQPe36kOljGtwtRLK8sqbqTMRt/R+XLrAYd8EcT83qO6cB/i2JNtGj+275W9eSQNmkHaj1oa1j
Zc/8w2rvGztrQEE6a9gSDmwEK0PJC3mAWz88KHEd917UW1OwSjIHg2y/zbth70uQq7tijJS1Dqae
QTat5GubKwG4IEiJ/OiG/vtcp0SxITOSZ8qJenvvRImhYMCHyqaYj7ULh0s4HFo0w4hDBoptXjnk
+G+LKKPiH4ElUBicDzoD5v+fa5BaDMdHZKpYCXLbvN/ddYFiEeZLvIuuWISELIqofsjBwfCr6D2B
OqwpIR2nvm17MGcYtlkLGc1Xeaou0FlOCwgyOQaCyA9O2PkE/d/xw6RRIycQygaXNVXNXyWdOekl
dXCvHZ1rt0GwdGADOoSWR2/VlpsKgReJBddqgl0NDhZCRbjS0SJ47PjZP5kSp9O9UY0MvTOm6+aB
Gb7tb0taqRc/C0dwUlNv6/0Acyt5xJ67TJ7T1Cne8sCPgg+UCdeQr//9Ig5UPDQsJAkITizCAW7h
0Nq1ZcZY2vrv3U2Csf9nw6q1bcago0O8FJj5HaGeRUBqZxo7x7Cyx+GuF25ne8S0+fN1n07mBobk
Swl9Pw+IFWA0trUJsy/ujapVpk+p25ewLq+llVDK9LWzK5G/JTIbPS2cqFIH2JYFCSMMT3+R8leH
c+8OcPgDDqJe/gocofSHhZby7496UxFSpOo2tpxIRnA+ppy4LW4EvrhU6L19TGqHIR6XGIrUTB8Y
D4ZWwejI1EfF/EKyDQsq7K2geA0YEKnfCcpjrrbwkf+fnmkuuAx6BlBqw4Vt/FeVSlsHFUDk6S7p
2rzyOGwYOofNIO7zOGrQSQMUN0engxOKfnqWcTHj1B4y0+39J7UwgC3+/UQ3Cpb5iSCDUzYzRIIv
wdp/vzdtvwsh84bVTta2DYBGnGK6gjY4PVZSdOHKB29roNpHwTlFTEjRf+3ndD4Zkfc4q2L25Zvk
M6cE4IYrqOwkkDDkAIbLEhpfkkciZTM6rWqDJLZwyWQsxC4v1SryAmfUxb40RqvCqLK1lVUiWJ+7
pvXDbR2k9Uf+5NrNyQinwNZ5/yaWNjol1W0txTALYwR4NcelTUgUMWPqAmblnaGNyJd10uejoxxd
+rKy7nA6tsi7dQ5lWw+MPq/EwEmDyn+BMsbAO1dr81RWPtWJNeHHuYKaEODJgXpFKX4jOkzwzCJr
AgT1319uFvf/cWjNTRgusNhe8O1Ad1jh779ciLP3VJUG3SLE+vGRrBTahAlGBUrzK5rpO6iRNkOb
5dDcTP9K9Rtd461o8yL73uXm94VsuQzWpQ+o6nX+rA4JfXmOAQZ8D/5ApK9H2SfnKGqS57jLgIao
fNRxDSMSKnMHq/ae5ORxNnXpXMdT3RIWbYMszFsIao3dQC3NrhLXSjXFAaSylJfSt8031UxdVlYf
qOGRQkHF/huF2UcOZ3+/KqAM1wQgpRkTNLDvX1XGj/LxBVCODKPY8gqnXrPhPpbjXeUP8aW2Wsgj
sow7GtnhSvb498e62Wbzx0JYILhbwCXptm7bU60uJbLuJj1VgZaNBwmQ+aUJnLDwdJxp5H0cpGwW
lYByBoGqz/FJkZz0ez3ugXg6XIb/Lw6Z2pEIASntsdj/R+1LDdU/FVWpqetWralilOuXD9JJ7e40
CRtg1dZ4zO7Bsg0NbrI5fEJso6a79Mq5XWC8D37xX++ciQdJ0ZrKMI6lcnsD6UNoNGPmG8flJzQG
C/G7tKUTEqLdjNBA4tgPYRfFdfS49CWLJkG/2hgslgnlVfgg8OuZzqVRtA+xGNvgCZZsE5yKVob6
S0B3VNQk+2TdpvMt2W3pX5vyqzGqlf1KtMjUg84nOi6FYlCCM3JdO90M9kDxxcx2LHb//uEz0PDn
zesaOCOw0Jgk4bJB7ML7tQYVbw5jEMYR7pbbP9kts9S7ScNS8pUThsrm33/cX90hqQ4IQhk8zsQt
ZE034GSc64Y0CjM9BeHIMZCGGg3UIvK1gtxNZpsKMowQphMLv8v9klsQVYra/Vp0o8Xkoio1LDP/
MVSZpe4IPaIjzHuDTZu0Kur0PlZnv4sFKhdawpFpwHZwNux04Z86bJljD08+bidNb/jj//0T/1pJ
XJqAEww5SG9xqJrev9FQ9AYnjdMjIlHxFy00I30Me+7LXSRaAKggD2t1b2edDhUFVzFj/+8//wbG
YfMyEwSnApcgxw+L8ptXzDnMOpbGyB4zoLXYoQ9BiLytmXCmGPy1ibMOZn4XKqk3AnZDkg5NrP8m
JUwe8QeDKwTJk8KjK1X++wePd4tT8Hg282cMi21Ch8TtFe77NZobXVWO/fVD9D7qpJOT1BwZAg1W
8dwqZXCAuRIPa9QNNMmZKeLLonFEnwUh2p8MsnppA8cz9n8c5VJGk7p3RB5PlxoavjjKZNYML9/6
3z/gr2LVtWckkZg8sDbkFLeH4yhHZ1AgAZ30wEzTdaMpeBo12mwAkqVCJTaxTG39Ug4QuQ/UvLJl
TmkMIXBjkTY/F+FAkCZ9vdLN1D9mSVGbD/8dgtcWT4E2pjwvdD1GYOlESd4ipowUp613sORYwFzS
AMpKoZunRo+IBW3JyY3vMZJR7O3yuyc8Lqxj24z2B7t4XsLvDg3wZNxG+ZLUhTao4fslrpG41xkO
lUSMuBumeU5g6kbVZhhktfDFul7JjEfogWrzwYH11/KBvzD7DvLm51nR7fLp0MpWE66xuEcUxvC7
jeq0vedWFtyFOgu7wWZ1ZFNhUWbk6zDlrw3y5SkyP7BNvrH/u9aiqKIhhRNQQKTVbUxTrIH9D7iI
7PKkz5rjMvvNtBhKfFgUY3GIcyUb/5N6Yd/KcbeMd3vYWQgNqq7A04ehbrTOXBrrDTRI4qYKkkb2
zViBlpe2BPNys8JNDnlm5cFWgZYE/fO6W4KqtSFAgl5kExwEtvZPEqr1/qMN+x5Ad9CLA3BeIU76
AJWv/v5rZ1nqW4orpp1ThwZHrZWys2YDTeZqNvPUt//m9JZ0qA8gI9lPmJ4p01bQwgTY5rXJt39v
wWsW6Z8LEDQKxjr+2SD7XF23xKYan8sybGJ7J3GChZRyRTxF0drBg6+UVvJapFmcxKt+KA2x6Us9
NCmhEdFgqBdv8PhP9T0YUQ/htmCaQa7PlT7bX887E9NFuKRXbi6w9yzKr4IOmurCxB7zMcA1Y+HO
BSMKmP00Mbxd9W6G2u3KoYlXcPf5W/aVp+uiH6pRPM589+UPWmrYtotYqKRBuNj3XPWki5rQCpgX
H9uMo/g4QEVHOanJ1vWwNhL+eqFu1v0oYfUNCInHV/P6f1h4hn3TWcmD6Te+fsYEpIufCi12ACbj
0EeWXjZVeTelEVeCYIQZrhUfZ7m9iRufdr/s3VCh/3+VXTCrD81w8oNT3RUxbs5ImP2tpaNK3qZu
iMD235/1+tnefVYc5fnPXIJRj3DPvF9paB+xB4AltCtl2ucvJI5O+rORCDyULEHe5J1yJSUsJ+ii
sbIqPXJxta7gVWzaauAfmlJsjx4bqJHhqYSgmXrDtUbIaoRt2zEJjH6d9CP8Moa6Sf0SJjaShdoH
vPugXVXfIzVcxWhGqSp5gwSlIDi4+UFdiSW4bvnVceHhzhKP7NyWzLqh4Vmjsy2Uym+3TYbV+6oY
9RIEIh/bcAuNLm93hVO47XqqDZbAv1/1Dd2fw4vcFuJWMd2eazHmpu9ftRFRZrdTHe9bXx/jp0FB
jA7Yq5oR4kNIqifoXq6/DqtGb99YodGAYEmW6UUiLUtfxlqT8beq7jJnE0NItSlpr5T2sK4KYqs4
yHbdzLP8YIncxsVbzIBcNr5qzygA1n03hxHwpl0qQ05mhyX1XanqSXrE4Cp+abh501fbwL3IGIoh
3ExuHkV7rJAC0qTzhumPVuII+rQs8hJjEe2J0264h4VsflSE/XVLMd4R1IGCEYjBXPSmBhsg0oAa
ygKxGS36JdHGKT4Mbj2bOlTqTzdQXAI8Zshh35VM8/cQJTh0PvjIMxry534CBUQXgenHrHDhkrp5
CnTgFMK4ceFqoFP/EWXS9O5DCivjkQxrVLdDHAw29LziW6hBhvTSNNbgDeBHYn4f+pKuC0Ye/mo7
XNcwhvv34129eN8/HoZxMzEVvrjODrkBc4ZWTTGud9yjTq76JnNakZ+cQcPNGJfjpt7KK4Ww1eyp
WUG3Hi44zI84eVtWiwal9k33HBiBq52zqCrHA74qfnhoclwfg1VErCpW3zUzujs3L1GjrZb5PHLU
aTpPmj4YZJ36qf0iE59IxX//tr+aABP6BcU3Q1zBR7glWepWBifERv2SXl0HlvkgUXM+Quipc5R7
8DuO3RSCgLkp5KB0H1Qn+u2tTYWtWQiomQpiqoijz/sNrgcC5pHiN8fFrMutbKrRAFs9IOuYNGWv
wv3FX2Oi0MijUkqj9OhFSutk9jQGG0gBIyHCGSTGVWIa1Cj6mKk6o6CZuLkcmUUXqfPYqm+j7cK9
VLt+5tJGbbXrqk5CcKvhDeTZpBbbCdd7TEU6zUm3S9G/yMqlO6JdvgLUC4Px31/iGkf1bpUBDaAP
ohmDBoHk66ZYjUs1x4qGVlqZnLS+5KGdB+cqhn+35Q0I7v7MdPo306CdeOxjSEzpSkRRrPys8koh
HkbpmZ+FVp2YjwpCNVyRrsQr96pfS1NYMzN6HEfS08bRlftcCFGs0Hk8d1ZRmF/9Fh0yKSdKuLKA
oxiB9oZmb6LUAD3J+jLUjpCtXSydbMVODjE7It42RiG/CA5xaj6Ep9p6qLuHXm1sJiOmIvK1MuZ0
6vS1sGnwAkfCttzn/357f99gsIkIVgKLMmESUfS/X0alg5Tbaif3ZFUud6sRpV12RmpaJweVPDW8
2jr3qQHcV9ca+NlL1eIK6uUwwYozyaX5XtpMJD8Kd/jrGqCBpPVwGXaDKM4+Su8fK5Em027dxhAd
y+L4d0M5UXh5gZLAk0jdVT5b3LXf8bJLg8eckhBruLjUX/RupOYxAruj9LP9xG7v+DKZsWXMSMPr
VGbLVfbvd/g345pHFSoqudmvQ/1LPNpHY5/UMqkwZR67+FMzoQHBkKzPwdM4fxPrzGXLYy3kpQVW
muZdwXFMj2ddLQ2XbnBxjEiwMyDE7wptL1xedVHNXi2bFF2N5S4wID9D2w+T9IJPZl17/TD6/r4L
o2FY66RhkEeVDn6F8oJ7aReYcPy8olGPC4EwrIquP5g8XXlu0IiHWzHbgM2Xay9/DaJKhtUsivtF
uJbo1pPmoC4Xfu2fdavB3QFwgTmd77btcCiKgNhyINyoPciEkJndNLoiWkH5LuE6CmMYVnE+4FCh
KXaYUKVnTbq1FERdnu7mwG6AKJHXx2zClRGEirjTmF1q2UoTVdOdzUELFG8xGcHljXcTxSZ4wr+/
Iz4rc3Xx51nCzAFfGu50KIhEizg3tJ2mHWXbdcSV83adVHpVpha9igmISJPAM2bnqycLQNQ6ZlQW
rKSl7htim5IZz/r5oo+RWawXzd+g6VTaFCL+8FrncDHulYCh7O9yqmkAMgb93xPI6/AM3dJ5Jka3
quBjVvrXBM8ehz9vxraSSe+TA2c98dVLKZP4QvWfx7iv28viNlZccSa3N8q3iKLK2lCcYLq+PEto
ufBFsBJFPrRcVJOpIHKu8II1v8AoMS6NmAKblmh+rAiSTf+UaG1WrssKZcnGCfF5XE+mC8QxDEJv
HxfImsOKI8pA19c/+dceSEykId7btonFsO1buvIb2r80NwZ/jZ5x28BqdHmcJLGk/2q1wdxrJBmD
J9+15je6qN6WXkt2IS/AV3Rkeolhj/spMCp3wNZImMUntJ5j8mQrI76GIm+hf21MC4fd3wuwueh+
7Uqzh0098YO3jWgV9YvoHCP/nYQzNXv5ZEsBXpv4CcDlqS34ycnYukc3poo7kqvpDy9ZNfqvVVnx
JhfqeY6DJJOGCrrpppGQvskuI03a/kS34Ux3aS+i9E20Gc4ztTHFhSeD6FcZ5Hb+oAITGltTKF+g
R7juYek7K6NksYirldysUG9PZqZl+BFdMcylHYXhTtdphiWivyYyhHIH6dLHE6a9ShaXM2RQUPFB
N26BsEKo0D8RT/QklOpDr++tHCvXFWY73Dor3SZKb6XjBXBwi6qpvrcaPKcnDGi55jI9tLFQhF/H
T1vUnFkeymw/Ja3oPy0ywJ6NIbdE0+cN9plXCWNM/2xu7ahzouegbrH9J/GVmWZlVAWAZFoy4fyi
xQMd6qLtJIijlzgMw/s9pH47+7cOPc9maZ9TOHsHNY/LjTVp2nPqkAqmd5OxGu1SQ75k2Nu4CNdp
2xpwJfxLMuAZV2eu/ivQlNBrAAY2Q0mEqO6UNiIx3dzkiRKeskiWZyQfk9dqAZ8mMXAELnG7bVOz
xQKvTcYHKh6H+Y/ZBAccQ4JN6tb+xYzsXxP6oW3m1C0alfEp6QfjexEriMCqxnmegrGD0eOOx8q0
/FMYjOJOiRykEFDoVkwXmOlN2XQBIw23VWN3j2UjB08IKSkQlIJwTxwW7DsatXrd+cVeJ71rM/Iv
O6Z51K9btxP4cE5kGLhBGr41cTYd7YiEA11NtU0ujfpODafQAkMvjS9aH4nvGF8MXsaAwBPURQgu
lPCuHCpj31StfpL6aOxila0MVXvIP3UGEalmVb0gAakxxcJKa41xUHzCk0GeClw6KO8a/1LT5O9k
7mdrjLGMzagE2rZGdqmtItG9DYAfXiOk8+hXSvzFgFt0YESjEstaVp3nS5yXOr0T60pl3tTUSpKg
L8e9plHGY0IEyyacCO7C6mJYo2hyxRYAWexFrSKMdWWqrwFvtTX6MOMHh7Cprkg0a4+KFndb+tjm
UWm18ODq9KkiHcUa74nPVVYE905YIjbQoedx3J4LJXog4rA8gUeMGz+W2BLZkTE9y37Kt0IyEV+H
BCdjKNsE3aamkYiQ9r4KBFIeRkzRFqQ7+D4NSeopgwrjoBh/CT8dMdYDo4yd/Bt6ZiHXJDW0znMp
6xAqvm9+Tuw+2JtqqM9SVE4b3nNjrEvyFld1MzxMSElWAc5AdDW5tnaD2IFxNerTrpPEW25wKIrr
tRyzimOHuteraYVe1EzDzE9LJndbBKWO1H9yQNMj8hhNkMquTbFRjjjfpob8gkFnsNJPYb3HJ8F+
M5UGZyY1c/duofyqdREcm9i0PN+u5F2uVD2Xt6G8FYkRv0LOwVW4r9pzwUj2c6x0drmSqZafDF8L
sBPrvmUtIp5AL5xdjlvUGndCp1q1bQdT2ObkxTqgy1alFimdNxW+WNtObT8WNDzDOoTd9RR3Y+DB
c+PNk2u1Qa2jBsBbbv5L7Ybg5xAZj3Gi+j+z2B4fzBJpCfLk8QsNSq7AkxncTaGaQ/m5E4n22Z9c
xkOMUq0V6yt+sdXePWNeADO5VZ58bBE2Pg39ukxwXu1C+16xtZyBJu4oGXiJIhCTkfKVIXAztwGO
2jupWMXBSZXkgliy2kEWmL5ggG+i9nTFpu7t6RVxY3qyUqKXmcTWFMqjAa9OSc+lRWpHopTu3ram
wV/H5gxrQyO34xVRl/yPdttWv0mmDu5b8s3XqlrVxyywPhlRpT/oVCQESOcMHfJmAy1h8JwumbzU
9uW60uUzzhb+V1C4kY+NekMmavNc4JH44KO7wjtbBg+hFA9GldRel3b1IR5KDI+aVsUuHFlsQyy5
15Bo1nupljS73imidSn7Z6rt8FFvrV9OL0fOo949mL4p9zoEhb3fkcC14hazvSROx7fEzreUws15
iCLD04pR/WZV6qSt2m7oPZwJUg+NSfCi63DcdLOoo1U7ZNqnypzUS1CJ/jV34/rV5aZ+yvQgRVQI
W/ICNYYaUcubH3Wa5zss/Bl+sQ0wS7QTACMXxxYLip9jFrpnRr38PCbmsGJJWqlH6K/zooUWUby+
H3gTxwlVVhC/uUE7fZ5KEPiZs5puXJgBrChkr19yIwfxMjKOwja0V8WkFAcDjszWycvhubOcOwet
/0FHdv6Ag1JLKijcsnYCymVx6/cmdg2rsQ/LHb67kqK4tvtzHJnupyTC/NGtG+1TF9fU39S0P7rU
yQ99URQ/u6ZzUAXVBfZ82lhvazvPvZLwvwveRIZnKdLZUpu0Hg1stdKjsG9X05C2XmBk37JaZOe4
wqpu5fiuclZkbaySHiQ8BYzcaeGAh4c7YsM0lv0cVJ7hehq6d3kQBp+NtnaxwuONdHYsviYwrLzK
Dacdu0G+JXGf9B6CdXtDBt9A3IfewZTJUvvHkGoXgJn8ay6FjoPWoNZrqwbj9CgvDS/rOgwUDdNN
0cz38VaNM/WbGQTUdb5ibdJBQ4lEpV/DFXa6RqxiNSU9zLSV2R817O4TPW2/VLIqHtMUbekGi4Io
AExO2m0yBs4zpnTOpii7fe4Xxo4cquqzwMPEDPR+k8rM9gZnBAVVS9fLVRPCU87BzjVZPnI7Nnuj
deUa+XxxTqhFV50e4CGpJtmWSyfdkiu5dTMr9IwQnxySdpgLtCpafNqhHe/pouD596JClm1XPsOj
i1JGEHJoBpnqiMpexVU27rKu/Wo2XbfrkGceNGLVN7kb6kcrwz03CcuvI0fMTgxyWkemhemx1ZrN
Uc3GNxju1h01xUUOnAsyGJQt3MRDGaqYEVY2pTPlpwfXt9m3/ZB9o5OBqirji09xNreCBcbpQm7d
RiTbAXh8TQlgr3UraL5WhZ9ecNQVHqBTelf0jXJhXdZUPu3YrVqLseuIfJk7TotmGdfQ/EZGnu8c
W06EXAT+jCIh55e6+sMMYvHZypRPlpa8dUUHBIqVHV4YQ12+dmk8zLL8PtzgOp9/SxDl7LHbcB6N
pLBeIA8TEmwm9Tav0mAV2CMdQVgM98whwdRHJ/qBXNfcub6KiVlkzjodCeDkqLl/4GLML3TiI0z9
2S1Sz7ifwu6CS66ATpOBfelJc0mBu05OGsRPbturW8vuUm2VjLX73LtNLfdx30d3wgiMh7mrhzDS
6BCfLRQxCC1zDMYpJizzqMBtn1G2vJvwWxgpL0dVPdRGr+4k7pt4PxvRkxpZ1QW3zHIjq+prhJPZ
uqoQrLf4GXpl5YoHzZLisSksYtaqOruv8V87Yv9ZsUU4RnRcRl45bKa7GBvWVdMHX1WU86sRjROy
0+LNwtRx1WB252HJm7KiJS7ItJFN5WdbfNY6LzAx0KTxQkrpIKzctmWMPyL0p/4QxSW1Z+xMzwxb
sx+qVROfnAl+AHqfE2TX6EXHcStDSYqXQqzSIeTIp/cdEQZf/FJGuw76+Zs7VsndYFb9eYowo8RP
JN/a+LLsqjTP0ArlCDY9fNjEBr86C/TNCerdkOGrW0b+HdaG1H50yq8Vgr67bGS0x+dQZt5QBuE9
MZET+LHJPTwcewPjXaUi5VKzo/vBlOXbmCPpxIAn+5JroUmxTd2QVEPyABCCS67OXrEd6YHcJUgQ
eu1kybA8TlPLDdamdya91CeyJZqjUPR8TZVuf68w5FhxEZuXPoyJA1Gi5htMqvSrYoSaz3Yg0i0P
hYvpcCBXkzkHg4+6kqzKLMJIOBX2k4TgeEG+O8JxUZyDNTjOue7gwBe6hmcHadQnzWnqVRml9krY
en3SUqz3kUfizBur1km6ubuWTf5D4Nr4ZBG4BLNV6/w1vqpy7Q5FgKM8yr1XFb3tMRaKuvbrydw6
k90jNi5RO4PKr4cp+UI2e8iYuilPAYcY7uhl3q5breUb6r37mmk9JiMR9l0K2689quibN7AC8Hyb
RlE+gGfHL4lm48CEQb0HdaF0EJWGxnaMO3mPOqE/i7A2dljVlN3XKTGmta9VXKJ2nG6ylmqvRLR7
NMKiCp+SLjO3RFZW6yBrPslIODsrssE/2/BnWQXtazpm8Td0N+66CQz8EDNH80CpooM9ZMoG7ggx
4tIvGf7aHXCVXeL9PaWW3EzAy8fQcCRi6yTNX8ykdJlzXm1/Gl1w92mRBUKT9azaJ7exUWt3PVzw
+8JIDfcEq9pqkSIkWIAFfacVK9wSeHiUhZG/q93EzS9ks9GAC5QX2cOQTJXYljhZZLBmHTGsIa4G
/YaUx6LYDFOsu/sE7zGXlidVo3VrRHrjdfRI6ctijbMguhO4nXKKZuHXiiSQ/8PZefbGraTb+q9c
7O+cyxwOzgxwO7AVLUu2nL4QDtokizmHX38fNj1nJHp766CAwWA8tkpsdsW31nqWcH2SeZYO30ST
pr5XKP09anpDyrut1Er+iOVv6slTx3R7zEfVLT9kw6TcNL3JkbrysPU/1F5BRaXmand8pHhCOcCI
raI6qd3sXc6EuISn2Ggj+w7zrGdcBQmkoUtHiPSHzjs61g035QdUK7F6HRoj72ylCoX0FP2kA/7N
36zX17GbwGVNyopgiUUzS+UIPTE3H61AKn9VGLldnIYoDonQGkH63ClNx9OsN+arptkJR5sDRiRG
5a5r2pS7dzACOXSQojeYzys4On54Bl+xerefvdmtg+t4IiL8IjsXYVK36QFQulpV8pLzdPy04nPG
c/loPvPVxtSlXLMWSEYrYiOn1Fyf3/SsquaFnU10gw7Lq3EFNaC371Z0kgeZSr9LKx2v3J5QhIUb
3gpbubaH2snelbPq1DeuVo7HMYADaPkqdLv80QJdMVPoB/VxaJwYaUHNGYgr//NXtH7rLbmGQbsr
4d5mPqkkVJrWuyS0IhTnYqFOXxc9oHizwI/H65h9DfdkY9PxL/XeplakxFNTPWURdaOSHfTY3IzL
ZcaFAYonWhDiONe4xaC1lTFWkHZk4bfvBrQ0KzzolQrq9loUFCd1V672VYPqPXDJl2X7WisLpaNo
+BMljSk50W7DNK37E9J8YKkN6NYSijA+mpvepN5wy5LefI+dqpovEhFnzrHhV5RXPw3mbJlV7ms8
yo5cOKfIIe7qOAzUC2BXbnQaCFRq/L//EL9eKGE/RL+MPYRUaRwpm7uHWh+MzkkC7WpQSAy5nNuk
LE5cr+EKqoBSfBxdzPfWTmXhaC+HKas5vuj6fFuXQ8fcVMy1S+k8WTjcuOe7m6wnkmwXGXnS+Q2B
lcRQpu58LC3XhU7DhufLyongw1FR76mmRAeKkGgzG5NZZfIt8JvuacYk/2kl1uZnD7KHvw81hAqc
+s6mHvBe5564IDdhKgv4/S2pMEe6RsOJgKL2FyWNpuBH0rTO/Gkahra5I6+6UPZ///Y26sTFvLJ4
0nEJQnBbhAebC/ywrriYyPTuai0+QyJq7HsvDLkyW4ulK11t7ZGeliUldn7NeiAmyPjM1x0veRnU
PPcxMVmvaTc3sgiMKBa3XcuV7XJtjyZrU+DvKiXKYnvq2SsW0OfJJnQfRnssm2umGX3kiqZLil2A
7v9SA7/9pIwmBoS6xb8HsEBNyYFhU3hIOseauVhkMqBO2g2dD3AhLYBcGErxWvQi7qTttYTnktvq
qujqebVcOr8cVg3q/X7MY3a4Z9T0rGkiv6mKVIibbkzAPHupm7EVXuGia0JVjWhi/kDhcMkeMth6
g4UxuEG7HSdd7T5UABzI5Ar1mPnWFi7XnrkDy6baQUoapzddhmUnBVFpsHRSp5mRJM7n9B7LaUr7
Mh1CzXyziqNXD/k6tyqZTRyOF+LwOJmIyiBfx1ikY3Nn9GnYP2Eh1+IHEuCM7nPRm11/lfVZJY7q
jPFk158BQCuBoWgGA3p/EA4EntlnAo7F5Q+BPcasTHxYi+36TyhOWmbL03ZcM5hvNfIUqu+1Gand
rYowBFZ4YKTgodySDmVDocbBieuibb4krqNgHrKLGO8+flDuMWpiTb8kY7G48mY81KeVMbMC3Ve4
e5kP9pKJl3dMPl2MkfKamzzsDtVKprcWa3fkuBCaQ28xPbik5ME3dgulfI8knzzqFRegs0oql0Sr
RcZ+TgOQ9BFbsOiA7YvLntXHNAWcVA5J00xi4THTstJzgXVavR9rJIC5+uRWheJqT1ufGvoa33uR
YHEuOAsuCGN8uab+Ri+RCxxXlvP6ZRkWIMh4v959A8hqysuGXp7uQWjr4wXqH8xUu5UEktiibD6T
YZVm027SMpyG3IePfN4kJh3jJAYK4EATz/EVo2ClexuzuLm+dpakYVVZOuXKpEIIks0fOBB6EAuQ
cSrxk1EG2LPyecJ5sHcNnRJZ6sxpPu5Ua5i5jc9rQZISf68ldKhuaMjjWHjuqzc9cxzeZOIEvHnP
EGwid51KSeWuNZ3IuzOiwcNLfE6ps2t2s1cqGYjFsWROs08EDyYg4WOroz/he+eYsiO/jw3sDkLz
8qfp7GlZPWJTLRCVrZbP8vzlL9A4/tFP1ToXhua+TofGvSTQGcIksDkYJ9RDrKjN/bbAxES2d9R4
oOwbJWki2M8LhldPE66rZ3A//GKFPUICocMuss8uBVf9fhUTR+t7VHDv8a/SouIL6BZNGgaLcuQN
6YB+1KuR9ce6XcWdZkqufbRTu4m7HUDwTBFsXZefmFCBuj0eXN2c9zU+a3FlVh11tUgpKZVltq5U
fkbagHPSOi4HL8awdZVdqzhVert2/5X4a3twcYgXJB8q/KFnnTk/MGDa9GQ37eTsTK61vWMTK1Nz
P2DxphYkoEVeFlqbNs1OgfBZfCvCrBYnpah7Tu663i0weETQPO2UlDPvF7qfWb/zuLJ+SIwwzm4j
jK9s25fshTWHIWk67UOiKrHzLYgqtLkkImv6AyxEh6JPiFalO2H6HJXdBGzbuK4Sxud+MpTZgN7n
TP3R1r023PNy4/kCJxFfdNtOhXvA9t3FlysFbQiwkl5XUTJ19x3hfDvcpSqHzd6152O2IEB9B2OK
7q9jofGsfDkVJ8wPhk25piNEmwq+UVHlZTZYJtlFGGCfLXerAhIAA08Piair9l6Nmf3N+v+bgEzZ
YcCiYtiyddLCd43bEXodCYJNy50oLT3b57Be57dkjJKNhpt7JEkOJmz5ybZcob1fNS5re4WzsNSI
eQvcz7Ux9YgrFcLd7rmD0+YTlWNElKsxZjVjZGmPnHjpKu14uRpQDRep2aUQgmj0JEj1kl9Jyekz
1k+CD72WLPVHr9bDFnFEGN5WSMIONlIc4js1L5kOa4BkaRtULJqU8jn1D9NWYGsucW3LB50/kCbj
FRc5/hPtSgWuMlCbqfX2hmxW5sYirSFpkXkoCvrI1H9kinC9y59j9hx5sP7vleceJQ0gJLfVx+yR
76YKfOR0Y3wMy8FTrtaJNm2T+c8Rt0l5UAqgtUd2EEp33dRU8Q4/lRoJd2/XBSdVd7fu31IVPcgO
FEMNHJcaBFs6F0cW4wxhwcLcF8PCb0p7He2rGzo9M11xNhSshKG50JeAy5AdIeeLPuivrbIxlmF6
zqzrnYIX6giHnxbmzKKIXnFxIyAGRAWmzsJzmLa40rgSZ0+h7Q5w4SZefnZtqEhw37k5IaG3K2OK
bEmaWAdxWwyKe1vrTmtfTOXMuumlzIxXfVkZI5dVOjixiuIIG/mPHE1ZotdcMO5LZj5Ep2ZkV3Bl
H0AuLiy3e9ueYxlJhTHTWzuD0NMeCUenS2dubPMmrHTiTZQlm66TKJWxKnfr9OZS3WOoV27TsmwF
MdP5+nIIHGGgCEfl4dbsm2FK4vZ9H5BWthNnYcoru9oNgAg3hIfjxoEST3ARNabNmaAtKOFqokhB
j7L5OGZKwARhZkkWcRmh1czvQOv07o4awtj9yTZkAd+OecTmCjQG3z47xr7AjeM2nNJA8EFVPh+s
//45z4nnzwUsi62Pbb7DicLGYbjVpap1kSCpMuqrNfNypDBIYhC5GN2JGb8kMkmz6vsiNBD8EWvW
AWudKD6dCATGX9MJAhLWTQHJANiqE84Q9QFYdBb6TuLN4qCQMxodlXO+J7zaaDi1ippOfjjrrX5R
1HUD0FhtjfyEZCrwDWGryYms0IkcqyJU3asCHrzHiMYEf8LJhdiwsNUiGHZh08FLUps8Aejc2awd
6SgoXCRYKB5FVgZ06So1hXfgiqQ/NaXb5Q8iZOeMGMeEXxETNjAe0z7x6FVTDDn8WBMpVRI05KCR
7WzYFx9Wz/+CniDBaI2tXbe1E5BmkoTOs0jZBsukugo9xqxjX7DGNuaaq5iHTkMufSQfdm4OZGdW
1UlXG5Zbrozpo6OzZEdWKypgdUqejVDVeX/hsvMDIXAOm0m58EbKZMJN3CNq66ZXROBbkSradM4S
SEV0HeYsPfflsQH3Z6YbaZRfmVq+MJFWDLUmai8+xroRZ3sjSvPprq0r6jb/m/PWJleB85bjmIQQ
II53dVxhW9tlLTS1VsCPX3LDBYEWF3zeAsyaJwpzZy0L11HYEpE69jzgqq+JSdQzL6KZ5frHAhP9
0JyLJykWbfcTE8iAlFUMGrG111y1weiqvHhWTwkugOa2SenP+7VMt867FSKQyXzlmLsI+5+PM05j
aG4NIstNyhy/MNhydme2wRXZZYWiLLlF+Iaz34bnbV81NXXIx+AM7P770f0LQ8Bi/uEMT1Qb9hh8
m5svtCsp0/WjoLJHFkX8UFYMRuLNtbB5LHvVqvxVarY6SNZZJkkbZkbRlHV1V7f2NH75+2f65Ru2
NB6KYzWuT+SqDOqXnaxX3L5jaypQugpUSasDEYycMhwJeKvviWzKiXZj6/FkJwuaaj/i2Un8gshc
/VPo4Pb902uSNrtd62LhGTw/OeBcOVvBB9kXRgIJtEOu9u8TLpyJReFEdQTlaQ8ckWn27z/WLwJU
i9FIGYsGcCMA3NscuVsmMkNB53taUwdsRyk/r4eM6nyMbPuybK4KJ4n1n0UZQbkdLG5DafgaY4R7
J1D1TVdThAHrNI3sI3cU0pkaXnnSbc2NJ2V8s91BV4Z4cdspalQhKjlNxSkr5iw7thwhicRzCZP9
rIAAitBKsvM+gMEtnBMl2D49KlmvNvcBuXjhruxN7bpBzujweG1qnJoUgYiTpHpBqBGh3XeEeHN4
Qo+BLUxPrFc9w972E+ATtpioLApGugWHZJnHnnG/qrqN2tmIquthqrMfHOTE+C7mAkEcSAypPq2s
d9et7OpknxWwHCdm+4aaW9jfjudk4kFVTFRqQVqJS5VYPtQtZ0zmih4AVUGpzmA7RLa1W/AJwOkQ
fDuWpWpylY3X4LKN2RxdEsJWpY8KP3sCj6dPb4K+x8ch1E9zaQ3oxEulo6lgaEW7pxCZj3u3ZY49
1BXJWe+g9Zpls9O1MGnjPcVStltN2eXetWuMgLF1YwoNXwO9k3BEC0cQG71hMUFzBr6Mg7ByT1Yy
pXZHEMQQDYd119OIkRIDFFJOQZi82E2gd7OqbzGJP94edqXV3LrzZDxlQRZ7R8PockKvU7goR7IP
UY6vxQA1SMjhY5vFRn7gg7LynoXuxVmcbJSgAK5r8tHzzwJRAgSqFa2hClZqDOP8N+fRfMb7RoGz
u650qKC7zuuj+WKJ+Pvo9Gbt7aANEeBgTCrlJRadfvrG/rwuCeGu7ehjx5H6U98FQ+Gv283aVSJl
zzSgVtd22HoKMotBqMnRbOcuelifM2hKFvPZsFNxGhUFw3zZT814EY9iOfk2E/dWOTK0seju7HrS
m9Xt8X+/j/8VPhVv14m9+dd/8+fvsB6oIEft5o//el9k/Oe/l5/5n3/z8if+dRt/r4um+LP92391
eirefM2emu0/etEyv/3n0x2+tl9f/OGYt3E73XdP9fTw1HRpe34KPsfyL/+3f/l/ns6tvJ/Kp3/+
8b3oiL2mtTAu8j9+/tXlj3/+sSxA/8MeX5r/+XfL8//zj/9Xh0sr+dftjzx9bdp//oEQ8B82CwIH
MlYtm/AZxvXwdP4rx/gHbAAIHgsAGIf1ArMjyayN+DFd+weedgyCiz57yVXmx5qCIIWlSesfuNkc
GxboYi1ibv7j35/+xbf4n2/1RRr2i0WcX4QRkd9t8cufzzeUNYjpDqIU7VT3ETHht6D78OxF/PxN
/5uWN4thaoVqa5JBdgTht4P6htjntSShlyeR/zz0gpJ5NknGhGGBcyJZb/Kct6qhvE0147VK82/a
3lKbyw61W5AEyVEdjPm2AOKMQBPYv9RLMTfTe4DJr0m5KDxqva9CCAzj+hU31u+ee7NIF0IVnKg0
pgZMAVczUKcDcmTvndxzb8ydbDFmikUFk81QO2zTxXywFfOjXOObiwgH7ehg2iMIA4JgLsK8/Tqg
KZV8L8v7etZXZhdteMXx+Gg0kPfC+YZArgu5595sQcm+Bp6ktily6JPXfE1juZFjbsYkX1sJ9Mwi
R5MbV4QTeffdELE6vrJv/11P2QzMwO0Jioy79NhNBvy86X2Ci0nujWwGplMNFY7ZPD0Kt4PJITrt
NnCVN1KNG8vW6dk3abWO2QG/TI6R/r0qwz1Rsq/sdH/zRs48p2ctB8RGj47Q+SJhDNilm+5MhWqL
3GNvBmbcNyRGsjk+xmV1F+iL1LkcVV+u8c245FRWlA2hscd6mtLvc52Fl40gBEWu9c3ARAnC5U/f
pEeLLd/eKCXfyGZIBmBmoe/S7NBguai1iqTLWZMb78ZmUEIBt0Hs00uAuZ/qcACq1CMJkHsh+ssu
CDy6LSsoHEdCBYDJjzHALberJF/3ZmBGeRrM4cDi4HopE4rLVZ9jvubQ+10f3wxNjkMg6Zs5PZIS
nh2gl3FFgLRa7tG3tTZb76CPFbReipumg2bwihf+N0995r8/G5lkj4K5UaaUGk1/m5HTuKtfZdz+
ru3NwLQNAqK82eRykZymIsmyr1FhGa/UBH7X+GZgVjbFzXEwxFHYdvKltimK7VBU5nLjfpsvNWO5
rmLTFsegif15KEhU03AcS/XyM9fq2UtPi4lUSpUXo6fc4wdWnlz0NrFVcq1vBqjQTLVFIRUcOAnt
VHPY6/0PuZY3o9N2dNzecSuORLM0O6szfxgkSMu1vRmbeTtTS48g2LqlesjG8kukidcKLb/rK5uh
qQUWmB+Di3+gGuaOGL+LzMFwKPXg2mbVpBbXTnXNgydDSHEYJX8qknu5tje72Z6otky3eHBBs+SW
PTZZ9lau6c3gzEeDsl9O07XTOpet4Vyp9ejIjR5tMzgTEPRm3dB4FlEJtg61KfnUmwVzJBqaK20a
ntJhH+lM3jaXknJdUFu6z7Nh2YiCMowd0U0qhWTdSDWPtjc9yr3vzahMQQmhycoEiAPA2adA8ybr
s1MMRSm3ezub7589veMUbRm1EImiGfmQ8jGqDclvczM0J0fpRkQtgruN6YrMRW0H0PK93GvZDM3S
igQG9jk6imz4pkCuCKyykpsIt9SKQnW6kdQ4El9w5j2AT3w0rVB/hY3xmzllKRw87ywBaamx4XVc
32oRjrWWc486NHKr8tk6/uy79HTuucw4IwNweKrDSzeXO1Cpm3HZcAVT9dwPH4NB3RNjcxi7RK77
qZuRSag3R0otwQILih35MHRruWF5zi979jJ05F1iAlx1VGMXq2Oef+ZAG0k2vhmWyHZ47NaKjnGb
5EdXoeyP/uMVyP/v+oj+so/kCnWqWKPxMv7sRSXhmKrcdnB7EaKopRChYUb0vpGk9lLzKBdohWTf
3gxKVahWObi0HoTlDQPoXm+hy8kMeCAWL98JKOFQ6TAkH8fwK4tyssPKJ/dlWtvafurG2oCUip7C
hcLRDdsPTei5UmOHu4+XDz70cabruKCPTmvthAU1Xm7rgybvZcsdhXtyP+gmA3V+y1Nxg9mJkJoE
YSy+bFyjMNlGPe87cytMblmBld1TBql+aHmbJVOgo8f2p0dHfeqznTqEYl+OcS+1T4aV8fLZrb5H
iurSeqEOb9JkeKpm5TX6y1+PTXgkL9sWwEV6PWIqrBXX3AG/OiZzE0i+9M2KaYbu0FcRWWNkpIqD
q6ntnrueSGp4WmddxrMJsfW4u2izliFUBt0pSCY4BQMscrkBuhn8ek0OrjrxYlylhGLwFv2WVMNb
lGyduXMbhk6EPUQRaJK8/r7HqSTZuvvy+8QrWII0LJizMAlG+G9CV2oTDhL0Zcsh7uchqWgZi+th
quFszXKveosorKfAGyqPljOlQIxpfIPok0u2vRn3i6UqVZZVMxkIaowmi4CTMXsFT/ybweNuhn1Z
uUaKPJyB2SEm7ef+0IPYlHzyzaiPuBPOIrxCx6K9iSeu+qU2VdaWf+/o3Pv03PMdobeAn0xv5/4o
17M3w12t3XmEocITo98lwVBq+4CZ4GXHy82ha6KmZm/ijpe21l4bwWvoxt98gc5mFfaqNncjIpPh
g9hX2XBrTPEruMrftbwZhyRbqMNosphVkRAPkdE85l2eSM58m6E4YrWFYcRXWKTmu9q9JXxAbvpw
NmvwiEOnrU2WSXN6D3sjj+Q6nbMZhlpqKqg7GIaaqX2fNLJ+ZkNuY/yLQicD+9zAhOdtFJCCyJwL
Dm73msfmd9+j/rLzGZljTEWV03iYl18dt4TXYM3Kazlxv2t+M2RSz657AY3r2FUzOtZoPJEJacgt
v85m4JC+qbpVwf4Vb3f1cQ5IcPQNp7NGuT6+RWGGqpooIizZO6TinjiInXCnC6mpxN4Mn6J3orRv
6OHwoS6idMr3Ma4luZnV3gyfAuWdUw/L8MlOwE3vprGUWxDszfCZBCF5Jrbqo5G7+FBn3J+QYH25
d7IZQ6RqigaZaXScWr2clhCeqUHI342SnXF7Ja0yqVTjXNrE0Y7dvaVU40UaQXqRevztlTSIM9J6
zNz2h46UEQCXCAvNrpN78+bmO0XLE41YX2wfM764IJzTeAsqp5Xb+5ib79XJMg/vtrB9bD3FLleT
7HYAPik5jpbJ4dlGFmzIxOmYL7ZWzPk6SbsfotLNB6nXfgYpPmu8Iz8DN4/KjK69x0a2gzB5kGt5
MzV2mA0GOK0ceiJgR0bQ7LGhqJJjdDMxOlURA5mjcRgaF1F8OyvxSe6xN7MiUdgtJWSWi8Rt3qau
Ao0imhy5d2JtNhSQOTQ9yDvniBS1v+lUFc8gd3hyGyxrMysSHxMmGTI8P4Zpdqh7M7+chsqSbH0z
hJJcEyzSre2HfQm6rm7ny6ANJ7nXbm2HkFO2o9bGrEABKCLDCadjhOhQ8tm3c6OCFg8UtO0nXgML
Lpw1f6S8IreQWpsBqgaZQsB1ZftuV2ZvPCucD+kkWsln32z0cwSHE2Qk24+SXiV5vklPSqS91t2X
9/sf9fS/NUzoal9OLjkbjNxSmLoyUYjvDvy9t8BVYGJUFTSgMrblJmBrM2DtJBrJNnegEAY19E7E
iDtC7QLJcbUZtMUU6eMwFXwKz87vwRoal0nqvRY+u3yPf/GOzE3vUXLFqFSHpSkTnYve1K7mWxUk
sOTqse0+hEQqEyETsERgNgM60Q6ZG8qJ1Agpf/kFO9pE2lXMqj1U0X2ljNlN2buD3NnrF4mQQeWQ
YCrGVZzFhM5b40UAfElukt86FbD8ZF4eMq4sc6zeAzDV/4yK2JFsfdNnwLDF1RjyYuApZ4cAmvEF
rvFIbtHeqoQ8tTGcYhm1mTu1/jgU9q6259f4uL/pkVulEC5GbE5DAPgOftdpdFPzCIIokStXboX2
Jno9QSoEGz2R6H7TYw9rzEyyQxqbmT4eKMiDO+fZrWo8tOqANt+25ERrlrEZq3ZSVYSUZPQZq9cv
2Ba4+1mfEl9qc2Bshuo4VzaGTpXBFDfdXQQo7TAbWiE30281Q5lp4PkvBtuvh/yhUizzqstNW+7I
ZGwm+i5J8lIfettX2wLkROldGq0oJBvfzO4hvKMIr4jld6llA5ZMulOkKHJaWGIZX05hRofdN8Ga
60+5Gn2pSJI5CaeMpa7krK1mCHZmbaSZYfsa5ukTOV7OlTIZBFtKdZmtdCiPFA+6V8PZADr/PnCN
aZc6YyY3VM+pgs+274HdTqmWe5avi0zdZ/lk791ZBHKbsm2WClyYUhg6Q9VMMuUdzorxoJWul0m+
ms1YdZ3OxAhPl6y52r4WsJr3ajb2cruyrXxIT702GxNGUxXr9k7NktiHIfZa6sjyjH+xJzgHbTx7
8a7Q4yKzdNvvInwZY1M11wmJPpdkoLkHuZ6zGbGjA+ItAJHnEzQyfSqx7d17mQeu8u+b/90n2IzZ
2DSJsej4BJCp8jd1APuNIhadv3LK8ZXf8Zt16hy2+uwtRaXt0mlsyzfK0b6Eox1+Yhkfvv/9J/hN
61tNUd7HucZ/LN92u/ii1GLMVK0mWfzdZo1ljoCcB9wOjoyLx6U2syVqN5BbSbahOnrIg7PsAYcL
Y4fDSOCc0AWkchXgrbIotZKOgw5dBwYDkSyNHh8Rc+tyI+ts1Hv2rVoR6eStCdhusqPhmOcAC42k
8iRb36yxGNEjAjA4CYI6yMBk1QE4v3KW22xrxsu1BNK9A4skdfzJYq5ErehekNwkeVW1VReRhjPE
oWDXp4Lq/wHDyL4ewnx6L9ffNyO2Ja++10p2fS1wq6OuDN5F3caO3I5V26yyvVox8SnstkXbT+lB
EU4NHL/Q5RSAv/hzgbrVwCFpv5kmmNhAEZ1TAH1Ncq7ZSo1G+Ip5DsrWR47RfnTVJr6Z06J/ZYez
VDn+Yr7fao1Q0faxvfTKxkj6kLjrft57XuHdZQbxx0ECKLDjMjGUGwRbCVLPDQVYF/y2Bhe2h8as
yzcFDOO3Uh1pq0Li0Da7eUChKEyraqcLmI6axt2+XOubAWyPgw2jkk3yhCDhkVWdaOdsNt/Jtb4Z
wDA1RoJW2U81RBKA/Ihaf65bOXkg5u6X04PraRBXQsv2bRQyGlSjoqlIfamNQO6maytJ0rgWT0Om
Hr/K9PlD5wbmn7XnShbR1c0YNpFowTyideT73tHVy08xLI+DzJs3t5qkJCetorccGgeC+K7PTe3O
bML0lQG29I5fBxjhRy/ffKYXeuIoLt+rrrVve2XS9k6WFlLLLQldL1vHlY6nNW8c32uHIrgMXI3Q
W0aBItXnza04ScE6Vqo4cn2rBvEc4K7z4So4Up0GuMHLpxeV2blmWXh+0wjjTZZm6g3+fOeT3Pe6
Ga9mYrl5FLme7za49cgN8B5DwIlShb9f+JPE2NSu1hme75gYwcspyoDdjr3UTGZu9UlAxWei3WzP
hw6Cssoysu8RCQdPcm9ms+BOGBq8vtN576DdP6A2a7OdQBn6INf8ZrTa5C55sTN5vpLoVXuwQOYm
ey/wJqnqnLmVElmQ9sbILQJ/4t7htkhab6eqtSHX5d3NgLVgLLZ6npMVZGnjCex8cCgs0cpNNls5
URFbXmFiSvYNQLi7LlOVi5KsDLk3v5UUxcQ3p1ihg+WyMb2Gc2xcoU1p5YbrlmhJIjXUraQOfHJN
4iMMQ+NNC5hQTnpGeuvL2SCOAi8j/wmaUaESqGoo4muWZ+03qU55Bl8+29zXRjORopQrfjygVbTB
l/hWzyWbXOub9dUZvSKgGqL4kZdpj7ZRpIdyiJofcq1vxivhuYbKzlvxCUUYj52rBaeBfCnJr3Uz
XLNcqUUDoMMPm5RoGUD0bx0jMb5LPftWazSNRTIuN0l+aqT6baQp1XvO/6nUfpKB87LPzGqUtXY3
KX5fEQmgj2FyFTjqLFWFMp3N6mo6otSTrgz8fJ7h6pXiTRxkhVQRCjTBy0cPskGrmgI6l2Mp5VGb
xmA3zlEkN4ttlUdBb+elkvSKb/ZWecRQIE6DXstpj2AbvHx2PTC60JotxW/zNJyhfpXVOyMAXSn5
9JvNcJi1XAeS4+NrTmKgJhmGEqJJF6tyA8rZDFfhgFuqTJ4/U1v7QH06+GiYcSw3oJzNcE2sLh+b
iKmmm+rqmhAccWmG42sntuUd/8WGcitvYp3Wncm1mIWnLr3UMeN9SOwhe+24uXS/v2h+q24qS46B
E2A+3406K9wH3aiesNB1fgJ6Mt7Zhe3McoN3q3ZCyeymmTkq/kS83w5SnI57qWgkW98M3hjWWxqH
M1OyMRpXS8jGrqYAILf920qeiDlIPSULw1MzWIN5BaTcfiyoutRyG3vbejnCIq+YWoJTiHvqYNtx
HzRcAMKVnB3szfhtFd0siFVtTgXZSIdu6pN8N8Ns/1Nqzt+Kb8zOimIN5/zJ8cb60EZWc4BeKOQm
hwXo8lw3JCICsWI9U05mx+4yKtLhVAkiduSefTN4g8hTQEpawcma8j6iiKDYT2Zfh1LVKFg1Lx9e
xdEQgSALLxJ9id4tc+7c7aQeJXv9VonTN1UBVRUGhwP6bNfrQOHbMgnleuVWiTOD7iIKUq8vmq41
lUOZhiWkkiiT810DdX/5dgjoMbKkc6uLIbHqfenyrebAUOQ6zlaLUy1kuSAJrYtSgBRBnFDeJ0Y7
SNWmQXi+fPYi6Qb65ahcxFX5cRqs/Cl1huazVK/cSnFqtxdDFmflZW+Y6RdLE+WPss1fU4baZ73g
X8z62/z0pANAZupdSWRba4TXFqWoQDs50PGt/GbSo04h/ShrhHpduoVj3iYD6NaTrhlT8ET0LFRl
Uh5ETSqb2pAeIXaRMivtrWI6eU+oWELOpO/YSiS+VTk5BjvioQjA2CkTsOerqOiSEkLkHJC9KOLe
SL4pI3RgwgNNe9A+O8uPjGwg42p+gBhfp1d54EFidiJH5FdW6Jbh5y4nJjzelUUz1u/UqurScp9M
0MvEjg8RhN8UfdBI2UpUvRA/lIFMpZmkHqL/HoMpGsgcJEM7otMVINruCo0ky5usHWe73jfkILUH
DQZr8FD2EDBuCy6FZ+UgEKSKB6cipKjfDWOojs5hIvit/pDWdRpB8uQ7uvTczrV2YdtnfXEgxTTN
+PxRN1eXc20SUKapSlR90suUCBK30Lwq3g+1aRMoRYRQle2HYXTdH5lZatUbJ7Iq9VPWQvNVD72W
xZy+Cjg5Tr0nkigM+bCtCyH6sqfNqjo0FSDFb3OqWhGMYLcScQl4egxUQtisUXcWyi5bRdKFnaAv
j2EwBMUbATnTuid6lHSng2spik7qERfM1nQMXZaiOwE5Vbzx9LlPLzzOJiUfKCBl3G8bjXPn7Lpx
ei9GUtn0Awt8MZ8ia4Ic13RGWqW7GPhW/272LL0lF95z7LDaWeMclhcR2dfK58xoSSPaxUjnnGjX
jxm8d2ogo0W2c+uWQ9MdEO0ZhBHi95sMckVF2lNWU7WpJSphzB1LnEBWpWGzr2aSh7lpAYVsx3uN
gPvya280w/DYxTqRRlVAmFQNdgCYDhg9Wwe/vFcMqLWXdldY9pe40VPxZ6uSuih8VOozYba9rfBj
ezuCQ3khRj4VOVbw/1JlJ0AvaCpAZIffe8w9tGCMiaHo3D/VJozIjozJNsf4WMGUVT4pc9tZYg8t
0Ji/a4BblB9ATtPsgImirfbwtb3saJCgOubX+ZQsA8yp2qg6YlYvvPEQ5UXvjddmXBha7Qs4k21+
VLyoNdS91RlRkB9IRMiGJ516Q/dA6sIUN4e2aAN7n3ThZ3usC+compbETLVW6eZ15cTtd63hHf2o
RKOXIS8v06arXAUxf4NDvtEf3IrLVHJQoczcZ7YdX8FIVd8StJ6aP2BLF8keftj8XZ8bcTBM0pIj
OIXzezPRyNMMbdswT6HjRc68A00cVcHtmBZtcjO0yWSS2UYSBnE4n7qITkXq8xx5enwFKmeMU7IX
vTr6CKWPLcyxFqMTRwc9sIfiKhXhRNYTer+Q0HAznezho62ozfwEIjqsH5veKT2xayMq1CD2SV+c
7yMtYDkG82urWr5PSVAX847ZAzb0riA8LC79HpFArV84ag8+64SP0m6CXQbS6P9Td2bLkdtoFn6V
eQE6sBAgeQsyV+27SjeMKpUKJMF9A4mnn5NqR3RJ7ram+24ibIejbCmZJAj8y/nP1/3CbBioZnB4
Bz4P2LURri+hGv01ZLMKpqIAhq0eIY3YgvW9lPBPZOAZNmqoo0lHynl+R3DbV/hnPQtspdFtz8B7
+MZXbwTbNpqr3se12dn6v8qx581Nng1h97w0VUMr5S9+O12mME1cvls9F6B7FStp8x1oYnMPeyug
gSYg0Ca4iNOt1TKABsGsPTfs3MyUzFSVft3xOenhEw6RQsk8cF+Wya5kE/igyvwCnxyv0WFodNSU
sGVGF2ELk9ahv4QfLKwflQGQ3m0FuizBXQbbB/IDj3WyqQqXUOSAqmMeKLqGJyALIOVqIHjBzwRw
nPxR8KbXWM3FQiiAdLpe2LQzHXxnO9gVtVJfyYx7HazqhSMHkvsjzotAzqEGvc6mPwEInbMbE5R2
umrSTrAd7o32XwFurigGDOEjqx9w0E+FUWVoKj0De1DV9hB2vusWiLZD+HYqNJ/QYI9Hf66ZjcHn
m/QDvOabEfxfNtjnobQ+KK+dyDNjN+WJzmLj1i5kvpk67DMXQ5GVJ9cfktOYAqxiEl0CAVupoWno
TZD5wLzW5ZqzQrU+uPRPXjpJ19wgti/QwugxEFy0Z2vQumBj6dAuZ2gjeuLEIgBQZAdNMvVXlaI2
VoaqIs1a/RDl4udCAeYIKFGSdb0PRBlQsiMYjqGns6simHps2Wm6+N/hbAY0XuLmYgS9EYM9fStV
zfA7ngYYDw9XlTFFU+8yUmQGBF069yHZUE29/Iw1NRnWKxvOhtVxNKxMuwvuHJ6V6gBR6KFOGFcC
pG7DvKqoklri4YJU2J6SazU67rU37RgOoM1iMHNl3cbBaD2s1dgLXYfAXVn9LfUagZBg6eGN/0bx
3V2qAs6K+acPuAcUb8tAa6tKb6nHvc9CC9ivR1LbKRgV2vCWTABnXuhoyOfoZPGOlP5Xnrp57bYt
2lLRA3ZAwnI1+3nkbQmT0yR3vWxnAwZunbH1x9q5tj9LmVnJsegCZ+/r0g0zePMgIJN47EwuOGIL
h00A5D28jy57WOyABRIzUI5oH3PBxxxQh4VVyyN29cJ7mYI1YFoVrIIIQhewCn87eaT29yCO8kbv
/IZnIY27UnbRuSBdqAFpmBozA0gEulW+X+slJ1ESzbRuZ9V52J1urRfM2JJ9H+yja7CHJWxWo2WU
N44Ava5hiJILV8RsHDVQnD3uSag8qjkkJAhJJxubTDeYWQKXipd38OLHUa4akYnxxVvsrN/aIvWH
FsMelZ1WNaPVX3yLTAsbGuXZsuBPdI4KuJ6DFosERqXhBEqtWjIYVNHNcLIlx/u2IiAUagZhsDgT
cu7lLTq/PLrLnejKEU+C0Q5FWNnlwDciLMfvg5mraY+hn4risXSTqF8DlrdsVX7NFxCqwUSn8jUX
GsfAia5X5k961Smw4Tr0EPuopRVpB7RwVqRgqXNIpx+HssuJUflMMg83UI4jlla65oHeiRxxLItz
eIIW2Adn4VEML8BgZkIEBWt7rfKqbNNDlk0D7qBZF3qOmMMPH3mJvXHbOnryKKuByjLP68k3ert0
zPbw6IfDcfqtcqAg3uBSBDa5dCqrAUa4zcCuZeWDZRJB9kdVUNVTA1dtM9IyLmDsl942qb/0B7qU
Jds6H88HAffcRA9jkC09Jh4HvX5LHfgZk1ozD9hRRcG89y88h3fihqwFlG0KtE8HtlSupShzbLHl
GOHrr40G6Q/StLqqEZL4uW82PBp08DYYWK+1AMSBl5urCjQ5fy8qnFJPbk2D4LgUYSOeNcV+8uoa
3LAb049ivsqais+XwMiO2RE6qwCzfEifbXgc66Eff9HW1fOGANwlJjVPNGv26cyL6dm08PS4A4mk
zG5n6/GpUQ3mlFdgigfTgUM/ZxYWy+BTNY89Qc/0JyButKYbDk9y4HIZmoQWANeOIaCftW3FYe0K
mwf7Shcl5k7zzAPym6btJN7oZAqB89Xo6tFiE8H9QUUuF7gHi5fiKeB97rqzBawX951AGXizItUS
58Hk9ZhuHidyDbNfTFbwvM+jhxwQkbmKkSH14gIIJWO+MVhXFVcGRQhg6WEoTL7rocM7GRuRRgKj
RzTiGNCk/huwEV50s8J+YEHyZD0i9jWBC9ABTehwvG9KNmY/gM4I8fWx1Zv1KrB1WeFtK9exvtDe
WkzAFoMs88wXhJGqbWVAgHXSbXfeE/hz7+YpN+ZeiDarjJrNyqp92fpNh11g4I/wUJbt1QSrabMb
itHzOjWTOvTuMwAx2ZspRzvtcPJ1i6qhzqMKx2KAVQlWz5CQcS7Iee9PafRYtwClYM8ORZsAOx+2
D0vtox6Ju+zwEgwuGDEyBrbCOt94g4XJuZpMWhebWXSeSeZwHoNbTw8LO/az9oM9jNVLkI/NEpWX
vHTGaVU57D73oKkuIm7qfmpw2uh0UE4Ww3RGiM3kLUwCq9nEaR2Uo96ADTD5tyjDAblQLLPBTmh9
2MSBrxUIsmuHKgw2pAXbdkgwoezbDVwgshpoeRPMxyCEIfimGiatt8WJmXOsXC3TjfBdgWQ3yGl3
ns6GnJxOpyY3Z3nl2xJCE2rNeCCgIIcJQ75bXs5Qdg2HKXPoscqsbED0nnCFch/UOpeXC3h8/Lwi
aIkkQnpFi4vFjFOguA4dOUt7aZpXYGbD4XkCOpReAU7tr0jgMIcjr3Q7mB7gzLGfz6Vlsj34aTdi
z6fTTA6539PlHOOpsLcAbW30oxcDDtKyDXM31/cGbzFcHQpHu13PkdRcyXnwW4RWYRFkMypGLKou
SlMzdzlL3Oi6jCdvIaw4CEAAPZdAK5jXeZx6axDB0pNJj6v/rsjxqbB3Qqt7TeHrw4ITEdYwVdNB
YoO+8ct/9/s/lfbA/MV7NffZoVxgAY72Ork0QHf8d80i8amyx6oR3BXD3EGc8HJ2oN09OMnpzX91
7Z+HVMEA7LuaN/bQyZweWVYWT6eI+Ytrfzc2/Bf1n89Tqhr4dL2uuTmUTZm1xcaXDmaQ1IdbvYDQ
CfNZcIrUyQg0F5b9WkEkSWDY/ZZHBrlW0WhxmWMhAXfFEHo5MJjbqF+V5/crx0EUYsYu8SdAmDI1
tL5Od6xrIoCjTMsCEH4goL3woqAejnrOaYZlPaAnRtxafmUT+2/aGn8ZlA0QK+pisYcoQPqwnfto
XPZDSu2vhozUJAYOLV/1gv9Nh+bz2CzgBdybh3U4zDDV845l3kSeSHhOSZNEjUMZRonU+SJBNcEL
pziDumRV0N9RT6Ak5siqcGLYYUMFKBzbpUyHfh9VnIlzOaeeiYEFW+wE33oD7AIKAn1ZD5c5KyUC
snFsAVeAFfMAEMcV1Ih2uoRTTIbkYcjC7ngSrzVeEsChP2KbvPAmIzYl4K9BwvpsBSXGYt9hOyM1
W3az7qm9r2BFTz1VyrkCOS8tU7h9IZtF/g7wNvCsKMR0Tg8AwaZr1yTMwtJoU2lvGeajHy7RfFmF
UsNsDOAUW+fJ+yvxH1nm/9/88K/mt36c+rf/ufjeDv+zneqf3xGU1/8f7PFPPZR/749/8b0cv3/w
xj/9//8wx6f+HxCvhahs+YBK0XddxT+88fFfaMh9uB+FNEKt9iRG+dMan8s/SIjkPAqw3xPCI+yV
fzrjc/EHIi8mIoqpyoCjOfqfGOPjo1AX/+eWg98P237OUYo+EX0RYX6q+cM1qvK08UaMgObYKYIN
xquTSaRxLacbJD5xvn5HHfqalt9ddh1OD1OzG5FNg61+QyZw64s2XgrUalHxGO5sinRm2Pfkkfts
zw1BHE83Ghj3viiT1O1DeuPYGMuT5/KFzIv49NG2vcdixz4Qz2de+9pkSeShJb/XD3K5IeUu6O+b
KqnmIM6W+jCiXslb1bBJwdw/aZq968AcbMGOh4I2648N/igoCYBzh7CqEmDoUFNC5a9/A3A+6YVB
lfwaBz5qRW9+g5QgU3nXQ3oI+mb7y1mh0uh5RVUVm9IPmgKbRNaDx+Gbbbiyet8LfgFu7Db3erVU
z6H5AfxHnDc6DnKpvIkpmcuEpnFjI1hX85iYV9a25424IykKJfP3hTePKJCcWNJbsQL2zCGFqdLH
aK4xHau3VZOdaZjwBFyDIUIPXgPSezcCFz5v0ajdgFOfmKDd2wYoveXXYqsdmmVtcLPmL353gKMH
6IvfJn2WdbkSgaeI6eO1v6xyuFVFepOmY2zT1wr20euiBNuX5I2619Dde9F3KqcY5a4NrbA3rj+E
Y2rU+XWUZvdTiAH2YC96vemN2aE6ES/BMwECe0XdaGrtxvMhqxLjRYo0GmXZFP5KWREPC00ihDLa
Gexp0xV4aQrG9cjel63hNAa+e4fiYdzKadO38yZY2kuO3XRgCYWZHCnB4jud6h6Ladhtsu47hA+x
V2Dp5H5MzpCxHFGc2xVuiIepSGY46kA4GbsGaY5aip+1H8ZdoeM6sIk/HpYQ3ej+hSx5wpoyrgX6
J0UfY1oWz5fvlgHrW5SbOoAPO5LjGr+KayBoB5AqSbJE9c63wbms5rNAc1WnPs6EfOfCq3YUmDLf
6NyiyFMetXyc528wQ1AV0JlwOJsyXAPehNMnavFCpwmhdYEJq28GytRhwUrlhyJ/DRa7aYEfhnlm
AhczFbaounSI/kivHEh0a8piaJa3Q8e3PqiVdTaqKgKIVevY0SXJxyWp+Sumk/Z1ZbVa6jUpax2P
2brtFqqkXRIfCXgZXMseX5ycz/SuNcsVnIt/2wmv/7GT/A7IeBdz/GWDOfGsGA8IquefGnM8CBkK
4jkSp/JXbpNgqB5wDimbVltpE8euNecq8mgCRef5Scy5BhUAEvBtdAtw6XbXQBu1SFSCOd3OWqLe
e12l2VZGFD8WxC39US+3rlQuTMa3jIGzhp+hXUyjWvkYOSDN9uSJ2ZtIsfmsyW5dt20CL65YFoMp
oXxrUPB6wQQU4wvS3sfIazYMb7Ocs3iGkyaK0aE7l/7PrMhVUYMJD4h01STlcCiy7zwClgZ9ErPz
7H2Ji6jDIQ6Bq5Lyashuq3GNxVfe1e/zJH93U09x1m9yOtS2KtP4uKmufCCjufabIslao9xiwLJ9
WaHXqckz0CQu3NG136xd9cVz5f/q4PA5A2gb+HQAnj8F3PXsAd44oBBiaLDhskBBJDZLomFvkSWF
/OE4Qp7YZcFG9BsSxoLd+vKApksXHJZ0Y0Bjxr7EHkl+jrfeWw+LONPhrowSI3NF5L4lEzbTL0Sr
HwPQ9+MuIoxgLZ6uPPw8N0mxYnIalZPqox/TCPEFkbELzlfjvrg/J+nbpyeED+ISpVLcHhp9fkIa
tWwMISM+ZGD8JqAuVDoOl10e7nX31We9q9U+fBpFkAByY8SI9AVYdR/Xgw1RTGFpNqFMeR7W8jZI
6SEf7F5XDdzN56T2XYKCtUIN7dm2Jc5fvqMCY4UbAfMUYy/KIFBj7Wpl1uIBim2FqbGthiHeWlZP
RHsJIO8ABEucnaho1M1doavE8scML6/Nx59eX2+w/8dR2R1Q8IvJaTefUNTSl3Z4pX6+G8V67Wgy
hPZikf1xufLJDbpwG856pdebPkNBjookkr9WwQGbjWLwwJUXGBUWvZpX2Km7CDrm9mWu4GhPlvMF
tUyfYiuxyyboyz3Tj6UMscd2hxZOJZDm7zVgHe5X5V1rMxz7bIdaeIxVoYoUM+LzJfrGrBmUrliS
U4pYhamw6+MxvSflIQ9bJUbUDG4avmJXb0/j2QqIG4UCgQq+ITiHKPHJE4+nYxg1QWhWnkCxVbzD
RG7l9hH62bN/1wZrnIMQtJILu0xqWX9Scm7CLpGA2WXePaphqEL/XMPqSCo4VIvjOs3KRL9C+jPA
LeBQ456a0vX3Cby3LLgK6G1RXc3jfiIHM97OODnk7PDon7SZE9K9nwBV8zROUdKFIiY0Tyb4SQ7s
3NKEFyYGkllVwNeX4aRstu4cX6EjadFSDTY+grYxPBq9JEOzYPdEHilt7A/nHSQtvYzQWADp1oGu
4qr7sBx3mQ5xfuYi8WcLfrcPhHieDCiJYBB8xZfn8NCKcLS5acKSemUd3vuSnqFg3VAeR/k+63e6
ZHFx0jysr0V2SmnnDcd7AioudP08nvpY6PNSR8nJWcxHbIaPqzO5iXr/UMypivpHE7ijlUc27Gqw
7TJ0aBpUMeQjTfVmnrp9IK/H6X1CbH86UrktVLUUCSrmO6/u98RDB7KUcSQvRf4zndIbMHvSEgXE
Ytxh6W2BMqzYMxDJign82KT3fEEjVYTxLM7mEMHjmh1FER1EFaDZL5WBb3zmctWntaqHW8fEXckf
ZjFfcH9SkKQeabtL9QOM5tGP5mrQHMbnoMuUiUHDpEpvUZfchd51lqK5Nd1006tdOKIvG8+kUD5Q
vStCAtTbbbC14XAcohQxTJGw6tdkAXEL5QYMPDA3+03Z2gOt0pi1yLj3crxt+1kVPLF4t1JOlQVU
z5hQRfo5ny3WapFAYaeahh2y6Brhnw3fnASkPUNcF8WBwxFJH8E+nATFiMH+5GFYcRziGFaZuXcv
8qdpuSecHLwQT8dmd+AMKocZN1qPcc+uUuJtgrbfT8Or1+B5+c92AqEvypLV2mOW6rtTSGmLYTNF
NaqCEIhkM6Tvr/Xw1Jp2zxBrruYKEi8Yh30Dle7BX0ziBhLLDpVIX/Fh76UXQwTRxOMc4KTsAUjU
v1iLUFOsMckhNKBxCOcVBN0rAtJ1JGjFILeoZGzhxq+L69LgfVmwVtZbh3A0nJ4CdqGxzQ7zU0ql
8nOsS+qjf+lQs2FxHS7Jyp4bchy8TSvwzs8TJHKHup5V6o0Yu7ume7D5EkzFseyx87KjhtRibcxj
ZOeNTcs4zMXmlEpMtLwK4OEku3XLa7frIFsR9bjhKwQQkw9FH4Yp0S5YylWRdLjqaBhrCT0E5uhL
eeCo+C7y1OTBa9y/6H7dRlV3wNNSi32cigda/6oRK8FKTwlZJsANH9IVsVPxOARk4xqaFHfl8lMg
7emaaQ81CT761vPkblzdMaskiihtTLIe9eXbzsC1iSHmhWBE9j5A3fvc2YSCL6mnUbF6VY4vm7C+
w9Ew0EyVY3lP7FnWY5WWhzk867zv1NbvlwJ5REK9a2PLJEC+ouHZJHtcadMjrBqUL16tFTHGmnce
6ROO1YomIdz0Ngwf10FVjIW0zRDVamgKJpxDBpltCKyNFkKx4Emsd5VfJ+FQxmjTHIvwJ4VuBVve
lMJCiLGdhswjE5Xq4uBH6I5ztLe+QDfhwmfsLB0fDIGlS6lmwJTn/Uy+2QnH5ngOdA5SsPog/CtP
7BYWG3vTe0k+7zVq3+nRH8/5crdCe5LuS0QFIT1HNxgd9iqOSLQfOpIM3tuwPKfIvRD7RKJMBsOw
F5y1Bq7Xcme7F1c/tqfPqcrLqi9evBQdBNG9AGsNrXAdF49dMyShcdhe4LGy3PeBho8rEgks2ogs
CnIFVWsCO9orI9bEQu4RgDa1tsGlh/x7tN3WZQ5S3eYlzPdmZgm0GGejLTal2/rIYYEeIss9bQ6N
vJzNtzl4oax8oL2MffqrgsBmdcD+NsmacSCEsE7dNsugACJITDKWuJdl7mPjtmkdp0iIsvzAJ6e8
dBOGg5r6JPWrZCUC+B5s4AY7UVur6MbhgRUOyCAaQJuDUxtLdZnQi0DqioZ6MScLOmgRxEFhP267
tImDWScZPfbYTEW7g6J9P9MHF/k3rBEbqEDxspid6ectzGNVG3lPHbZ628zbFelV1t4tw/k0dSpA
665M23Na3g04lUfPqtBmmyh4RnJ/CeV6XHcP6fLmeevlwKuDd0K+YA55HcwvkgvVjS0StkMdwSe0
wYP5hnabGqNoU+d48colHkl9EVXoi2KeNTUTQKBI5+8tH+OqEigvTJuBI1/Bsm7lrHr0Yk7fP1yR
H2UaJWIgvWBw3XR6N9XFfY5O09qcDjlzdD1e69GCEJVuYBWOiSGFTm0SRgDz1nGF+0NcujlpmooK
+wjuLsc3FIDKdK6+YKzdSMxDlDhi0J9VwIHHRVuqJoLOgOyzqjiOxFemXROTwQegRCTXnM01Dt8m
Lo2P4MTGay7iiiyXaF0nGeoqY/qrW6oEmq59VqeJCK6X6NjKXoWQZOVQQUseV77bodORBCj5GCZ2
VY9eZCOUq9w5R8bvpcUbEMjxjNa6qUBv5e3ex2BkRcLL7BSl8OEKQMYHDpRN7u/pWkHgPkMsi9VD
2gtfNwm6vEjaG6DaH5cTyX4AGCTFSi2AGOaJLBb4nSPshKyhHSHQQPhR9RuYfsCRo/7Oiu5yAheC
9QZCpGxMALRW1fQTNVo0Z8rjNNODlnob+qhz6z5eumu35puhKraFdIcIgWgWIaHXm0BWP3mQbWds
+11NUXR5GZZly5ZBwe9DNaVI0gCnQ0VjwxB94h6FoooxVYLNeCRnnLhkwaC79vKtL79V4R1kwfGs
cfzVz1jNfhrTlez8alDFCDC9JxOjs6RMXwZIdDKv2vsrUuXGAdj+2DO3rU/Oh82Dqx+QFLB22BI0
GvzSYQ/b9u13XQa7GqAq5z3r3hwn4IS74lnDUdMgpLTzzq4XfGlyoKDKK8/2l5YPBzd2u5zZHYpw
wi+PM0KnCkTr/7wGjRIg/vpcTP4Acf2/lan/P2FbT2ZO/74ufYaW+A/U2D+Upk8/8ie3lQryB4Uz
BQHdPAqRDCPH/7M2LaM/BKPvwGkQTKPTHMqftWn/Dxmh+AxlBjDOqFufJjT/rE17lP7h+/L0x0EU
hIJC4/0fUFvffS3+mdXiIyD7Q9EIc40UgHny2QdO5MYnHMrda8gS2UY3SLvMvP6cyxziyM4EB9qN
ImlkjRSW+ENS0AF63Un6Z6ybvkLusY8Fj9PVSDBsJRfEl5TjXz/m2GA5QwqAgeBrW7Y4IT1+pKQq
HxeRMeWdMoiK1nUy5bTatpEbsT8j70KxYe+5+oUXVqpxCKukQ3/nfuFlv5t71Gql5eRiXNLlvJ6j
5wU15S+KA++eLx/vouQRBmBQqAHsAAjuj9cNivypNeoV1+i8H8qa7OoauVlJB5KQyDc3DRQAh9Bh
TnVkc3Rdh1RvIcYqdxB22LNp0P3rVM3DY1uml2I5VpS+/bYo/0WJ8FPb8/3OovUgQgDvBUoY4ace
xAxDcQTvuMKKluTWr9oZCrIa2UAvBY5aIs5IiBqqI51BHjR4SecCs5WIIwVgggmskrorH2KAm1o3
w2VQu2aHEWgUJjyUPmF0W2+BxSj3TajJVTdO+jxaCIJK5GiJWKL0i9kScWqU/37DOQ0oTI4k2j3s
RDnHu/N7cS6f4HFiPLT/DBRiFRQePUdAMAl/G4aoryK8XGwsMnc7CA8h5zySH503yqscrEuwxlHq
yFFxR9ujhEmH9obxUoxmRC7bIA2GVs57rQpkVXEF59sYmpqdt4j62kHU/lavA1LbDGqH+1bccSjy
1mYIz7suH3fO+djWu7GnY5wC/hJ7bdmcYQ4AKljUl8unteBppbwcPYd84k+uWPz7shskHJwwDYwy
Z5vVL2i5OBTlxzc8rw7SLdjaCqgfw+gywO2oEXHk7bM/on6d6jmd0H6l/Rfr5fSi/XZ/AymDkEvJ
TuVkjqX9SahAjIAOa8ibO0chkakdhaVg2PpfGLd93n3+8jHYN39/jD7UXSJsMjg6uLzdeYXLdqXr
UUSDHjdF4Sm8aGn2ghWYxdA8V491Sur7iE/31eo9//0b8u6N+OEro8YKq5QQe7FkJPjsWekHFsKp
Vba3iILoZoI65rJxIkhk2ITnE6UVYJpRv7MLEOuYq6a/1qjxzitsWWemBzKjRvvv6HeRjEVwumeF
nZMchMyrsoBYLPY6/nNhEejvvoWIy+Jd6VHkppWhe+kjqNBAsSIe7x0AHKN5yjBIdaGXtb3qwxBq
xgyVHkhuoEEvLb3F35Aed0X3CAz5VwSgE5n849OHq0bI0amkIUNB8LMJ1bJKno7ZglkQzlSzuosC
92EokMyRCKV/eYS0NNZjgUnz5q5DLv/3j+IdRPfhUYR4DpxxTk5Y8+CzZQ9m70c5+sa/hYagO4rU
C3B37VECnIHMbi33lqT5Xe5Be2dzGaJpuPhoro5Fgj/vY0j1y3Nj1v/MK/XUYsZlYcaCgXNOwuCz
m2E+CjbxYeEQi61PcmQUVazM/0Kgcjoq/vLdcRBzfBbjf6meIzVK05w7fqvzkO8kMv5FNv1h6scv
Xr6PZfrTtxESrzbaRQxRCf3sksZIEQ4+N82tK1A295qTpqfrTZYM9bo8gqO0fHFKfizXnz4QGzWa
VD5sayP48Xw63Pusmydw1sdb7Q8bMq9XUD3HYyV/zrlJejBlo1B+1UL5F0tZQmr2Hiox0O6jTy2U
ogX+LBJzewvVnbKuh4YfvqL9tKuW4QfQiomLAjAaeAJx+C/Gqt3fL+W/fucQbZBACF8iAPT9Txtc
Di3skPl2gao508lcy/XG5CgiBPNor4aR/cAlMShIpnn/9x/8+R0K0YFBXMdwm6E5CNEd/7S11tPQ
Tob3V76t3SWGJuIKALWjDVBZVXSGHL0ccrdp06bZwoElffIzPaNTDnVqN4XTdxxHzXWRduyLO/Lu
7ffbAsfWwrCqT4c2Alu0b06bz299NTNDlYudWF7J0a03UziLY9VZhlx8SO8cEkAJORDSWMO3ZRud
BQN6g2axP0OMbSuQmfP9hKBlmzWiwX6EZnNFsI46IXE8tK3bfnEfTwvkw+UGLEIkiqvlxBf8s1mK
h9ko6hnnXWEOKR54jSx9OqfiAoImSCGbrR7hmwDD1LR0XzzCT2snJGGEtlYQCIkYHQSFTyFbqmvM
G9oRGIt6VOG4yj0bsOuXFvloW8I8selcsY8w6fH3X/nTDvT+uVxioIXDJIDjVf34gGhZMLDxMnfF
bY4mw9AMGy8YTAye6vjF3T19hd9vLpQxCDCwGTCfc4zVfHo9ptXSEYIOc72WxLsMrHdeO8/bYGFH
cZNOKsOU5re//3bvHof//EwIe9C1RiQMmRCOlzAin9ZfhZQLtuy9uyVB5FCJbsKEwwQOURnvKUQt
rtpoOAUdeDcFh3WQrynpNbrZNT3CEelU2/Vm2JRAL+uRKi/U31/ee3f00+UhQmcExwxF29f/tEuK
JStqnF/rbVWPmLc3bqOnPt+F4RqdTzMXMcOAG0aeSPZc5Ks9T3UOZdyEsp7JS3sWQIu3cYtfJLlt
0ZuQKzqRmFnsVVYP2TcfYv4Dc3UcFijOp7lsLytWuIve+J0aF/95CqEDN3xa4Ak+F1+cAJ82pfd7
zyQS29P5hn98RlTlqHtzomd3WxanNhDPpzNurTnpEBwaqxnkFmVFBxSMf8DFDe2IdoFX31TdYBE9
sDUdeAxrlen17+/5xxcNV3XKf9HaxTJkmG/47JrNMR9ppnRFy280/KfA2CJKZ10Qd9VQbzLgKr6F
VdNvKQzSv3jVTg/zw8PGJ5+OxZBF0JkFn/dCEix+I+qG3uZpUG57iETjZY3oFyf9xxf69P0CbFyB
xFoHYxB9+Y8vNFgPEk4sYX+LLW5GMU88dUMXJJzKr3yeP77P//ik082UPDiJ3T73yDkaE9hWmv5W
jMXJMJZOG1FHZ4yiEmtRc8uzCIX8v396f11UKIMgUES1BFKJQH7G4IYdTMlwGky3BXKJLUawMYLS
1QPazt54V2Dz2cCgBA2Z/2XvzJrixtY1/Vcqzr3cWpp10R3ROZOQDAnYLm4UYLBmLc3Tr+9HuPYu
MqHI44sT0Se6903VLmyWpDV9wzsAA1yqVYt5cDCSYVhUwXWj9zdh1tFYjOxTTPajm276GtODTXtY
V1VbHFczxq7P9AoLw72mGgQgoSYeQs1ozj1PH8/kkHvnXpzI6U5LZpqaZ1uulojSAQ2JjGJFQBa2
SrD0XcN30rZJVT9J33mBrEcTIRvaE2excXjT/XpcjW/oGg6+razIw2WiIUYtFD0v4Wh2aOcWXZ/O
kBjx13bRrpwyL7Zs0nRt2KWxgvHd7ykPQzDrtDF4sALFmfM7qzMhxuDCw17gkiyrfjKLOl2bbuid
p34uX7QsTLd+2erzuPDDczenSNAaNY2c3HQvAs3JlkYT5pelVB/UOC6+cjCUBswOYcOZCLjuRoqe
COi7+7bOnVUAHG3WCLPa5nhHLAI9s+ZhkwYngvLXYPhwo1Idw+JPnc5mltjRpeFYPZq8bVDs0QDy
Z+4gvQ1AYGNrKu2wtUJpXlRq4Gzarrk25Th+81LH/dMb2u+xU6YrTt56GVumT1u7HOaDGw+Xg2IE
W0sX2dPn2+EwrH+dRQsaMk+p2VDc1OkweBNewVlNmzFQ8n0yGPXGHRAJ0EMNLGdPrbsezVNSE++3
PNG8js+tM0X2wFyPxqvRjffpU+5JM9TvDe4g0qXwAZGIMsxQox1tlqecE98faKRhnNOGqboUQd2j
sCG1HYo1pV/sZU+HuNRCbRFASp6zndUTV9YHn9MWELiAX00L4F1lT2lbC63MAmI5bWwFV+JLGcXd
PAzibJs0Xvzb47mWobsc1dQSrXeyiPgfBAExiNw7lavcdXkHRscLBtACYDYFRJoT6j7v7j7icdt1
DdcgTXLIbA+nr6rqugzbkKpHV1qbUZT5zAlBAVhhZc1yy/NmUZ7KMzhqzYm777WGdLCnpiqDYdCh
nlJCspXDoXursXLaNXIPabX7sy/C/imHUPe1zsxLrQA9RdlWxZ9E1S4B55ir2IQFB/gY2KZQwK1l
Gt2+NoNsh5ghWXKlzwyl62duuLb4tYu+f1AEl47nQC7IDB2Os9GU35qk9b+B7kPOw43mbOVwpWMX
CTK7HbpN0tXNuRxPOU2/W7HTu9oU+6dIw9SP3zUvvSHtWpaRHyQVACgvXKUcnwS4ybD5/AB4tyGP
hjoK371myEZPcAA4udrPlaT6nmcgZJLO/YaswndtqMWJNfta+DiaSbIUcnvKCKDcjzWPjVZE0hqc
ZM9SVbc99M8GnI8rv1uyEIuuCXWwXUG2LDvtuihxU+WIkJcqEOx5WeLEC22GexCrJ/UMUYOlkuY4
JSl1uXJpSK/yTrf2sgrL80Lv6dWZHphLpX6Z0oql1QIXhqU35hJ9pzE6L5xxUfSO3NZpdupFX5W0
D1+UfgunP6cdNfT3JQwEdaR0mniv4K1acxpeoGo3zNtRLVdZqvQLtzduA2xXIAYmKDEY/dfPJ/fd
ceTwAAbdIR5jwiAenXwoJVCbj8t4D7EzmBqMlvGSQgDE6yWq76F1xuvPBzwqoDCXjOjAOachQ6OI
VPhwl6oZDaAoCJI92jTW1kG8Eu7ixpTcyhmcqo2vSOMyQz5qkRujBcrfGGdm0J8qi72P8ngO97WL
ZlGhRYrl8Dma0rUplfjJvoyGcN24brCODVuC2/Y8FLyrF83zAvCJvbMEGO8tuJOpprdMkxebN61X
Oo9BdGo63m9rwVy8NquosEBpPHqoCgUDRzGzvQhN55sNXXAxdlaIL6cibj6fiKPe2OtEUI0nMSRf
pn5yXIhwHZVaFvnCPq80GCBOAIN7oMsCyB1U2xL7dn+L5AfsBocdVkhFW0F+abZDFzjbTOTRhGbX
qSRkUbwWwocRkUiPL6dRhavL8cyegr05ZClzgxgDhs2fv8C7XIcOo85dw31tAdo9VtYyhOLlRkC9
0XBANmV9Fq6oczonzqIj2PbrZ3Ko0nAYAT8mqTsq+HEamA5uOXLfKv5L2NqbLnS+yQJ4qQlTfdOY
kGFkEHo3uhJCGfYasbZMMdzHFHnmCcpfJ177ow0ENcm0bcMiYCH/OVwj3khLLITmvlcyUu4Ud7Ml
nOVoi7PXHfHfuMuGqyqqlHO7GO80NAk27amSx1FkTxGHZWpRypkuWhJA7fARfEU0mlLL7gbMk7ps
6hF0XKz+TE07WqZ2BTRUtR0gcG2zTCllpWl7AhLuMsCbc5MHgIWlo5dLTd+koXT0DfQI6i8ZeLnP
69aa5xChl7KKvmbRRCTPlTkSIwaA9oLSrC5+z0aGF54GhxtGDsyqoJZ2+PZqUpuRZeXV3u/DZ00Z
jAuK4end56vbfPeNp9h3+sa8pG2yGw9HscyyHfPOasAKp85aNzp/NdKVnjEdspwNuiaIpCx5LjRf
ruowCEA2dgAsQW7dWfkY72PpjI9WJOPLzIn6tS5i7/vgovvlV2q4NoQerLSgb0CQDM3KqWtzFTQA
SsK0SmdTwWaDUggN8sy/8ryOumnTVud9YMdrWwTfQc2ka7233aU6BOWlFQ8VOWanLIdocM+hs8pd
0CNcZft2dNf2tj5TQRCtAq1CE71ojVkQyIcCkNRwDvGnWrdogl+c0tzTjkIX9q2hsuSxemDOqCFM
y+hN7pK2Iq50ZJX2hRv+0AcHnJerqNskdYF5yXTUppwebRX8XTpQvUP+4AfVn3FDvbhM4vApl2m9
a/Myv3GC2lv6EJpWSh4AP40c6zzPYK+bqeyuzGAA5t6a2cLUPIQ5GzloO731NHCcyOKPxaiuPl8e
0wI/2ACIkFHHpRCgmRSZjleHnip22jmBuid3qGcVWLGbDDno689H+egD0mKxaNzRuyVpOfqAVogW
UY9N475J+oXsw6WPMpVCodwKypUj6tvAsTYKkOqQYy8GDNpm2bVI15n/1a+usgyQmj7sJm2GCRHs
15ukrO9imFZOF84HEL5stlmud19NbvwTB+UHD09VVkwsC8FxpR5rEXdD54+WWzv7ZsKl2SiUzEtH
EtobWp+cjajPMMtDBSKvRc5lptEmnJV+JHdGURkzy6Cy0w6gDvMI3bui7bZj4PxoXTtfm43pbgva
2TetSoPBUdTkeRLZWnELtbNQA6dnova7izSt20gkbE7c3cflAxb2FK+RQ5oUVzSK+YcLW6DDkAQo
Q+/7WB9Wng78Nhz862Rs++txbPNdqQTu18oa6oXeNUDb7cG87AqcSuRAZzg0wlWhIqMFbFCDDceR
EtE96gGboUO3+HwRHcU0PKul2lzUU5eGwuGxN5MdS7vqsJfaS0URFJqle1bmIBdjRVNOpCofDkW9
kOyPsjB74/Cz+EOHpQYYj72WRh75FxxTFzDEMmZ57T9/q+P48ddr8V4ayTXhs3oUqvUm4lBjnet7
PRqbTWz4eHUOfkvJSD0n/50FpQzPkNHy14Nwv9buoG1c1SsWNQq7C02wO9RI/l40//pMjkUw5+pg
xDgXDt/fkC7Nu7HU92HQ/SSWhvW+RnziJtG7U77FR4nDr6G4B5lQCkO0tA6Hik01QIW70Pe9SO8V
FwJ+nMGgRT3On9nSb08IQ3+w4jmBDArOU5lGp5N/OJ5vSFb8mLl7FyWoJ0tx3bnwnXiRhUabzBxQ
D9/7TrOrRRhkm9FzlGfHbHFzCrN+jGcWKcd1PvhLAyjXN0W1vbMxDPMzsLgKbTcZDSd26Pubh9oH
XSXHZCECBZ9+/ubmwRclpZ44RrejHmQLJBC7H7rI9Q0YISRoEmQoyiw0T0RFx6Ehk8ItB1qMeuuk
EfR6Ir4Ztc3b0RVtWoB71qyzSNJ6SjNomEOqDFdlDQoka3r9kWM5X8TSLa/GFLiwAfLt13T9VwgM
5C/ZbV2+vNQoDBwjQafxfsh8KEM/qKv/9fpj/0UuHuvHg/+zRDijprf7Ug77l6pJ6n8hGKc/+Z/9
4R8vr7/lbshf/ud//JBNVk+/DbhLdoDFnK7af4ZvXj42ZfPuz/8lK2BZX1wQcywHATyTHvrf0E1+
wvVKfRUtYCJbaix/QTcV9Qtni0pWyN+gb0wbj7X0L/AmPzR1rmWXEMdyTe6D30JvHueEtI1eHwJl
Ugpp9DWP73sN986wkN61jSjCQguidlZViL2VwyZ3JnEADY06k8SmdHBsjl9KpbhTVNLD2h4WGdiL
WaX09ld4LV4Q9mchMrUoXEDJbtofbIKn10/7/1fZfzD//7zG/nf2LMvy8e0q48//tca+UC4jLyFr
QCOMihLJyV/w4C9QXShvcwWwYAACcWL/Cx6sfSF9pizNj2x6bVMP+a8VZmhfDDKs6ReB9ARyYv4O
OtidLuC/w1YkirkrpioTvUOL9vxxM1pzM6U2Spo8nifVp7CN7GvEbuFcUV8FfNGgAVkmEjd527lv
0afaeE2h3HtFDkWAxpGbKEsXcjbap2dROrRXttGB1kLl9CuujOhemIaz9MfCWVGghlnTtz9StXwY
/aRdtMpw4+VJu7b1NFn2DRDAUUPKKLHGZq5WKHMiqlU+lCJ8oNz3Z96N0SKT+jkuE/dIuOqrrB6C
tVeU5yR7lH777D63RHM5dtGLBxao4LRFkd9YoHyQfisGKkVVMdhbTZP1WtfqAXEGWNeRgjheLfr6
h6Goex4l3SElP+9Qc1u6U0szM3rC0HzQrvzRoaorBjQXq3GcA48t5kMHMxj5RyK1rj4HF4oVgN9k
S3iD46ruEHnIpf4sjZGCVedE8BnTNQoQ7V2U5Hvdz5+9WPlmkJnwpUPzp9KLrdOHwZ0Xl8YGibiN
KyF6INIGFTjNx+3YOtkvrO1v7dr/J4H/cL0599mQ/7y175rs6Y+zKnnMnqu3+1v8++/+2uam+YXe
NGg7ALoT1H8q3v3a5vxkkmRW1de8wAYF8O9trllfiME5GHgKsiEAK//e5tOPiOUox1JQE0RZv3WN
8Hve7nKd2j3iu6pAjpoNDw7nMPgRGlKOhQnh0YbmFDcGdG8JugSR8hSo1dpFTXOVFCdE5I9wOPbr
qCBtJ0AAuAvQIIej8h9Ca4gCcwEiW8INhIwW6MmW6m66Rcj0cihlOsssHKPT5No3A3tepWkI1ja4
jxBuhE5pjnM1i4xfqfpvrff/HIvl6r9bLEQJklvkn5czOWMp2z/Om+yxCsLyj//x738N/1rlB4v8
16/76yIzrC9Tfd4FrAY7xZygLH9dZAaLnwsO4gHBCgv87xVuINwEjB+wCD8n/5k8Rv51kenccTqF
OGggryQY7XcuMkKywzU+XaGwBVzdAJDBJjwuAhaSPEwRUXlvttEeYzJjVwB/WVpm9CTrJl8GBirb
aVPkT3VUu6s4s+WiiQ1rZ2l5/ogi4rCsi4xym5OY9O79cZ4pWTFDudXagf9IZlYxfjX0XkO1J2tW
wHWbDWL7ziJFkHzd9nq4GXVdWZqqZ5wPbienzhFC1lnsrrnXDEQ9jJuhwtkT9PKjbmcDQq8ho4z8
trRFGSK18mAha1AOthIlm9SGLD9WXbXoyhwtg5ZGP0aq+TzPvQFVnuBc1kDbUM1Y2QPSLa6fPeDG
1M5cMqlLB/eJM9tJnsSg3zhZehGW0XM6hk+hXeq0CNIL11O/GkB2Z0qVrhw5/lklMIMRL71t3ORC
UR36B3Tn1laP1DhNuIfAIV9rZd1Opr9Q6ZChW+JuEC/sHHyH58Q/NQeGbtZ7W7tWxk1oxk8Y/Ljw
8eWtb7c7THeLGdLsBZUAF3VOHDwn3uCTbcCjD0C9rZ2A589LNborcoF6RBoGV0491mjCyXE498x6
WFtDq81VNKcyPQoWPhapi7i3nXXqMkml4YmLPrcum7gY1oPVX+fFg1ozWpVkD0mb5XMiFAftWL7C
9J+klTx0Q3mbDf65R/lgCUoGNSczS2cdaqhzvVV+CJxgFtCC2nkm6l0wxN2CpqaNPJxBphtYXCLh
M1KMyRQsEax0+cpOhn5boS7N3PcTE3cS6JNNXy/bUhnmlVcgqRSq5U5lejTXL7/3akDlrWzdOeHY
T89QtpPO+Yzk6sF1AW27vkD+RJXXxch8hFHQrJDMyx/yyDU3UtDNQU5CXOgZaiUdtLPLYVo6vV7t
KJag1itBtfZe01zgVQAUkMq18GeVnWr7xE/yJ8p2xU04Nt/zzlxrqKGCm9Y3qJ3TsgeAb/byNrDq
/jLvs4fKK289I8LuIspuK542KqrvqC1fi6pGoQICxaoqlXiJbPST3cTPKL7KhYFSLlxSXUEnqOq3
GXyllZGh2ukGfjpPA2UblPmtO7AUtID3rbP4GZrxHTyhG9MbsjWF3XglQ2Sl4tjlEw5xeCnVtELf
wgQCmcbm1yaMsovIsxsU/mJFzqMhudZKc1P3ir/Q/ey2RFwYdE7w0xzETZtAu+iahGUXZj/NHLAc
Ko7J3NBSFiFChOtQMSjmpUpI/wJhBDftdlEYPIwWtFjk3uUmifi0fW5jEBJQwN9AFZZEg4N/YY1m
DSnVtJY1guOdyZrpTeYTyQRgz7bn8y1qcZH3YX8ValW2HquqWrgxNNacdt+SYgBiHj5w0A4gCepn
/AJTLzrESKIR3/MhmWU0++ueA6EZLJqzCBisC+kHz7V0f+gog209JfzpOcYaIV2J5kqzSA201fy2
MK+RfX/SAZifWVlqIMI0ZmvX5wPguVgtNJ8RCzcjdFbGr3xJfMpddZdEqgH/K8a1wxgG2P0aPgNV
ALofNZo0/un0Sfs1Qb15pkGXnRuF58zCkEer3ACOFSSZdYMg45mdRAFdkxLolP9Uauqjo7boMOhF
uM6srN8WXoNEP5sb2kfFwWdIeP6DG6Jc0HLSZq22lCEC1Cg6qwusSopto0ZU/PQsv6JZhD5e7xXf
GxkkS8fJs4u0zUo6BxYCzmGhz7y22b2uG7NGrYXNhjYZwATUT0YNmxcya1WwyHrOo43iAHfCVc1d
m0bzC5jzXxCG/GOwMo31f1k5hvb1ZwHIXqaPWXiQKr/+jV8xhuZ+oXJJMxW9J7CIYtJB+xVjaOoX
8G6cNA5QhaMYw+FHgBeIkymWiNcqzpsYA27tBNEkNqcvLX4nxqBHdRhjIEI1lVYhB2kTb04ct54d
qcQ1AvraPPdIas/tMeRgy/Np51uoeozXLe4SgzmzqxEnWmU0Xf+8R98LIjpa1liFL0fE8cVz2stS
rDsKNflZLVrhzgvcMNKl64devej8KPAWSakqxlI6lek+9kMSDnMr8UVxZVPAFBeD2o/Kpo7SHo3b
xseG4i5OvEbZybQxXB/UeyLlhUkVHFed0BYbAgzfqmYtjg72GWyM+tZpOvucAMi51puwGs9CoqFv
sqyVfIFQiemTx3bple1VhbNofLsvhhkEe4l3Qz0KQL61nnXehWfHZadSZBe9es9lBr+1cNQhXwep
m1nLIYRMCaXLC7q5Y1emQVQfZH8aQepZKy1p236TOSyGWU1TxlsOVg17c2z0GhmaHiTRLFJG9JUy
gS0DxhCOgq6j1fnKyvdtmS+yqur8Hdrw7i7V+xT1PRSiV2VRdRdk/bgvxeEk2sErhA8o59d7DFWQ
0KHB2Yu50mb6aigjy1mmnQLm1YhiYkQ9cQRyMLqPDDm6EKJN0CyR3XegbDm6VGFph8vEL0MxMxtF
R/iqaYyXcKiRfg+chY/WM3KZYYU6UeVbNwnuNBeI/tiIJdaW782LUPjPHLpxtMalbY8jLRIiiVFV
j5Mo7dyV3IbwzI0LAI/jt8FREcdFRMW0/XyLDYNWzr0oqM8pW8BpUrQyuQ+Q3T3LcyfZ9VBgi7mH
L8IWhaDmydfHYeGGfTJvUz35oZrTnV/gSNvPccxwr+zYxEfBG9D+XgjRQBGO+ughoUdaznE18Xpq
DmPO63S989MPG02dqYoPXUcr0Ytfm4rdVAt91KpbfKECdVm6Lb0410AVCgFhENo+63Q3Kn0rZv4Y
TJ0IN8KE24xMVazAslgJwpkxrUcfU4DlWCD5PVONyT8FikSNSGijAzRDl3rf1xJIoMDy4FtTF4h+
xWE83tN1K9t5F4LOQT8IB4BZb1vZpQyV6VF7jB3wgGzLu6wIw2dHC03SXz1qv3XI69P5yfXhrqks
O6E5NMnod0VRK5sBHiDVGHwZngEhBfelgBaMQU+vybWHS0S06Lsh/wl/NiH698roJlNccDd+Xik3
RWZGFJWw/7FnTmUlKp+3Tf7sUKuvZm4kmQBNkeI8raOKiwfZiWdPUoy6qDFnwTAn1K0bEcX+vesI
A+kzK/LWQRg1Me5bng64D2rLDFcfBVcCpYiukmTSkzPr1PxJDOVjQ9PwM0JbmAco6bTdhU/75i5M
IrkvGxshIcOuNMT6XQ/+dGtU3xRhiPrCLpph00oMxDB+8twd1hF0lZOqiJAvS5tSpVODxcLcSC31
ylFyz11BpognFZkub7ZaAfkcwyCles5hjL9IvUSTKKtj17828wId/1Gog0exkDPsafRM1nFlatmD
zzNArbUafbxQxlTx4EcopZgHehr/cHyst1alyHNsRULFvq/7NrXRhsnoVEetLNNlAaTgnkRv8BZ1
2qTfelfHR6tE7f5HmQ3ZtdMl6HQkZoGih2pCXVhR8kA3RxGFwuAYhYCxSvI7u25BbKiIAGIP72lQ
Be0+K5aIowBy9P262tZOi8pQgfPYBRT53lnlpqAKCIQWvbFq8FRnVVtxQAqF2IwD/6ZjppCOcu51
je7YzE+GtFqZtIMupx3rrgKz1TZeH2nGzBd9dF3k9qShHSbejZcoaTk39Ky4LurC/25pNVBKKkmu
v2HQtp8PquF5Z1Wga+CemLZ60eouEikFreNgQeyVPKZqp9vzsuNsWxRsZARWAyfCAwnLHZy/VLS1
CIqL6sYaBQpWGDtY5aIPaBjPDUI9eybyRNnmhoSjw2YefxC1OvdIBtcveFmMyB1qXTqvXD9+qCIK
OjMhLelBphc8u9Vh50Ga5Me3FSzkZlFqRl6SVIgWj4A4H247gGg4+ppKnGD6ZGflIlLTKMC9uQUM
QmUacVNdOqgNI/OdfWXWED3CO8V7xkkQWbDEnJTQSsJGfNN4yntZZOV5EzqTLl8/wn8ELxMFa6wG
1L2PexraWaleZsAHjOZsgCcpF5Y2tHuQq32Ho5VRAWysCnGbqI1/ZQ9ll8wHoFLBLA0RAJiruMBd
GVXnqgtH9zsuVhrOz4nvd9vQjpR81gyV6OcCp6xmPoxpfUNMoBGeA2P8XmS9/qewauTpzBobolkA
mAcJG9SUACxDTcKJBnk/rQpZrvjjAGsTWYMecUTUv8Dwz4cRqVgJcm6uYoTUxXT1EZI7fLUKAijA
jSy1rrMBlBoagQUaPgNpnT7TM2O4xvtlTOclLKVmIX2t+toYgXYD183BSxzJthD4UijuuZ5kvDXb
BijThHZahkFIRcNFpAc3HUwlVBJGSeovkUILqDyIhj8Iz+T76LRNuswtQ7l0U5e6OwLsrJq0yDtU
HVPL+dn6iUSpkaK8MtPHpvZmplI1P/gdXrKk36b96RtBeJ03aqgvky7X2F/BKLZpHwfF3MkD21t4
+HHd0hsNPJZ8VTpLg0ChXMB2q6DcwGmf+ZWbI3A9JOy3Rqjx02j20WXRayjnYCBi1NwSzOIij7L6
RmT4/W1pVLfrKMGUDP0zqzAAXg6oPNmeFklUM7Wynwe+F38XuofSsSLM4iJpqGpgNzjWcG5RsyKg
QBP8m4nFCukKDvb3MnbFuIY4PEL4pxbSrKquLylPDJCFl8YYdgNpIyPhZRTJetYYYLo3MsttRAjY
NNWCgMm8s/Aa02HN8f3RB0dDEAemEGXnvAmNi16z/H4Jx0CDg1WSqcw6i7h4hm2U9oTfBWJIruM5
j1Xs+w9134hiG5s22p3ontUgypxK2SdClvEioIaByVM9hM1KxJHhIDzQNjdBoJT+diyANp2lRmO1
F+XoTFtpEDnSjVRpKHEZRj9rwtZU59IpB2VWDa3Yd8Og7yGVxA+dndpo14EFBKPTIN+UgwTHHAog
l3Wd2GZMcKFmVbZKQwdDiFlX+7W5A4HtGCsEGmLrYgxb8JNDHbIe7Q4V0Z+d2nTZy4hFSoMDY6jh
xxb2QrUvfL9qg6/ExFGy9lQv6y60YdTdrYG9k9xXZV51qxBJLUEA7HgV3CIhvB9mCCd+lVa1od4S
T9jahal7g7HHF1TX5rVQR+0ELOAQKwZpzqBtx7yYpDlignsfFsa9SFMgRgCoTvnxjvZbiKeCnf54
k1hd/2rivRWNPsKyvw6DfBDKLmRYCGEey/S6ZZ5VxIMxuO0ewUM3TPpbYdeToqKjRijLCS2/sHIZ
RfhpEg2qZVcglhWWd68P8l+Q6P63q7e7TN0/V9uvH/Pm8Y/Ll+6PdRNmLwdZr5j+6l+VddP9Qg8I
RhcYwoPekTDUL+Dy4T/RszH5Fxo7f8MQyHTBGPA/8GYufKm/a+uw5b5YdI/oO9FDnhgpv5X4Tuvx
7yYx2goTTxwyNf8A3A1c4nC9dnqvKj08rYsKNRHcJ/Va+ZkJvAnefJwPFuwRhngaBgSvgBZNs8AC
n3Y4TOqNEjJL7lwodZ7c62o0Loyylpes4+wbEGey01rRznSRqt+KwLJOIJrev6ULrhKUENRlqB/2
1GB4g9VRqLhVZmb6u0wd67WIkZlK+27/+Tt+NAiIoEnzSzCtzhGeI1DtOiEHCHbwH9CZBchBeoMw
5+ejHMHu+JKuBR2VSI39zz+np3j7KiOucgSDwU7toUspwD7pR4/pQnHSU/S5j16I6gr0Vx0IuXOs
YB43Bcu6bIJdRJX3hyuJKNS0pBL/+Rt9NAyUHEAKUAI1pBoO36gOHHNwG96IBKBeBh0iTIkZ16da
lvSwjlY6SljAIabZcWh0TR/2zYcL20oqAqs9rBhlvqt0Oc6kTkYgPe2lq/pkUVZUC/SmcVbdEGCF
3KPhW6Ih9ftr0RY6lS5NR8eAytXhc7QQkzxM6IJdUEHwCJzUXDSjnTx8/lEPy1nTvp5I6cBBrUm/
BGTv4SjukKVer2vBrojV544SA55++Y2ZO8SDGtjTz0f7YApBZ7JOOKp0lA+OThGCSgFn1Ap2YWM0
6yaidJIi/bH+fJQPlj7NdDIhFNyp0U3Arbcz6JVha2mouuLx2XtrNGEKxOKGF/SEuhOb7N370GlE
WQbYjD0Rqo+ZWmlcioRrPN3RqfBQFWXxbDy3EidOjHeTRPUQ6qYJch5uIRJWRy9UA6V07JwTY0zD
heWn8bPl5/XMglN3Ax+u/d1pYjyYqdMEIQxlHI83CL3qSprHO29Etec1OlV0J11+Pk3vPx69YEDB
AsoZ3/GYUFgkTUcjw0h3PXzsszHS27nMY/3EKMf4SyZmGmaiErOlQUEcrTk5qYSUtocGqYXIa9kb
KobnRf8cZpL8G4fiq2Fsb3SnqH7mbSmvcDdGqG3EBvx3X9eceuOgICZmGxyZw0kMsXSVIsiCnREY
wzJolGd6M6fkl95/U15QnTBhQE154aOVklSabIqQDeYiVrj0sjJcDLZV/Pb6OBzl6FVkhX1hgjXp
rtYw0Ao04n+fVPbEKO+2MVfKtLmIO1D+wHn28IPhl+gkKsXmXapotM6tbnigN9csJ6zd9edz8/FQ
wBNQhiNmehVWfHPmq9Lp8FFV0x0asdatrgco4WtFV3+N0aIwTtxj0/FzEEoZ3GKcgAT2wJDfsc3H
kjqntHO5S8vkusc29qzoDW3mgaGb+stJoY5k8t0psaj3S4NhAaGzqadTxDxCP+t4v7a1DwcIXUry
7zT0SNTiU9T291+SUUB6wCzgQGS5H04aEvxRToIsdwUVn3zeakqTnuNej6XUUAOzP/t84j74ltBg
2MKU7dBZ1afHeTNxdqRjcDzG+c6uoBwtvWJMviaB1XgrqlPOpY+X6/OgNBa4AwXTic8Hf38sE4wQ
c6PM+KoqczS4X9p4H/d2sZN1LTIQCIntQzgvoz+h0uoPQaJG4sSF8+7zEvkAAuY4QxyWYY8+rxaP
fVX4aYVoIECNRE3869EleTM9cQq4/m69MBQBCPkHMnXcp0dvp6hhZJMZ1jtyS+2nQYH9MkeE65QW
0gdvRHzDkQWtjpDYOQpAuqEZRpEl7W5sRHtupHFKdbbyz3zF877/5nwReZCdENKxx23neG1KFzyl
YpbNrnSADMDVSbYd7ZL56Cg4cguU6z8f74NXQ2CT7IuAVYC5m77wm8Xpyzo3A7dqdorGC1W5Wy+y
Muvmfd7bm8+HercPplcDdUVpTyNJVI+GYumVvRo3zY5oSDx2aoLOv9+mF71pd5fZCO0FxY7WWtqp
b54Ql/hgnfAtOVUmODKw+CmefvOW46jF8AREs+viTF0Vhi4e0L8eT8gbTafTwaE5veCbUY4WPhbb
hd+4WrPTU/XPBoDRUsMHfZMq0ruLoqSbj17U/W4c+TomcTZYa+Qcjonfeqbno+YxZufE9sIIsVyK
gnKpeMMpUuSHK8XR4CFMepwwSw+/oaWNPnoCdrNzqdGjEovmbmWm6OdY4lQY8uFQnM/g5NABekeU
zTrZQ6Czmt0If/pMSFX9jvP9uKVbmZ2YsyPlV5ILPhwVg0lJYeKFH7OiK81qOx/m3c5REMMAT+NE
lyO9qq3QLX+nNr2WbUDOmCEVUxct+RwDoRe7KLMrNCoFVkYmbjafb5QPVivSGaRTIPEnTO3RRkEt
o1C5CNvd0OGDMXodcq5t6J24lj4aRScGm46ZiV93NJ9jiHTFWDPK2EJbVYoGez7C0OXn7/Lu/pnW
pUGRhPIOF9ExuBb547oZNLPbaR1XbcgVuFbLqDizRQL2paqi3z7PILCZJPlQoFEud6al9Wand4Cm
KCaqQJmwCJ9HTNTcrujTjhQRF7/7aiwa2BIkB+QG/ONwqKGyMzkmhrqL1JJjK60QMICTSj1jge+t
7c2TCLjRibXx/hAFpewQSCAPrBkwOQ8H9e3UKzThuzujwa17F6E4Fa6VOktKiKmOly+rts7a64Si
ttwlFF7sEw/w/pAjywMhO+FKAGsfS/I2gfZ/SDuvZblttU1fEauYw2mnlbkUrOQTlmVJzCBBgvHq
/4f6p2bU7K5mLc8+cW0HoQEifOENujRocr64fuM/Dl5tvMISa+/Klo7hDvkAfECyNsKq8fZqX25X
uoaksCjYc4977io0dBJ6oIFZRS8zu+wo8gZrrgqhjbeOsrwOVDSAo1JjW98GuhnRXKn86CUCQXOa
bBNfzhT41u1RKBfymc6eChTZHFTu0GhfYPjrHMipNbtY4OivsmfB3o/eCIim9QfHfx8HohlPS7HU
xI1wNubnGIyd/Vg2okJhJquDsTxlNEr7fWmU7XCco1l3aV40BUCzfRnVXRa2HXhgVOUGXXtA/Lqx
Dk6Tga4rrRgbLKfro8+aK7BK7ibLLu7zOqrNQwN6lg9pxI2Aa1/L9tCNKQaTNu3mFPnDKnP+brK5
nMAVlfOXQphp/i7vUs6Ymdat+ySiNsV9MQbsV31EVxxncdSiLOfU9GWX/ZPm/YAvUm/a0bukU0nw
mmdO+8tpGwNcLRyd5FlUiHs/gG3t1PuuiGt5mJ24BAwggSjcW6rU8wNt0fZrXM6edyjBVMXPvh8V
wW4crRIrz9bCjD3BG65/To2iftb1sfislIfJaUalKv3LnZyUN4WIGWvWqTDDJG/r9DVpi3E6pmL2
/24pL33RTApZd3OQK1Ci7lDFd3M+RN2XIpe59jwCQMHa0I9QnTlOUxQZ77OBnhviAL7nv852rw0n
navqH8ueDP+QlMLPHyrRVrQuRrQt76UHU2gnUckEYpn1eHP3sHDVQ29nKXSDZsh8lPm18aPWj0Zx
qHG1/dqosk52QeeV1bG1eapwcbFQD4yDKP2nThYalAQ8k+wVFd0HTcV5djDaVm939VhqOJfkUfs9
wsf+gxpGCoSEk336rCsb51bgYcHPXhX+vPfnok/3qSJjuIsSBKMOs6vV9gsy185wyvG5Ro0/aIkT
jwkFC++1tDRX7aVWdN533kM722m518XwjwA0+McaLFi6r7QA/u3st9/dpqqBMKq86E70qeP8fd6k
JriMpNTNv0fKcsnP2QsG815Dzaa6KyK9aI9oK9Ye8GsXRPE82kgSAg4tdLyoqGCfWpCrOHwFuQcj
n6IdcqW+nsjx0XTM1sU6z3I0CxMeH1e4NED0GNYh1LCDynUN66V5wMevRXhfPbmFF6hdXzRN9/c0
GbI9BcNgoRGDhnF6tEyrHh6RRJMtiAzLGcWT7wyLHLjmsN2zvoUa0rSiyF8cV1PGjyECtFpj9JYl
9UuH9t2wp0nfx7wXMjIflKO76Z2TRbX2D57flQAME8A6q0y9Ku76Ng3U3osLwDYlun64mlH41Xdu
JGPnwQ0SMz7hHFA1d3MXqfohzfmPd1MGGf84g/yP97UaUMLipbThWPeFxPqMrCk6Dp1ev3NjgVOF
N9DkeG2bBtsB1dem/zUuihxsMe2HRnyeDZjgP2ZDifjrhBTUgNlYEY+A2nS9TLoHJENcvFQ1Hwz3
P3UhHfUh57RPzxrYZOcu90rq30CYFL30DC33BV2RDNUP+qUKgIDIALlGNR73onWTx9mxJuiiw684
0r6PCfW23CgUrsRd/dgI0/iZGM431XivcYApmovxwYRcPvI5TrxvG0c/ek5b/mq7UZyUAEYQUI/f
id4Kcb4GLpdaKG63qg1n0/wiAL+d5jROgVqYrwoUtbdz5jz7NBGi7FJq649dh5+Um7THIKLarHdA
BqworsNIGsMpmG17l8mpOmUVMDoT+6GdMSbyfYb/26GeZx+nRPma1vTzATFq935XiTBKKdtpk/Nr
jJth56TuCy3Wbt9FDig7WdkPhRm8WiISx35AFHQ2rO9Tgtli7mnPlqNaDH9EfcKIxL5TnQFefKL1
NC2CZIUW9V9dCxtLP6tRZkmtvzr4HUGfzcdxktFDOmfZPQHtQhAw3812kh06JQzsmPMnHTWz5W8v
9oVzg3nm1L5iIJIREcdQvV2BnZJR/m2VjrGPob1LD40mrXda/DYi+USRI/4aDRnE+nH62hom5TZT
H3YzifmjmxTirpHZafbLn3ianoohiu5t5UZTEuxrORot3QlYa/dGZ0ln37glang7GnjI+td4gGuH
LlNd9W4os2C+V1hOFe9tt3EC3AxSQ3vkngw6ZPnjPr1v4hI0utskfvVaTdEg/h1nMY/vpkZ4Dkjx
pvLHfaYjtvpzaqaq/5Wnk9l/CPIqVmGW2TNVeKok1l2NFob5szT1clK8Y848/7Uo2uG+Cbiw7R+l
ofvNv0U16s07vcLo6KBzorNjWyO59lhOHW7SeLgWH7TWSr27YsB5887IurK8NzKDlK2nZOScVFvE
1a9SlihAgc7XufgP5USVrNuj126hq+zZ/wLtS4N/Ii5pXAJbXXZHV6BltKtwcAHFSGteWfcZ9Fkc
ujhRDuwbcO/Ffoy83t2Z/uh+7QutG555vbwIMkiW5KAy4zys2jFojhSp4G17bR98LpPS58HV2gpY
oahxSQUYMj4FJZyg3Vi55YCEJ8yNI2WJ0r5PjD7ARNSZa5RsktLjs5l6QrYkdPuXUOhbA7JxcA/p
iEiL41Bk6d886Vazg+8hQTlpXQKlQvfw9ZEWOt8m+n3lSQ6F/m7sFNawvuxsZtpVmv2XrZLkX1kO
MMn1nlflWeL8zDMIPik/+IPq9FA5osBaUaSiPbAuBG+TP9o1aQAsVjW0kXEAfDzXC3Ke/tioJTaA
pLGcm/sgnVJ8BEdN5uoUFUkw3TXRHCTPzZjo2MuAhrbG50x5gEATkBDuoTRh0j74I5Xfvd5YVrsX
vduAIlSyUDZO4GMAWyLLjBj4icx4wNzScd7LZsSgPAae/KGGNdPwMuv59JqUhG2HSjqt/aETfty8
ayRe5Yc5RTPikFkDgttc620VBmjfcFs3kJsOtiNdeZ8agxHdDV41mI9ek/Ta+9KqR6g4Uq//Jipw
3yUF/VasygeklLJ47IAHE+T/TZSvl4+SI0lCb1qZ+tElunxGkLj3YEAlhTnf8Vg42V51AClHUHFp
t7jKRI64G6Wp3H3VJ5GNQSIhKFZtlY7nrpV3aAkbvqh31tgSp2s4+yYn2zMGF9/YvsCEs5XK1Z9o
kYEyAixmuqeGm+sXvKksfeBfTz9i0KA+A4gZYdv04xJLJM1Yg7CucxCYCwMcy8TUYdc4dlNqH4Ql
ZXD0pol3QcYRzJlda4BM3/O01KhQiaL+4SyB5kPfC+zWYMlkNFzGuHaGg8kxHaCmGCgPGfqIOlY9
C2u+i+jidneQbTCks0UGuLLMKAGCNnbr/CFQWvI59coGF9Kq8j6KWU99SN1SVnd+FwU/0tTApqdt
zIGPBzYWdFU9x/9QNpHifiKmF6ciy01YbBiZbGkZXWRrFNygJyDlSraBjvuqsdQmY+obYMtD/HPj
MKvqirvFEK88ZNGxBM877exusDaKzhf1m9+jQpAg+KP5uG6hEtTnTTV1CfZMkXhoHJEecenzFi3A
rQle1BeWoXyLIj7q1jRFLvLh2YC2OydhwKHBqEvPXyY0L3DUnSNz35hVuuH4dJGHMiBFEyBRCLSQ
ha/KJl6M8qhTmUk4lpaHIZ5jfMsDu9oom1wdhY4tmkOwTiGLnKf5uhy7egTwGRqzKdt7zQG++xpM
s56cbqei1wZayr869XNakGu9GTSF+yavVRpK8JsPJgyrozVlzd3tUa5tCNJqH0QJ5l/mWg6sVm2i
YU6VhmBX4vsAOMLOHTPx4hXQJW4PdW1DsB2Q+1na0fQgzleuaCaC9WFIQweVP1XgkmwLDB4J9b7R
5v16e7Cr82LfIX3B2aL+ej5YViVeA+IjDUVb2K96PMh/53Zs9tZkbhXqr34o6lnoty+fa93qEIUo
KksVFCcNK+aRbfqo/awFHhINt+d0dSCKr3T/uDYo1Z/PqYBGJiwi8zCKhCLV0Dz3s4Wcm/oPW3zB
DIBkopyMxchqHF4FRJSyLIQv2X3x4MCqQzXXhXhrSccHLkU1h2PEX4CinY8zSxGZc8eG8BKnO8SJ
YZ4mz08+vnXV6LIu2ggO+Ae+0mqUVgHm1W2Zh34zjs+F7PXn0sX96fYol/sNUXyqRRC5IZK7a2uw
oqctowe999JVhb6PAMygU4l6KPU/882f53yoVTNDb4ver6fJe/GGzniRuvBfaU5teSZc2WyEHgDA
llIqZdvVAfLjupS2GIKXOgO9KzucdSJS3o1S9+WyATOg/8keYLeBaT3fAn2A56BRNHFY9/C7pqo0
SfltiX1NIYPs8+1vdGVKGDAuijgk1ZTvVzvB6z0z78ogDrUi1ptXAVawfKG9+3/kIaBKolT17n+L
hX/iZq887WfjrCY1u9iv4+uahMpEv7sX2tFof2oeyGovcuZT68fq7bc4+vomXXNETJfL4XwZ81H5
6RKAh/5kF90eQlT5iDK6md4PzpT8++ZlBH6MsNQiwAkpcvmmfxTyJ3PItDzWkzAtPSP0DJV7RMlj
/ev2MJdbg3Ix0DILYqaLyMNqFSl+6kFDtBrCksq+AeKWJ6eryPULlLX3/39jLUXhP6aU+QXMQHfO
wx4w+HuwpfahavXhSLUl3vhUl5twKSsD3vYQNIEYtRqqo9oXxeOYhqq0os8UBowT/VXvrc0WPPGW
Lh1tKr7TRTMCIQjLxi8twxwcR52j4SLX+KEB1dbvg3z2rY1jfHVSfCogvg64lPVloUdG7MG0I4qA
K0RtemyBvXfuRvC6BHBnpXkfwBdPLC/Tgvxae/6ZS73f6Xhooz7FO3sEQiK5lJz+vtH96rnzh+w5
0xIttO1qpPphlH608ROubEqfRQUSuxhMgb853yhOm1EHmmQW4nbVD6Rsc5Tuuyqrvhgx+j2H29ty
+dMuJowq89L1IEBbi1/asV0PUCiyEJpKeyILosnpQm+14X4+ulmnnmLRmvfN4rJ6e+QrH9RHWYyW
DhHu8r/zeWL3kAb47GYhAgj4l0sjPXaDOW3s0mujIOYKpg0sE+qeq5vE8cdcL9GOD3FQ7r+4+OuV
B/5mGm8c7+ViX68jekvusoy0PNcbJ6LUETkj66hZw/zRVXb9MfNg0roRWVdN/TfYGPDaNiGA4uwF
5CJAbs6Xr/SQLY0HLQ3rFuDt5GMHVrRa8KigoH+8/aWWL3Ext99KSbyiUDpXWY8QcyYzO0rDPG67
E2ciBkP6Uvem/rnKvP6Qzf1Ww+/q7JYPRlTlLqjS89lBR1dFqqVZ6PSGfSrJJB89bdR2jeW1G7fl
tROwWGLApOfWhYJyPlSTKnAbI/dYl6rio5vI4gmCbfk4KIGIhAENeNdEdfDY5l5/vL2wV2cJn2CZ
KOUQb9VEHimL204QZSEGMu3fVqAymAMtAi80FyK11R2/ukWRF8B2jvuFG+58oklSyslnjBDikrGP
aqs+JHOeH0VviCdXn+1vt2d3ddv8Md5q25R1Q2GLuldYDsgHZ17xM+60HNpjlj3SuCqfMZgrNxAd
11YUBYbFYGyxAoJScvbKWqJIoB4ulU24dk+Q0P1hB7lefIsS6Hsbd+eKvESKxCPx52irrUPZie5W
Zmah0bS1fYCL2+1o/kXvsg7tdJGJhJ4iheBJ+Z0HLdESX6CPbEUWa7OB//0ZMF8WIAvoyXWdJ4iS
ORhgd4b9MFDxFIUnfkg4e81OIVvIAqCsW+yFS9OQFhYC/A2C4+8wuIrvy9rKHsZGn4+JK5x644q/
tgMwegPqSxSCQMLqjvL9dnCjTM/CyeiSY15lQ3uCM0+BGBxDl98NwvvOY19vVGmubgI03AG1kZij
a3y+CYAmRGgI0QjvHHo9lbA+z1mkH2Xhaht3x7XXhXyMKGuB2V9IJ0tfayJfcXdYI82hPhLZAeWn
Ldn2azcUxS3atr9DkzVeQFVtLtpuysIK4EyIBFP7sUj69tm0h/LD7KngyYpw2TJkFG+QAK+uJG7y
fDskTeBxna8krD+9boWRhXmQY9DezvIYm731COZEbuyV5Y9aPzIASkw8ORbq0RpMzQOGwEdc5OE8
Nj/LgK2qWjn/REDC/Ebtb7pLkPb6VvlV+ZOeZ7uBEbx6hpBlW9xTAHQ7i1zun+F5oceSfxLlYUNO
gO1PqaC0zBl6n+ZYNx/zOlVfvNIp6NoPxo+xdL5NordPtd9ZHxFBofubOMP87fYNeu3Dw0ZxwIiA
03LX+Mx8mhpKx4RIOr7sza7B1e4U1bP6xxymnlId0mB0FdoPmmG6GwtydWgQW7y9WDTjG3K+HsNC
/q904HBeFQ2wlTMP9j2eYwAWGjj7qFNbDo1f6MtI1GGNEHQbR2sZ4GI/oAUJkgtlPso35z9As6KE
ZKDNQnPOjVcJtOITPKPsxVhksrC5c+4CLI6mjajq2hsJlh8OCyXE5UyfjxqgJEH1rc7CQth1vEO0
oFqaV4n22lMpf7AE0qm3v/G1I4YrA48Jq31JgI2nZMzpaGVhYxky3g8lUveHYtScCBW6otiKdq4t
K5K+JG0LAJ7I43yC/RzpkJsDnqwEWcBiHOR3uNfgdgLURk7DMAS/EjKtz7cneXVZYU0uKsH4k5ir
TgSsmc5NIUuGXY/wwA5p3ZKWOT1XDEbor5yszmg/3R7y2rqSmSKrRFKEb/Iq2hlVVk0ZTNCwGy3x
6iWY2B/qJu4ToOh2/v4/DObAUFtaHnQrV9smjf1Z4Y9Mcu80xWenAx14wvii+N54OQ3024NdolYJ
OxgMlVQXBibirOffcAxEK7F+AehVkcdoixGgBo4VxzJ73rtGvO8L23ifIk988DIzOUyzR/snRhZh
p43JVhNmmdv6oALK44UANUWxYbWjljJV56VlTu+1y79FpVJhXiUUJ4l3/NDKR/nadXmEKhF912fH
pwmw8XRcMqiWBeGugpDLS8Udfr4gEhqRdDR+QpO39j4wWn18nnskizKZzq+1HyCOB+zknTKU/ayl
nrHTE6ODlDAMW3ngtXsThDR9IFIyCrXLSfijzNMjiyWtuMnDzE78E4UrJFHsOZZPXe1Pp65Lgn/t
sSxecHBzt/bF8t3XX2JhB4OVQD/3Ig5smw45DZRKQlGCTt1xa9lflZ91XzW8h1A7mdr2zuq7xEf+
sFb1vhBydAD/wqjeuNSu3TKLeQo1KHJ7cu/zVciGssjzuctDo5uA96UN/aW9nba0oOeJiv9J5XH0
S9MKfd6I/a6N7NGgQ1wVOYuLxgLKXLXQuM8WjI/hIXckdJz90A//UHRAE3YN6KN9h0TnVsn82n0D
s3hpeTrcOIu+7J8f3h4DTFIGjZfDqYpnY5TD3taF/NCb6ZaLxrU5wuVkixGYMdVV2oGGW5IC5aDd
ALj9FI0KI21K0Q/gfrWntkRdQvT6xrpen97/G9M6n17r+MACa5GHOpWxp2GKP4AlEE9RVZcPt6+3
a28FVUt61hiVgclffskfJ6gC4id10AZhVEkP7UsTXZg7KTo0Wj1TxB1qmFqzEe1cHRNSIrrBkN6A
xJ+PGQUW9KSpzsNB0I7f2WrutB0nHOZUbgXHqve2nv1r9wQB5RJcIRforGu0o5Z2qI+ZeTim4Nai
sgYNZ4pI3ptm7j4NXppg0MQredCCZqv5dnX/EFFRVlmi7bUNaNKD3upN9g9SXI+VHoVuNkLqcLv3
Whq1h6ncqnNcTZTRjfi/I67WVwReYfhjhqmYCX7WJvQ6tLWMjgDKm0evVf1h9sS30hyDO1P1812K
qdjGlXQtVUNdmRYg1AoAj6vzSc0WMGzNtjJL4dylgY7FrBv1G+XGq5/VhdH7G5VA1fF8IxVzYqFF
0+ZhIrz85FDbR6zYRXFP65PnHsj6qVeTX++0Cezt7XNz9YT+MfTy1f84N27ik0BFBs0MusNo6bpF
8glJQbBWureAiG+PdnU5F/WB5dAAIFh90Tht+8ZuiwIV6nlRket7IqtaDuNWdePatADKLUh5UAre
ukeDphj9gHRJzPzaqHaZ64wK8K+BYWve6GDib8/r6nBE4wvZz6U4vbp9ahOTqQyLoFC4dBwwAirk
F0Cw7S/NjbriP+xJcrulNb10aqxV2Fggl6SJWeOq64r60ILXRzJ7TDb25NUpYaO1wHxpn6zJ8jAD
2ipGWCdU9DT0vZ2Ajb2zRKI+Dq3nt/8hgyIUhBEPhwmBj1VwqrV0yYOuKcKusvKPylbTt8YKEqSj
Ndvft5QQ/kOViYQNjQgD4g+56irYiNDdROFiLkLH0zxi/LK+6wMFFrEAmr6vksl+J6N2y+D4yqpi
l2KTzFCAXwTnz4+bcqLCtwTBlj1bEdZ0nlXQPASfhrFba27kF9ciXAiuv5Nx/LGh1p6Pxo0duY1J
9acpBLyN3m0fU7soHuQkEBuPG/OkzKh8zkCe1Tun0eVBs1vva2G0YmM3LfNaBZmYDtExQn+Ba26N
qHDbSCu4QYsQNb2xfuiaCERhVOpgRZt0tv5Somn/vn0mr7xX6A4t5XlYXWyr1ZlsBISFHrdO0C9N
+92oMEeEM6AfS723XqF8RScA8F6/cRNcueEoWy58Vc7m4nd7vuRtUgdooet8YDFP2qFJPAVGcjD9
/Hh7etdqT9xwcJkp8ixyO6vYChKip1WiKcOxmez8aDQBDTjXrIpPs6pIl4H0Z/dZL/dZ72RHwoby
kMgYdjXqKy8R8pf3KFJr727/qmvfeemaOZxiYsw15WpugkiSQZch4CfjqGSfFjvNqOQdRBr9ATJq
/e32gNeCBKxhl+KfTSJ9QcY0o0H1iP8XIRFQtFdCBfu5NieYDvqwsCr0fU4DuIMCAypWZ8X+0rVc
bEz72l7jqiT0pB/DI7B61+gvAQ8KONaUVee/Ujn/42uYo2t2732sweuf2G5begvLTlofKWxbqZPj
cAR9fvVyj3mBYzxd5xDpx+lDF+vu/FRTvm/2ATWFA0JFX3JaUhNIny5Gky8IrPnz7cW/9rUJByll
wyukqb+6Q5FDJZ8aOdWjMTVI/A/Cdg4O6eFPrxG9egrmDqXV22NeW2qbyh55GqAmMGfnB6xprMRF
2rkIW63oP5nZrD2Uema/eFNfH1Sha/cJdMDTfxiUcj2lZhrP6CidDzqOzmQ1Ki5Dz+yrIwQu7U6f
UnjGhS7vIS6ob0OuqY1N9Zs5uP7CIB8pZlIOgTK6Dj4LFRVKc8rQytLqC8VetDEbb/jczNVwp6Nv
uvfT6Qh0f95pNrL7LspOKAZ79YOBkuTRbyr7DoXTbCOIu3rzOOYi0EbITQln9QmiSku5s/USs18o
BL2mggOwPKSOfTAByM/C+4osWEI9PqEH22xpgoppBwM02ldyaij/Jtn97Q90bSeSlpBJE0IgSLP6
STgB14OZyDKkzewNu7GHisrqdAsJMdUbXpl+EsbGQlw7gUvbYcmm+eu6XmEgXBvhW12G2lQbJ6eR
5kOwOHFC4Zen0QEzEPiai0D1GCEPjV7o1ga5dhYcntP/1Ye/SMmKdEgEGpxl6NqITRyGjj7drrcs
aATg2ee7YEqcFzbXXsLwRMuGwrcL+XLHpdLssbGQj1nbTL+SEdDUbsSw9kek4hrSkjkUP25/oGWv
nu9lTt2S4SzdRgxtVq8xAkGNnUVARLtaH7o9bAnjk1U09rxxUi8DLJi+Sz+Tm5Ei57oDkWcjeipL
b01JqnYT/9fhEay76tEoPOiKb54VTEFAgsu2Y7DVtpNzF0BXcAHzFjZuEDKp5Hxnx6kc3hxWsG4I
SuncAos56bL//0jTrBpZdZHSFfdzsJtWhMkw4gpbUnSXeSivCaZF7Ggop3Qmz0fRTKtltpQXaIBX
KfAvv/YPwEhSZOpTK/lcaqKEQdcCVtlJPcj7f24v5+WBYnysJ5fUhvB4jd/wiSuAhqV5CNLKexfA
XJqPwuz1+GutNTW1SKjH/7YaPjtPgVJtexy0anozWx0FFWqQC74UK2dnHTTLhI5Eqg156KVTcSxy
V6GgDMIr58QYE4gn6XNYZGFuRDKXVxgPGuCDBUTNGVmHTl6cxhWhCmldM5oRus/JHB/H1i8n/GEY
/pD0dv12RCiDgnS1ybn47Gvkg0AWsjZHvnhjF/MPyoHz3uud/s4uLPlMYp5+lUEfbHzmKzMF/E6D
jkbLIoa1Chs0LXbrrqPo6dpDQJ2X8B1NkEJAu7TGIIUKVej+/vbWunIvLPEokaLBk4omyfnWzpIi
KfOZEsusQ8c+dGXv5feFtCSOUaXW/XV7tGszpKmxoCm58HBOPx9NUg2oIr8kuXQHC6qwgN80+6P2
yW/VEFJtV9rGBXFlfnQg0Tq0Ha5XwF3nI1ZAKdw6iIrQMJXuPsxKl8NR0X6pP6P30Lz5uUVZ3wEr
jlAH5dZ1h3+2s86ZTEuEVjFXByS8o7AvG+hplLLubLoUn968nhTlMdpGloxGzRonh2RaLny/gAmb
uXjcK8valYE5/RRu2457zHU3VTkvn1a0oRYxkAXdZRJfn68nHhBGhmeUCCFWmNqhHqPXCOGOXelO
xT064sFTUBjIyd+e55VXkvIAFzAVCQA6a0wOtYoE8OwsQi4g85MGYe67lMn08B9GQQZr8Y/hI675
LkYT210GPD+sxqo6Jlbb4z8ybIWJV84Aawd1h/Vb4HirHYl6q5C2HCugGeTDJzzq5mA3pE5mnmbT
T8xTa05GvnEMLgddPLt5K+mmMLd1P8VKcC/p2kCEiUqdD14y2x8tRAd+zknkfCyqznUOb11LGEpk
fIBEF5j7mqaUYa4WUYGows7Fkq+roYdHvdI2+ijXpoV8K1V3unRoB652o4htO0tcn1FKD2aiWcAC
L6sI9m1DqXg2rdN/mNUC4wACsgQcq2+XTZGHqWVRh642WC+JgoxpVdPGM3B5xPjz7eX1Ia8Cer66
JJWm0WVrchkOhcgeRTQXxyjGTGTflCZw2zYdv+LKEBkbW+TyplyGpXSCRCzMmHWvtY7Aao5WUIcI
qPSvTpwZj7TGEQRw3SDX3r49gBmhE2WBhgEYslrIFP/wyIwTGTZu/29Xl93dFL9d5wYlSXbectIC
ZBnWu0NCDZ+CfmjCrJPC2lH6ll+nlsrf8fauuLILCa0xykQDil2xvjemSNhxQUErxHMg3WHkED/i
u/DLLGoRjhqODG8djhuYGj6uVABrLiT0pspGdCOfhzCp4m+j9L29puPo4fT+XhXTFgnwMvb9fd//
jsGoC6/13kocMnW0LcbQqDCFi81Ir/eRjhHMkec7eBZ9mQQoeclSHgcRDFtt+MvDwGUJfYreHg8r
FZ3z98YXQPsFxo6ccASghd98Ucb8OQZPtZfO8CpqXW6c8YuvyaMG1HHBuVBgIDE7H7FzLOgWMtBe
ksaD9j7aR81E1iIRPu/bbLw1Yvg9GnbgZDAG67u6wQy9hYNWG9pLWpj6PQmagoKWqvmeB9+tcZwI
3I0RL8754nIPBG5JBHFRW1di07HTq0KScSLlNruHsdI0jIwi0/vR6MnobJyNi5eb0Xi3l6SJyRFL
n68mTVgLFMXCnumnamePnfbexjRlo+N8bU6LVj7i5xwIe91xHjHdxqvZS8NhnJH38Cfj4Je+9qgV
YnhrkMCEFuob530Rxl9fKkXiZAKtZCxGqrF+BMlTHCdjMDcmtGzrs7IAoyC0ueRzBD4XFFVu+6h3
0GIKO8orf+EtkqPhmmYUE1UZR+L7INJ8MR9FiSV+6vApqXa4spnBlrLdtYUljqXZxfIh07fcDn/k
14mmR3E+gqmn5BhVx86UVXtA5sHpX7LA7f7DZgGeSTzLPUpZcfk1f4wWtL3TeZj5hjjbDDs8Lqr0
oCqh1Mbrc21WvAgLgI5IjJbE+ThDM5UTOBsANYWXob6Lg9CP1DfnvRGhXPOfBgM7QgGO1G6Nn45U
ZMDoYDBAoD1VgyCLj6gFNB/mssS36PbbcHncuEQCk9sSWiGQy9V1GejxWCYxBfd+qu1jipgHjgZz
8Nau1e+14+kGDri8CasIZUDPR+H2RA+0lAGMLqdRKRIUVvYv1PT01XTL7M2njq/Fc0efjAqIsQ68
yhrJFOpjZUi3YuEBDZ7QTqqs0AC7vYCXtz+IFW5GSCRcrZBlzrdGn4kocRpql02heolWjVFij9a7
FaZGfZ3ipSeXOsftQS8eOdaTM8b3IlFlmqtThhmXbaSyjMO4wk4p1TX9pKGxhfJLU97PdfvNxPVr
I8q8MlF6TeZyjVGpvmiTZbRIshTkb2hnY3pUTW1/qwI5fODlyA5ahPLjxiQvDx07cvEUoeEKAnpt
PVD7VTCOAw2KfKT2sdjftP9qejz9hTsy6jC3V/RydvRC6MD4QPeAv3urcyAr3U5ccHNhOWq4Aptm
o9eHoZ40iQaPlyBJ5ZRyy4Pj8jMiXwAiZoF5k2etBTSywC5ct1RFGMxO9Ih2MxJhxWSrDybhI3aX
Y4wYWpcaG2/F5Zm30crlvNPoI0Jag59QMeuQGKPtEAz4ImlBBjxz9JrTm1cURCg4SEJAunZrdVxX
AMebPTqYuTf/VFaS/iqE6D77tpCAUWmhf7w93mq70CMmpUPVcUEBwzhfn/gZNGSrmdX4wp0a7XF5
b/DXs5D/U96WyvZqAZeh2JH4u0Js54pZC0XrgKf02nenF4E6+8cmrVwqqnO6EXddG4VGDF46/GLK
batDrmZ0ooSaxhfdbqmX8P4cM0zmNza+vdy9f0QOy2SWA02VGGwKZNDVG+pEuI5ViTO9LHyefG8Z
mTSPImiQckwlZ+UQ9K037j3pTb9iZdY4npE6Pcckh1Y4oMv4zYgr70OlKzkeW1Fa5s5VxVjtbbdN
tSNz0LVdDCIMx8kSOOzDoCMx9mhXmaZe2p4Tsq+GUhYnus/2cGdOmBOe9CIq3dcOt6n+YNpJ8DPw
Snui/TKQ+u0m24vj58z12uQlr/1WHIMaK759rDc6K2WTvN3jTV9NDyKQ5ac8T7x5FzW1Nb5tj/9e
O6D8RP1UuDhSq080m0aNSJOvv8hOtA9RUQdHoyzQWgsyiaqa3HIFu7LHKZoD76ElQ66/rsoYZa7Z
WjkYL9Yg7b1h1c5xATfuutnKtvbF5bbwDZNwh1ebJvE65KEz0btTNBsveq4wn4tBPcxtvPV6Lgu0
2nw+oHG6jWxBxGVXC2h7qNPlzWi9YGGiobDYjNFp8FrjGBu5tjen7pfKDLc6TT0Uutv3xZXjxUIu
AZYHeOmi7W9pQ19iezu+SEeUB6GJ+L1uFt7GDlld8ewQyppgrijc0QyhFMkC/BGh4nWsuyPCJy8o
beHVh4jWiF2vFMnPGFmZ3RRtZTaX07JxjEMrwl4AFLRwzwfURDe4jdCMlwzZwPs2E58mu96ixF0d
5LegB0WSJaw7HySo2k5lrjRfYgWEv4uN5MR9MR9uf6HL3U5t3KSCS4UpoJO2ihpVUSsLV1TrBRBE
VJ36em6dHeBq6uOo0W6yCa98KopokOJRHwaYu56U5ykZTVFvv4z/w9mZ7bhtdF37ighwHk5JSupu
uyUPsZ34hEhih/M88+q/p/wC/x+SgogOfJAAQbxVxV1Ve1h7rchR/uhhLnzWGIt/AbEQvtaM5p+n
dE4O3uI7awQPi1lGVwBZbem6JENpZ4j69FeSYumHbjfBl2WMGfBCP6V+WxSOLwLq5rTpQrWHTtWm
XWSMsxI3ia2/QhIGt7lkpL6OaKYXQQHoBzTlDk7YJqb6nz3RgBNcCtRFhBf9y/dTocIdUJB5TYJ0
9KfAyD1rauGQLIfehVpy+vjYX/YfUETEv/Q+aD3SeFzbi5F0lnK4Ml6Jha3BC2at6p4tyS6aZ8Vp
rfpdy5wOYP0sT42DWHV/jxkazTVmGpDDEIWZtelOJsQbF8V4jaEk9YJJDv4CCA1YCpzUZWrC+ZPO
NKM3KcMRididTRaoUqC5VACYEtXWlhM62uFswxVEP3VEtDToIJREVRi0qe0WxWS++aNSNeGmNmhE
iNdh40QMZNcVg7BUu6ywcBkhTy/pEkcemsQoPdfDPPzz+Kvu7xrswXlOIgyAllRgvcDZWSI9izvp
ld3X3a4r4AWx66P2wxbiibNihhEqsTD6HjueomnRUys1pVdDMq6Fni5+O1R/job8j9FpoWvH3ec4
slvfkufbqBhPdjJNB04k/HP9GPITGF3hkLJa7r31SsGNA/gksrn2utlHvjkF5vg5LUkGoI507A4+
WHgF8gvc3lHws0eYVHMtGTLFg3t3f47I7mjEkHOR1tJFX/+ORVeRk43T8OrUgePOTV+hmV631Z9m
xQAuqqS2r0dTfVRk2S9fKB6SfFGpJCna0usPljPRKM3ja2nO5hPDAe180qu8QlE4Us0ZdkvZ/BMt
a8Nwq0XrvhRKrf98q6/RyqCwqolGFI/15hhbViNb8Qg8LYJk6rVNleRkFPV44NH7I0stSZT+kVnC
4bYYq2SygjQDL3wtJFV2x2R8oXdku84gvYAjOKoV7M8P1qiPAYdAQIeocf01uay6Ogm7/IqUTvFH
itjzyXaS8enxzv3KRtbOK8yweZDkCeXajdNEcInrC7L11zixF1N1a3YvdZuGwuil75X4Z1no8uI7
xVhBPypBij6+hDBijL6NhvXVrOTB8swcxaTP0Lw5P0K6JIqrOMCPvaSV69KfFSfUnrlxrORgduPe
FlFt5vWlbSBaB+stypPeKoveya+J0psezX/Js0oYfh9v0f6pB+AklBQZOAJvvCtWTijUzE5QXC30
ytD1tE1/DDLTq4BBnx+b2i2Ioh7oLWC8hJykdpv4rA8WsyqsoLx2ihN74xBJng1R7EEzdXdPYIWz
gk+RA9H/29xXZZD0hYIONwc2j891g5J81Mym5AYBYjsuYPjh3JtqdOBqdxYn+CyIl9ArZpkbh9a0
MTNhMqmvndktXiv1TN3qynR68xaSX5EPo49L1XJbsszyKU5nRBCuY6AMXtd2IWlnFfuPrex8ApI6
ccvSCeQ9RTdl7XmwuxtxHY+sBQrgp2U2k1fUpQ2fys9R03FvCoKkX7Emc7qMvW22DbV71Ricpbou
Y2te2l63/CE0GVuUojc/IARAjJ4wnkH1TiDg1quiEpNqsPvW116Z1G98mxQWFKQHT0k9T7Fbj30A
7c2ivjW+FWbR70LP8ReScLNCuUsKNaqa+pqoGgN13ZxA4x4sfwRplJ+dPJPeOK3EVCcGAS0QSpNr
7YrncVeLSkRRX2U7q55sUNqXKE27U59ab2z7/TLFZgrsJx1jqobrLZ0MpdezRsFUrFRPcgJVZxvr
/SmlNvQugcr142PH3B8yOFUIhqjckeEh/7K2p1tV4kiBVl+BJ5unMjeQX1ekN4JM/7cqKoQcASD/
lFDWVoy61+NscOorFKSyH9pK7majuZwNda4O4ta7C6IMSZsMGVuG2damLCU1x26x6+tiKMGfIK3G
D203Lwd3/P5KZNv+ZWXzmWh5oZ0A9dKVMRHDi02rmzwtURt0McC1/pCM8e/eHJIv/+FjwUov7io+
2Taxq63CUBjsbq5LaIcvo2Bc1xC0ePsO4u6AWMgj4VjYyjgbehdIUWM21x5qX45ygpxKFM9vvhGJ
SAS0WVCPMXa4eYsDyPjrxsbR2yBJPR362Ktdh9OLhTzBh8fbdudGREmcBpqYO+aJ2Pg4wMWQwbWl
voaDE37OmkV+npXoXTjHw8GTddcSNQXgsAJ7uy3lxpTtjKKzatg75d63Wzt2lSixvTmmv/B4UXf8
XGhice+ClhHw7bWfE8Z02pAnzbWbQsnLK7U4q6H26T8YoRIpqgl0X7cRbC6bvdlGRXNVRGbf5cvo
drNydJh2cfIvTyD0FdMiFCE393kzwLNf9QMOx0l9rit4/usZCROCtfo5zIsj9el7X0kVQBkRxaJg
Kw73v+oVVkxVy+lnVhUHU0IcOPfSuZDi7tYPRtkf+MS9DwVyEDSaIBGhYLe2pjFqGuTz0jD+rVWX
OJQRHzbQ/nn8pe6v6f9Z2WLDAofRNDhWm2sbx41Pmb/w6gRtmjIKfz62dG89dBAIYgjMNDAA6/Uw
g9gtFCabayPFw3MyLroXtlNw+g9WyBD5SLjfDvIcqkUJEaHTXCuo7fxGmf9WclQl/oMRQZZDN4SI
fRupx009SuGYttdAjVAWHrvxEs3G24N0gmdePj4OCMEd9hfmQdvp7bK9ApiwvyvaYDjPOkKd6uU/
rIYBWDHjxlu+TWqRourMJchbmGKbZXGddJJNtymK+og69a4HAKv9NVNGM0T44r/OT+cYHQNdMduW
z7NPamC5CJS9OZ/lzhaQBUD2kGPx5q2tZL0xxYMOtRxaV9opqFrEoyygGG/eNHI0QaoDFRVzDOrG
ygA22mhMCOyyQfGSJJZ8rerffsMRjIAnEep64p8bK+GQmEiIGkwNIEXxQY1j+W8m4bSP4dKlzxOX
0J+PVyXiqVWSTlmJ9dDno9xFVX3zuNrFUFqTDRh7sSq5fyqjrpY+j9HcL6/BOJf1azEFgXmOLdS6
n2hEd+GbQ3Qqh1SCNWIkQdW+WfCYs+WTPlTXtGkp0UZhqPysMlQlPabDpN8hGOqPbsD9K0LWg0XB
l4zPbAMK3UnQypp1jhkRTO8VhaTnZ3AMy0UzEENxLTXPj8rBe5uC90qAtqncECltToLcMyiaAJO7
hrM8Rr4jZ7X5LVu0Ifwi6Y2k/VmlSXhQxBB/5/rbrm2K3/Sv0xe24zBR8+2uXS+r71OKY74Z5d3v
c0oM+tiN9gddXCdc9XTchTTz5iva9tLqEhyPVya2JH9qQFFndVgdPJD3NhFXhcudWhk1n82C4kHp
Brmt++uspV9zve1dJLTe94v63CflUXB7b/eE2i09bsaPUYdc715ZKktKSbe/IjTXvkAo9hfI5vli
LwiTP968nSVxe+HRzCDQ1uKJWVuSNCp/VTd1V7usJD+BLZSBJK1142VuDkztvhP3Fi8yaGmdcGY3
e5HPdRmb6DxfgwLWrzRxej/pqqMDdmdBRIEAwIFZCfT05kJu62lQYoTNYD6Ja9UNu/jHlAY5gucG
8uNv3jyq4yaABc4yjc6NT+goZtejrQ6AkMySKfWKWVUkkByl8mqUK4+WtrsvfyHqQceRjYj7Y+MV
xE1G0+b6eFXtkWegB2pYeKhlmM0TamQGbeO5RUeLVt3wtSbl6w8Ckf3WEogKNk7eIYpdO+zojHoH
n1i+mlkWnwZKLV6rBP1lXIwjvoVd5kqFGMdkUI+zTd91E2wDblqiesw1UL6IjKJFV5Kd2MkZaWb9
qmaN9VemBfFbu580zLibeZME9TOp8/os2OFU08ltrGtvMxtxoQMUGhc42RVkfAdpPmJe2p8Hqq7Q
L+M7dMvoga7NTWM/pGFX2gw3D7LXRYrpyurh7bj/aEL0hCY8M3KcvW3aImnwmzlaslyziNFyv7E7
vNPqWrtA+RHisINDLo7X6t6HGJa+Fc04RgoERnu9qEpJhEDDrF2RItf9qATyZM52c1aNSUZVula9
to/pJ1MEfmpr9egt2PkNpIO/+LNpBnLLbOltzAgMR95byxWStyY822ODiVZru+wdba7GQFgURUpk
J9GbOT++DHanE9OARsCmUHsmjdLWK9eVCH3NoFRgKber6pwMWqScnSqK1BMndZh8nl3D9oxoypZT
JbX6G8l2BGIKJB27D+5aKMNsEsbaJIoqlUG/Jgvqc0bq2B+UiFgqGlvlM1qsR02W3acGdgYmh1yB
P3RCNzdt1+dOvCymwYyU1DypUpCaz0ZpZLQpeSNPaREj3DfWFtAIvVNRPtPJlLXT413fHSLxI4So
uJjWsgiN17sugZLI5yw1KDBAvMOVlL0shaEe9BZ2h4gRAOijyVeosarAMtdW8rZa7MGGHG2MlPJl
nK3Ur6j7+71xKEN/15RotwKd55J1NgeITglJi2IHV8Pp9PncoSGTeyHSg4un9/DBum/dPyiFqVLz
hzCYEvJ6ZZZWW/k0dNZ1cqrQNUOolus4rg6Svl3wJMjtSPZAllJF2VFjV6pDsym1retAne5m2Y36
twWQ5bka0SZ38kL+/nhV+03EKciWwV2ykXy49aqyQdKWrredazTbKWMo0CF4NHSzjya0a2+98Xid
KLqLbr2Y5d9qkTSqkSHz2QZXZukLWNalufGlqqlOcqsbyIUi8QtUUrJz9aRIkZlBfq8vB/t7Z700
n+h4Ctp30bxZrzepDJt+Ck5Twvn+VCp978d5aZ8Gq58/Pt7aX7PjqxteI/qlZs3rTNsZTPTalqll
YtpiTG9NoNSdG6F/XF0SPrx2S+W6b05mzIXrI6eIZkpDpNCd5aZp9Es1zLP0xI2YkQsYYcskxij0
QRMtSuYvcLwUzVlK4jFw1aIz03fNojWDb8eO8U/T1kbplsagzAjJZvkwuGZdQUIdpY7Wf23mWMcK
hOiNn/RZ3/lzlpQQNM2cJt1Nw4axSqa8iuC3VNeD8UlOSzt0Gy4UyR0Vs73MFKgDD1ohXbukejfd
lLwzx4+BYwbBc9IDl3uvjFLdvCph3TR+61TwaUxFrGvPhWqUCSqjepcDoMv0/BvzbfNybvQmmLw5
Wab8t95iOPfShHIYnhK1axdfNsiLXDszpz/hdykST9Y4EKc4zyEIrBIGd092Hk62O9qLVn9MW3VA
5rkxDekJVuFg8DhnY3hmX2X9tKTQ9XzsC1p3ravM8+ic5dhqm29Rn0Lb7WZkYxoUInXd6bdGGus/
er7X8CUZGjv/Pql9n3+Q4oY6cFiFafDbVKOQhqh8MEXBi63FRf8hmFR5/uRoZTuDSYmV8HkZG6Vy
K+ipqgsAJ4P4l8jT/Ahw1i6fHjvd/v6gtkstD9w2jUlimbXPgT1tUQrM0xvhpvZ9rOvla6QhsqBV
dn6W5Ko4iAT3bznZKw0uNBfpzcABurZXTMoCEdNQ3coxM94pvNiDH0Bv/o3ic/Qy0ql9BXo1/Gwn
ZTpInPcRDM0nUjLkw3mtGKtYmw40vZ0HSdz/Zqb6KB2VvzUy5LynopeQ3dHbwjGoOSfD74+3eP+Q
UjpnuTBu4Tradq4Oioi4QQcpuUl1MiKLPI+6G9m1WRwkEftPSeMBNlcY7Gnk0QFer68uU13uedRu
Y9pxBodSzf7JmBf+yuEAZtRkilGdHi9tfztikhWxPCqbgNfXJrVIReCt1tKblC6lelaRW89OBRPD
w3toIxb7wFn3O0kWBGOk4EkTcN7N4xOX1HBsGe6EHHbrUzbMyjnI3zoST7QHDAAQjYg4+RdncySK
aQwXhiGDa6rp3aUCOvmp7JfhSYYS75QCkejfHClgkA8mCEVEo2ATXqp6oieIxgRXpurUi5Mgb4FY
1Bs1GsWymLYExMFj9ouZa/2tcipUhWnGyc3hlN20JTI9Swqtg08kzu/6DbPJ2wVTKVNmQl1rbSXN
whwhYb2+FUywDk9VkUFCC4nHgsjPrFnlZYboo3sZFYbPLgvdpQMpjb2LYJ8cQWAg6LZsFS8HKyZg
KrXqFiFycWqRxXQrNWwP/H5vBeYQpo+pbeKLpJrrVeZGm1dZn403Cov9xyrXh1MSqUdd8ztWxCLY
T+B+QK7Ef/9XpS8L1YWqgTnedLWYX+C6DtycwszBF7tnBXJ7kV4JI1tIa5BSxDeNbLr9gnfWuRT/
nKpqOaJK2l8V1By4KwgZ8XHoyteLKYCMMRE0TLekKd5FgWR5aRcmSOcwVPP4Uvql/rj2QQHtJiMn
dQEdvK3mLLFea42WzDdUXJcCJH4YfarNGUFtK1vUwh/UcbE/VG3YyCfiD6P+MKVmp7gjoyrjn2Eu
UT+rx6UI3cToJftkBNb43hhDyfjhRIjBHDjTnZ0RM0bEfIwN83s3t5pkZaFC1DPfCIBEJTKTnyal
62+2RTTzeGv2TwT8f8SXHAxOKI2I9UcINXnoF8bqbkS0Q+O2zA0/FdE4/Chpv/4mmWPTnh9bvLc4
Ih7SOyiEeCQ2WZAWpM2YGslyG9J+eGFcMfdm6ou+vVjKwT7ecWSHLFLM5kOzA4JmvbigSaVQ79L8
Js+y8tSFS+Qx8JoebOE+iiCC4A6F+Z5KKKnX2ooVy9oiMUx76+uhf1ITvfrKxKRxkqgLug5sln7W
9/NBO+Xe0oBgC8p06Ip2qatghA8np8NoxSB+FRe5p1IjPTo4dz4WSAwqWhCn8JhvI5WwGfpESori
FleUExwaGRewSIU3ylr6QZ+X6nsPEUDuMjQ2XoJmfJlkffyuJ2H2kqHT+I7ueXMKS2Bupp4fsVvs
9oBipSBXFpgRhvF+kSz+6zaEWnlWZ6tXbkNeUCQw7NaVJUt9fuyveyuihA40FHQPNcvtCaErx4BZ
iBBvNIPZXeJUOdng7g9cdctUydGjhE4YKuaRBBJ140UJOW+Zql1/zdR8Nl1HJzL9CcVD374PF6OW
X4uelPaJlvTMSN5i2dUlk+zFfqnDIlS9oE+S7oQS+zK5kzkOlE+WOT8idtu5g2BVIu7Gyyk6gv5c
u7qp0CTsm6a/qpJau0msgbOD1MeV1FQ9cL39tosxA0psYP+pFW+LJaAISMCY477SSWm8wYrKi5ak
jv/WjyuOLBaEEUFms15QBtkwuuX1cJ30FoyJo0YXqqf5W8M5MWEscDkgjSkXbsWJZT1tFbD08nWR
TOWlHNLcl/tZOnCh3VX+ywrTINQJUafcYplrZtrAyTdYIYlx+8T4q9eWp7JGeMYMwiPB1r0rUMTC
EehPiCbdtkxnjAnJZ6Yp1LqdIHa1lHEQo61DKt2Z9u3xV7prS/TKNQamkDXZnI0yaBnhhO7yKhUJ
7OJNpHulxLvhmBR8H5vaux3LEpI6sJYBY90mFOjlZT0kDMp17ELTU+Qw8OOlPuoS754MPhXYXwaI
YSDhEt+8ukuajZ26sHloypX+2Bcz9Zle+txpjO40WlmdFTM+GgK7uzQqt7LIBPfZ7mTaUUvpULku
89yetYKaYJT2RyW6u1YIKZghAd/MO78+UUrfhW1U6so10szc69uifqf14ZGwxX0rQGggJxdDG5t6
uNlN81SD50TXqjO8IEnqZ0lqjyas7lphzptbiAGKHboyNSIoOmcbv2ss+PsT7uW6k46gIHedgfkt
MfpCyrwFI+ZzWpgDidMVFanFU/P4ZsrBb1mp/ZaU1etQBG+T6uSlwfn+v71tGT+SEwN9HL5QUnXf
ixCpk94JK98o+iM0+K5rISyReNHzppK0k+ZpoU/u9VlSrtqIGOeg2k9xWDxZEUQgWr18qZfye9AH
H9F7eCODxK81sptMwlIfoKspvuy/QoM2a4wuifEPiBCCi9oPMxhjp3jKqDG9NZ5lkQJeBbiG9IIC
+NpU2uEWy4KTRL2jeghl227paFQjx+4oj7nnj1y4AMF5RohINvegTMG5pV2rIuvpoEro5NKLyRT1
5fEVeO+2NSnFCRgc5b8tNCme9N6Ym1q9NoFln5Dh+RkAj/DtMD1qsm8F1fhMIIIobNPXBVJC02K9
dwxztFXQl8u10NII/tIJ7NFcqV5WWsVlRM7i1i/R9NoPynCulC44U++snoouHCmDWkdMSvvtBSRO
HAkdB9EYQ1rrX5MX2mzoi75cJyOcvSJzINteCu3NgQ2JKBgsgdmhf7sVAaL304TQjKrXgm31w274
bkz1ET3Bfilci/gjpDs0EHYsmLR8U6q42nwNpUo6K+GADprd6Qeesos4oC4Bi0G7Wwyc8zivNywI
ol6JnMi6xrX5fraN14FRTjeCvov285Gz7JZk0G2BlpoJSTBBQDLWxpwJOtEhaY0rlFq6P+Y6sje5
dkS5ec8KY5UCYkh3h2+0tgLwd0icaTCuRmPUrqkOzllP+6P56LtWqMoytwocAYTH2optN4BxmBO4
MuYeMzQsaSjch8Hnxwf5jhXBTSEeSWgBaJitrVTALvSFIdFrqJWLjxC8cho6afIfW9ldF7TkmIWB
plfgtXch9DQ7XTtJiQ1DVtt9rjO6RrGWdn/Di9IfHJ17puB2YkCTzyMgmusF2TGEzg0/5Jr3Q+GW
izpcLJ0mY+wkzVu70KwKQJNQQCUmIvtdm6IumsEkldNplNLIR38V7hEZfvI2X45gYXc+E4JHYiqU
/jputzEVl2WXSy1NzVBG8LUPlP5Vsbv5ra++WBDTQxTJSXTo1K4X1ETU+2ItZkGO/keMLPSz1jvQ
DtjTW6uHgrgBZBIScsSaEBysDRUdPC5xmIc3Dbahk12pf5eQ0h1kVAzi8desSnpkAlTiyd2o5+0n
sOSCWEo1e/s6Ns1c+pVqhx9qdOomr6dXpgNzVkvrxmNaZ340p2P4NZ7Lyf5ooRGpvoS0EsZvWSyn
xWkuasjVTMLHyqPJqF6rJh2Cb8o4VosbaR0N0FKRBsNVk8HUnitDshsXoQBGVdzObCcEk+EcLi4I
n6atnzvznLmlLYeSr6KRM3mpSUR8DrqsNV1FTUb9VMrTqJ1zZ+zqs6O0Y34JUUecXvrBNuuLYwX5
OYZOzJpd+ieT+mnOy2X8HbAbDVaznuyXMI30+gkSVid6Hp20/CfjDP4kgNWU8zImdvjeKSI9PguC
+b5zJ32RY3+swLN8mibi9o9BqkfRZR6VhhqNFM/Ne3W0DeQOqMoiE6sU2eRqbeB8L/MehydAdWRG
/lGAcOOyyD+bEQBQb6p0NXVLyIKL9zzlU3Ou9WT5JGet9UeqjFnJr82qyJ8WSf9u6xQPTvZcLOpn
c9CM7ilGEFf1GP2SVBd2iBpyYyuoTPVkgmCofrR5n34EKaIo0IAQep2LzkAqN29Q0LolCjxnL3NT
jeNlapFbOqcJY+FPAdkhBBAQow0fx1gZ/pCo8oKV4S00Ms+JpED/SfkxlD1zmbL5H4TaLNVLkCLp
vGLKq9bLzCSwPi2EWM65HvRq8Ip8WIaLoRRG8tSZ1sQ4fl7Oo/TKk8g8o97o4YeSLYr/cqwxSE8y
VbPoXNup9ntkFLrmMdyXVSdnTHPro5zOGdPeQxB9CkfJybzKbCsJ2iW5rv3BSkYZx+gH1R+nKEJL
lNlt/V2aDqnyko/BHJMozk7yoWNKeX7SmyJdXD6GRBu+tWrbyxnwnz2a/Un0zzKHne05YZP/HYRt
8ckMUR1zDWKt1qvCMfnUz9ok/5YtvfY6y1OG8jGepjjwkZly4s2FIZU+cqrl8tx1ct75ZkuB5KOx
6Fnid5EuxTdFz6TkkpBbhhdQImZ0WqTSVk9z1PWgMsRn+FZXSqueKRCohicnyVidpzKp5AsYkV71
lNSKapeGtzNd6A8lsxvF2fIdEj9zEJIfnCdXrwM982N4Zr4PCmpFfgsmonIZ2p9U39ZqxfArJOGN
U9O1svlTUepc9iKtUVPwGY76odbk2PygyGVbpi4TWe3vKedW8UwjDVXQY5nSnctWl/9+/DLuL3au
F5BitJaZntvVJ/s6jCmuKnTSx+ITaq/RFwnmzU9vNMIrThFdocBk0XbaQmLoL/fxkC7FbZBpJTct
TOuWKo3eYyu7l9ekoiRY8RlVBiu6LVgoozyOmVQ2t5AS1rlzqvjJiCX1a9NB6fvY1G7XRLCChAUg
JsGJsdXmQ3nEiNS2bW5G1ZlP0TDmnjYomv9GKzTraH4y00jqJjCU61eKsf+AdsDQ3VJnsA0/H0f5
nTE50xtlv5kgYhKaKjUfCVgFJdO1HbXVprlizguSSEYZqzQacheAYvKFPoJ+mkDjnEOzL8KD5YnE
af060u+CfAe4oJDy2U5bZHE0Bd1IZF5bQ/BsWX8lyoiCWNgyAJsWdOSjznTVppfePKMDPpBRbJrX
EBXDxbNZbyhDmbRUpnktKmW66EIyDd6hz48/3n51RGUkpr9CdAOU4HpTG23RcsHYddXsQDqbkq69
S+jF+UZl6+csVd9lMcQtTjtqb45tiAdJDWGdJEAgzlkb1vqal0XrnOtYs38hiKt3LYJoB7HnPq0C
ck6mQ7ZDXrVT+iMHqevRlJxr0wfJRye1krOiV9K3LqJtDUfA8uXxdu7siRMn+r1wHhBNbbvKRUcL
GDH45lZTE3hhuqNh+paMnzGMMyIAPx5b259vAHzU87lFyE3JftZ7WEtOIGdj0t+ccpzh5jNLVw7l
+vTYyr6fIiqd8M0yeSvIT7YIXQYqrT7k2rrNUl6MriIVCGjVVcigeZAoau+mtmZHpzbN+/yH4syC
xzWVAiB16Vi274ssLadzVjM4/ppamdG7KLoHR128/bXKj6SMzssooFbbGU2l4i+OAme8cfvKRC1N
4ieEwm7UT0e6sXdMkeDRXSL6Z++3bdcwxGOjSe5vuTEPPrx06RdYM7V3VSn1B73Ju6aoMINapGPI
qP/6C0tRPTtjpPe3Jg4ny+Oio6RjhGFPrCg3tXk++NTiTllddhRRRHNOCMWQfOji9/yr2DdXWSer
szXeOr5ifmN0U0Iea8kMGCFtpN28tud/ey6MxlLdUhvk+outo9kLurFKLOi/lTh8QhGdjsmoRPFR
LWaXqfDzAG3zDuCGQm52/fPsUeo6cPnDzZKU2NPGhLiVNtr7WHVoORk145mTdNRhuHPKKEgyBcTI
OYU1Vfyof+1JpMHyMdN4vfFA9JGL4o3xIWBPDvZ+/6nFWcajxBjjPiOfM3g303yZbmpPS9jTpHK5
IcPqxH4/L3p4EBrcsfa/qRdLwI135cI5jxeF2tlyY0ByforjHhBrEMfvmQX667FP7b+ZmJSkzCqy
ZUipNi+MUyJsm8/BdOO2kj7C1Rgaz9TMVb/IbS0/QwdTz16Wjk3kvdkwzXaqyFxdv/hs198ts0Ig
JyBVb5QfKp+SuuRGijT6veyUN6Wus6dRxPOPje4fAGBmBF0Uy8XrbW2uZGuBlLscwvlWZLPzKR6W
8F0hGQ50ffHwvs1TGOUfG7zzISlOkqBzRaDzumVPVfS+JTMsMMjmv4ZWAqcJnOBfgqCLL49N7Q8C
DzZ1Sj4ktX5n26c0i0DRFiufb61sR+/UJIWFMI+PlBLu7SARAfPCsJnuS22lroUK2dl804No/moZ
ceuHipFd5D4J/B6G7ANQ250NRD4SDjGVk4CnbgKRbjFbaCQK+aZkjokma9XzUiNmlzTTkXDOnQ3E
FDQ3gk9dQAbXHokUz1DGbS3ftHAMTlCa60+6lry5Ikohh9NGqZKeIXflZkFanmVRAeH1zRg7/Tkd
nfmVWs4Rz8OdtcDxR72Vixhk0La7OxZtS3u6UW6tBVoizbqJydIp9x+73C8ltPWDxAqo7kIAy8VP
83C9ZaMVh5JtBfJtoGeo+UGlAZ4rKbxAIlhO8l/SZANp70Adf5ybqHbOQP/bMKRqVEnO09zIauqp
gTN9na1pXv5UxyKzToVs9YaHPOho3xq1kDNPNoEYvqRB0/xtBbHZvZR1PNhfyEUrGW6xmE6lZkRR
cp6jQXqjPDzpGd0LIdMMmo7t3CInOtjZsqGolZuex9aVeA5e/7SKBSpRUb493tA7p0sMO3KEyQup
6m2cY2pyLpFEVm5ZKTO3rRigYl1m67QPFIqb9tRkiWoeBOF7V+FNpLFMNUxo0G27pHYHfdk0FejG
SKl6Ue0YHNOitweuIn752lOoZjNGzTaKcV11s7JUVYYihaTh5pjl8FdmtMMZx9U+FQt1rXlqzG86
ut7PyizrB9j3/Q1CZgqQlEQbHgrukbWP9oEGZCjCRyHRqN5nzax87VMQ/uNMEfPx57uzlZiiD0yN
gvGnLZyRB6eT2hJTgZaNrxqu8hKrvXWA09o/2UQEVCaYKOUCgQdsvSCrg7MaGXjtRuG38QtjNM75
VNivk9qEn9PYzH44aMef37o0GLlhVQPDyuQn0N+1UZiWs6YsVO1GF8bxzCaNv9pOZLw5oBZIKL4S
lPC00bcKaXOV6HOJdNQNUcf4Pcq8HHV7NF/N2jrC/u7dgrILoFMuSYJq/n29oHyynEqiCXpz5Oiv
ZnG6Z7mv5vMYtUf9vDu3JGx0AKbpT0FXyIW5NhWZFJj1WjNuwNNTCU1jBvySU5pA/PSs6Og9+rE+
VkwfIaqkvJjRsrR+bdblTXZquzmp8VTN3+J4cmAqHXTR4Zp0OXkKrSH+UM9pOPtzI9U/0HwO448W
OJHwSYViIz+ZhRxHjCjZCD4rfR47LpiVOmD8KWvno1BHbNj6hHPAmcODIw4fIMFerxJ+9iIY7VK7
NW38T9nVmmfp/XMVMACkxu2f8xA9z2mDppl0EMLuTx1DPDTl6OTDZEMCuTZsZu0yUvVWb5pTmu8X
XZL+zIxGOTgAv3B4m/XRaecRgJMFO9ty3QAjS7PYjXFjJMr2qP8b18w2ez9Muu6jYrXtTYbF9zIb
felN81h9QHYg9kuzO9KJ23uukC3mTSeopB2piPvhXxkPSVwfQ0Ng3yxkJ1yqlZLXTHVJ9X5JT289
9WLyTxxGHkDBtrU21ZllmAf00m66ZMcnDXELuiK0Rh5bubMgIMXkjJQOEezYYm/nJa0qyc4MQiJq
4LkRh5dBXVDEjvCdx6b2z5AluvgErqIiuutHQ+6WOn3VGjcltCR/Dvvui6mkgxc2NpUPxY6YCJyU
OfEnLasO5r/2foptiuRc3Hgrpaj1Zo6ZXMWyiu0kjh1/ibWMZEeND96gu5uJngGDt5TE4apeW7GG
DMWadjBu8VL1lxDR3vcRidgZMfqjXGB/4lmQJYDgQqoB5NjaVN1IE5KqsnGbgWTCHcob8cmJ8/Zb
hNv6qablP7Im6X8PqHGGbhiazhGD6b3FCoFevIa2w+690GM9GvAd41Yx6fB5kqLhFa7F8JuZG0e1
yjvnnycXsj4cFCT2TqukbHSoKgLVvEHoM1hPwTJIlpvWpsN0pJUkllc60fi1bOMmJ3idsuEiO21c
v5qNguJUDSCrOMj47u0/ATOvGBk8cerGofR0tmAAbcybHrYztcUsp+06/1a19UkvTcNtA+Wv/2Pv
TJrbxrZs/Vdu5BxZ6JuKuncAgKTVWbQlp5sJwulUou97/Pr3HaXzXRFkCaUavcGL8MAOWjo83T67
WWvt1gn3Spm9WegXrDy8SWAjCmkokPmnW7/Q8mQUHWrucZ1tb4jlAER62Bzipus3Znlpj4XuCm8o
yw8L4HSolsIJ6eHIuh+KSXXBNJn3UmeiUZIG+sfXrcM5TItpIVzDgcIDIduzGqsb6cleh6PFeeoG
yYf6Nj4lWY1KYy7ly4dRaefZtZY+u5/HNJ58WLZBuu/Krv/YJrk5HbRUjbYyJWLQ04dHhPQ4XmQR
SCGucVRDEXZtXUb2/Sg3+vtyyIe7CTTZ4+tzvzAKMQ4CjuihihZRqx0147CCQ9I799bYT2BOirb8
NhjmvGGAL+ym4DFAhCLKZrNWsCOzjKx+kXKbFyVPgR3N88fRUMa9Epn6xoyEw7FaN8ygWDJ8ZISU
V++kleiL1Q+yfZ/Z3fBpMKLgBngd5Vsrk11ZD/rf3ryCCNkAB4Y+QrVTX1neQiprlZyWfW9aQeZW
XQaz1+62GqJfWsDnAoaQ2eRdXi1gP7Ra6Nipc5/mRb8L7L73lNLKEeSVt9pbXTgSz4w1QEFCWmyt
uWoYoRVadebct1M9+2NXVR6Kd1syA5dGEd0WwPGxamhhnd7vqGmmqSf7c2909D7pENfzE9I87968
OVSakLsWGFnqECtbOSlRQbUmDY+8isahKMfelbVgi9xyYS6AqTgFnDfsx9o1M9ETRmYDSahq1DKv
j630KsVCbuXEzrwY7umzyC9lY5yzdYNUOxkVK6el7lHP7X7xZ4zW8klJ24K8WDdJ9lXPW1v4CZpN
qle3qgx51+xAdmeTrbcfUDFXp480zQR8QWKgyTycc7pvC5kJKXENzNzXWEZ0xa3pYev4tHty+Hva
F9K7LCBZdWfbYwmgQ7YK6iqxYeSfGoRMjh22JabhrtnJrtOPyHChrjBnv5d07GzuSgtJBVcJw+xj
0af9/DgWaOSnrmomuu4xBa29qZoATJAWSjEKC/TzdNxUNZIfY0p/0Y9xYnTlu0YtVWOno2w03kxo
WlmurJAp/jo2crygWaXM5o2kx4p1HztZWV/FNFIIoKGMKEsV6uxQNF3aZXbphjFUroREadr4IXhB
/XeloxfP0xsPngW0+DnBjtE719cacAFQC5nt+x4HwDe1PPS7HBn510c5s3ViFIg9MOSEg7J2xVpJ
UlQoUfa9XfbJ0aRdkZsPoX6TadO0C8as/fL6eGcHXWjuG9S+SazA91mbcUevnZJPlfukj8t9rSJZ
GzW68eZZCb4hTiZ5B1Lb5so0GJA2ZIQn1PsmtBq/tJJqDyNNujGqSboy1HqLdXy+isSQgt0MOlrh
0RX37mVklchSbzatdk//Jf1I/zsnciOw2r+FgSaFrtzT0Pn1dRQzOHmjSIcBWhayBQKIu05Oza3T
Vak24MI1eW75hlXVT/o4R9XBLDC/h9qQJmNP04XJ3Ei1PMv9rYaGlgOiFVyzSK2vnivQhKInnePc
5+3Uz++rycl+pFaRfmmsMQ33Vqr232g3RCUvS6dwQuHRQV2ld4L+qeryVrpyMlpHuZqZSY7PmbTB
DWpUnz9Fpt2qBwLGZvHjWLcgUdZTV33VrDxESK5PZsOr0qaPdyXZnsbvY6PsHpzANP8M1MH6DLlU
G9x4RqHQlUEifh9aSrf71xf+zHemUmmiKQNhX0RjayHkMOuo3i6oATRVMn5s0rB/nzijgdUxJel3
c5E/Ffbgz8jq/2jKof36+uhnj7hI3eHNkekB4o1Pd3rQmggoF5oKzr2UpPFh7BqloWKshqk3d2m6
kQA9ey1sfCAydkIYXnCgVxsdjFpXtE3r3DshIMaRcMmFt/rNnHLdLaT6UBTqh9DG/L8+xzMTQUwI
0xpUDrgVKGDisr24TIPWQEEhMXWvqnm371pYZnkIXeSto5AIAflAJpSw3jxbycbKZSONk+MYl/2X
USozFx1j9bfXRznfL0aBLaEAtGAm68SuUS809EqL5NgOUnqwckW+LaYl3ZPc2oqszmwQITsDkSQg
WUAibW2DnLHNEVgj5ZI59JEwp69TGlpeABm/64dow/6cTwx+q0hr8UKpyC2sRgujYirDqgqPzThU
HrkDasxZpb1X8v7NzQhJfIDMJjXOpMgnqafnIZ8m9PHoXnFMppLyTt3k+yFDD+b1nTo/dcwC+UTS
EuQhiRdPR5FI05VqUfMGNkHm4XFEV2USOofXR7mwbCJW4nGigk2iWliXF2e7jqzSSscoZdlSLfSr
0qm+2QtEXjdpi0j2Xx/t7JGgXMIby4ws1IGpZZyOZgTxaOYj77pshItr5GiqObX0o6mGGykZygNY
0i3FxQsT5A0Eb47ijHh7V0P2WCRzSbv0CMC9ugqMjqLX3EkZt6sLhg1reGHPHFE34aEXHMRnBPyL
1YysKdTlsEIuqmzDOwdZ6sdEz8vd66t4aRTKrirvuxB8Wq/ioM4kozI7PyISi6hW2zm7wZm39urS
KKLwimIl14ps9OleRWGiFEgW5Ee1t4M9zBTzexgZybe3zgUZKR2AlJAgJwm8GsVsaYehjUF+NIMp
pZUI3dPSDmnK10c5fzgYxWBToIkhZLm+sYslL2rZFsWxzLTlkMPn2jlzuuzRkuqudEmd3Brl8Juu
zs0tAMz5kdeEEgEGiVhEUDlOlzEYlQrkdJQfS8Uaxo9qk5vJe1gx6nRsCCKLx1mt+t/NKjCSN0u8
P/di0NBPoV5Ibkt8tRensa2yVknGtjxmkTnaXlk5tKCjve7brxh1c8pBOEXsINpEp+Nk8RxYix2W
x2BAqQWeQO4ZObJnTmZabzaKQmyB94uXC8XWtZepJXkJ9rwrj0W19HvyIuaxTLpyw6M8z5AKTQfI
UYjc4L2AsDmdUdwmWi9JWXkcknR8Z6Z6uo8sKTgQhcU7daxMP8/BApMZt72JllO7wR719wU2b8M8
n7+h8PW56lS0Re1ifXq42xkZSqs8VjTZOYx1Ybr5GBU7TWoCX0mpoL1+Uc4vPePB1idhSNL9DP9e
1rNRG2FSHYMyTiBp1TPdhIstl/XSrAhnebCFGMhZCbZQMx3z1VdHeD2ht2hO4hVOAJtUDapdvsjt
u9dndeEOQhAEzE2AArxxHQ0RtCzN3FjVkauieTxP2i6msL13MvCN9kJSAXBw+P31QS8sJf6ByHYK
xhP5u9MzhN0O0FcUukSB6ngBOpiGp+LB2htbdmExSWqRvIa/RXOmNdJCAas9GbNcH8uukP+MzaL8
mKdm8VtLb7+dWsVvRqVCEoOoxVsKlglNvJVfYqvNiMW2qyPoXO1aqGnv1Uk3vUTTv7y+gsJunMR1
jIRdIROJ+cJjXbn7TVMD+QyZGQkYbdeGWT14iIXBsarVFAmTOMvlT+YMZ9sZou6qSapy4xtcODjk
kaGqgULDgq4zem2v1sOyJO0RG1dqO+x1o+40Zezza6dUqvoKVQPpY1HKRrkRDTwzl08nD2qG2iiP
h3AB1+LpURQnwIF645jVtNCweKCMCv1UdA+q8Brpzzq+ciowUbcR2ubNn5U1LdZBHvOkfSisBfKc
m5bmYv6pmG1Z30iT5syHblLrVjCT5OLq9a1aH0L4GBwF9khAK0SIdnrY+xGk9bAo2XGwitYflvQ6
lIJjoYefKRu/NVISg4G9IUskosEziVVVKXvFWpLiGJWtQrPXbKD9qvzW8IVRUG3GSAkUE7HSakpt
VqldXnTNkcaFpmcYknPgqH0ynKr0AEl0G2/O+rCL4QDrEcITWVCeEyv84rGudECbtj23x7iSrEOn
88ZkzqDs4IUN3mhP2aGdR3vXNGboqXMdbViRtbVieFh5OEm4R7zja72brKvaDserO2oSbWe0TAn3
kgnB7vVjcj4K9/hZ5AGriEle2Q6zRflXW8L+iECNfVdDecvfTXk9bnnIzxWRl7dHheWukAxBDoFU
ubn2E8w2kwqn78cjiSEa6KhaMtmH1lnka6Rml2Kf2UvyVTekWvkQNWhNLD7MJZRjAQV0yCTZct/W
ZDBU2L1ZFcaPyaDJywF2XjJ59jCiLjMPCM1AFHWSxO1T014OYZCbv6eWnD/GAbkJN2+ihCbLduh8
mZGBhdUgS580szWTNzpFTJa0AXEvWC3RcnBVSNFSCItTXUzH0pG+qYMeHaIyMTdu+Bk7Q4xiYwVR
D2AorvnpAdXqULXzuJrJyQ6Ksmsmo9PdGrzb7C9SgeCTM03kw6SpcxDqDaewOGYat/+QGKHd7mlx
naDF0pBGdCdkbSSfGpM2vjE0Em0XOMlcW2q6ZFFW0V5V2yPpvqU6Do6Ns50r1nsp76nZP5/j//gx
/Wf4VBIFgLMv2n/9F//+UVYzpIeoW/3zX/fVU/HQNU9P3d336r/Ej/7f/3r6g/+6i8msteWf3fp/
nfwQv//n+P737vvJP3ZFF3fzh/6pmT8+tX3WPQ/ANxX/83/64T+enn/L41w9/fOXH2WP6eK3hXB/
f/n50dUf//wF0NOLKy1+/88P33/P+bmHp/lH9JRlT+3ZDz19b7t//mKYv4J2JEEnKFc0GhFF7vFJ
fKLzCQcUIQ3CBNjm4o0oStiG//xF0n6F4IL1E3lEshBwxH/5R1v2z58pMj+HNyoa5GKP+elf/p7+
yUb9e+P+USDIXMZF1/J9Tn0KEQJSD8ddIqYVPIjVKS7mvgGmqwZun+nSfi7hhYfkFX0k2py3Gbu/
hiLPQVDLH/J6pxemQGQy11U7cO1gjnxLcpCDtmiz9WL9f07w5YRWJpVRqPCTCwWsBiQVk3c6So3L
PsR1JrkJLAefnL++K6TQ3ohDLoyCLgXQJmqCZCfXSh69zBzgaYce67S8A0mleG3XxvvX5/LsiL8w
22IyvHzAQYWoAuIhq8lQAjfGJSsiz7bmP+r+tsbjmQodZbTeS1TdDRfruspBXc/ZrdED089l3whL
H46SK9eDu5RHtUJ8eokeXv9mK0eQL0aBGuw0qQpMDNji01XukOFCtJhgJcmVwKu7/KEMjc517Aie
R6bPfkDLvo2dXVvc50GpIoOK0Yj/SK+fDjpExdgFCT2NnCKxr6ZSKq86YFfePFntwbDzyh/NGiH0
NBmvBocmKaS63hcR4A1TK6KryExqN8T4bthYcRlf+uXie5HHgJkBtsLgvq52qRmpPXZtQTmlkOgd
VzrzXm+o2vl6vswZUVw++9pE8UnIwB+Jpa/MSS3RYXTKz3YizR78uvHWToLmsFhR6Aa2xeW22tD2
a9luYq+2AvNrvxjSDcja5eOgDlPhSwFFzoRy6i5oJTX3Gi1W36j699fMeOUwDTpe0Lpr6kgL2BEc
WOTN1kIvWC3ODnWoj/7rh+ni+uEjE0DhDJHjPd3XJdVmE2GPyJMMedllpTn5S5ibJF+12lNTAFiv
j3du8+gThCtEDkp0fVg757oe14QHBrcqyixKWIPk0mTN9ClIVhtn9txOMBR+CExOuEL2GhnYZHMq
V7USeZa5FC4l/4G7qxZbJ3DlLIt9orkCWXHCDbZqnbVW+qqLEpkVXHSneB+P8kTXjK7ZpbGtH7rK
kveyEmv7vifXlWW2dS/4o/vFHCN3vBuCXTRY41WVPnRRU1Fl6fJjlDuTF7eS8a5Wk29gZgG8htTq
dCVYdgD32hujmORdllDQG8K68lQgs1c27ec3bKBwgU9NIOQT8TRRDOKArNMG8gCJFYHWCPCBlnox
8g+eivigbzkIb6BgYvqS3t+l6Sa4+8LWCQg+6DTqGqIb0umpVBtc0xDFAy+ategd0MvFlejdtnH2
LxhSnl7YSRShSI+tIWDjZGXIvJDrGUBu8WbN02GZtMAvBsf0bOrF+wCjtjHopTVFeYY+is9BzhrM
UhmdPPBERl4e6bm3TEl6K4E8esgGtX7XxEr8udfmbG9bRbzhNV9YVN5m3AwQBFyHdVWKiM5exjmO
vbmfe08qpMltrbrfuA8XLjj94siliYcCR2r1OqESlsFLlzHIJKKxv+r0zqrlmUYZ0lYm/dlBenk+
8eEEgoHyq0j5UsdZHZM5wgnpUOtJG+WbyC5BfPapNCeHEYqTa5btQ2h17V6CL3Wcm+Ixyuk4SNpK
PYA2zw5VrfVXk5o5XmkXyRuX+68vh0KnQXGYhLQ4fS+CaAdyAjlxvtzSG9GHcVnyu6Cd5Q17qq53
dT3MKowtwfCbSydTdI6ceafMiI2B3iX2Webl91QOoqvWCNpbuRzmxzoLI7fsaT8X91H/ISZG8rsm
+AEHQnMBFWhXjaP0e2nOv/Jk2DvLHsMPg5OMrmol+Y6uyvE+T/J8p/RbgJ6zhxy/WgCrha3m6lPn
OV0uDDOVJLADbmfbO9uJ6z8mM3N+4+LGsh9b/e9dUMT4PGoq017GSgyPXlmz7PYk/dyqjbKvVSeF
iqdzeRU3VCzQWQjmkJ8rNeUhK1pJdufSUGqPRtc6skrxOALy0wcw1uEQ0+hG1dvANRAbDWF/p1uB
8fNzc3pYQVI/M1aF2CMZ4NMJ1nTSHa12Nty6V+CRx+X4lWlluymOnGu8jtInlhk8qBKQU2QixtiI
3dgpzF2Q04+7NfQNS7R++kUkIzoUCsw+5V1HO/1CrVqHTqrPFj5POf2WGdqfEsAYF9xbuDP1bN4Y
bl3IIMNOtYSZC0VBcO1ro553KR1RuMzuiNIMrR9vU9PsvX5KJY+uNs0hxal0lzYwvcau012ZgqTQ
nGnjWj4z7073gSuB0RedQQUdfHXQ6DLViKjCdjU1r3Yj6MXHrjc7D5e7v+2jYvEnZTHu1Kwtb6Sl
y7zRqRuvEz2aqqnN6buTKN8rNcd8VHl6Tc/nzs0k3Xkc0qH2O0N/gvKxATZZG1VCUdgxMJ1JhnHh
17kqxaABxRJ0kms2s7l3CukHEv8jWL5yS43+4kj0Fia4RfsCUtrpoejqumqGepRcSSr+zPO8PlRG
MaJ8JW8RbtavL3NCwZh6Fs8FB2OdFpsrfVaMxgm9GAGmd9+uJgoi+xIlHX+KlS0yzNlZB0BMNZzj
JzxpUJ6n01KWqK+dscSTaRf1AL8h8pxMP5TVzs4owr/u457PzCYuE3gThHtQPlpdLKdCYy0dMVYB
7bM11x4QsVfKoHZlGFQfUjtbbpQoTTZegufo+uRgc8G4YsTEgOwESOh0jkKlreukIvUm0t5kDR+H
fLorBx1Wt3NDs67r1NIPSTTe4tdtXKqzU8N1Qn0epprofE598HToDHoWmh30R9DoSLvTgirwktZO
8bzHrZ08W1yGgmMEHJghSZ+sCjFJUHXo9OHFZGGh+kPjpG40VfCbK9J4aWJMYLHqbv/6jq4pDCTe
hZCjIFOBLwOJvPI0BkrlRtB3OMEEZYe6R8EMSEJ4XY9jeEB431sKx7MS2sRUYaff1k3QQYbqnasm
TD9tfBcxw9N9FvJFQkL/GU+5vjh2PNTLxB56EwUfX7XaqQW50suuSW3KywKrOlTBIN9X5j4vcDTl
YnI7ud/gXZ2/ZwhTCQIArB3Ks+zI6Z7LI0XAFpkJT8K7PmJKqjtTrcp9Q7jla074R2o0wSFqoOup
yaTcm3RcP3SjMvtkD4wfU64dnhfmZyLyZ/pplflc/fO/T2+epERfTZf+v5gIFcmn//g703iWCH0s
06fse3+SBRU/8VcWVMIN/1XcS9p8kJfjZeNA/ZUG5SP1V0CqYHds0vbUQdjEv/Og9q9/MdiJjIhv
Ad/wFPydB3V+BW0GYo8CCvBHGVWMv7/cyTZdToM+c43+faBBr5OdxSij9YlhFpnV05Ok8kTMi1nJ
D6ryQaPRU+gH+6T4MKs3pXozhlea/LEKb+dCc+nSl5vvq3zXJvvlWnfc5rOTekt0mznXfYE5vw7N
dhdMbvhn6ed0Vn1s9mPp14o3JEdreh+2Xp/5oX6fR94ExsY8Dv2dMx7CeTdptzXlAFW/MhcKeYmX
zsScbhJ8ipqvhDMc9PpQTl432PS1qfyujj0luTaKYxx/k5SvZnE/ycCsUCK5z9T7IqKbCCKDtnmn
0DBNR8DBWdxZfzeHt1n4MEwuIGi3vm/ra9jhGw/Qylz9XFFow2w5VUki6dMVHWWVZsVRLj+0sfHF
GMLYBwxm3aBk8s2a0K7qHL+spf34mQqJcWdpSDolY7+VgFklDcXXQO4MD51kpdDjW7u8RdHaldbq
y0Maqb8pvWJ/RDkzvim1GyNOvkBr/m5W+qdcniRPtZuDKguhJy2bHyD8+MugbFjO09Cbr8OzyPES
QkPi+6zL2CXKkuGs2eNDozbyvq9iZ98u+pdOmw95Yl4LnPUV6IafbYT+v136BdXU1+zS3fc/voff
2x/fm5em6fmHfhZo5F8ppgDywdkULAtxjn8WaDRMFmG9IGCQ6SfB+2/DpCi/8n9hA1Gek6nwC/mf
vw2TavyKaLBQ3hZ0YDBO2lss0yq25mGjHbf4CmQEyJCu3W4bcXk6ikepN8BXuKJXZunqYbfVZnHl
0YDsQvUHU0q+jAw7cz69rAL3qEwt/eEHo76JUBcb+uFzb0y70skqt9HbecNTXE+LoTAJDtVofHCD
dP7pgBN92oOEDupeh6IvfYmq4IDy7JZywdkoQCLAQwDaRGhIOdMtS9IwH+dkbrxajlp/lmEv6K2m
H1+cqJ+PycuS0+mdBhYHHA1hC54jpKAop6187UTCnVaaovXSfILu1NDVNw/3qR7fxnb7OCXJD7Tw
mg37uoomGJSgGdw1Z+OZaLB6sOYlDHEDpdbTzVpoQJjd3qpoyGNI6nyLxkzlvz5JDnv17wdSTBJM
NEBDRL2I/M/sqDXPcoC0c+dJmvXFCkrLZ7jS08O02xjpfNPg6wHdAkpOjA6L5fRoBHNTqkkyIWZM
8/NrNNhQEqJl8v9iFADQzxxSAfBYRSpDOiZmbNM+L6qjOr2GURdIHMa6nTYGOrtaVIWgHtNhns0S
vbNPp5PozoBMq9OReO9Drx/T9OAM4OTtgIx8JZXqn23X5e/evFtCKIxwFQoSLE+xmy8SfzIFo6Wk
D5DXqXpBJqWY9g1CbPuirpyNg7jeLlwvLphI5hJ5CYTWaihk7vqx1jQvGcPkwAOnXQUAmDdGWR13
Dh8WirNO3GyLmGMVcqEaJ4cOiX8qUVX6Lg2B4qjZbf4Z6Z8tHa8LQ9HDVyA+yQ+JLNnphIxFLqpp
qhCn6ucbZNEN9suxrsE/lVd1GmUbW3VpODCtuAJsGEKfq+Net6Nuk47LPEJOo93JdlHELqzN7Gag
Mbni9XpmbQWwqz1jNam/czAo3lLZwLE+naJWmCI0jgmOEWm9qnTnIa2NLZTp+cQAjnLoERIjSjvb
soje162BXLVnTWN7Fcq5fgWUI9lFQa3sUI9vNi7apUkJw0RGB3Q7T/PppHRbmPtcSjyue7zvrSrb
ZU4ovXm7BFuDQdD9wxEzVm5toQF9rBR88ymFkRQUUuaXjTp7dEBoPbmjtd7rN/nCrHjBOIrsl6Af
r2Zl6RKUIRgbHrnbxMNoprtMqd4IIeRAsEW4F/wRfsAaGu/MZTYYs5l6dRWbfje0jZ/2bbl/fS6r
N0SMgjMuhGDB1gmK6ekOdShqxLYoidsNZW6Vv4JiXeiXqmlbPbwuDQV2D+wNcFnO+nooFRmYZbQy
b1oy04t6fXpoFWd0HXVOvr99VqwcMS23CXyq2MEXthYpiT6rFmTwAzN8rPpguhnQBnOredyqa52f
BfDMpNUIoUmtIdxzOlIgK13ch3SNEwzS1B1oPuRNNJD+X0wIqw4QHR9XTOt0mEgrrbEjreKZidTe
LbCPlfcqutHhe7lwqg2c56U5QUaifwBHg8zhyhSNSYESlpXmHi0XZICW8XAnl6F99foeXRgFUQWT
9uwYWpDaq1ubS/JozFxRb2zguiTt8lWfM2vjeF8chIuE/8xJR4rodN3iQUGNDvF3T+rRJ4+LRr8P
u3rcSHpdONkIM/57lNXuqBVNrIocKRpQldE7u8o0d+kooWaAMx9eX7XzoUg4kuQTTa44cWtgizFK
E5Utyu7GyNPr8hSmvmDtf87sXtrYoQtjmaSrOdnk82BjrnbISdNUHdFx8GwjoVuEZRW33RjG34ki
9LfFHpghgHjibaIShtOy1l4fA9o2zyVDAQhPd0aDYBoqhu3GKOfPHywHgB/QL8GHUYk+PQ1FYo2Z
XQC4iMIqHO7Uviy/ZGFqdzeDHWoVZWkpszdO4PmYhB9k+3EnDMrfa7wYYmm5OpYhAg5ADdwA4RBf
Sg3Dz1oVV11rlA2v7Bma8yIqYClBR4gKA9hlhUhklXQv2R0lKuvMI88ctJ6lVU54MAHih25H28Hf
pNF00oOJPWxACHftvJthf31V26r90in2YNL4sKf3awUGggY2TtTfo1STSy56ekC8ESlupX2vS+bN
gj7tBtfu/MhRXcJNFkGvaK6++vJNgmCpAtDBG5e8KtxsGdqKcGAJfpeyAHbKWy8Td0koE1oiqmHJ
Ts9D22TV1FT4eWOC0OM+Tw31U6PXXUOp0QGM9PpoF06CEKu0UQ8F64Q3ezqaGsRJ3Oe8fzqtUtxJ
B/y2K4YsDYnfjDKgKdC0ZcnFr1ydBXosg1UUQmhCaOl0SDk0l0hKzcxrHXkf9+bTvMi5l8qRD94q
dXV9fHj7HAXDAkYCclWg704H7GW9baWa5zAeJwlelvbZmeK7OovBoWcUrl8f7cJpYTHJEQGnQPd/
nSHWskGzpAa8TEiUErtS11aP0lynV4kea1s6MOdLCQGUvCXXh8z3eiy7MppxRlUEYkU77WiwKt0g
+pFcZ/SU2b0+rQu7BiGdFsJAkenQuYaOFVERmnbQFt4COtGn37f1SbVbGQUHW9kRPCa7bJ7DjTfs
/HSSFKZEh/UAP8vdO905kqD9Esfo/45m2961Sx7saJSsXDmQfFwyufr+rZMEryqcdhESU4Bd3XRJ
lcI6snHR+nEaDxRDY0gKcdPfZtEoXydBOh3pBm34r496fmIgqlNYFugu/mKs7mCrz3pp9YzaAOI9
LKT2vTqtcy/rsq3DKbIVp3cP+yU467g48IDWC6oljoWUcZWDTSl6cL+znh9rp5ELVyuW4rcMxNxD
2tZLhPpGj4zl6xM9P0MkGjiv4NWf80OridKqRNPjKi1g5TfdXZnlBiqa5Cxdh05e7yUjSx4Dg+Ll
xrBn/paohAocBfBA0aFmtatAHea5KBNeOyd3riY7zG4dLbI37v2lUbChiNEhh42iwsrKLMOiwiaM
ic9zo/LpfgSzI7S3KKBnZ4WUFxdBrKCDxOoaktd1U0PnSXxHBWGDnXDIXGXu2K5o3NLCuTgU2RRi
RSgG6voholdWQ4OiPmdCo/lOhY/m6/Kc7+REmg6vH4wLa4eDRZlOsGQQDBGfvwiNEDS1rVidctqs
IamYy1gbP2iy8o3ZZJJ4rJ6oj3P8yXat3ZBRbfskLxYCo3ZEQwHEWfbNtKV+Cz90dtCfx0HiTmDE
YEKu3vBQmprWCOFzO7UaV25rB4Pk2ZXTeOlE4YaisgqzB2ry2086oSyZFKThqFSue0WnWmKg0zwD
8jac+roJpOS7kWrqlp7xxe3CHxJBH6JFa4RK2CwJlXO6VRGA9AYJXiQ3PIl02MaxOINhif1Ch5HL
JEQhKOKenovUSsuyB43o6dBN7HlnRuFjFjWlmxvZVSlr7wBS7rJiVF27tvuDRU+/jRfh0lRffIN1
k1Qnm1qrNxUCwl4yB8/uzeJzry/Gx7dfgJfDrB46swXf2HK5vAG5rrvcsT9peTlspKQuz0WYDwDg
wvs/XU11GBZpDISvNYdps6dvI4CIXHLkjW27dPpJPoBUBowNyHw1maKhS1tfQzUwktp0R31SPra6
OpKVwuPTAUTWwS1qfFtBxsXpCfVpgeWFbbIy83NvlI5cMqy+xEXvRUuyfM7CXvvw+lZdMovAhwiM
SNIraCmcrqI50OU7rPHvAnAkblXO+n62OtIs+qgF85sfFS4zgBVo1HhBKOecDqbGvT6MBnOSqpFm
lWWEop4WN+XbbzTjPGtk4t+B3VutnaFVSq+XGCxtgRbjtoMeHoypiTf8ufO1E3gk1GqxiUA51pEU
HSH0StVD6OjtDF5haWd/QCrYtZUy3zCF4jCfeDoIjvHgiyylRhZxLQuVzdMgmYSSXjTmQDRKZK6q
Zs7vI1Mp36VF3m7kp84gbfTPZSzTBKdJSA1f73SrEqMyZlXqJy8B95vcV1lmlN8zImNajCFg232I
jEr+XFidU+5SCG3qb1Yy0xoAn0GqHt54RqGC4adTyiRVQhlktZ0wBZKoKgeQwxbQiRhu7UEmmfEh
0qwtj5JjslppWlEB5aMabCEvQkprNVhQF0XQBTGM37KQsJRzIQ2IyM663n4ptEpOMj+1x7o3XZTZ
9WD0iHyX5b4ZIrs76DwdiZeRhn2s0ymNvydz2xR+nIdl67ZLicQ6kdZHg5qicZ1OMvixphqVaYcu
hfZFT9LOvJmQqCyhyGrm5KkIoYefJN6n5+pIPHbkPxfcPW2ndvrQha4+ldDj3RxpfLbGmdR+fB+X
pPs+0oZE7xKv6+ne+lsuZ847hLh09ClDNNqC33VkL8x8xytlw/+RFyu2I1ctZw0mM2KTlfZ7oM6g
uL3ZxMn4MEepZNUebBi6RbuK3eRk4JzGavObMg05BH2nmAntdbNQ0+5QnQgEpNhso35Xa7Nk3eZD
GoTZznGafIrdxDAK2tPaydInf0yGFEzX8JYywIv0cp9+aHaYx2T4ono03KSYhhhgeTtOsV/IS558
1iYt0mt3QnPG/GgNpQPcL2gK41j2o2Pt69nU2isAwaYKVbF0lB1olxltgFAvtMgfSyepD/rcm877
dKFzEoD2Yapug7Su5/txaTLpkxTmsH3oodMMjzaqD4avxIp8PaAwZrjStCzFU01buaek7CX1VuvH
vIBYFZvWdW1p2XJn6mnSXKlNMfZXYVjSnq4dQZR/ScxIMYDKj6btWWEQ/qHjVCELv4SpLrtJrRfh
jTZOYRz6JAOj+LOkR4Hqhhjl0h10vZl/ILhBNd/VlCBKvnHb0sAPaqMIHoIANtK1YlS2tW9TdVK/
5pMSJ0LnvjG/T3SSzgp3qOI8ShC/AoS+Q4bUzt00aib5I+TnPnB1qWnN+yJVoRTmSy0zn7Fw/mwA
2D81ZdaOLuJ1efhO6+WItrxQyqLdmFqBvg9LWbpvCUhTSAFjPD1qfRMoXtbqsB7UeTCapzoO5K+a
FrWWm5l8N3dRq46HoI6Let8gwX0rzyYyyqTz5OVzIw0AvK0m7hN829ECKJ7jvLgKzTq+qI0q5MHb
EolDaBZ97dMEpeu9KQrLcJfphczZXlJL8yN50n4oQ54XruHAUQfnH9I9s3CmxOYclsl92yXKDyiV
KWyvYf4/7H3Hcty6Fu2/vDlvMROcMnRiK0uW5AlLlm2AYE5g+Pq32vddW4LFZlnjV6fqDFRloImw
Aey9wmxsh1QZ790YdPa9BaHVNmRgoI0+M9vS9CFLa0H5J6tqa1NUqv6DcqPjAaG6I7YzHuIQKtfm
cQCFKe2ewd4wzAs6EXQMqJ0N9hHWLPEKqkxl2KSldl8NQEUHpVm6w8GpLLy5GpZW6QFkWxWcyqGg
r0OJZ0qo57pRQLLY7r5C+MLqHhJchnu/oQqwvkZq4xaEBHB910KKZLpwYJHb+fUAFhlyr3PnWh7w
5U56WZVq3G4KK7UmL8sJ5N1gMpTHFwzeFoZP4460B1731PRpwo37OVVm9jhDUgaTwTl8fvOkQGWd
d5r5gMDPHit3jG8Ru/U0LFrb5g8KJMMQbkitzrsBMfNno5rdsyXyZoyQNODPLmRk82hSByjvxG19
oj5y3O8DtU/zH6oeaw9MoFANO0WzGzyL6kLZIoleU38Y49L+KkpItN+MZa61j3k1qbdqA6cuDdIj
EOdUXHOOEIfgrDtbfbZX8sotd1bcpLOPXFB9V3UizfwyV8hPMcVuuZ+6sYd9N+91yAUyTX1WGKTp
ttXEM2ULTBD9YQyaVnk9ad1hn7u11QddwaHuAJVvk2y0pOb8SIvB1Q7moFqPNlNbGyBGU3/iIJ1N
BPd9BksT0x1JcpioSiJtmvL5WIH2UAStVaZKCMqPUfp2zAZwUUAWtwcPhpbGdR4rTAvSus0FgI2z
ScKcgEHzLUY5v75ooYXVeUZ/gn8jljiDF8M0bfRbhc832YyU2tdGbdWvxI4BiAbYKdWirFVs4CFN
hpBfU8tofbfXOlg69ynkIBFLhL7JSVtBMQHePLYWQL8Yog6tMeb0KdPG9Fslav3RzkpowpmakgMG
AbEQxIYEZ0ATjv0gwA2aDVrfxkrW5vdZajTuI4XPFN06GbarN5Z4isCO29BvDX1WTV/nsckjLXaN
2sOrKG98VR1iHji11bCgIRDPDYqm5MUVLUSVPcKdwdC3qQsRj6NDARh7YF2FHO9QVTgl4deb5UGK
MiHBQuRNByJFA+JnJ7iibpsJq/xZyXoGxaJO9AdToeOwN2dMXuiSRAWUdWrS2HPdckp3RQ5XwZ8N
qv0T3kwif4FBr/OjBu2heR1TeLGjWUAJwkQpU82rZgXW9WmV29YXhI3MaLw+zlT3BtGqbXdlbpwM
hbFHDT+ZOh4jKTd26ujpNGviR7226+ROIb2qYbET6Gok6giI5qnOL25TzazYXV7F8FrToD2EJQ3J
bDMPCSR38nuiznBt8FpGeqySmSflRcOGIT20VeNmO0pNgHbFTMwp9hK8Z5rHQuk4wPVuN+eu8NLZ
0MTXzkVV/8WCtw6Fp2CVt6/GCD1VGEfHzLqsc0p+mGUscNircGY6JIBtJF7BtWneTzZM6cO4RFje
xja0X4EYsAlG2C/KMam/4GZUYxlXSgHLCdDMNPMetg8wCGty5BIf7T5t6d2Ike63E8gw2VVjzrW2
QXmRCbggg5PqE6PPHgeg46fbSRgFXA3MnNffUG3twJFPJ5j0WIleq3tVAevSL4veGZFVcoyD1SZT
+1SxGTk5XeN540ErbI64Og9kV4DYlsArxS1qMCgE3GYRJFSxayahG4FGEq26aqdmQAiqBsy535od
NqbHVMiIf83zVBm2GoPZwkZR0cPR1JPB2eBdmWkXqZYUIF51Yw7tE6FyfQMYCi+8nM4QAKQtjMq+
CNtQLuumL52jQDm3e61cVQyXJp1KZFuc1NTaOwblsMbL20GHAK3iVNq1U3BOtmpnui9Kp6rtFyce
hgLouMrVM2/sIR0V4nhCRhTczNJU/DS2J9D4YDFN1JeKToPyVJc0wVE65dPDr3v7/4ff/h+Ua988
Yf6iBVzD6T6BqkEhC6TgX/0Xf4t0BeCyJ3tj1A9PMil4hvwXf4sS2X9cADjw5NLAYEXJ5Tf+Vlf/
g1WMbNiJvn8CefxG35r/wbMa4B+o3SDleALh/gv49n1aXdEBsQCRCWWK92++oVNimAngVBptxMJh
fMUVy/RzmA/4szaE1oTKbTyr394MzfV/H7FvcaTv8yt/ejslQN5kScnAKU1idzr2evfdNIrnMRmf
TLUAxt964Vq/YgsoQeL/9INRe9uPOiWMxlo9HinkuedwjF3tZmwceplx3t3YgzrdlDEnUVmYzpfC
KmqKPcrYBdTMcuLhFajejvoM+mFm5Vm3khF5n0L486OktAvFK2dIGjYdccd8gdWaHth9Ph9QSK79
88P7PnPwpwcpbVU2KM6UTSuOmhLvcC04NnPhBB2dnmsgXcLPdSI/lvUpHVSSk73TwTWnKgMt3wE1
GSricx3IXmiI7K2TWLU4KpmbfkeuZ4RfAld8eyb5TSeUVVL36Rf/SbT8Hi5Zz9CheYOkfTUc3cqp
H8yyLDdOGZc+bu5JCIU5salME9fpRtV2VT2pL3bG+pNSrYXnPWT2ISWQsMca1wrdp2Lgt8PoctVr
Gz25mqzY0D0BENuB1aJeyeBJqZo/P/m0sd5soNLMjdxgnTjybGIvbmfrgVVR9b7PYH/hEQXewNDY
svMnaMvilQevTbx6Erj1rqxhidf75wdIGdhYayA6qJTimKWVTwi7ro32FU+PXZcPXpWB711b14P5
SPRqCyKCN2YkSLgbWqLfDxYyJ5p+eh7eQPYkVAq+TZyVoVnYXTJPr0IWrga/RhzFdK1SHMIXfC2Z
v7CtfokCvBl0U7T1ZNjYVoyYPndAZ+JgTvd+WxUrG/d9AvjPqErxSlcZLjcKejCbL2Z1YawhqZZ+
uRRyWENhqgjxzCOtvqB06EGqyOfxJXI4K3t16YdLEWfuW45bCjqo88hourAHzPx8mFlqWQozJwB2
qSenn67dqBhwEf8Ty/v3WMsaPHbfTxrBVSiqYRQTmn2K55S1T2uoGp3/5QsrUcbb566OjFFvJ0cT
NTRAUQrVM3O7Cc1uuj7fw8IxKpdQrSxpq9qonKhXVYhYQxYrTtzvpVIcZovuW3v6N0z6n7GSdrta
ErUQTUyiBPLznco9rvdhlzJfd57Pf8rCNP8SQ32zt/oyT1SH6ySq+n6XjcW2LvNvn2v61OWbptXa
TGCj0JEopz0Uo1P1h9Ho9kogXPrd0o5VSpeqXYXGY1VHFGOkDbJJ/SfY1p9hl7btyZMkZ5XjRNDM
O8JN49Zu+HU81bfnB2ZpgUqbVgyZpilJ7EQ0cW7xPtoA4XkDUfvN55qXdq4YKXCCjWVH5TDtuAbH
MjgJetqqHfPC0MsIV10d0lGpqB3VJ9+w9KGph5VfvnAZlo3auVrDvXsu7IgVSICAUP2FmMMzTell
y/S7qUXSnZHmc5tYxm0r8dQVA8Tfo0lJHeQGrS3s6167OrvlgLcErVhDQyxEC1m+s52FWxspOirL
PKrVZCN6VOJoHO+bOst8rQJE6PzMLxw36mnBvdlxbcuHrB/QE6da60H0voPaiTkHJXTau+QfuR2/
t4cqbWw8rFOwWdFNBw0YT0cBxCPGvBK9l1aXtLEhCANpsBqrK68V86CWQDyATTestL40QtLOhtUG
vLSS008nL0X2Aj0vWj2LaSWYLrUubeysjPU2KRLEjfKm6C5wzG0GY/T6VabXQuSQq5/A/g5QDkLk
KEqT7WJR/ki50mOAqH35iSUEMtmpVPdmCRW5Qoeculis+lRs6enSgmdT6allq27rWF+Zhw9nGd2c
IsCbblR3MIQ5Dg5I6TXc26jj8bJ+Of8JHw4S2pbu6JmoGTWr2olETMiOlnp4or5ux2rNJ2apg9P0
v/nxej4DQNJSJ1IV0ObLPA5qpWEecq4rFeGl0ZH2MatcZSYToMiqjjpMpppBehLQOz88S42f/v7m
18NAhU96GduRpgP9DJZC4hHKV8r0H+4AjL20ewUHDMAeXDtqULUCSPe5hAoz6klI5Au4lp//gqXx
lzbxZFCjAt4Rw5MYD0OvP0MW8EXX4Fz4ufalbTyV4Bf2sP6Kku4Y0yaAkQx82+YVLM3SEEnHcwzS
XZkDBRC1yb5Mbuquu8pNJ1AUtvnUz5dhBEUXA+WBR2iUd8lrgRrAU57SBpJ71RrxYGECiLR7+Ulc
z+wxASZradDCtB1FvFGHfd+4BvhcGCWZJtY3E+egcNnYxC8WkPkNFEcTDsuKmIfnh2lhH8he882I
TCxyttXRyvvui0GJsXXttN2fb10CoP2/QxIaDNIepgbUiXrTyo4zyyDkBsAlBBZFlqEopMSXajc6
jyKziyJU5kwASEiUnHuwgBf3DMnjlV/xC6D+V4rlpATxfrO3MbBOMWx4j8rQAl9NhwYGlWq/N2Ka
116fcyPxskyFgi44u8AimRnuDG6OYvc2U3RzW6XdFDHTSW5QCrJALJ6diOgcIvgzcADXiW7aB7UB
aMmE60CQsHhs4M7pKEcUq1YP7Q+vhfgIKagUrkB1gpDmaIyQkPem2aEdMBwzgSBowRAhHfg7WjCl
qHTAWFsjX0s8/HrQfTR8UqQBy56i8FhkR+GIYIjF01jbh1LEB2jPXMAkPEgZPyjGRYef1ZQOPJWh
Mgk0sqLZ2z7Rr+1Z2B6x2BpkZmnjSZEJiZyEiC7JjlRo4tCZtbXXuKXAdhB+3SsL9zSqH32zFJ8M
G0KyqVJlxxOoob2EIbmYvTQDSW9SG3tXpBTW9iaaYgHQUepWJIpQkahFKq4dmXmRoDh8BMiu+77y
gxY++i9orwN/Ml0ppsjyrA0O8yAJb6+JR7x2D8dwL9uuaosthATZ4Hfq0zgD5W2K8sxzn7Ln9DDH
Abl2QlTjftqJh2KXxgP6beXDFta1Ja0urcE+Kim6IxfOFb0cA14HMNulnvBe+eUU6BsKRrNvhGw3
rrxsl75QWkDc5Y4QZTlFdDTvLCrup27NMlvyT/kd8WQ/Vy0p01HH9TSqQ7yYfcgW+aOX+oBJ+Iav
hWrQ+GuC2Aung0wlsascuk5DPkV8GK6gOnxtJimcwEl1Mu1YE/ZZWHcn4ZW3FyUXD7d+RnEzIrV6
DVvXmyaxDpYpxMo1Y+EjZGV3BuiT6MoqPVbwQfPw4mWBYUHOYI71LOzLfi2fL4mO/p4Y2c8QhmCK
gORGcUQ+Mv2KYF8cULbMDuDjaP4863MfoEDTeK2d0t2EeLJB9oMGeOY3R4Bz8i+xVY+HYpqqnwIA
OhjfqQobPTNONQI9ayGuTfAMoBXpEBqBYD5cd6OmRpleak8FICt+z+kMOK3bTZ97pcj05BbsKNHY
ZIy4wQCg/Vp3fZj3896la34mS5N/mrQ3t+TWRNSbiDtGXbPPptbLWe4p+t35nX96TH0QYs1Tp28a
HwpbaTMA6aJe9N1zl1YFNkmTGlcUKtFHhLtxU8eatYcX2uxlENxdiTgLHyWz4scE6vS4iqcQELvS
4BHLyuvEqVfyukvLWRqxngDxkph5ehyKTPVgV1LuKEnNk740jRplqlaYawshTJbZolAoB4CxTI+i
6Uy/dLKwMoAMPT8zHxd4IFB06vXN1HQ9AzZzLsrjCb8U8wEaj0hSzz+tmnsNdPUJcr7ASClfzve3
NGjS1QbCB7wmTl4e7c4AkgdAX/2uSKE4slaWWepAOmPcvmIO1ObQAT8w9dglRwaQQoHdev4DPi71
YsCkE6UA6rDrOq04VsB1fIMMM9k0qJEFLVOLXQlk18kdrHg0Bms6VjzBHZKI4lAyvXmwqaEFXSX4
rqibfOWEW/pg6fqimdTsC8ssjrwhu2wargC9e01H69gn2doTWj993AcbWGaVkKquLdY35XHwxyDb
1FseFBszdDZaUPokGH1AovZiK7bNRbFVAhqcH+xfgOiP+pWOJFT/YpRjcZ3vgim0Nt80r9/WPg1L
/4fwHo/HS8N/ebgbPBaqXuPp3t33771/vu+F2CH7qDd12RluyctjPfBtO0JotRqHG00Xm/PtL2xr
2YUrHqvYUMfxBOmrqhcdoribruzNlaDxYQ72JFb0flvzWjcSWLSlR6peQAIZ6nl+Zd6k8yvu8+d/
/8K6s6XAkTUg59AePfRAhkI2A3rzgAiFvWrcEL1ci09LsyDFi9FNC1erT0FW5CHEvH3IhW1d8rkQ
bkvBYoSnCNjxWXrU5yTIle+ioDB5U4JqTYJhaZCkYKG2VFfb0xnBRuAiHEDL4XxcOleKe3t+FpZW
kbT7LdQ/C5L0xdFNjBtgcvfwq1rZfAtNy3I8A4OWFtNRVhkauzsqVhr2SqysXGgW5lV2K2jxlOOa
nfCjyqofUAd47Gi+j3Wur4TppfalnGijYn0WasaPI9UuxkT/wWPAZjXnx/lhl9zffl8xZbqiMzkF
pS4u5F0wB9AN2iQh1ue+vRRXWTDvXjNP3Wh50L00XuV3P4pt78FXyI/DzDdWPnFpfk6f/ubk1uBS
qeQjnh8mIEaJam0LtVlJo3y8bG2Zn5KTijSkctzDMD5odu6VZuK51W3f/Tw/fB8/BKHc8P6nA77N
0rgv3AMomTr8RnojzGquQroVC6CYrOyb0hjNftYJnuLnu/x4QUCj/32XGW+GEickOVByaeoXZgdJ
DZgsnW98Ybxk0flyakdTGQU5aGrzSJpqTxmL9Jo/5OawAjFb+v2nrt/MtkW1ngzZTA5pDJNG04zA
nvoCss0aWGzpE6TVNIGCrSszqCVuC4UYr1Lt6RF5nOaeaQlsLToTnKPPDdZpPb/5EpF0lRsnDUEe
iXtlnPu5A5CsWQTOcH++h48PP5hFv++BK6wardwgh9FsYf0+gB4NHipQuS28ywCn/Vwv+vteLCsb
07zQyAEuod9Mkl20bl5vXHV46tP+QrTGvxHZ/xdrIOEjdTRaVT8xakSk5FAMVfKwtqB1QBT15fyX
LK0t6RAxp5QwQ0nnaCLVfZptwfS5d6yVSL+wsGT4iznB6qpSMd1gU3mwwfEG8kKto1DW7M8Xfr0M
f+k1txt51pKDQ629SqfOmyoexEn8eH50lj5AOkpmBUQZQPeNaM4TE2wkUV9YyBF6rCzbba62cfi5
fqQd7qTxAJF9nRyI8TRAa68tZ89sk62h/DjfwdJAnf7+ZuMNSFAzkObAW2GiR/KoeXWp9cT5GjZr
aaCkjR3XfS0o1d0D/ueVDKZj4iecScNyXvmAX+fD388BEIrff4HDbEhIphOPwApRb2dbryHPLQBF
Z7qxw0O/OtjDPII0acNvJa6T1OsVKwmTHrZPejEr20Yh1hYoBGsLb3r7mMWkulA0GFzBywcgJgGS
sjdzqiDPTrVdrM+dX9ZzEs6N0gaJWY+X0zj1u7yn7iNOKF3AcYL9m0TN730uoxmgpttOxTAnEU7H
2Z9I85wmRhOC2RieXwALEyTjGCqjzPVGFXPUs+wxFuNVFqfh3FFI7hTmmqnxQvCV+deKQtN0hs9K
BOIj14ddCpOeVL3U+qspcbbnP+Tjqw8UAt+vg5xDLrjtbT0CL1HxuiYDDYHqX843vvDYhaDU+9ZL
cIGaEzP+AAlOmHYZLaTZzJ6UXttZ0y6fUnEbT0nzkLV4vU25hSXT1tV1FlfVj6mu6Gau4z7xejOZ
fA5EFfEGrXK8VmG47mo93Q3wL6o2NWoKr6xzsjXFyaX9LY3KSS/Y0OOBHBrD/Vk6AulVpwxH21q5
FS61L42L0ZbUnQVEGKlp1FvQdo1QFQbfGYYSr5ypS11IJ5Fd2/MIwXxyEETZsK4pPJBUn5TE7YPz
k7u0OqWbZzolQ1qA/XAg3O13Exitl7QxH0TGe7DUEByKMv830cc/+1m6chaCo9A542Aa5gtmfitZ
AYeAtZr90oec/v4mmBsFrZIu7nhUNQQGXhPzXOM6Ht0oi78yuraZlzaadCaJE08EiqW4NUPzxo9J
GnVgMK3MxcJky+CeWB04EZDdigQ4Q5r4MebQqcvuz0/0x0+Mv5yO5pNs7tAUHMCnzvyqQoT1a0EG
uGKLxqo3Rh6DplxoRf2qGlO6NikfB1hoGryflHxoEARMXKKrofYzUBMDhJEtVHkukzS5Pf9hH0/J
X9JMs6UjYKvIpTfQ2vB4JUrPSZuVu/nHU/KX+S7CUtPG0EA8qD0Kcwz1JTHESQhQ5eewRLAreT9E
mt1rRtVU9qFzRdBP1d5OwT5MnJW819IHSNsC+hkgQbdmEVHkl6ciRfG8CK3+c63LKK6s6iZIemI7
kGn2BvY903oAiu7OT+zCT5dhXKmBe6zoVFyUnfFAY+cpS/u9ytjKbltYm7LHkWqUI0QLLeegO3d9
8UizFvk0MMXnfxOZ/1+4s2SJo1YZ87QQGoS9B7gVVTYkZwX95LJxT7vhTbgbiMscq8DzndlsP1rk
ywATSmzg7FPZzL/c8kQVz3CDxugoHARoduNApiC1fmblyq5dGn3pbLZ50dRNSWENlhxjiG4Y2d0M
CQTl39wm/gy+FHmS1oYZlFXjEVQAXBOPzlFpCfORB7sUlXkX5/kK4G1plUonNCTUUOZUSnKAU6Tq
W6mzNTTkf615DWu1FN+kE9odh5obKJ9FPWgGeYqC3efAJDi53q8hXc+gS2rgmUtBfISU5ryvNESI
RHc+NzYyhktn0DKo6eweGALFPbQnmF9V9rQbs67afCpIyCAuC0TyjsNL/pBb7SXRu5eKZy/1sJZq
+PhWAQvn90NUDGxuGMPgdx1xd/NglEGvZLrHWAs6ud6nW9Vqvp3/lIUtIUO1sgSwK9qxOXILmKmp
nl4ciUVBIVtLaS0sVRlG1aVtC775KeKZkD9jpQ/vUS/X1u5GS81LWzpmRW1zbUT+p3NAzcq8zlJ9
Ah3I88Oz0LxsbhF3QjhxK/qoRW7Os6BlgxfG4PjMGdbUxxa2mlxZTurepbOpFRHUPbzMBGVl7ccv
tSyF68nVmzl1SRVRUcce6Qzuz8parF5qXMoCZGIAtN9VC8DxYe5aPyj96/khX7gzOtKMpomVwSQq
wd1E7e6cdLocXXHtsFZ4FH6pRpxDvYIVu/OdLc2vFLEhoEEh7JnVIMVApIaVbgLVlxzyJK25knlb
AEOC5v1+N2vI88Bb1J6iYez4xs4doAUTuOAWiV7eNZBV2CkQXooKQEFv6MiMQznYDZyzaB9Qm7oh
PHnFZoDXVgd5lIrsbSSEgwxykcyLGav8HKKTT4gMetgXFKKXpAE4VmTu/fkRWphnuULax9xVDFPU
EaTI9E1dGQyaO/mn+H4oY53m5c2NQsngUdMZ8GQiEI5AgfsrV8yn8z98YWrl0ujgEsFUbgA8BQys
CR2Feh6+m+TffIN+n/W2tP4h6gKacOtYB6MUHQJaNnolN4K5XTuCFyKzXO23smYaFUEAhBWPjQ0+
xwQ0OzSUzH5NS3tphKSjuHPssmv1jEOex3hVKi0+tLqlBE1mduH5OVgAtkCg+P38UprVCvTucZSd
gLm84GJjoU6zqdseOtq1C96yMkArbMiTA9UmLVTyxPncbVKuK8PKtxD1CI8bcwwzONC35mNbVv4U
P5//uKUJkmIHtM67dIJTagTuG/jwTVOCPAad9bGqCbyq0pXLxlI3Uvyw1Vo0rFOgIgfwhQNLlpQG
anpMyjW88cIykEvM3Syg1giUXNRAor4pLnHj5sna8b8QPuQSs+VCRzxL0/iQIJk+jS2IyG1wfvwX
DgpLWltksMay7NIS8wuCp0PHxO81u+IQQLHn3dQOEDty4/FWdOm8AlVY+prTHL0JV7USqwlpXPfA
NSe+VqHgFGrp4K580MK9zzpN0JvWjT6GwlzLgfMGnr2CFk1s3c0k9itSeeOsrlxplr7h9Pc3vcSs
hlgXPBwPc63YvmIN1LNbfeVtvtS4FBWNps15R9F4q98A2v9jVsj387O9NDjStcDVeF9lTVJGuQX5
HOQod3jXqj70XB0PV7Sb3F4zrlr6Bmlfu0me4LyeK+TOxQXAkPtBWSPJLjUt7eVMHWDnw6syMhJC
/LbRY691/s1e/PeJJMOT+7pWWF0w55CCHwEipmtNF3ZZtJBxU7Kf52dhIRjJ6OQWcoo0IdjOGp5V
RloH7TR68QAz2PT+cz1Iu9pOi6IEdFiLmK34Mzf8LtEP0GuGIt238z2c3rB/168gDfl+AzAkW2Zr
HJ0Da6A0SoEMQlAaVL+YeOdbmbaFcNOrO3ff4q5Z+aiFeZeht8rU2TDPiXOY3cfMhadR04JbNORr
Xnwft+/KFk3TlBotH4Ebrp2+vOMKsI69aq6l65dalzZ1CqHEQoe2VqRA1GAEJbCaP5dRguHj+7kY
CamBPrfHaDJvqpJ7ZnXo4pW7/cdrFeaf79tuUwtUZF0bIzJf5On31Lg0m+eKr9zrP45HcEl93zr0
40pIvGRuxKzvkwFEwMC9PIZoaw6ZS/bl/FJd6EQ2DaKiE8x1pzGaRRbmuuIRcrTcfDNBV3xkP853
sjBOsqd91hYayhhgHDg9zCnc17Tvjrr5CvXdla9Y6kDa0qJVrYnPWD8aIH3jDLXmumqPTVp9R6L4
U/obUMw6df7mWJtQWDchBDNGcfVaiP7oMkhNdmuXsI/vSHDZet/6ICgclzprjDIhfCUTAQNNZu0e
/qty/ndEgqXb+9YFg7UFrcwxgpTeT4jzDRflRRuI0P3Z3kOu6q5cgS9Jtkb/OyJcQ97JPUc1AeMU
sX0HDEgIPcWN7RdBEUA4b+tcxFfWIf9ONvWm2OYrnS5ED1l3vNYnowYcHB+XiWzTQi7XVwvr4fza
XRw6aZNnzM5VheKL6sabN0aAF/Ze3UMO5QhDpghOfP75jpa+QtruOYstI8aNM0o0PajMJ7ddk09Y
SBBAEU6afWgOk7Edxqh1DX6ZtpV7rRWA/GcGj/dzb8G1cEyMdMN0YV5ktZ0FZIy1vcYm9a5SrX5L
ms49wi0k2blubcKtvYJ0qRoXx5KL1M8HWH9pEzMuKz4kAXihbudVidOt1dt+iS19sHxlVB8U3Wgx
40gFVa7Yk5vxKb7JL+0D2ZYe82sUsDx25VxCJdRXg/S5Q31xoxza+8rv1660p9n+6BdIEWZWmQ5r
W/yC1OsCbE5f8Z6yPSCT3tV9eLtPvG/ZBt7x3vb4/DIFmo/FoXov1yei2Ak1zwFdTzZKQMI1eN1C
vJAtC+y8H8jQtGOkmhsGuJUrHjR9WPncBWwEFALfr5g87RXS2vhcZdeGY6B41g76ZZ7i/4BwLyJH
FxLA8NMA6gDYAOrKiffr4PxolKUwpRb9pCgm9trgz5s+BOH0aJ02Hf6D75k/+JAQ9/m+C0rP9QC1
CK2g9wxMAmTEvQwEytKvdt2hf3W/8kv7NXY96BJbPgvXjHM+1imDULUU35hJm1Ev8QsbrALtSKNi
U/qO34QDxiQ5Qug3tEFRgLh+SANQbM7HhqXJli4x3ajUTjL2mA7srJJWUIiObO3hfOMLgUfGHYre
JFDmxVz3SA07V5n4dr7dJX6e7CnD4x5Q0xQNi1f6xcGMnRaSEfSXyS7efq29xKMhqM5+H4w/oaiK
mToMR+5VF2s+ur/iwwfrSQYlwhazSGOCX2Ch73irh+kOpdCQht0uPsZHx6+DJnQv1A2oOiEPlSAO
SWjsu03v549rO9VYiB0ycnFw6sLB8Y5VfTOFw7a6ig/iOAcaokiG1SMiyNjd6nt9X+0K76XyC58d
YAJ1VR3aK32Hotu1FaxMyWmZfjQgUhirazHyVsGAOHUwIoDRWwdH2olq0+2qXYpt9VX5Gvceu9T8
yXODNlLu691a979O5I+6l65QjSjweihOKyIw/ScU1b0kiH2yZd/5Nd1ZwpsujQgn4EO8IVftUbyY
mzwoNxBOwuxooQh1TwnW5mWJ4iVrhI18zkgCG4MIPHblqrtHZm1+tK+dB4oL0rG9giTrN+36/Mgv
XSN+/Yg3t0fFnWHvCG2YaL5y7opr5Vt+Aa5OOG2sg37ELK/UJpcuYL/6f9MPTvAhg8ArFtuhOhbX
9eWwLbfOLQb0ztnOoFxbPrwBwmxr7aft+W9bCCCy260LeI87NJjVgWl+2RBfg3/m+aYXAt8vFYo3
XzPNdclSFaNW9a7XtVsyodgN0ZXzrS/dK34lld80rzpNodqnQ7TZFKWHtvUba1/v6GW+M6L6oQ70
18zamFftBlWSb+mF6RU4yosL9sNYSfHqpxD+wZaQVcfsAo/I9nTkic3kF/tqT7Z0128h+n0A12Sb
+m0wBCMWf7+HsHRYbdeYBkvLX1YlU2cXlgmujott5ilP1fVwkT7o++kq3SPB85wdkjuxdp9YWv2y
KFkfi9hqSmOM7G2yE/fqBb+zcYcmT2RXXhW1xz63FGVNMlTKaW7E+CZqTQFHtcRAHez8Yvnl7vbR
TJ3W6JvFMkxcmQhD2+w4buyt9ZTujB09kGOyVzf1HlLhfnq1lqldWPgyhrdt+kKD4N0YufGVA3l5
dR/Xj5/8EOkOM5KWVGyccXW8yW/BiIt/Zs/mg/5clx5MOxKPUS8ZUM31lP0aQW7pc06r/83YgVZJ
DCVHl3UDyHMSxW4eWPmncuauDOSFMNkwKCZyGIqdweFlO69CCxYimwxdbKGyzylDgqdpzVBh3/Ju
XCkdfVxaILIeWf1/ObuOJbd1IPhFrEIgQPJKUdJK2hxtX1iOJJjAnL7+tXxa4y3Fqr24ynsAhTCD
wUxP9zgM0bnn9dT3wu+gyDPFP0nyUo4/7QJrX688jReuA9eEsgFqHpcxI+eI2j6ybYZ+3iSwHstT
vdXX+SG5UrvkxjlUiHvWGhw+XjQIeP671/MYYmoVPFozP6fFCxhdVi6Dj7M8wH7/OzCN58biEXYD
yR0/RK9PZA+bNuTBOOk1I1/aF8PIiYysVp4dSB3MX9T36JYd1VWxoyfr1tlaN/oQ3ceP9W1xDFfe
PIs7dF7Gd6YB+rDBdWpYevitRvud8umzeMsf9Ev4FQV6PB+31W6S+/DErqOf3RU/XPYCC9E51GT/
/a5jg+BCRpgpNHJ8Ed6NuzYYtvWBB+cAOd2A4y+Ib8s/6SE/lN+9Y/HIwHRyjhzWnPXHTsH1DKeQ
z25RSI39bNrhS+3uhljcNKwPLk/wb27r//4aFPj/TpDH0eykJSZYbaut8Ame7M1+uGnwXKyDb88x
Qu9sJ37ofXrjBsWpwasdz3S//p1tAZbY4t+td5/drPVxLs3WyO+40BisZ9ohWcwgWsUEuuLcgmzK
3tldnvCC3Zn8aBCK5WAzhI+tAaXrx+s4/X154IX8EUjQ/l3JTAsJSQscUXBTb607UJieyt148HbJ
3XglgxJPKHqccDqKGzRO3MmrGi7l8rcXVs3E2jVNC6quAZs4ttRvyu9KML/yVlZsaXDDoaTtPMl6
gKdC9nUbnSnN5ytLiO3ln74QYEFp4d9lUwOLEg1VjhO/E1/qZ/uV3GRP9Sncta/ql/MKLD9diSI9
jPjBUTcxdpE9e3EKla6T46mAjOmmjUu/DN/c4YGrPw7I0Gbar9225wP70cdMx5Gj+YQRnIYvbPMN
0PTg+dtN6uOBf/NDHXc/tL9T/mMcIFOEdp2Nt5dI9hL/T4yEWOL/Ob0+ZJvXyyu8dOINB9IPY1r2
HS63jPA/QlZbiFOuDL2QAXNNjL+C5jKo4DC23uo/PNuM2leQMHopn5xH71tx2xyqXQLyJ/EwHvut
2MhT8qkY1jVFmSfiAnJYYTNFqQE773w9zCs+cemyMbmZwjCRAtJWuGxepg3ZdjfqmNyFhxCSA8hT
9ltrT65ZUOBxmIGK4/HyNi2YmdkLUKRQGCMF4rOB3Nj2cx5/n7yVCtwCOReUcP+1sRIkbVY2YbH6
nXXXX4uTeshf3OvxWN1jf47qzgmqlW8tnDYTqVlGUQWdR6xdN3Yb7U5+66wkB84/9gOLMgGauTdA
V+5svnPyokFnTGMRtIPYCnfejPZKxPn3Of7RV87zehdoZOghqSsHXxnv+N10LA+eDxYm5N/IXb0N
f17e6wVPZGp9s7yxIEyGvSY0vO7bW1Yh9UY8P2zja22DLW0SV7nKVxZuaUsMB9DgapB5gq+J8rnk
3yu+Mu7SLIzQIe/JNFF2fiGdC/bTbQKxl2kQQd48ZXGzkT1YwtjKsVrcl7OffbcvfED1Eu12CAyA
wFbFodYV5NHAX2kjw62QFaXaZ5DHi+V1Vd13qfAvb9WCWZrwv4HQRPYZPFwX3ofyNtGvkfvt8tDn
C/SDoyaNgKFwLQpKJexL3c0vZZgFg+McpyF/aKxsZYsWtt7E/U18yspRt87BS/o5aFnRPArK1w7W
wmPfNUGpkPIM89nKnQPlvEWDAjCR+150HEouVB4skI3unKzI9qPOyvvJsrs9cADAnjWeezVCz42F
7YYXuir9SfSju+1dN125gBe8hYlorcPOgyir7Ry0NUDl8yuaNQNvfvC80ucqWglelg6H4SxkGhZR
D7XtQ90P/C6embzjiQQ8INFrvnvpE0YcAbHYtG3R1n8A8Wj9fUhUv89tFd1xTuyVq3TpE4Z/oHIG
HhNSMYcMGVE/nKMbTepf0bymg/L3mvnooBuOInSBNegpcw6cRd2J2bHnZzMUPGepJ58Oyv2lwKux
c+3R3XtdEj4z3Q5XWe/yKx5pSN2ldTkho5g04sBAOrxt7LC5my1ONy3UWvFfmu4IaA530USRC4zL
5jVnRD/TWBdPbJQxbu4ku1Lz7D0wls5BYzvlNpMRBGMj2gaqqeed03jtBiJx6PCLZuuZzU5yDfIm
YEnGDgRYPkvVeOi5p2Z/nqGTqkl0bMaSHM9MxYdcpeSN1nr8JVmqfzhpzuQGkq2Q7WDgaz1Utm4O
NqH8dexa/pxPQ73NiRDlrpWQh2uihEEBeUAGBQq2IA2ranVwGFitUXMayC6Fkig44pKUIeKAvF/Q
5B29aYpc+NXYOuV+tnOU8KKo84u48gI9etD6oaDsvZ4c3T5Y3tTezfmA3PZI6i+XHdjCwTGRbpmX
JYWIa/cQEXnIatCf9eNNxenu8vALJmyC3LJZRlWVut7BGyEr7o81Wod7iK6CjwX8SwWYdOxAD0V8
uPy5BV9pIlfKSTV52lbtqRD9mdi9TzZqXGs/WFgqE7iSD5kjC8Gqk7CerfyWTs+ZXPF0C0ObuvV5
F4ayayAo0VgMQp6zfd3GDvfHJvrcNpvA5IZMpRqZcA6jpXKodCejX2WgC6qrggSX135hDiY82Wkj
R81ZZB14Dv1K2MygrhNabi6PvnCQTIQy94BLUFy7hy7pnnFs6MYK5ZXHnW9T6VqBkPr58ocWjpBJ
hFW4AiJ+KbSxIZV6XwJvkGXjyk2+FMObqOTeEoVNM9s7FLzJD7Ti/SZrW1AeDbrFdRBKaw+uosDl
je8VeQgEeaavkIiPOIi7EZZDA2aAStnUtArqxPAGl6e8EMSY/MwFxND7ZrQcTJnup2xvyxrCawIc
liu1uqU1NS7AptVJ52WOd0jb8h6K1xuqp5Wgcmlo4+LrHSZUg6a1QyhkuR+jEr19YSZXRl9aGePW
Y84gSATp3QPS4/0mgcgY2H4AyiHNXQROjJX4dGkORlycRlkR9spzDmkjHyN3uiJ6WCtILczAJNpt
dQSsiaXDA+4d9wbcIO6rcKv+tmYleXRmsvayW7B+EwnMdauAgHCdQynnXU1Dn43d1dh+Lsw2Qb9t
wyG27eTWAU0o7WbKZfUM6Vd+YBAR/9oTay0jsTSL8w69e6EQEOSAoBOrhf6Zt0K4z6A5ODqq//Mp
Q7MNO+AhGJfcmbgHMgIQMl7PNArc6piOK9fI0mYbxlCndpIAOBsePBsqjIPIbOichzdVWt/Oebny
kaU1MmzCscNYQx40POhJHnRGC992CyglVt32c6tkmEOShnPKBFx9mj4lUQ/t9mMDHfpZrLjhhavE
RAKXZKCpVwM/W9uTu3H7CrWGorlp2zE+hhyWl0H7+FNT+R8euA8dNTQjPZXidVSlP0AtmVa5nwwr
uY6FzeDnOb47sHqe7YyNdQsJcHerC0TlrI3v0rF/uzyBpYy4iadV0hvaqCroqdKJddWj8/g1015+
1fbop3a4kz6lNc120rWmP5OdV3eMQri9cWaF7M7QxvchTvyDF5ey2eiwcK/5UHTQ9Osbvyzj4V5L
b+o2kXcOGEg0ZN6uh4ztoS0H0BBdnoP78RvdROpaNIFQt1tOpzRMxKbLmwASLqBBKnuf5tUD1JG+
DNFaB9iCbIhrYnSJ5RVZaDf01OvOgcxDWDzj/ZcOUNwu28CNe4j/TR3aMoIwsYASyxK0fLTc6TbD
wNf82N8s1AfPtb8IrXfnos3qyHZtkFaFzoC2ksaWFQQXQryoAztUCC0ml6c/PJ0h3Bwqor+JYeqv
4npsfFA/8T2rIzxSMiQEiKa2P49F/Vw4c+9DcDvdpG3n3g6jVN+bNM++ZbTN7vKqbL/3cz75QxSH
d2E1jU+jY5OtFCWvN1VDNcMrjCPYmav6JKaxuAeYprwHvbNX+wmUdveQJUPbYl9Mr73bzvcE1I2B
FLrZEqL7JvDcjgf1ZHUPyVB7AStLto9IZL9B9Vz5DinGq65uxB6pOdBcjVYDSx5YQFqRB0XF25cp
z7POF8k0XXsQEjtCTnreDRYBIC0q0j1FC8WG2VOBxoDMfsDTpd1OXEI+vckJ5AlQ+IgZ9OWJ0kGu
G+QvnbRvjnNfDKe4LnPty4IJ6hdjX/+8fHYXQgOTuLRLVdOrvm9PcpynoAJ+NYCQlPs572HCpSPU
zEOl+/pU59FPKAIcE+kVfopjsGJ6CxeSCWf2euaWEZ7ep4p+reFZaX6jw+9RsdbzsuDKTZ5SDj7M
uZSyOhUZHgEAZ+0kXtIbgsbXxOFfwbH8/Kl9MEHIzRzZDWS23YOXoqQQk2+dXqNjXJrD2bW/M1X0
4LVx0WqKtnVkNdpMB1FeHpTd300tHrGdl+w+NwcjuFGaZ711TotHI3tJuH7J4yq4PPTCNWSChceh
OFNfIbMLt4KcEM3ooSCQa8tqsVb0XThKJohrjMNWZF5HT5nIH1g9WL7qyGtflQ+W436/PI2PrY2b
WBXWuSXJU6865c21Uwg/ruyV5+vHdxA30Smyta2YAgdwzIqz3J8c+CFj4kRj78qapwiJqfilmMfH
y/P4eK24CUypXT0OtJbw/n0AmZWHvhuv8zE5gZDs4fIXPj603ESoTCXlCLtHMC9SsfUa7XOn3RRg
eYyzeA/WhRX/sbQhhm2ITHQxVEPnUz1lWwdItzH6VKaIm/xLKbhsypxyetLTuHFaqH7nk/f18uIs
/WojzKcDzybL68DEgLsJTfhvRVv8ujz0x4bGTSRJ1vSTW7Q2PYnUnjctcPvHogrFVg71SnS89AUj
vGdlXKDT3IENJHFymlsvvYnHim9BBy1WXtVL62ME+MK1QL0YDsWJ1MnXNs5u03KNFGxhaBMagrzW
KIfJsY6l0Ju4+lOEn2OA4SY0JGEJGhc5KL4tXm4LcWp0vuIbFlbcRH60ohvruUm9o52XHRLqvAZM
iRfpr6jM45UlX/rG2VO8u2SI6hxBmQS4qat8QdJgHL/ZfI0pbcHfmPiPJInzOmVxeHTtUw5sl5y/
aPZK0b75qVNvoj4a6IwIEOV6RzbddJGEZvEf3X5KOp5xk1WpqZyhb2s2g6W2r3ZtSK0g9kq5gktc
WHizbD/HbU77oqhOMWh+famaB9fLbxForoRwHxdwuVmrj5EmrJHiCSEPrLlv5RX4MlmQjQNwRORX
n5e1bw/VMbbTlZO0IKnHzRo+1EFRInF5f+q/dPOm/uq9CQBoc19e8wmw2vKWPI/fnsoHN/Lnp8v7
vwDh46aoz9BU8wzV0Po0akGDENw99qYc3OIHG+bwt9Ai3wkZd+B+tnIAtupWPE1pmu7KKRy2fZlV
kV81E2EbS1XVnwoiA3fgqVW/M82l31EKnEM61MM+hSoMij11Wr9xlbhsl7nM7vwoRweaP0+Z+mVF
NF/juFswG7P0munzyYhyvK3LAn2qU4XlzFgWeJqL29SaoxXzWfrO+Wy+M341um0bNjUFCdrg9wpa
BCeQugVTs3LGF5yuSQ/U4oE9QKCUnjw39Cm8CvR7PucbTWogKCVL6KoRUBgUcb9DGV9uwepR7T17
XNOtWQhlTG4bmWVA7Nidfeoqqfa0C7ds9CZUILsbyMjvh1qtAGAXXIE0btYy761+jt3hVEI87NVy
XbbpW8TKPvG6z7GqcBOVAoZYMrK+Tk8QmTz2g31NC/522QgXdvl/ZGIWy2o7AXvVWb4SQcizLuiv
y0MvHFBTgkrHWWsXBaMnh/zxvB9R+lOhf56nnxzeiDfcwo0p60L75ETZHauG+7GwfgGnVfikVF8+
NQUTYxK6A3D/BPFkCU/h0twv7Bn9BQ9gb/2kFbv/WnEzN0KoebRPxWhvKzVv+uGbG+XwcWuByEJ9
Cmzg/34ibqNe1JFjnyiUbw+0rtQuBgfat5pS75eoovgORF329VQP7WZMa3ebkQqVRGLb6jQ0ucSx
AHUQSExie0eGcfxU+Yib1VFZ1XaRz6B5t+g1b0efOWueccEkzbJoidK/wI/tTxWkkMXgV1bq88+V
1bhZEJ0SUnNlI++Yud87GRUQrHI5Fsf9wud03F4+d0szMLaMCiC4Zg6nUqus33Y9sh8p7TNfxuPK
5btg92ZBtJEach3CGU6oTVPfjgno9ua1su7Szz///d3VBCZpgCKUZUHKcgL+U7eQeAMhUfKYxt3k
rFwiSzM4//3dR9ArAtpYaScn1ahANNN933aPl5d/KRoyFWdVVvQSSbQEbxk9X3FwKKDPtcyJj5iF
7q1sIIFtu+JhdiSqu5Vrzd9IxefQ96RuNkVWRGAaiPT3pC69B957yaNt42+tJ9nnPJOp6mqHdWy1
56f64OF0uzk0zWg1oPpRhdWV3YVrPYZ/ewn/n3PmphruICq0+vTnZ90YzQFnXew7ZXOcphDAbOtL
E1v3IeJTRyAx7HZrKcCFhDsXxrUKYVRCPAmVgLiV21Chr6QBY3AkZLJBpjkK5qwSV6TuElBDi/gq
6RrXj+pupRq2EH+b+BnFifSS2ZuQaO/eeq/8pUCX7reZdTuHNPDKrPGtsb61JeTkLh+5BZMxITXo
82ZW0oFWW/V4J44SoIAvdUhXRl/aRbNgjB3EOsYgmXXtaJPFYhNZzbYmzGfhK5+qbaOnpzFpfZav
PCgWLn+zcozciKrxvHOONqu21PqqwfOQhNddunJ7LI1vuBjapWWYkGE+kfIWlNiHssPDBOq3TTqt
JMOWdsTwL5RmqKPwpDh55U06ZQHtv3s2X3FeSz+f/+u8ioSmTuzlkOJCHcebK8AsUfqA+sI8rWz5
QgBsEkclgkJyL0nRGNTmflzfMVsdePqkgTYd0k8ukWGkE4TQ7LiHmTjFnQRbRWj/clfxE0sTMOO7
urCFchzQew7RxoPYVzfeduDGCfm8SbvXy2a38BGzagxVnIaUkUtPtsWv8jpT6F2UoGF2Yx9Ptcy3
6ed0eLlZNBaxR9A0aRXIwL256NVRXhyUEZqC2BrNzMKBNavGSKsWqe2AKlbT4Y9dQaJ8ToarQfAp
uLxYSx84H+Z3Ny5qfxHIICZ5zNJi3MT9qK/gpON7PrM1KVUIz2OwD+4bE49XzEQ2JAFJXz7F8sj7
MAlY1ZKgC6cWxGEVrUFeI0N9cidobA7ooNmFUGtPAgeQ36M12x6EtbTYunOUgPywL67K3JkhXzpH
2u9Q67utHFKeeOyU1xRq3qjeT/URzW2ohzpjeA31LADoms5+GcK8uxOup/ekL9vnrnPCx4k1ZZBW
jfvIoxKNYgDnBlXKSh9qDixAv+0c1Jb6IfsaQFDpRneqraotIJ/DNmkHdcdawLz8UZPpbixctBeN
Se5nbq12auyn18lphsD26uSQ9Wq+ku4wHrWw0qMMHfS18/6n0Em4QweeOiL+iW6ndMrfusyLfqAY
nni+gjrMHxWm014mrd5XM6mudThnmyruqn1BwTEalmFz24Ta3qoJjOxjz6vNUHrzW+rNepdwq97K
Kotv3DZLt7Jl1plRtYI0ktQQQ6tKl/kRY/VVBt2St056fyQQmZsyAVcmfIx3mmk77HuX8s3U1+6p
T71m45LY/SEHqXcF0fmbw+boreVRHMRu1G68idzF8LZAgxd8O89Dc+ia5HflQtwqi4f8SlQUJKZ9
9NpAqfQliwY0dwroVk6osmy4cr73OYmfc+gC3rh2ll1XTlM8KqcTvhw6d+cxCNKV85q+14IZmLwb
U1s4TYh30ZE3zV7TLPK7pn7oxnQl+bdwN5jgjN4hc9qevarN49DXCtjAtE2+jTWDBEk9rr0LF6Zh
Aij6Fjmdvk/qk1VZDxC6vI/6+jVT4SedBfvXWUga8ZzYIM0VIgFy5L5oIr+fPsfRyk0khNd1UMoE
/ORYJ869pukzHMWPy17ufL9/5ICMe0f2bqy0AG91lXNfWLeMfG5gsy4vyioeEssrT/EoXqWabjtq
r9S9FvbSrMirvNP9NA0TXnPUb6t9I2kgw5WnxtLgxmPUijMb7Ro9FFOgYedCiqKyuA8d9pVAZWl4
41Zp55R2s571abaLJohj4W5A5Ih2ByexVs7igkX9jw5sEpZVlIU89iFAMpmM32yrDWg86kACVPKp
c8PO5+n97ShDNQrJi1NWfmX6pWvfPjeuESqCK1tVeQ4H2PO4uUOLNETb2JzHK6dyIQIyiX0SxUdL
2NjdIYOdQuWNto+ZetK19DlbyZEufOMvecy7pYmkjtHrIMrTKBlYQKFCCmF20bS79hyVOu403VJS
1v0nT5QRllqAajn2BI7lgmHLa7mjUe2D3H4ldl+ajeEgaF2ysFaWjaepqo9ZB6GuiuISxeO0BOVv
5m1Z0iRPl3d/wTr+dsK+WzpSEDuLWz6dRg+IT7CLkQevXFMbXujd4ya1l4rLrg1njD5nmX2sBmc8
WCFzjj0qLJswscPdODXFiVnqhSVRt5+ADNv0euQHIDf09vIUFx7bf5Mw76bYQi2mzbMYneVNmDyN
587RUA/hTgvP97R0DvXodTsOoborXZZ05Ym/4Ob/ds69+yoh1tDzM/l9J13cr3eNWkMmfrhl1HbZ
v45gIrNi+WBnRy6i2M+b5CUch59Tlv2+vF4f/nKMbxxvNaHZoI11dhQz2zPXuZd2uNIzsDS0ebRd
iHV38Rgd89FNb6LWmvdeWNsrG72wMGb3du2qSNlCR0cSRzt7fo4F3+V0jSZ04bebbdp1C9heMuAN
MKbfCBJRgPOv+JOlkc+O4N1RAcjHteSIkeu093OV+KJbq4F/eDNR2yz0lgkyyI1XRUeHIa8EtE0S
RjtnKu+L9P7yaVla9PPf3/34qNdqTsYcRE+AxAj20nezbwH2eHn0D30hfv95yd6NzqjTQIelT45d
ycEVXg0kHZClS9j1oNr0sZ1mLJcbk/4zRUl8z7gMi7DW6Mzu4+PkjP3NHKGTuUrpp2SrMLphuWVT
atkmbnSsLJC0OVLd16B92jirPaNLJ8kwXZYWbqYqrpAYV9d2VexlY634s6WdMEx3RJ+mittKHQfR
++hI2gnAfO1ZBI1Dt6xbuckXJmAWxByHOWrCHI71PLOnasqAErDVTFbi2AVzMBuvXSUtCPfMkDqZ
6R850z2kf2sfyddz6nc1PliahGHPcwotoNiZ1LGVCrK8b67z57I1fHiTUdss/Uc00Wd9O3XMB4ZI
gHx1G1QjE30SdbYBqf7vfHYOai37trDj/2ukpg6p2nqAs074awiJBxBJRdexNdzUbuoGZ368FStf
2hbDyi3es7jvsWDO+BY36dHhz2wIIbbjrnzAhbv435sLC2eYdURY3/GEqSMpu19O2V2PxPVFL4TP
4wLNemN7ZXnOp1gZ8TXDzBMnScEdUMIKk+5GtCAsS0Z5A0G/TyXz8QHDzGPKo4oOJD564U5NU2CL
x6lfU4RacOhm3bQDV86sVA2i+OLrBHqV2rv31NrSLJiGWTrlbVqmDM3Rx1SR2w7KnlnXrKQ1FvbY
LJyWUyTQhlNZBwBLkoB7PD7a6RhvbCcud1Pcihsn1uohmiRZeZEtHFuzu7QQqey1q6wDm8HrXbVD
HrjONPkMeMKgbvpk5VJa2BGzljpGE+QrEi86JnGMtvmRqdtiRMOchtLoyieW9sW4xSdpdQVybWhl
qoccOm8tUuKSfc7rmp2ivZ2mjuVodbST6nlC7TOIGveqTWyIlvPi4bJvXJqBYeJx1ThtkkzxUbMC
tTyxEYUMLg+9dLIMe54LiBjFtlRHq6yCuYD7zYcNUMA7tAfdpC55yS22ufyppVkYlg1lo9AOOS5w
jhpa2hW/ZDytXB5LQxsXOPJZVIdQYz/GqXVfe2UgWb1ieguGYJYz88aBTvI0qmMj64OMf4+F3KEj
1ZfTGhJ+4S4yy5cdb7hdMkQfnIPTML2jlEE6+UmxH7m7ts0LC2TWMHsHl2tJsPaVKPyu/J589gCZ
xUqoBTQqCUM4JCavM/Qs+awbv5LG+W676n6W1ikV+ePlE7TgLMymV8cFdshL4WHtcDvNYpOHd0k7
rhzPj+l4KWA7/8bj2gWWa55HfhyyiWQbEtqurwVpTkVMrV+Jlt3GitV4HU5hcWhJLq4rwodt3LHp
G2hVh00uaApoC4pSQ+OS2zafadAp+saisNuhRZSC8qPRO0Yq63Ya2nR7eVWWTqjhHdBNGKFYLMMD
dpmcxrksHjwZR7+HTpZ+VvVrtJELEZpZFZ0gelJ1doanHM2+qtzNNj3jD2Sq7wlLvqf5fK+Thp4d
7Gfq1NgQw2GAzNrKtBbhQcirOUQRs4SC463K1qDxS8fJ8Bq2SmOXCCdEcSj5lmf8V1Od+QCbp8v7
sjC8WR89dyZMto2f70WgSlQdhA3i4ui4xevl8Rdct1kVRWegknQGvYQD4lsxQfkmJu0Ph9pHyPcJ
VPL6PQShgssfW3AgZoE0L3UUDhQgGWWRGC1Y1lN9blC9PPjSSp1P9ruXsJ12+OV0giAJex3HyD+3
UFdkxWks/fLzR98NDiwK+pdmah3mooagOGhmkjs+UbX73G83vEbNIM455nN8ZDLg+bijJbhEpVx5
My7YtllogvxtYzkEN39ZHXqoAzW53g4FHqkww8u//2O0ELXN9lza2bWMKCaQpYne2WPFHsGHWd1W
E1IqPI3ojuZdFmTEUVc0LNXTIFE5dOzyU+yo+AGGmUMML/KmRluHpmCc+JZweOwnYMcIaEXXWDGW
jphh6zqzSYNebRijwP6kELzKkg3k61ZWceGQmfUpp0uzttIsPJS1OMgM3EfM+uyb+38Vqp4B8NBZ
4WGaDiGA2NytVgxv6Webr/mWIyl8vjpaWRAwc4dIOGmg8laO1kJkY/aISsvBc65M+bGyu+Y+LFJ+
VTQ12dU9h+hCWiS3erStTaurFq3MyPNWsfwtvE7EAbyNuxnZ1J5IrtnBdRLnlI5QU8bJiOXKBbNw
KMz6jeUWQz6zIjwU0aPInhm9pmuGuzS0cSlnNhq/bVKGBzbyKdlIS3tIw2RW6yeO8r5fXuCF7TPV
FypvKHInQlJ4sId6k3lz/BPq5PTl8ugLvscUYGiblrOCMfcw5eg6r6z8rsx6Ab7o7jcav1bOyMIU
zPJiY1fQjGI4gZKp6zQatqUqV2xyYQvMomJb2m0F3wbqkvG2EOWWVBOOWrcSLi6sjtng61qlBSYB
3L7j6G6cbA7s0QPMfd7ma/iqpd/P/r24WrT4a9Gcf7/WwOmoJGi092yl9RrWeyGAMNV/EoIEUaMj
dcwgKNwERNLkwXLr5Nh3VvUF8OOcbjob85kVX6tjLCzbX5Dlu9u4BedtxaRtHWzbOpW1eiiGel9H
3Q9G6O/L53Zh3UxZDZYwJgmIgw55ZR2riPyyGHmYoA7xOadp9l27ZR6NDiBQR6up3aAs6IHExZoy
zUKQbapleB3gCOg3LY556ECfBwmlb9D78rYNA/2EYvYMgFGX+VlBqnITJ8XacV46C8b9mKtwzFJ0
LRzz7rrPd8BalzRF/vtnSoZNk61dOAt7Y5ZkdYXECLDQyIZWAzCnPBBV6iOEWjHKj3m3qW0WZUd0
9JfdyM9vFKgcDyOUU/J40HiUOFkgEhIFE3OLIJyAR+N1RBG1iS7wKMgz7CEF3iuX7p0LeoyVH7R0
3I0LNk3HmncjTEx2fbO30Qb/0tpz4viFmFAdGVMoAF8+9Qt3rVmTjSVYZHKC1KZTlH6a/lY1iKlB
JSv668T9FKsBlve8re+st++E5aYgejhATjWoXVAQQT1aF18uT2HhLiDnRXw3eoW2dnD1hPmRj0Cj
tSGokGvRZLvLoy9ZlvHbgUtKGmWx4mjHJRR/nJTqR0vKaMtnawhmt/45zAVkf0JWvrFmilbKwgv7
Yqq5tDW0cpOskUfHrsnJoardc4iuP7a5J/eyHJBY4rX3ueNG+L8rSPth0BUkoI6ImY4Vi69SNDeT
Kr2O1/jflvbIuJSSMrTaFHwxp9qai5tugFqMaud4pRC3YC6mnAu4d1jqhBU5pfmeONN+CH83dbQR
q2D+pZ9vuDkGuXYtezGjKbvcdaGzG0L5dPl8fTz0/6gyGuTewU6Yk1MzEPCxhvdoAl/rJPl4Xf5P
loHUi2t7FD97eFHw+cTZDx3S2NGvy7/9Y7f8P3oMqiINNmOnOI3irFL9JXSsTW+tDL60MIZZg1ap
q936P86ubEdOHIp+EZKxweBXqK2L3rvTS15QT2aC2XcwfP2cylPiFIVUT5E6EgW2r31971kM59jE
7Am0wAfu9isxvfRoLaYxwGNKc0qPysgTT9Si9ga5RpI6T/ww/1LEqKoU2jbgeB1V1sMhK4srP5L0
e1QhX4I+idsGUU37216CRZTZUbpv0nZaaVoszbgWyWk5kYjO3DyqCfLFNhOfIpFbPqudS7o1W+Ol
H9GC2W4gIdN3JQHaJv+HyuK9pfVGWM2BdVch8DCG+uXepE085xE7mnMK2riZ7u1kvDLitGAWaTMO
I69A8Edtfq9mOW7czLkKhGsyXTiDu52y0R0mxz517oHBDkykk2RwVi4+CyGnq2co1jd2LiBbmkeW
7zKyn1h6myTD4XJEL0SGLqEB5kJWksxUR1GCQFTjXKvkz8uPPn+QMve0mn47plOb5yDg2CN655L7
Do9+zoOAG+xUP7uRrfxeMLBAIPdsSGMlGs5np0yX0wghBORi11bHzuQ+t2z4AT5GsC92/Hneu1m3
vfxlv3rmf/fSmS6rMVUE4EfIIuDa4DTgzpWACw6hSP0qnMcHVNUhRVuiqd4OrHsSg6hxdcH9JVJV
foC1hnubjb16Baeq95yB5cHAZwcT62YHqN6pr2om83YuDPOm7QdQZUr4tYDgFUZHAVnN3GN5E71F
ji19HuXkoAbZ7LHqxIaDLbftmMk3vYLiuFXI7hCHsb2vnHjb2cWPSQq1szM3emRdRn6A7/pcq6SC
riz8YXbMGKuPXvbxIYGpjk9qAdesuTEgH2Q2ibuJzaI9cMtiu3LM5n3lEhYMvTndMqtGQ7Oi7SbJ
jWZXybx/ihSE6Iq+sbhPhGlsWTd2dwap2F2IlsnKTCxEh44CoNDfrhwoRR7r9r8m+3DIg0jWdr2l
Z2vbBiT/XBiug5VJrQJgrjaOkfBl9Qj/JzBvV1bs2fijrg7bxaYaF+DEdAFUDRw0jwr5nGVIxC4v
1KWna7tqlRscxuSdCnKbfDAn35phck3VBC+ujU4J/wYQt2czmHLxwIb4MXKmRz5EK/vS2cGnrn4B
zAVka4upaYKqNf00PUnueKBBXR6Ws+cZHn7aPn7bmTqQadKmaFgQFvdJ+1mBOk2cH0n847rHa5c5
6O3ObTG3XeBYneFNU3MiBSmwsw1I3Qt+TVEPH6Ftr2JSI5tmyLqNSE+zzN3F1ppnwdL4nCblt/Fh
PIV1wIxFGbKabjp3oNtaoOlsi9Q9ZBZS4ssDdfbOg084LdvffqdhIB2Ps4CUWCn3Ee4g29GqMs9t
IfE/pxVUu+s1nfilT9LyJLRfUtNKIf+VsZz9l8oRLgwVfBZEn5G9NSTt5vInLUScXmotC2E5UdxB
zcLq7nhYHWaXvl1+9FJIaMFcMnDgGwcRl7C+PKTmbN9UEEa+E+F41b0QE6IHdZOGaPFMWFMu2RnW
rLxIqR9tm7xC/OM6aTpXr7upVmJt5QJ9hGYi93ZGrENUu9V1E/BXYYzY09Cj3hVUNQ+PrZW225hF
a+buC9Orlx7GboSA0tj3gbDFsbZsJPVi5cUXgoFoQVdmdZKNNQReFYXCr9McogKKFD3djRbs7c2V
82YhDvQyQ4Jygjs0WRO4ZvIfyYz4xijVkwoF86CDZayUPheWql5fgPhqWMBXHesIQihmxAtvMGeF
wpol/cvBcDbToy7RriQsY7AUCUEqbqvY69PHOnyhGbtJTl3VyvHHwljp/SwNmBZ14LTGc5ExErDu
A7wgWLDcz/anHYmVetzSh2ghJyH0CRFwm8BiiUKVIDHqTd+ZBztyb0HtLP1KDKPvzvnK/J9fwI4u
1Jl0RpnxUTQgMCe3lsk9p4ieLk/J+Ul3dKXOfrbGqQbaIOgUnNj7e0tJyKl9Xvdw7Uy1i7GFIBM2
v2i8Nax4I0juOU69spqWXv00+b8dRAU4wCwubDOYnfnQlaDw01Nv2b3ORdIRWmwD4JFjo4BMk9VR
n071S5fKfQ8jo8uDszSpp7//9vqlZMlEyr4LurD+7G36PJTwUL787PPbkqN7wEZFd9JVhLJr5cZg
JH5CHvvgyBe0xH2jvk6szNHFOXFtkflYI2OaDOe1SLnpmVXy0mGhrmxISyOkRbFttaQHpXwK4j5/
YCLfV5X9dXmAlh6tBXCeuFOWnzTchi5/U2FyS2V2Vfru6KUFkkxgits4jrPE8Ai8f3izeoXF0vjr
BkuBiPtzyVSDDCunRds8jsvRhOMM+GbWnI2HGq5pW9dKxcqGsxBaeoHBdWgrgEklQc6Lwu8lqPmJ
yUFuHcgaUXnpJ7To5bjwu/MQ1kE6bafYhH2D3zrl5vL0LvD3HL2mAHsAgNYZdPzzBnL7RrFx2+zE
v+nfQ8UOU2L9ZEYFIdxha3YzYFXJLVghz1f+uBbZrZG4besaOH2qXvpFCMM1rw7RkPUcRUsvmSyy
qSlmTBDInXicC7FR0I1HH7gYHoUdtm+X32Rhletan6GKRJxMsEsIy84rmHULA6EV7NLSo7WjfGAV
6V0k6MHI2QBLw4o8Qml/jRe79HQt8suihEJ9X3WB5XzYwxud/rs8IEuLTgv7yppgy1PhuRwiF8ik
DyijBHjv7eXHn08LHJ3HF6UWb8MJad/EPygo/TV0+oso2RFUXk0Umvp2f/mHFr5Dp/SBHTdWea1I
gIbnY58zy8P2kXhMlWt1lPMZlONoR7eZUpFJlndw4OSubzSk2qGRn2xsFMH8HH2b63YanefnmoOM
+AgLs8Rl3xXQtYTlb9BIvjxOS19xGr/fzlh4sONw7XHGtqFF/NAOjZeSs/IBlbVkL8woWjlvl+ZD
i/iSZ7YQNQKNJXNDkJT3xmZGGxVM1JSsZGoLZ7rO8CPoQOFSgbWbmdKP3OzY9d9YC/+J+kcJUPzl
AVsIPJ3o58xde/Ii7JBpgg+SkPRTdGINW7H0BVpUizS3sqZvWWBN6RepkiMX9IamahdFzg4YjpXE
amkytCAfoBJiyVDQIAprcOXKxiuj6c4opjVup8nOn8M62S/PbKXmNkMdNan7/6Bg12wEqo3bMDTD
fV2zFugUy9mIyAhfQzhZwwAmI1/wEHXecDTkgRCC7a6aMJ0YyFOrjC3sObBTaL518DaDWM+aN9zC
QOr6mEICX2UPAwtSg9pebDefcykj5DPl4bqXP4Xtb+EJTcCMtdGIl5+h3SDn4X0i3c/Lz15YbDoJ
0E6dLGeksoOeflYV31aRvWHkJrfnY5a/Xf6NpQHSwt4eOCnyfKCBET2njutTaBb1bGVwToNwJtnT
qX8E0j6TaXdYxkCtOHn6HBXiiwvyOvNkZYyW3l87xI2ycwkg+CwoQ/i9WTSPHyqpGi+U47yyay19
hRbzkkPeIp+4BQ2DyWvgAATkut9Vyo+b604QnfbnCkv2VmhagVXV5obSit71WRhtbSNW1/2ETv6T
0WS3EWyOgjoKEeSR54yOz7srn65l9QKdKhCH8zyQFYFGWZZACTvJ5uHVLjl49VctVZ3yF9dwcZEC
gvW0uFftK+k+ufh++dELZ4bO8psb9IwmU7aQukwLfzJd40j7slgptSzEsW4iGduxAYAxdnNs5Ldx
NPxXkvatS+RH1dr/loBkXv6IhXWqU/2gJQLFcIYL4ciLg4Xc04N+CfyfeuZHtZXurvuV04Hy24bn
poYTU9FMQVQmL5FKnqdpuGdt9zRla5zLpQ/RYhqJ+ABcKVTWp+6ZIAet1APhb/Hw3+UvWJoOLZ5d
C8atSVmbAQ6eZjs5eR165KS807H80+AgRLWsT75d/rGF/UnXcoVQGcTQGYKi5aCjTFVeHVoVvtZ5
tsa9XVi7OgEwIiyNpYXyVzbaB6kc+Gp2KwtXnN+/deZfMdpJE6UwczHhKg7iA/pIYU3viqK4RZX7
u41h9AQMHaG9B6L15QFbmB2dCVjMHQn5AB80fIqE9QJX+wZ+fPKmd53uexGi0bsBVqP4efnnFu47
Oj0Q8D1FO2uagzkZ4i+bVmIXJTnZmQp9b5+jeAalRTtE5q1avnYzWVgUOk8Q5q2G6UZ0CKS1Betg
m+U3dr8WoEsP1050Y5671GAhrj0RMb1yVKNnSPladdNKZXrpB7QdwGhdEYtmCI+AjN4pQv6p3WzX
G0azsgKWFrQW/oB1Rk7C4AhzAqqVESyvksjs95fne+nlteB30N1tMSTiaBpfqrufG+gOXncIWlrS
ztowbqZhNuAKcz/CYIlPsVfylSRk4b11sh6M8yBAmUzhcRKP5QRodfvcNunK3W9hxHWmXg8vK9SQ
YuOYkOolz6HDDNLmGkyNnieuUlhM/nlk4KpfhGiaJKcEfygAvRnKnzzOxXPKI5L6c+MmmeckeXeA
0CXz+zJ5Z0My/2iRqkOyjNmwcId2Ztjz7qZBgnGMEoiAJvFUfrUip2jXzgkNoLIzQ5+7A+Y9bI0x
9PMMkvszrwTxEtm393lbpxs0t+jX6Xjxwy4Zg6wOW39K+/7BMuYQlYKCCz/vlfjeF1VdecJKBBy4
DWChBzcEsU3FPUTs2rL6qIWyG69wOvXaQoflrk3bvPXjtoNkuRLS+I8bqd1uanhIPzShARxBSe02
3gpudaDycJgRDm5q/0iSJCTYQSV/A/B69scWAqy2Ik6A+179bkVG/31MuJN4QwpWNIvBrmtKeQNN
VObJJKRHiKM3m5kTGFJ2bf8KtbWfmRWVd1Ji33JNCBc8ZXFahBsiouofCftRL0tI7XV5buGnUnc8
MFd1TzyOmh0Nq+I5nNSM/+7+ablqYeg4ws66F90R3GbsK8lAHl0Xcemapv3Dsrm9L7Ar3Mec2zsa
A3MTgSG5kXZKbzqYaPoVU5U/cFX7zkSd3QxC+QMEhoefBGBdeZc12FmLAXKvXl5AcS0PSeVZQ9F/
NwQt3hsDLObEtNDB6JnyS4vDDInIfKPGmPluWMd3dKISZqVq3BhwTBu3aSghPudW/WAdZCWr3Ddg
A9NsEtpCQCqdhucSAJjP0YqJ2lqt7WQ7kxoi9/sizECgZvPNPBBebyaz5O91LOYWkkE0OcyDZNsM
qCnfdWPW+6Wd2lASjkx3o6xy/CjGFHWTyHbKLXAqQ+ZnLTP3vHXZXcwT97lRsWPCVBMi4z36hodm
EHnj5QPPIEzLISC5bS2j8oidlfMNG8bM2jqmLYO6ttXOSRIfRpnWAdp0rTdjG8A1gQzfMmNm48aR
tNhldhk+iX5SN2Cp9RKZfgMUCM+abZ26xS5My+FkH+qWxG+qDvZPacZ/otZvfAoZRW9lkiJwZFGy
bgvYd3XDQovty9jmj0NZJjXE6IvyLoFSr7OVTTJ/QASHeM7cjG/o6Vop4Fqx1fhj0xTdtmRgg3Sj
Ye9w5xgBAbKNm6Il2VuYKvebOwj4QpiDBQMn8MDdupyeotJoD03FE1QA+iHoHafY5hWJ3/IS7UkX
brQfYd8ah74ojK2b5K8oXpg3UyXa1oML/PC9jhReh4hiM1UW8TDb5EjmPHmMwXzK9qZwbL6yZy5t
yNoxy0/iitgK6kAArYC5SKE/Iogfzdn2qpNKp9Zy16piHnddEDnOZ+QOJ23Fyfaseq3L8wt2dOZ6
rjNrqRXNXYIezXF+II0nH8e36QvusvVd/E09Gd/ph/sxvnZP3V14bz1f/qiF1F7n0sqal5aMXWij
13PuocUQAp+UzkbiNRys0ULOa2rT5+eH6+plaR23kx2xPihjU21CB6ienGb/FsZaIX4hUWWnT/zt
IhSyKYWLEoVxnZi8jncwQ+abSD5XPXyRq3l3ecDOf4ajS2ZnJK3gATV2QQ6N/91QhO1rogZlepmx
5lh7/ifYrxLhbx/SAboP1FhTBrxhd8AA/oBVwYFE4ZUisDo0CYAhiBjmZR2EkXNbtO2uyBMY8RZk
JYU/n70wnQea8jJkthHhRupaj9K23pG7XJXqsr9wSWaTDZnt5sGJruUwQMRo4w388fLcLry4Dkga
BmsorZzCbsaYbqTD9sKJruoaMJ0DmNu5BdBWPAdR/63jPwELBHH6k/drKlhLr66ndCZM+CC24Rwl
+qx3JYcBeNEruZKknw8tGHL8GVqTsGcOJe48oFWC7CFnQW+L+zEp71pJNlFdkas2caZjn7rODYH4
xPya4E6owvQGQDJ7ZBWXJ/j0vn9vsEwHPSlBwbjJsjmoiNwYrbwJexO+2hUqrGuMwoXg1RFPtSVa
nvZqCOyYjDeT0yPXm3vkHcKpvy5/xfkrMtMhT0jdTdu25QS0eL0r4irZQJ3nC8kXsu05e8YNfdcP
6iroAdMZVnmUoh6dmkVgpIUX9jdkDba6NBfa7WwqQ5gRW2YVmDn9IRUKlJ05Qx2uprfQDFwjQp2P
C6rDnFqg6ItxENaRjNlr407f6mJa2S1+Hct/ryaq45zmvrSnEPJXQStM9pKXljjwXEikk8KAUQpq
QHBqj+pe+XwAlt4XI++em6qK9lE9kf1oEahFGjABjve9GId/W1jqwr9QZDEEgXJKfKSI8a63uXlL
yxaKW6YxPsGewXwzBwPuAaIRP2UYQRPfoTH16rxG5We24/KedMgfSGurf2I0j2F/ETevl9fe+eVN
dV/k1I6Rq2Yp9PLn6kijQm3cJnypS/fbdc/XdhrR0UE1SVwGLa38drS/yFTt06q9Kt2hOv5KdriX
VA0MvK0wu5FVdIiqcidJu6vmeCVgzkcn1W2R3SiiXR+qKuBikgdrZi+Msr0MYUNidO4LFckh7so1
Sv75KKI6KkuSXpSwXCuDtM58VDM9mf1X87eyX1nkS/Ot1X7G0JqKOETHiJkD7s4uy94jltnHobbp
yoCdP1yozvjKBI1g06twplSzPxGYTA3vhfomOdRr1ho6S8OkbTbolc7QQwZ2R3H3HlbxETJC+zA3
9W0EI6uV0+WXUMSZDUGHaUXplAI0lTdBkflqF9/To+W3frYhhmf4ltfAEnNj3A1bsgu940u0Ce/z
d75d+/mFrU5HcllyAtYhK2ighjp/K0fJdn0dmWtM/IUh1PFbjgDi+YSdC9Ly38qGARR7UGG2sdYU
VpdeX4t800RNsaMwZ5S16wvXuXWmqzjIECA5Le7fEupRxTRBVZwGxGxeUDt+4vkaK29pVE5f89uj
kzo2sznDoynvb3ITUCwbtjdeHpYEpflxDZe6ECM66qqqJ9usXAXPiQhKw26XKgiqWdG7Sgj3Kxqn
kQctuTVLwaWP0oI+pWHfpDma9BzqfE790NbfmTt4VbpSmF16vlbztaKkQD0CXsTS2M0zzsv0AyBu
n3Yrm9YvFaVzgaiFe0Ubs0CFzwqID67k2wjhWS//1nmP87HZpn5zoJ8w6rJeyC7fGDfGZ/9evuf/
kGeVeM7GuUG2trIlLGyfOnrLHcp0jiKJFmkj9hbQiRvRFi+hXTfby+flQtToqK257QEcmTgLalPM
921UJfD/MddIxUtPPy3H31Z3Nlmi7PsI42iym6HOvkqnW6mfLz1aC3c3bCuzALotaMYqQUFqKF5g
rQRbjMvjsjTwWshjCYPtZdksyJWxdwmKNbaKay/s1lzJl97/9Pffhga5A0iSDmaWq+imadRtGor9
de/O/nx0bhu1O8w9YCZmue+Ku9kNfVh2rCzJpRfXghs0QGMUkFUFKqD/tyEc1fRwd92La3Fds9G2
B1rawdQ7Xta+55A9jaY1Z4ClKdWCOobtprLylgY8ru467mx70jvbNG7nlXFfGBkdgsUbKWMaOyxQ
TN7UdYWELRdrw76wg+ugKghdUpsQ0wmUAxZtpiS4buE9TXPpgS/b+I5yVgiZS5+hBS1aE+44hI0d
2LWT+3E3tpsos1aStYVJ0FXXhQL9Au5bQ5DSV3uCekINt5fpuvs5pHT+XPngktLIIhY4W8P4wyXz
B5fWRxKK+9DMrjOBhnTUn78RCacRZjkiupg7PwG0K7djm6JSzmfuN6lVby8Hw/l7gOlo35KEJtwT
GGAAktY/HNgvH+dpKqCtbzXFBl0G8o10vB089CjDfy//5PlzFcqI2qexE2MiTdxjYw1b6K2LjWtP
yQZS1rdGYl0JVaQ6iixrchJKoLACo4FeEgCY6a6NYLrX1tLZQZ/PQgOlrobjpKoKHPN63EEvtT0Y
ldMfKpLSTzfGPffyJy8tdm034yqd88IVLGiLSaDxaPbmJ4BnTnzdOaLzystGFmF9OqYceHEz9mUl
9k03rxEWljYFbUubM2dqhJMMAeTT92J6k1AXQvq7S9yfTvLj8gidXxRUB5oNoVFwqz2lILXj2RXQ
KPkBJFgPgIeVMVqYA11sPhscuCgKaQdxEQk/SiAKyatipXB6XqGLUh1lpmTtTFGHPQG4ms6HBI98
ll3RPDbDYNx3MQwmPCh2zbezIMVNzIpmBxenaj8PRvU60pE1XheloR9lc71CQVv6Xi11cVKworGB
WEE0ZHfDaDy783zlo7VNY7Js1OXThqIP7kR3RT1IFPhkfN3JoAPSjDCpkhbWD0Emh+nQo4sISaPS
XsnoTu94Jun+y8fbyhyrr7CYx+5rNh7qqkBz/uPyIl56thbmNJ5CK7PjAcbYza6YpGeGYltE75ef
vhQiWt6SFQXqQhlCpOlqT5LbZISalJV5RnYdDxYn/Z87s3J4lys0ZEHgcm/G3Io9lVifZmmu1TnP
nzZUB53lskxs2Qmko249eCRvPw0LAnYywVFqtF4KCX385BopZWE6dBwa7tMUKqj4tUTYUK6N7G0j
HekJI1rp8yzMiA46c+B/mjgVxmscU7jNjuWWsqr1IJ38JBRcjy7P+9JnaIEcpllSdpD2CKxTslcm
7pNVDLdsug6YRXVYWUWHdmwZvgK5gBdnnceBz5PTGv52YR/S9edVrYxozLsiKFooMU3da9GxtX7S
AtuN6rlEN4KUY1fY5JQ9bKcaAttOEr5xaUjPdS340sFFN4V1eunWX+OU3JNYfc+S8MpkX9eONzPk
4bADRkiiqPJBBpkeDctyt2ZhrZl2L60xLeqhGl3DVx63FSX4i5OdjsS2OsRA4Ptoz71dXmJLc6QF
ftFDkJ7NOBvdMT40WYfGWfx4+dEL768j0MzYifK5ARO6iCyvGO+V6/iE/QxBE7/8Awt7io5CK5zJ
TooxsgOoLL4Uc+LXjO8H8GbLdHwaLBjMV9dRtqiOSCNzQacQNvNBamL7QjEe7Tl0FaFnuibuuzAR
OjpA9a6Zi2TgAUcOnjvf4IhzeZSWpuG0ufxWCGiisBiBOiLw9MwcGAQVxWsEY3YfApHJzk3zNcvT
hc1Kdyo2nY4JmDNwwIpNj8EwEP/MbCXLWppq7eYwtTaB6NTI4QuL5G24DUXmTTOAbWHtmeULqfPN
5dE6r5FHqY5xkUmbhXGEVnKvEmcftsw9hiwtX8eRkAPLpC23JA8hzjc5du/HdZtlGzet5VoZe+EF
gFL7c744h42DazfolA8Q4fHJtC9HGD97EzBp3GcGVGdWjpfzSw4w2T9/qUXTPE54PYKHOD0O0fSY
Vs5KBfX8o6kO2+EtWmO2GLqgaemXUtlXU67pUCytZ23Hyq3RzomJpVCSZD819yR6dupnK7lOOYXq
yvfGkKkhHPF8B1BTmMzA4XgleV6IEF32vqfMJXGa0cAs4tyHWEe2U6VN/bLL14SKFuKEarUVVJUh
zjuFYMtDFJixx5CWr8R8bFq2NxqA967MTHQhfLMuzWIABT2AIoWfmZFXDP9CPHx7OQh/jciZVF0X
UVd1pZDu4lSqNuyFHrmfH9tvzj8iqG7arf04+dYWIPiX+Mn9JC/izjz2t8khe8q+F9853a45RS8s
Yl1vPS+iPofqcBXYpHjNne6un9ZM9JYere1ncIYOnaYh6PjQ9onV/Ztbmyun4q+5Pjd42gYCwW1S
dPVJcQb+P0DrOpUfyqh7GdJkgtYgUbbvJJCOL8pxfiicPtwm7cg+JOXNA7zFWg/KwtEmnivrCA0W
lDFjN/9uzChsCkiGKi+1ws6beMe+ZDeMO/gfkIc8jzp/6Opsb0Bp0LfHyN2YcdZfdQEydaS8WYiK
kpMqxpT/a/B+N4ts0xr/wL5nZSs8v6lA1vPPrTBrTLccBhfOyuVdl4htY6ubbLrrjY/LK/r886mu
TD8qUg8DqLLB3Gyo4eEqCl/oT6mGlUlfWk/aplh14KPxEW1wU1oPJhy9zCF/ufzqC4/WBe5GoEIG
FMTQtp2Zsy3qyd3TuViDKy4MzF8Kd7IfR1nwJuhS8taEzkFOEsSqRD1Vub1C1jtN4l8BAeFTLdjK
3JET4kEdSc92yp5jLxTqnSpie8AOfGW24WX5PG35MFvXrCf8pBaDMUwrWK0owKRGOHgo88TA1eMQ
L7PC9icYdFyem1+SAec+TTvCY0MCnhB3MsiToUCPzRII7nSmt3yMop09j3wDJS2AdHrLTT1LpdG2
jFq6mxgFJdWt1LcpkxxatsLY1GIeH8fB4O+mVRqlD9S3/M5Ct3+cW0UYnFdD+gUx8fhlkgXkPCLb
qDZTnDIIprvdppLS3DSoVTwWZWdu01LUB+jDt6YX1130XstwOIqOtbs26ZG4uQUHVkuYm3SuSxgB
9Abua5X1lnKe/juwsti6fIQiqgWYtLFpI5rfZ4DfPUKTrd2wMBm3mZmMh6Gs512SWtUmS5rYE9wU
u3zO6CZzjOEuGaQFB6AMMDSlPlvYWfpWRsWd47jq6IJCsU8gEQJPcZS8c3iPbHKzVA993UBuSsKB
ZMpwq4B6yvBi8CH2yDxmG0zsjxFg110vsBlensezmQHkKLXtpyyzOeVuoY5RNoC8dCva3hfJmlfe
2RjD00/Jwm83ABQjlTDdpA4oKNX3tURKmxjpTplVHLgSFYXLH3F2o8DPaLlHzFKVVaCRBKb4ISRq
xGsp8dL7n/7+2/tnZTKAZQ7VEtUnO7tEPCkXuh/TPh2v81FlOuO2rUO3q0ZaBESC69J2R9nkHlDU
m8tDszC/rrY9Zy7WLyBE2IGE/SHi6Wmw2fsQNWvp2MII6W38Gm6qKSnRs+OQZZBR4rMWHIMmBWnb
XMnJFjZRvZHvlj0Dks9B6wuq1LExTneCWT+t1H2rp+KubBoKuSRQfFAZoSs/ubCgdD2WlnFDhjSL
A9Cg7mc3BWN4TSxp6dHaklIqDdHc78aA89ET9lMPIeTLU7305NMS+G2xTnaYwnIjjwMcnE9cgSIE
J4urbmwm0zkK0khMVeFuFdhTAGXjzZRXK2N9er0zB4mutNIRSQ3DoTLAhfApjeOD3US3Rls+XR6V
pcdr5yEhVirrGgvULqbvI8s2fX2ChZbWWo/n7MUHI6MdhJ2B9LUwxBC4HEYoQ37ko9t7kyFuY1du
VRyaO9WJtXlY+hwtnsnUUWiNWhIrs3oHgAbHPD3Ukh4uj9bCGtIb/dQgLYmGRgbGaPa7vG/g/1rV
7UotZWGz0Dv9hglHvygHR8zOP63Y8MFL8fJZbGT6dvn1F0ZH11CJK3jhNhIhUDY/kI9uDXJnq3F7
+eHsV+J5ZqnqLX6Zlp1dt1Z4JJaRIwNoRXhI7b6B95rkDcqMrP6ZjUZPbsYZt2GPxpF9DFXdNJu4
J8YTGyf1YZckd266yKpe+qmLP6beHb+PpUUCt8uib4WV8I+kjvINZAUH6dOaFXBzhp/wHiKD9BZE
KPVYwEL1UdWiOkrC+FuFA3DXpgyS5bB537Wwe/GHoeX/RGbrfroRKHh9EYvMhxKT8wweNPuscvS3
vITaaexZeVneK9klG2omwOA2ebkREgg0y6ZpEJtx8pnZlG/NSDZbzhTK9cnUDreWjLJDCLAGPEbC
6TCaOCxBma3lbQLa8jNpu+TYC6faT+1ItwJ0wZ8plJ9xilYV+ZFMtH6QbmZEXpPY3R7oj3Y/8by4
aWbSbiH06vyjZhE+ZJVr7yq7h7iiBAsrGMyueCnzsQkYoJzUc+K8TDzI4+ZPjmvUYA6G0bes63NI
0EV28zCHMdtyUts/c1HCImksrCelBD6fF1J4DtT2N7xJu51pp+VxGsrIZ3U8/IBLbftiDj0IgRJl
se/WRNm2bkc+3Wa96Ra3JKybR7eK720rbGB6VJq+q3h5S//n7Nya3NS1LfyLqBIIBLwCvrTd93vn
hUrSCQiQQAIE6Nef4fWUw47bVXnbuysL20KXqTnH/EbjMwBXQw13Pr/KxKDoNmSOuMHfZDbFtZ8y
rvgmGlwnrYqiSZXyhjSCV9U1TG6BFrNdKFMW6jCddW839ej2r5SR4GWoxpM4t1wyadB7yPWIuhzN
CYeJiaXwxoM1qg5cvMmyiBJ4RLOrxaFBEgZTnkCZkB9yXtnrVnX5M1ik+b7rlD1EWIx7oAsWQGEZ
3/XM0CyqOlSsTef+0LTWb8WCSaRjJ36yaom3QW3nO0A1vR+w0Ix+xpZPr2GL6eEUhP90woKkCwxQ
lhQXgSjtrLd8kjhOc6cf0tgLpN0o7sfXxse/mAcQY22T1FP8JBaZTDb6hh44ntamkBtdw2VSM2h2
GvUIDYzcdi1tNz1DCy5+Ld3SkfebUFTu9wGCik0pGvMyhSq6MQSZgaiReo8Ud3hA/2W1UcKEm5Ar
lOaCdtqX4agTvxoFmjJbU++a2jY3UV7QbV4607bIi+65ivGdeYN8f2ppj2ZUB+aGC+yxbrkzgrgO
XsmddDsQ/llH72iUmw24/lMiGADtW6MIyXzhhJ+ga7C0xKpUqMo7JlH+Mh28brGvhcFrImgcvw9A
p9m7hufHCj54qePn4a11w/DRt22/62lL9prVyDwbDot3PvVxlrvxuA94PG4XS0kqNUawI10DIppp
Mhai39TPCdvWnYBlKzq6IZfret6gKxhIESs8Tg9ooUfvbEcLL4trr86CHv9pCUAkkPuY1KeG7FQi
f7glnHo7oPhlxmDavWs4Nd95WLV1BvBs860Hj+LIatk+lpHod4q05Rtb4u4HlnWbxrpQaez3rp8s
RajggVB3DttqCcRuudSQ8hHHb+8a1XAXPmIzyD/gbtpj1WFsUlBPiE2Zi16rVKhaPhhY9jYbFtR9
k8QeczNYxc6vTWDEjYkJ5rymZHkEG5Ltqko6T9bzwdVaPEICuMoCnpoEgd9/NKXOvzlzMx/yrrAq
ramyd5MuozmBZWp8j6UBSbfvVwN2Gr+prjrcAfYBEFpTMneLng657GGoEAUmuJ0m7E8ttzbcN6Hg
411H7JigE7J2N70j+feyGYpUAR2AWN86xk0Gbbo201UnJK5FLlo7Rqg6HhZp4A0sZ2C1MGf4JYTI
ufPx9Pc/QkQ6wpauV+18MC69ywuOOEXyj5k1l4h2pxvX307IU1zxxweIqMt5j2LM0Y76OtZ9Wsdo
jc/Fk4vIC+v2ktLqXJyySqw4YTP2g4/Eymz4gz+E26LW/yQYcClbRYzIPRBVRXBIqRiPtqqi19AJ
cHT9shLpm/7KscGdn08XimRnXslaeeIOyNW0SDsfVf0E7/eN59w1gXvhdn8m4FoLT2CUTmHs1LVH
Uqv2d4Tw7jD4nnry2wEAg9G5pDU79yNWQ1ZU40Jc0eACXsBuOhIfY/1tFOb568Dr3NNXETZDfbIo
CiuPwgs2auqnrat1mFivLC+M09+lVMggrMLqITSmQ+tAe+QowRxKTwvkq8vudYqhaOPYf67BugDk
CTkZXqhr0M6LfWfNsBH1VNzVtua3cuSX7ohnXttasoLXBKYABAxo+IBaCICGHtgQsLaHF4CN7r8e
VO+/DMNf1upaquJoQEZM6+qjxgH4tIxTeDMNKtfpMCFZZ4WZIJdRSKiVzYgGHfjXxh9qzr0nWgPf
DfCDGb8PrAW5vmaLvNUSd7gCwMVHv8StK3PrhX4HSj8SWPjw/El0p32BVp+wTaOusqkIQJ6RuYcL
K/Wjl4YtY576sQyuCuL3b13vL0MWecjswCRddHkyTwNBMBHE/QY5mTFIBM3l/ei480PgxjwtFeVO
4qEolFX9PL93sYrIxtEieqPztGw6w/INobMDhZ92vjc2iL65Fq7dKB00+jWiUbukqCYvT10bDNky
VxZpRaIAlKzCPSj6/o0xjTzWsujuRlDpUyA8APj2vLGas2ocgngD5yywAbQX46u3xBmzctTOW0lO
3IBOOsOuD9om5X5RtxlApmWdgL2bPxAnyDHkbHhxxeI+Q+Y+JcQDCMCLqvsh7Py9h362tGkj75MK
Jy62SnKoRx23e5p9stx1FdF74UlETtweJotTUDQR1GDDOByQII2vZNAgl8G5TuBL4yZk6MwWLYsz
bHts6GV2rMS99oMqayOYauYOd3Yi96BpqQPnZgi0yjSZ2o/a2HJrF46KDRXldgxdua175zsK0egX
ZDQPktLMNSgJVsmkRM91GsPsGPStuEABfZb0HtwneUTrcvdeuwDqpBKCjXsXUmOeKT1Hd6P2IDHr
Sqe4XcrJC1OIwTBwCOKOyLupW6iqNEyUZ3ndl0oCYeBjg05N3zYnVOvkvlhHeFdBXmB/qxd0qn+2
vA8OvVcDEI0kKrLhVTj6qYpl/r5MAIdHUNCnfuSr1FlIkzld7OKWEhfklsx+jM+fln2DK8IzSN3T
vi69UxHF7w86bt2jZxeQQUTdH0veNk9kYdVWTwS2EarxUydu+31J0YNY5n51F05zkbLZ6AOudSP4
u6rLgqALb3zf83Zd6wzpwh3/Dt14udwu+NfHwSts6jmBdzN1FHGMnP09m4hOTVxX77Cyh/tPlHeb
YZZlQseCPki8XzF53p2aME2TYenBPGtIx44Fzv/rcs7rjWba/yk6498IMpJNYZFLq3vNPpCirPaL
Bk43zhEBJRGIg7deXzq38WImuQ1zwX9UJXwTa8Ser044/QZOpt51Ksa9Rpsw9YB420o0et7wYZxf
lyhu7lrIwKe0mGz7BP5BDK+usccFZULafh/kkbnlDZi0SUfbKNj0UdTt28gdts1Ch4wsCjtx0+Qv
Y5WbXUUbb4JvmONiI4nd7tONVc3hAuHXewblPc1QLaXPwFqjzFJ5jVaJH1ftMyJPqzcDM6DbTe5g
rhtil/ciJvj/se+7qQta2K0Do4kqaRjpeNp6kIXCtWwCHguxtsTWWDQoX5Bwdn98vQ2f2erX8p4I
UB6zVHDnck5fExUbYGySZmrStr0QYJz7hNPf/wjJuMV8zF3HHJQdAlwyFUk9YQ5g2rxEsK65cIKe
CcjWskRUcXSvFQK/RkyPwQAOXzs8fj1Ef28edekafFc2Jg6GEel99gAo5b5PWLrtk6sqyz+A41EZ
fbCH8ODs5OapPOyDKqnf5gt043M/axUwSwUOdGuYPLKhSTV5ERd7Bc4ENWuJ4lLpXtgShZdlIE/l
kD8A13TTCPb760E7k5VcixSxrtFAky/d0XOaHQNlIXfdx6obNrqhidDTR0wuVbDPjZH3/ycYjqAY
ISzGaNBoqFk0uDhO40fbr3/ImRvFWiq05B4JY1C2jrJsDq5LQQajD4O37Gz7Q4lLXg/nhmsV/zVA
RLiybie4CvtXnS9kgjzbm/aWO1VNjzWV90XTtxdK5mde/brkX+Oyh6PdlseTeutj4Mx7K3TbZKrH
0fr1qJ35Pf8jUJyAgyQojxyxdz1GMbkZnPhNesNO6PpAqXpiRbf7+qNO+8hfwsg19qdES3XHi2Y5
xLiBLeAyA+OwmcefXOcXktLnPuE08f7YwVzIxYg/5fMBJvGHuRBAhzZ7+D48ovUp+/pHnJlla4KV
S5oYCLMAmvBapIXXZN50KFHRtrRLZPX69Ye45178aqVUrnCoEpwc9Tt9V7f2uT5MFerVyfg+f+/v
DvEHAmTyb9qDtRBOx2hn0C7pjz1ch6BA162E/MO40XapC3lw6wJechVMrkHYO0EzmHMREn1mR6Cr
1dRVgNe5VoWIIOSBM7oP6ks9O2eGcK2Rcwvq+SWEIQdevtP4tEzfEH9dOMTOPfy0mv6YaEhI00mN
lh08uTzzRf5aRmifC5X/22my1sihLyfXnqlDeK6Fw86NKNtPirYXquBn5vBaGTdRWRinhA1uHbJu
B41tDcSUg6RUazu09FH+S/DwUqLnTFF2rZOTCIxGVATZgYk8ac3Ppe1xTVoS6JNTyvtkdlRqmn88
YtZ6uILNZYS+ovIIYb1OkKkuP7zQht+/Xpdn9hdvlUxqYwHCdeXPh9L/XFwLkTUAmNAQx+18Ycc/
syDWFqY1j6a4A2/nOEb1b+GjWW42F+qb517EKjkSLTNylUShfKqq1LfeEfnwhzG2KN7Uz1C0ZKHJ
kylqfv3bWK2W9hBGCjcvMh/gZYbSiQICFebp7Sl7726//ogzg/U/sq+FMADN2+XACEOEz3mGYtMl
jeK5Gt5a9rVEgo6A7cmj8f1xk9sFTkhGA+BSzv6tLfo+i1XcbjvXY6/SrQlgibil0CTonfJWhqh4
CWmCBvenQr8Nc+5f5TASOvZVX72PwSQ/nSa6ZOFxbiRWE5M58JgMe7c5ooOPQ3A0b5wmHi4M85nt
Ys26I8hzlsZz5DEu5n2BSkYrnASN3unculdt11z4mDORyBp5BxOtvJILGY+idLcskDukVtN5LG6j
sjr4xLySgF8qxZ8br9XkDGQ9EGR1qmMfvCt6XOQ/cQFdusbfdUbTaAlPSVpTXclWvcxevDdR+flP
M36NwLPEZXM1c9SKuQ8JXPTskf7314/+u6gfX/30+v8406Ig7CNYQkQH71S3KmBlnRYB5q90eL9H
bofvu9wZE7Bo5dGXS77p6jn4t8DNXX02oQJGmjMeLKZTNQMMgQTW9feVC1K+qOyFQOfcDGP//xdq
tzWaB6I7tsg9yLldEs9cCWBXG1h7y0gc+HxBv3AmPvgvrvtjLFHZyF1ucRG1BvYm1aOC7WhTPn39
ps49/DSp/3h4NFIraBVhPdb1mOaKwbTT14+LvURcOY3H/wTqXriOyrSDVGZv8+gwRebgRNVzWc3f
lio/VGV7SX361x/hhevwbOhcCv2pFx14dVW177L5ZR154RA99+xVdEaWIoKjG6xHjLFXHoO2huVb
HV3S3J8ZnnVwNisly5CZBdKX4kdHYCDQDdCeqrx670149fVLPmdmtA7SKLV8CMIOBFAX/l753G7D
Vr+4bftGR2SWm/mOVdMzpYtOHBJMiZTlPa7tQ8KLS45Nf9348Y5O4/vHRIvLuVdU+80RjnJ8Vzr1
mKE/S94NQedkZRy6O3eImgsh9V+3ZHzYalaPqLUvWoKQXzmRuQGCz6anH/f89XCee/rqgBSslHIc
KfjL7ofpn6T69W/PXV3URlsIKBWaHNUy5t0iCYQbbYx8+9dPPzeRVyGbifNKOYsej1E89DbJYa+Q
9KOT31hfLBd2k3MjszoKHYbaSOQX8xEO8e3VYDqzcyzTn1//gjNPX4doTq5b5UHzcGRjMNzHvRmv
zFwM//j01UIfHNBAPOnlB9/Ay5ELcwsb8jL7+qufGfz1mRQ1gLBHcVgDfxSVmZU5u7IFmTILIMiF
FrRzH7E6kBo+5SgqdPkBBco05mEW8SUrLrVrnlm+60Mo8BWTZGQ1uiK8OKESnHlRliiHdvJHgZpo
Si+aYp37IafX/8dOMaGCB1LjjBMi2tmYYUeyGxGbC3vhuaevFu/c+LRB0bg+wiMynZZdhyhbht2/
xB5e+D/hbR3hHuFW43GuvoGXk3j1j9HDdSW+cO86twRWi9h2s4sqTjyhYlyrLIhZ85I7oby0b545
jf4L5/4YeroMob+0MNGolEyrAZwCdefNeeJfWmRnRn8d0iqPx6hxjPlBTNWHJ+MrqM2eoej79fUy
OzM865C2w9gUvRPnB6qn4npUBKZIKv6XOMwL1zEtKqbAFRPQCVDMOEBZ9503/kGK/pK65Mzgr6HO
E3MAp5thj8LjN+jOcVhe1SVwEcXu68E5s4TXLGdWFmFYF2V86JqmRU9BdetCFBUPqMxAFui0zvPX
n3PuJZz+/sckGqEf4ggEQc2HACsFz8R7IIPHL6ywczNotX6Vg3yTlNMIVmGdNQbtI90vJt6//urn
XsHqBIZBTe2FVe8fHeqhVv05x9AKlO81bJG//oDTYfKXaHhNbx6KgFWxg70NJh0c0IY+foT20aRG
0tyBA0gx3MOFpR8g3rOXrpHn3sfqUDZt6He1gsBEBcsu9rt70uX/tB3Bw3j1qiOvlSX8cA/KZxZ0
2AiA5fGfMjIeW+Oc27Kuhi5HVO/U0c0ydu/eeIkR8PchYWtqshrR0GWB6T22KvautcPjVBdtfiEl
+vcpyuL1Sdyhdx5CmgjdTf1JsJIOKJFP5pL909/XMVszk+HmoeqhHHC37tqfHfs1ixvuwoTGFTBp
Dv/NfpitsckOgydKPeJTlHZxDFdPspt2VrELm+nfVxpbc5IrbyQziU8LwXnyCo7+CHgJwTLSXFK4
nfuA1VKG4F+6igT5gesfDnyst53vHKvJuUUB9JKh4LkXvTqNC1X05RTgRRMjNpMl+568dZNIv94r
zj19tW5hXDP7unDwdDRs+noTqThh+sLDz6yANRpZuD1cZQwWF7woVbI0/Q9Dh19ff/G/Joc9tgYf
51CcNIC8Rwc45gBXEbM0UjBbhO/HlaFI9YT5dU6lSNBbewFPdGao1izkCc43JIwk4DjFmEUL4vc+
oBk6DC+UUP6L0/9332bRakmHU1dbtHHOx6p17E7bCLcbztWLrKybTUNfQ3Ej++3QI+wI4KTzgusu
DOHjUuwaz40zHUzMTfyld/cQkkybsQFiEkmL/FLwcO59nkbmj0PXi0ANdXERRkdc+xkyIuokr9zo
8+s3em58T5/6x9Mb1dfIN7fxoYSu3p2/cfPu2Atn7rlnrw50Puc0bqFtOS6O6yWzjH8wYDlajOG/
fffVRtAYCs3XCWsSshqipNe6e66HC/PuzFYcrTYAY2ZRtwviTQ+Ca9hKbufxiDbipF+6jbrko3Pu
1a72AbixTxUvcgS18fhSE3IkbX1BpXPm+6/7KAHw06KA1uzg9M6biZffnidCkizaHa/dEXqturwI
uTizIa8bKmE15nbN1IHSV5X33iD3umBHJxR3VXiJCnDuI04/849p6mIfmIuK4GQcc5v0vMyTJhZB
4sJSNudB9vWEOvM+1nb2sEEL0CuNH+Iyf9vMYgf/ngun4rlHr1axdm1YUqQIDnrsWDJryzfS7X98
/b3PLLR1y2McuWEfG5xWyhQZEgSHULDH2f4b0p+Fq3Xm0CLXLoNRaL40907ppLnG9UjB/OLSJ5yb
ravV1hKPakkX95hH/FjlI82qyc+shthQUNllM4prF45HN/qve+8vW364WnYS2Xba2c5CAqS9jcfz
4JkimX015arbeW2jf/foaH7H+ilfxqWPdoJyUJEidC5uJczv3iRcYTYNjAJlEhHtfJtlzXfxPJeP
qq/oq4HPF5yap2EPmGJ537OouGa5GNNQN9FRo65+o3yfXVFw/jPSgiZei2C592bNdzheZUaIcaFt
jdti2w6L2ESN6/5SdSw2nrfAnbDWbVbE3fgxwlRsSQ20td+5GOtnj5l2SAyuZ8elYjlI3HS8z52S
/5SEh8MW/9zPSh9NJoMGTyBEt87vCWDBVzU4dCsl128xEjL38O+EOkYNwRVwhvbBccMpTgcy26vJ
cIeDq1KQK9Lk011d2RatBn3+GTt9sY3rssi6oSzf4WfW/9BOSK45iwzklPVU1Vs4xhsgyFGCnBsG
7VUHkixzyPzQGCd/sy10kA7u+nAxHPhjiK6tLqmKEoghGgDfrPiIiIbHy4KWpJqi1YvBx9Lpu9tu
LsUG11PPJljBy3jAD7c5usVc0mYVyNWb0p+mZMilc+yChTyJoOUY4igPrsN+cA8mBIerDoPoefTb
im7Cri1Ap+NoK+I8CrdYYY3ckqoLH1rfW+gGplVoW/K9Prp1896LUhgb1gn62MwLI619mphysnDI
XUyHQm0hVR+3lepP7Wa2OjiqNVctKpWHmXOzQb++3KBt8iQSH3QWlR4MJ81g9l5n1YHIVl950eht
xDwED3mkhvcx8lBi7Yjw9tBI6cTC+3GPeIQlQ0t7mWDCxg8z6edHNLdDXex5zhu4vflOzpG3jUJP
wkxK+rtlRm+nI0yU8MXOn0FU6msB+89XoFKaG6KFynCMqLt5CJf3vDUyNRrVA3eiZltSWNpDzEiB
o8ScbpWMNiYK2rQblPgVIm95Dz14kOG4Ga/RrCUBsOB5Bt/RE9Epx7Wg9c0dvI3HrVe3HPZQpn1y
Gah6IWx74BqA7P5N0bfRWzG77TbQNb8HZF6jUdBzs6in6CKrZ+g1F6dJ0RkQbwbqDq++WVrIhSfo
7EnUbIqRY9DJaDZhiafAZwW6YbyJG0uoe816d9qOfhzh1S1s65es2VACZW7VBfmtQv0pKX23QfMX
eqJjUXfffH0SGjedvOZc+liMvbgOtB892CnnN26Xz2nvl+E7WdwpJa5DHiZP6KwRBHataBmgD3PX
eHvWhu6ezJiZtWvsrTBISMwFK39YWGzu4sbPd07kQV9J/eHVpctHB9fNqwAUwl2/9GQ/D4ufeMTO
N04Ez8yEooN0C1u+Zh/ms/8eDaPdtERXbtI6GrqmAXKEDgF0Wi0KBfJ4CVhG6vo3YZ44Nr2OPz1w
OtDhivZRsFcKwEd4bF5R83zNLVplQx8UlmCo98HSEvi3OlPwWhVT8Wnrok25bObl0DDWH8YxgAXL
SUzt6No+RbAB79I4nvLtJGhz7/lV91iPNehHntmSMmwfVTuKw2BD+jbVjPC0MSOFXL9p0V4Z09sw
QAdmQxVE5a4uPqA2JOg360LsdpUJ0XEWdRmxLtA3KqZZ0bYfk6idq55U9hUtE+K5aE0L6ntTfsD+
1NAUlYXyezx71t/3lalvCzA5d3IpBJoEdNM+LW7VXMUQ/ifChZeVPyENu5lYkO+aOZjgP7L03+k4
Q8HLB6e9hRp2OGKRxb8CXToJ/IfcDWw68XvJxJJeiDmdTB2kc4juRD5Kdz/xiWbov/WOEdVIgVci
dxI+VGQ7Q23gb4M8LHZcNJ1O+gF9v2kTljz1wZbeNTmr7vIQzjdzrzGQbu5uvI51cI513cNSzBzt
NlRh+sblXeEH0ZO1Tvc0jWJ5Aess2hFQ0K+jaJ4zP5Ih7v3DsgsigGXS+AT44bTnbxZy/IzJ2N9Z
iP0gVe/NcVha+WJNF0HAj2/f5K6XMmw6ICPGwQstqHoUSztsuCLDj0I6SC1MdVOgzaF8GCS8xbXX
jjvdOThJS0vGTFuYdgXu6GxoVPXvbKLlPfoy/F0BIGrWh75Ja8ep04KM4gbF2mE7lbq8XoQxn6pr
5W2EjX/L26j51kBncwzHyq9S1F7ojeO7zpWpaLvHtMAMiQJxJaDC3E7w1N4IBSeXQE9jArpOlCq8
pgGcLxFtgT8iLy18xnjSoUn8YQTKZkmruHM+e+Q1blSc13fBpE62tr695ZMoXhu44Lxz0lQww+zq
GyAy2C4aIppNc64O6OtGE7RVAvu3hlIByqBD6fIphjrG48+hQ9FKz3L/QaB7KoHlQvO0kAKonsKM
aFqPwRp6k9HsHlrkqOGzW9c7KkT1BoBkg405gNXzwvr7ZgwZTM8oTfMASCIV2W7XK969SDWO2zjq
6ld/qX72EsjVzIThcu23eFchUF7PCCaw5CFE4FcLnaYrH8a/PnpV+zpO3WKE8XOArdU+Uty0PsgM
wtWmaThaj73u0YbdbcPjRGKJmwbbYg1967z4eYR2mZK6d4EA1H3jQbUBE7VCvsYh0QdPOFhaWoo9
DdHynoSat2MqZs6KGzTVlDodHWrMtsf2uIeuyHjo9cXpa0fZouu8JuKJCBe8pRkITVM17lNbewCz
zhRXA4F8BFVyTgwalJyNs+TswbYu2WDbAunJnabfJOq7DeyjZnWH7nzUxCdm0bufo0gdxPozsoGy
SSHg/OOCtYW2frekPk62KiaZRvzzrpyhe3HjQMSJqj0BJpUZU4PZIpKZeXmVuotffLAcBwDt3N8K
jSFPi5ExZAz5CJiHrgn10mkK4KUcAsuXqKqNtk7ezOkYBdMN9Z1xh60QzsltZK5MC1wmHL39DsrI
eBhTt3OKj8CJ66P0fLIRRE0mZdhKkwCBmpMJRrElLmEIa81w3MHs1t6ZqI1f/HAhR6SqKXyz0Nnf
YSl8wvquTpZFmcwaBUtjgB7AvIK14s7OnCgI5nJbZh3HNSAxPkzHQQlw5vug4GY7o8/t2DcUJSXg
lzY1szXUwLw9jILVMJqmRX3HohJtkNApPPsG7uJJOWvnljpFC/6eqrDd08HxXgTYZr9HJ6i+kxjM
jTS0aIfiFvFyJVDTdolq9mZAX1k3RPJ+Dqdmlwfe+KwN0w+iwgHSzDXNPEhoQngiMNg0NXFpo2RQ
xD4DiAUzbzghNU2Cjm7DDgJWQYAveM1Lr0SVFbryvI3MF3EXMZLTTDLh3YXCZ9iKWDNRKPuE8+ZJ
i35GyVv6uwipPdJZq1uoOlBL48xuJrQRwxfdrUSq2KlbTkiV//bV0qedzoNv4yDQjDODICL9kD4N
kTff1sOpKa5YrA/z7KLLP3sSOsG+xqMqhJcn9g4UMINMo74Ztg5T+6pTPkDBYYHEIdqvduAL1EeH
SQb3w7kmW8vjGE5Pnjff9wLComLCbZZF2mZTP8LoPTaLTavJuiqVVCCYmWcun8hY8M2orLqz8xSO
yWBhqp2Izp8fQL62WyZPKS0nttUptHfwP/XIE8AU4UoCVePG7XsETa1GjK8VEiXNNHtorFf1QeOM
FWmtRuxwHL3+LPVZ3j42OTEy0RO+cYs47QogNtww4a91hWb+/Mj5iEuOGfIrRdFtlMSNQzaz64mr
Htq2jQqkvKG4mB0wvG4KIo67NRBtQQLjVrd6bvPdeEIj9CeBFYIXoq6169bpHA/Q+8ew+wUWSH2b
GMReV9Hi6K0jePugotjb9MXIrqsA5wU0D8t9WPbDvaR6ZIlGlygcTavpDgZtVqdzXy17oDcYQS0b
VvYOK9ULsR1NQ9cp0Fs8ihenGdiNTztQglTbql0V18GW8hEtZwNCkERCqZFqL6h2uSzJwYftLgwr
Y/1ICqf9ZhFk79uTRsww04gEEVgDQFzeoBVtQRN2Vre2TIOOTB/oYgzfVadqwGECEEwKyPRBv8DC
3bbUJdBlNuHPepKwcaiauk/LBo7giO3K64jrYuMI0C8gT0L7TcrtgD/UffFCmBXX6H8sfsFjngBs
l6tdY4ULiy2g6Wq0PWaBxUtC6rO8n6vBVpupK4It9xxYqLOW79AmF1zHi2iwbhrw+tB5hYtn4x4K
EiieetS0L2Vfqx8znFM+RMSD7/j+kBU2Uee9zjnYtbDjdGC67ok3XRfEJB4SBlvVqjHziIz3fh0M
76xDpw1I1vZZkzmLrV2mZNT9MIa41gH+cNWXQj62FHFS1ouKS2SRiInRCJl3WcmqZQucnM0RE7un
L9XaNsMVD12bZdyJPcdJcCejPnogWsVHyDGmaFtERXutw6nfDEseApQCozWUX52Kf8DxKap3yrS4
xfCpw62LAmfWwYyMc6AkCKsi3OBjk8YhJwhcR/HagKTwHZiLymy8pQ7CO94JoZ88DlXSR4lKVrmp
cGnmKRHKvv4fZ+fRJKfSbdFfRATeTCko39Ve6taEkGu8J4Hk179Vd6SvnqorQlPFvRSNSfKcs/fa
SAX0A5wafessXosbg3W+6mIC8WJzpnPybNduhG0Ghzv2oyYNaq/SdpGugZ0ouAgg2Nup+cG0oPL1
SgxvlpOZwZQLc8dOrG9WxlS1L9mYYaK0FNmCfGHm8rq0mpUEsbAM+iG1p+2tyYAbkyyLve3HkhUh
phxdD170U1/y6oG9SufH5AvqwRmh76zatJjNII62gvoAwKKjT81qMV34NI3Rwlvx6jSBQtLgwFTo
av2OpmZaT6LGj00rpNp4GWiXYSJ/0zUGULpRmfC36d7OUJbpR+y6GDpll69GLuKT7kn1pS3sKBgG
02ARAld7QG5t+KKs1d5v7ajfjcNQnWRuZ7BhqnyNUEt5AzYw7z32aPtC9eKjM4Hq8Cu1VtcgObJA
lEO6nVyl3Ditld/Vo0azhVY66JvcNDemgcFTest+Ybft0wNiUBjXy6mgNgqMiQ2gX8SqtjUVWfI0
UhdhmhYVFmuvtEM7LrqNouCWTwY7XUd2Ot/NQkKXKStnpS1jHXpEy9w1RRVTCjjepje70UfYPb23
oCTZy8l8rZda8xBNzsD9XbIyZM1+rmNKJd3Lp2cnx8pnmMLcmpGQqygfXLLJa/e+8yJ9J3TIETCi
zAhV6jCHDcjgvcsrPLBbHrzv0uI19dtGuMdGibxt1QlBdhoiqHYY05d0rpbvbB+Lt0wZR8jTfMID
sZCx5ltjMZ+0QqkWduC0MVJh2/dlLrKjIvruWDM45AtN/2i9UJg+iqoXv71J0VzfcVTnZ1pBw/JH
KutAqT11WNmRxarcUiL1jquFLMTvXlLcRRomBavCRa8UJX0ueEhQS9MyjNSCgDobJQOzHbKGwNka
wRh749rKXJs+o5GSW0x6EtUjxvtkruM3FQbeI29TfPYkpEcnN+OgXiyTvaYUoX4uy3z0ZcXsI1yI
AopNfd/DhEiYi2H2XBm5Hr+zh1JDZHN4deTc7r0MPG+nVPO2rbrmZLvm9OgQybUh7FU/dE7SHHMj
L394MZUTMAx3A1gEM9eUzdGGVqKzm+dK9w21mN41aciNY0cTLCqjzk6YNdRDpmn9k5301muS51pQ
xKWRrESumns2guquUUbO3xnbzVjSae0UaR9prQOoLjAwuFRAfPBVsY1aDOZ+liUooWOme3wpmoJd
gWL/8uaML2dUlXzY9LrTX9Sh1dztVEbutmxmN+xAIHlhNDTL7Hexm9EDcfLaPVd1w7iiQvbCRMzz
kdd12IDEh8MIg96X1rR89J2ZbBY4rCc3Nrljjq6Pxw6PyFMl3A5y48zwPVci9qSRMs2HghqpWvUt
xSCdP/O3VqG6pZkG1CmyDOte0RlaKlPvEMxkOYgCSFKKvxnFmD6PjTZYAOObUQ8sLe5I+bQn8eG4
RfZCX8y5m+PenABHpNV9PjikzYJSva/g4gbcJuth1CAKEI7UfMTCy5/cNhmCQVDdMB81m9AdXYIw
zaINVRJWSN311KOhN+52rvV2XRelvm7SmlII9xO9UBATX6M+7bbscuqHiIU0dBGMbEXfxL+KjNj5
uh/d0xLN8yayjXZnVG31oosz4KFn5vIGqKsBggflC8KIsR3svNs0Y6oehavOWxNRh/QTj2mzy+f4
QzF1AAuF7OwmQMKtP0SzW25VkbJjkxUVPDCEROEUSr3140zRwIkiJe4NrdiYXNS7GemI8JMqyQq/
btz41CleEkRO2q/ZEervbdVEYxD3nkEN16IzyJrlaTFK4ifJjGScq/DEb8DMpdEGs3/+02UPtXeL
0jF9NXblsVloiq2gpNnryUI3m83l8r2eu1xDxmZ3m3G09C/RNDfhInQxBY3o3ZXNW/80zoR0QxhQ
v6sVgLPz6awUsBTHqDVV3yNZZ0s4XH4XgYUOFC3zfuWD8qGqHZQt4qtfm8Eq1uAWmjeMaPp711rN
vdHM8pswMjqzLtiQfkya15pNRlgR3x6oSR3wEQtUIkKnrSsnZTOblm1ux6nWv9itPS8+KPZGPpL1
Tj92wCXha/ZMU95iIvDqnPdmsRIXezYJbggXswgmBRTXYAllpQEA45FOwU1Qay8vghQiP1cs9Yc6
Lt5OX7TisRJdd6R1UZ1n5e6aUszbioj9WZPSUM/5jm3qUpzDXcpyn1DlTSv0N+bGSsp6My7aj8WJ
nKcazxFfP/6aPKZbN/dl/ssa6+Q40E8jOETrX9QO3qKIS5vPXiQAFoJr7RkE+t4ysBOom2CyKYOW
yh1XiU3LVSNl6J2RbXanGCzXxhzPYPGkc9CxxoXtkKffq0Kjt8BM4w7XLOt8jqSKO5jiwJCMVAB/
1GYVjphagN4VxhMLQ7ReLKVm72pUd66M8OrH7AOfdSVGpMbGaVPn1bIrJhhdlGJUHnPWs8WmD27g
BN+kMFaeYwQAAbsOPqtCpmESKaAWB8XxVgxA2pMlkvIb2WeZrycWL7AHQks3FzZE8ZSHxpxqK705
t+/b+aunOeeoCzXnyLL8OtdJfy/LRnvRFuvr2ClRGHVx/BW8+cesKtLP2rG0gtTVIAbmphUwhP8w
ZDX9gtFBQ26eLDrNngjzKU9kaMJw43rQmFP9xVTp9HpOv3YLz31b6nJ5aWRSxiuIfjmFnJF5fmZ7
c5gYOD9MuIlhmbBcOg5taAAby27MlfkYI3l8MmPJ6z8M+VM+Ju1aj1R3J9ilwAniuqqDG92nXVe/
R/O0bGLc6xuA/+3KFGkRjCQX+e3YLH7JrqTCsCmstaM59jqRtP7YcOanmW2gBzsuRjQYOUpodoYH
rU3XV3jQvK3RChVede+Gji0QYpQmjrdOGm9WOs1hsdTeMTeXMrSXSDx2U4fXDkQcTRYFaFI7eCdU
EX2II7UL8qGqA7arYhMNZEL7Y+wMfhS5yxf2hNbJznLtg1BNj26rPUMGtOTgK7FXrVTc7RiZph9J
TP3m10NhvWqJ+kyScNGHXZWLD08xxEoHHrJOHa05DTod+8zOmq+mTJy9XIQMLVhVAZEh58eL6mRO
G+IHytwF9aBOvqbwjTKrNP1WwNUNCEIz1znATWAg3SB2nozqDTxwI1ToJ72nqaluYyUZ10ylKZTi
rkmOEabV40Af1E/Aw64dd3hnDaJRENVeUJbN8FLknrUeaVZsY9O2HnHoGPwhDnOXXDG0DjIeHdLN
zBTgvGw3ADuiTNV/IsjT3pQ+0u4jKqlNjbnLj8RIdsvCoCYtyWoFXtL5TI+6gBx5K5glk84smd4K
u1kCdjocdazzdaXk6r7Pp2an646zKultbzIwN4E3psNqVuoyiEpXbBONp36uaBH4kn34k6s0+UYV
SXSYp3oKZm+p9nVOKWllk7eLzIWd9JDlL1COfjCCqcKpLNLQG8yYNjwdU2VK1c28jNzWOcvBMLKz
OvGEAvJjI7KTBaHadH7kPhIJLDZmdIEcqE/LKBM8xeb40MXVuGF/4Tq822YbtHFUEIlmRxLCaJds
oy4d9mfE5FjdV6jLHazc7vAD8zVLRTVJzRdW5ezxYfebOR7Ts92/tx4QEmNiTvvaQqM59b8aGv33
lpF143NCgzX2Uxe0zixHXkwVutrazLXqu2ZKE6DDoN3rxZDuewfp0moSOZOqNBucmK62QgoScx0X
gKEEcujP2sjsrBF0M5O4KldWqZUg7dmfhHljaW+uNy53XrmYA/C51l5X06IHDoDZoExYEUl1aOy1
UjX9d71VijVS+iyAX1YEDdvDr1O/WAidWi/7TvZjPQLDbUojBCg6/MTQUi/449Tx4GV6urcN2/4G
AK3ax041/xwYcUFZiSv7zuli7cFL2FTSqdTu9L42eZ6TzKfQv0sJ2rrzAOHfjT3/t+8yOLMgk5bw
mUwG3gCR3HhTDVpRhkZc9VujJ4fbZ0aV7Tolz8K0z5Pd3DTLtz6RYl4B6wRKAG7p+1g401eouvNp
amNzrRQ24EmKD9+E3HjXFmN3Kg0IaXaqm89aYSpqUIlJnEGgc8DrPmzaqveORVbKx3kZvNCKpdxo
dUKiS9KWNCz7JF8v/UB9zupEi7bR2f8X5YkOXhIChQXd5KhGvErEMH4XioNrVddzlcbYzHvhmVX0
zewbI8zGNN4Q45quiRceHkuNVLiafsnKETLe00CvHtU51sjnbPV1DAX12Ynj+cVJK2ujAse/a366
miJe0OATGpf0eodLoTGa+iT6WQg/4/FbmROtVn+iF/lmyYhHRzj50dFzh9OV0RpwpDzmWU71porO
Oqn22Pxg7K3PlBi6/c5GZzB9WFvGGAy6MyRgZ3NaHb3SFUda4lZ2VIekRm+0CAbI5jQ+As2mZ2Bb
hh1OuZYXYRqNYmsPRhG6hoCH5Zpz/Ba1lrKOGit31+NUKsdZ573xtUqrviVQYT6qQk0XpGRW9JXa
Jw9QBWk7y2kTLD1dGUpkAdRDiykZOpvDvGpc9zyZF0lomRREbEPn+8jj7H0zJqTcktly58ID+ZUm
irKq81EJRw3j3qpSs/k+l/rypKlz8s11q2WzAHHUYUzNxUpKRpisEqk4tRjwDtJI3t2lyjezZxW/
hejzPS0m8aoLw1oNhkLbZqiJQhus6a1JK54PAAcfE+/da8OM34Btmg9bL2GHAC3Pufem1LgrTXDZ
89D3H+qs5pjdimatpJwfUpRc8enTn91vUwFPtG8nx6BOl4VGlVoup65IKPhSvoKBSNHrbArFSHrf
yR02ZZGqqqFlAWxkDl82L55gO+0LR2dMknptZYVWog7rpGeA4i3OEA5UfXshMYD5eaZ4v5zELp+L
AauHP/RD+7TU1dhTgsvGXVWmAIiXJHI7aOD1agKQHsqcsINVSQvgp0P2nLYfJIywVrZ9KKkgGPQq
o1EBLyXOjQaW4yH70PhENlnJwAuFjreikxU/LiaVbzoa8jgwinjPXdd6cVqzuGPTNDyR8VtsW5mX
wVAxpnDh0NHc6fTN4FJPT9yfh6rSypDvOrhay4gfWxlND8403dlN/TvpK+3UWhZgunxkEk5O4aaj
UvFVaZbhXPOU+tk5v9oyUu1jYsi/a6MEHjQfxsDKh3JDO7hex/HkHWS6UGS7thUCN1B927B6+jp2
/cHblj1opTet28iaHvRpSXe0dJwHYkOsVSeyJGjbmt6B3g30yMUchUyM5FaCPfEnitIvpmsX95bq
mifPGLQjY55kZXODQkNw2dpxmYJOIoPojao/dr1uPhpGbH5QW9fbpuyGHlXKpG5MEdGbMvRIf5w0
PVufZ9Ajuo4cD6xODcJE1KFvCwp6pc1pEaoKz2Y20IGq7by502ra4SKhpxPgC4y2PNPZobY7QIKG
BUWrIB0sxjLQsaWvnC7Swzjx+xNdj6SrpOUL6uK9w0CP+RJf3bGlZ24mxnxi/CH8KR6ydzJV5mkF
G6H8UeXVhyyiZpOniR3WGU/Q58q5K7rCSz597uRt4bilRhwT0pmyUq01IoNjppDLMU7RvwlVLzn1
ZhmBNkS5cbBpGwLL4n31aNoX+cvnf8UV/d9/Qrc/1JFdr1Fveq08pI2HMV4p3RoFle5+JOAKw89/
44qA8ZJVLxfUX/Woj4cxpxp6ZMX9/LhXHMz2ZRI9JUWuubOr7Nts2GdDThmaJcRr6kCymyBL2/2c
GTSAxo2BWExL7F2Hpk5pbmgnr/1d53//49p5cb+wuFkIoMvXznluEHN//odduykX6ucydqna8Occ
zIKJSesL5ZeNzv/zg197bi8kmfTI8oGFFEOxxLGmdSvFynlvn2Gufv4D187+QpHZKHwYpjiND6PM
KSm36QgQEpXY50e/dvoXCkwoSLY6MDw+LEz6zFiPAqrStWUzG1dVcqX+6Vcus4ikpy2NGifxAa0j
e52TajTbqLf81FpuLB9XHp7LPKLY60zBTZ0OOaDt2PxVxV3w+blfO/KF4Jm+awJScvD2alZuaiMP
1bl7/fzQf3eq2db5pvzxxNf6gAwqts7VUHtCffi7j03o5nNJKax33kq641dliW+9B1futXV+wv74
Oa3pmeNFy3CwtXcrftA1d9VnT3Wn3LjL167U+d//OP5AVeIpwEcPTDiGu7itvYPWuumPzy/WtaNf
vMWim2qEgC1umjHb58K9L2ho/duhL97hGSlayjTL21uLG/lZEyqVk9849pXX17p4fSUlLiF36OXB
nzIzMqZtz7QnVPPy4fOTv/YDF29wMYw09ZiJH0TVnIyUQgFj6G/I1u+fH/+K0+gSWU24rzVH/Vyi
OZdJMEW1cR+r5y0F9G5j4xSNeBTMER5hkbl3Sz1Vw78tTZcUa5uIk3GxMZW4UuAU1ZXTxMZjlU/n
OtjsbnKjzhfqLyL0S8BpH7MTMz380ghcNwliFL1o7xHUsaecf8zQZzTTeo5qsW21JQ0+v6j/OTL+
9qMXr35saJWuGCCnPWc2TooGSFei61sCWv+0Zdy4CROUL+tCEZY/wsAOLN1J1gSvwPzSTWXVK8CC
s24G/2tF2XpsyCRAzGhtmHSbI/X3jKQgoYPkK47RfNC8JxYhK7psmwxQ1hAQyeVOH5rsq1HUwxYu
cndKF3e+05Y5f+jTyNiYg9Yfe3eYn9M+parohsKkcVKJcEh5iENOt3xJhdAJeJ9cl85BU7ExqBlM
H1Unk49mV3gry5vjdTTb9saLXCfzGc+hPXK7NP0SGe0r8mtw1Llm/Czprm2ZdxabpuvETpjOWWns
kj+JSeMwRvYSQPGTK5ln+kl6oggzhQxaCPJGmC/EsfT2wnjdUyymqtMw38kIvXXSn3eRRWE/ZLY5
ruvWolSa3cGhdpN5vclnJ1s7ljSOCE7VWx+NKy/lJTpzpFenM4oh5xmBCu1BLRI7e7hBobiyEl6m
YpfGiEQAg/HeYZOOnzNObtmYr7zrl7BMS1rKkmWmu9ea7qGJehFYkfKyjHG/UtnJtkMdDma20xBz
f/4eXPtTLlZe6JGp2htszRygCOu5xHOO40O/sSm4chfM87//8UFyEyNjJKR4e4MBtUtml209sQrf
WJ+unPsl55cQmtFtp4X1iWbzziuRbrWjaW8/vzLXzv3ic9cJWbidxTfJHcnyYNRb0xb36DP+2+Ev
LryiNI2j1mSwoPt9WJYZObNKAq9uP/7b8S8+eyM4T4b+nL4mq1UVRUFRn9LsViDetYtz8c1Te/ry
meANiBiEa9s+dRhO3WKFav897n9ZnC8xvlG+qFmh19F+aQgBoHUr7qdRrj3m+QenKsfV0pk2mh/F
CAbP/JmWTfljKvnvFVFQtE/SeDW7xAjm5Nzb8/BZhuj94nUFTRetQpO+EjNVbFSl6I4M0VB9VrG0
Hz0DUS10MOeeaWC/MZNB20TaQF61mshdTJxe4hNIigqNb+CLGkfumkJsfuzU4XuiEUqDfGmcHiA0
F2uyFYt3zwY/Tm84ovtem8+zx/pWu56xZrBFPY/M/t5hoYpX/TAXB9NNXcRzqsMnVhD9YIykopj5
shHKIA7RoqG6h/AeDpmm7O0RYQJtU4928Gx+p4U3frfKotpX+lx/2OlQI4QY7Lck1ezXXhmm+1kd
lpNdxst5AGABXx2KZe3pWvGqdc1wmqRCr8IpBSYhbf4qCsd4Gz2tPimgWtsAvWx2lB4kPUKhTNox
qfY9qor+3TXNpQqiTtXOjMxqA4LLenIYee6REXdP+jLCwV9s1PiSlJStmOp0a/fj/KW1FfdIdqbG
pCxHVqpraFt4wVJaeCYq8cYC4JvJAnuLRMjXqLOfos96wd5mHwbRasjXGQbCQ50JRkh1rBf2TItF
RNUvrALKs5FpzaHXU/ObYg3tDy2J5jXIpvGYRjn6ZuzURxO25CrC9rTDskKbT0PC1CXaaxopFqoF
10yOhSNYfBNgvoZo8xelsbPVUPSGemMhuFb1GxdvKm6rstN6jc2vNVuHWIrhFYVa8rJAsEKb1lXm
VmWMfU/2ERz7qh0CbEe04rCY3OWROYf0b5cbX7Yr7/Ul3DoaBxM02+Tte+U4SnFSPeVYa+ONTdeV
+ueSyD+Okt2kp3p7W3zHkrCSMRpg+1RON1eO8+r5t4XjYldX2OjVafTAsp7mPVkQRPGUDLI64wOb
0kiuzUxml0EMnNEPz6rufZ29jAgy5xa45T9U1P8/Ae0SR7s4kgFm1c+HuMqwKlRzd2qXUf5w9ZhU
iWT5peadGegxhTI0/jgk4QotmL1g4NJzIY+xiJBDZi2fyphoks+/BX//UGqXQeVlZbfGYrgzntIp
NPRlX/Zd+Pmh//7AaPrFhyBii44UkA2LtXy143E/DW+EAP4TY4TO3f9uH4SN+nnWmwzcKCNUurTr
AZFJZOvG+vOz//sDyfryvz/QxEZvosEigr5D8Tb/tomhnpyfLVDvz3/gyuW5RKKhVRFE+WXGQdHt
B9kVBxssrK8r+Y3L//cGhqZdPO99YU0dO3l5AE7dPda6EWMQMFGra9iQwsYomE0wmoHiNBm3OlZ/
dyhrl5Q0AuZiBkhjelBjFD/ekgddKTZ9P7w5dRzR4G9+fn7xrv3Q+XH+Y/dYmDVl15wsB8W7I6Bo
hWPJV0joAyOOfTW5sShdu4QX+7zJaRetHLzsQEw3IWqMCqOvPQJxxspFrx0RdUzHSDWMdyZz5j9t
zhgh/u9fFjuqmnVRJA9gSfcFCaNJ/xzP/cvn1+3aQ3fxQUEVbIy51y8Hkoq3SL92RoQ8nFi6fzv8
xSuvZEzQx57YxyougrxBhjwEWvP0+cGvLFWX7LQxL7xxzmyH/B/xiKX1ZLfp7vND/8dF/svafAlO
w1GN/wLtIld9vo/z5IRklIaNstGkRWKo9zzUHZ2All1Xq5gbAkBvXLEry8wlVI1dZ6f3Tr4Q70y2
pYIxfbcIB60pmY/4LgmpubHc/PcA/e1PvFgPmAkuWiYl9eNYGptoUfpdNyrVLinKL1Gel6c+aiZ/
klLfItmu/NpwldOALo+ifpK3apurV/r8ZP7x5uruAGW8c+VhVuWxbiExVA3vV7TOSzV6AwtmUpIA
gRtId1tHehbtBmvubzT8rrzQ6sWyIYkr1IyRRb3B4JrNX2BOY42b9mP/Q2T3Q3qLI3jlNVMvFg4s
KcMoqmI5YP2sEAYPy6qbIw1rfvlvy4R6sUygZx3NpYeUYc7fRvVXRePEUeSNy3Tt9C9WCdGh1+qT
xsVd/+rYuD80Ut+iYvv5y3btPb5YJFQtIzw0Fu5+jOSDMXg7qxI3Tvzv9xdVx/8+XOCH6A4LZzos
cOxSfxgSSTu60VZeLqsfbhep3/SKUCZbX9pbG8u/f4rUS0ybWXpqu8SQpBYj83v1Wya/eP2H0v10
0t+fX7C/3w71ktbmjHqFdAiVmUAudaoUHGQKPXCTMmz9+S/8/Zaol8Q218JNYuMGOqid8YWNOCaS
8dvnh/4vz+H/rzsUbf97T1SWHb1seVJVmBUB5sYZwVfbrXRz/J07SLRAoqtEOKsUkqpdbMTcaY8u
hfneQu9wh3fw64wMcdcjenkXjNp9gq0xkpLxGmK8G792U+qFzPnU7QTCx/dKB7XT5yd/7cpfrBc6
UbTpMvKoltbyDLbwYGYekrzY+sfjX6wThgPwsJnG5dCJmGThpA9V1VurxIPfeCH+G1f97epfrBN9
Ixyol6U81LJRvpVD8kua2fiEyNEBz9WKj1rKcmPn7p1uujIgWTE7zm47YjxRvfeqdRXUyQ5BwF2R
P0T4/r7hv0W9a0Tj3WRH3fcaVwYYAIk1XyM4vesMA6tU8ROtZRYuRVWshlxgk5FS+6KLIl+R9Cg/
BPuOTY7U7hEaQBN2aHR29sh0tsVWSajc0G0rnSAlGP0/4haJiVVF9TbyMvoxaACHAzrApANEwKF1
3UAx7rn1g23W5AdNj9ZUqw9lBwRGGkX2vR4bIu8T6TZ3FvicVaMLb/7HO3ixVHqE4tWu3daHSX2f
VeRBNaEW88fnj9+11/JipRxz2UalUncHoxEtSZYd0jaILf/G8VYvGXiTRzo9nEZ7P3Ez7Xn+6SnK
v535JQLPcXPUQUmsE2XdDutowdlmd2lzQw3xH8f8L0/1Je/OjghvUOl6H7AmBHRJ/KTVgqF5zicV
JoLr40raTeay9zSWi7wYt5l46qUMMxxVdTdupMSkibsksdpQeuYpVvJNvtAH40PXMoCxbuk2rtzB
S25eajW0pORETl5l1b60l3M85T9tAejz/O/C2sLimBGEycNU9f5AZNIgXq32VnjOlaXPvVj6BiCG
GQmmzp6tUnonTCKGsZLn+6grx1vQvmu/cbH8JUinAQp0zj7Pt9PyiNu1NH58/upc+Sq7F+seyexW
lp0P3fbEOkyYPzLYCz0ojW+Vd4tEeu38L17+CQz7qM+qvdey6uQMxZdu1DZT4Ww+/xuuPTwXr7+j
O1A0zIpSsKYh1nR4TInH+6djX5LvRlqHNfs8edCARSXq96a48W5eufCXmLvCVMGgNVIcalMNirTc
Crv2Ve9J7TNGhPE/NSNV5/zrf1QRDnN7MQEiOJyV3q72dcw+Oif8/NJo/y0jf1leLgl3LLrSIqx4
POgKts9Gtbst7soJAz2WJSWwMiQndL2XeVxpQtMDIy2GbTGCPfJMAgaNdAfHWt+0cVPvugG/mIdN
3l4J49xOQsyr+lOkxHQR8A1hAjeaYfZtwFiwniozxUk4edlmwv72Hqnd25Sg68PjIcNYrbu1Ci8o
8FxlWvP5dO9tu9XorDCQoLPTFc2bZ0XlyjH1glTIKNHnIznK4AcQpjUhxBDrOcfyEOg4jH3kpcWx
t7L0UKROtjXQ5Ydta04feexk38cEeqdjdVmIHyDju53rTGS7+RnXvgWzg4ihF68FHPUotRjNgVOX
qI6JeSoPo5Lbu1pNrA1UvPh5gsW0yyYtgn00OiA8kjmI8rLaFQJgSZMSh6N2OmLtcRBbjcRt30hz
/IBIGEu/MHuxGUphbmrsRhXsfXS9lCOEPQMHiXrsViW258nCH1YbSn2IDb1/wS2JkxMtFkOWKLO3
iiWdr4rnuWE0DRK0ki5Dr8Ij6FT28AzFuVybseOGrTFie0Oyn0FvmhvzIRs0G/pLZt2ZY+qsVM57
m7uj8RrpC6ZsR/ZIThWtmH8U5bxAjF9Axqhldpfgcwy7qS/vtSqr1kOFWV1YTb8tR8JmSeuL4GT2
OmGRSzfDNmvQcZuuboRxK7ITBrP8DupZ/RtiGmORultygGJJJdvQcex6W8yOt9fBCzy0bgu/qvB6
uthm0seh5kgjDkuJ3t5Vo36lUM5/badO4TxNAkirHo/2naJ7qMyLuswSrCWYr5MxU9aVVBJSrq3/
SgB01QLbKClM00Zr2jHUbKt5Lird+mk1Ug2LKJqgeNtufTZXeOlrl+DO8dvJNR4br6cepcOARa1Y
lul58WSPy0DicAD0JXhKg8Z5Vky+tYanmD/HVrRPxaCla7Womy9ZlL4wwpAbnUBNa2cnI0YXN2Gi
vizDqo/Lfkty6NdFtxcbFFyPyVtRpxLvIqK5VdtFhnWMVQg8uTCmNDDzWPwbmFh1Lr4tJj00CfPF
3WeGIlb14m4KQ3+1VIJjPl+BrnxXnIvvCtQkJpLw9g46zGkxUxrEXRdGOsLyz3/g3PP52wJ38WXB
B6MLM1WsfYOuBnQbwdiwyYBlOA6OzCiJbvTVrnzBLoXD5SztNl6mDI6hiH9gZVOAApNOfqO6uXb4
cxvgj69AipEDW4gGWtHMdbJismoHslsP/ukiXeqFFcuVEs25tYfjAaJjFbMF0rXTPKo3Tv/Kbb4U
CyfSqCySqM09CAidRl/r3WW3yu5rxz7/+x+XhuF4MeluDjQXpfiDRAT7e1YiNRi9xLqxx7/SbHEu
fkKP55k8SuQ/vQQzlc3uG+5r1jQt2eaaco+Ae1PY/T9uK86PwB9/j5fhNhpM1PCp9YZFYNUxqDNT
9nQtdo2qDz+/5VceqEtELNZPK1lkS9+ugktRnwnAQz0P3z8/+pULZl/8DRBNaT7hQj7o1jIdhJbg
PU0QzFXo0kOTl+OcgSl9xyu7G/rkK++5fbHBNpzacazSppvaimOlYWP0tP7n5Pa7vrBvXLNrv3Gx
GmKJGiIFyMMhgW78xdIn+dw3tYLfKLP+j7Nra44T57a/iCoQQohXaPcN23Ecx0nmhZok84HETSDu
v/6sznnxaJqmqt+mPCmpkbS3pK11eXCzzNo48l331CM2M7Mic1Gq1p6IPZ+DOgoa50Pr+27UCgfi
arIYxddA+kFcJ2AhAfGRPgxtO77enruVlcGMjFk5EKobOYCIBJpBarwQQgO8N91u/FKevJKOTQg2
SQtatlOB/TzhdZi0S7cb7fa3HSTRwNElTptyJE9g//9zu8NLiF7r0EicdQYkxOQCvun6XB0dNh6t
AOdRO3OajVVxvQfPBGBlWXHR3vJhrgZl3qoBiSWFGOzL7Z9/fTI802bdckD+g95YGw8kf5REYmt0
ft3XtLmaA4cpqID558BFZcl/n6uNUFz7zcbqFYublhK3Oahms5BPz0369fYvvh5/HjVW5jQOdq5k
Afvkgb2XLVBMeFoOIRwyhPbYblkMrvx8E3blgdsMlb0ePn1JETEBrsno+lt1gLXGjeVIgwledeBr
xxq3BejDgH0uq42FeD22PBNYUnsuL3orXeIGzLEF7Ha86h9AYXqsevcZxYFdT/RepWzjzr6y7t3L
LH3YpwaVU2k1comVeuJ48Und/+WbENC1xi9//9B4kPjcskF5jnEkDgvLj3y3Dq1xC260Ng2Xv39o
3lJeO9o1L2PPxZBUBXzOpBg2ctzKMjXhq3ROwD7Urnd2UgjWghvq/M/T7w4IsneFgWsErgQjhpR2
W8czf64BIAYoPuevdn9fyjGRWPNMGVjyuo4BPhfgOvq/ocuycQ5cGxojgkvPcxebyjp2JcRtpKf7
h4zgQY/3gu8Fqta3R2jl6dUzbUJLISZZ2SCI66ppYuiQDWMoRvCoqeDVYYQoBM7Q8xhbNSF7Rh2o
uDowjMXDoi13t3/DyhIjRqT3PdQuO4TkubPKV0nmfVt3b/c1bZSEimwgbc46GYOKXOFRaYygnllt
rK7rRzfPNBClsD6BEyVu3DNUoWvo7dZ0eRHTDzZ/gfw2EPvN1jpeiXFixHghOqiXAzh5hlzZFHVB
ZUc2ZDJDvIlsvVmsrDfTHbRYxsK2Z0LPAaCewoYcK4copn5zq9fbU7H2DcaxUzAFlnCNLamgDEWu
b0srds64BYRfmwsj0qG4BVFO2tVxKQmIxLOj91nl82NR0ObC0QfyF4o54lTowv993wcZm/fYgwsN
WVR2VvRhBJBpuXB3p3EjKNY+yIh/r82TeUoYPVtF9TTbFIa06fs85fvARu3NytKw172z0dnK3JjA
OdGkFuDkzIO+D6geYkyfpS8eHZluPjlePVuiTvrvXQTK3H0R+PiaC1sEp7RHW7dn5d6ZQUzY3NSN
kAAjl4ttjQJUwAFTzo93zbKJmIO+8eiMvGqgz+eGADVH/fwluLOo45nYON5UQvZ8QdQBck4GqOJU
EBPON+7HKzHt0H+Put8tnSoL1BKai+PSax/8Q/qzllsVqbXmjYieOaiWXoAfT+Sp1PQza0a8ZqHE
W77dN/ZGUE9O14Iq509xa/cHxtj7LHGugfrkXZUo78+e+OFsU0PQhwKN6mBzg+YchCpVeNFivu/H
GwFc1xKAPRuuTX5WfCoB2L2UQCHru3lC+DON/72weSb2bba41kGRVcDtASzsj8v07HKgimrUjmGk
4Aah5iyImQ9Z02Yh6Vcw6cHChDLCo++X5SfWaQh3OkXeb2yI1xcErA7+vd5m3GImKJZQ4ApqD8DO
7NekbCi3+892DrGe2+O61omxqNuyKCFFob24KfHEkUL951WUHPCC77fbX8mFJuoPknllKrABxrY1
gJD3e8wh+2DfeawzoX0+1GhtXGhg+CQgmgCFFT51kZoo+MNb+JHLQFxbFpeB+7CqOS0JS9OAxp23
RAJObGprm7g+9Khd/7tlb2FZ3jb48YztSvqjyX+24886ue/Ea+LwproeytyuIbDOftL2a010uDSv
ubfBLVsbFiNb4X2Dp02SsPgidhfCF/Ki9Zhu7BJrI2NkKq8CnDkjl5EZy7BPHi3p7nr+d+MNG6lq
bVUahw0EMzjPrsQxAPaxOXUjEG1g57gRU9ffZz3bzFVEg2TUzGBu1vpTQyFuXEBDCsLgwB0xF4yX
vtvYki4b/n8XJzXBeHYLR9+WtF4cOFOo4aLstm9AEIQDKSMq/oZ27MYnXR8wuND8e602rWjsEQkp
9mp+hFEF3ycdxN56iOHdzhPX1xM1AXg8L+TUZPgSSGRCfudLJjYS0PXJoCbuTs1FmvmMsHjAC9Yp
qJtyh2e7GbippggDDxrOsG27jxBAAyMq4D61JJ0HNBFflgCCyfn4Q1ZjAgIj4F6FLwkUMyHHccyW
LHi5PXAr32fSt23HH525gHCMLo5OXx0qCi3C9mdZ9l/yLcvxlcmhRg5MvUWAh+c0cdsJyJE1yVO7
VMFGolpbWkaw96RnQBpNfqysLtQ1AwQNMpHe1ll5paZNAyPWee62+Wj5NIaqWNjBlrq1DwqYyBFm
IwseBFL6KYA2OKk3GfUrwxUY8S8hkJwALABFUTh7Bf5PsfyEpm84NU+2fHf1L5u/VOKbDS8rnL+0
99rhsnt7Mfw5R19JCCberKimnMBaDOhr0kVZW74zBzpcqhQhoExH2BTA5Kw7TW126Kvun4lDoykb
2JudpSfheHuItj44jV/elzVMiBrteqtOaAM3PUGhQ06rz9CBPflVvZH+VgbaxKgNsGWZ+rzy4gyu
AknnHtO5+Xp7JNeaNpY8EMedlyU+i20FLPAE6Lfaoglc392oCSobFTzimhJPzwUemyWHvHz76AHw
tYAWefvH/ymFXlsGl6/6cGjpROkqD6kultSdIHSl8wPkSTR4SkmAylqeXLBO1rHF+wGwBK1THy3Q
4T4x2AEfnZFNsCHBo1lOSZtFhdTz0e3w7DjoefxfsHhit/iBeCgoZEkr7tjvS1Z2P5ljQTprrLv0
O5wJ8AI3ieyHmxLvs3D6cgq7hoyPXp+wfQrB+ufUgf6q18KpTJVMvgFAMk/Q04P+/sYgrM2gEfcg
pC/1LOcO/KXmLVsEbCfoP7fHd4XoQbkR4R0FK7XvoY1R1M3wO6motU8TUR8n29e/UmwBz9NceFU0
izp7GbUDOC/qTcnLMvfjYdR9trWWVpInNzYcZ6Dwg/JrrH4NGxvu5u9lx75AmWSrYL3WgZGdC9ha
06rlXixhbZdCbaECvrOzXm8P5MrmZULkOk9DAJzM0BipLPcJ6CxKAO+dg5d68GC1BgENeAr10Hy/
rzvjFGNBlVA6ADXFSQGrP9RHT7qSSMxseql49kzHZuN0fP1FhJrYuXTuIIOmFYmBjLlYUbQ95JuL
nMD5B6yPCGKs0OambRf59QChEhi4Z1tbwEp2MfVqklYyeAIkdgyc0hC1ihxhUiIADq9/waht46F4
rRNjIAtZN9aYt06cJ9/6HGi64jNMI0NNft2eqJVVZ6IDlxyuS4Vvo07u03dhEbhYAC1gKygXb+pX
rPVx+fuHHGnBAKjQYNPFcza/i3QczgsEjOGYvSk4tZKBfCMLN9huG1iDAaHtes+Fp35307CFi12Z
ARNGkXgBhDpFOcZQU/xVtnUWQvnSieqZfB9t9fn2NKx9gBH8MEDDW5ufQUuXpJ8EzCyB1dkIxbUI
MbKz0y/WmLgAx/ZVuu8FjCuY/5jN8B0TqKIA8ubg/dNlW8O1NtlGwoZgYPL/TOC2qh/dan7pKvoT
qspbJ52V6TBRWJkq7KpLlRsn6RzAzs/u4fBU1sEDv+yzBQQzut3tObmE2JWt3RR1qQrgKNt2YXEF
04/jQJKnLs2e4eDzILyUhThb/MXGLU3Clc8yn1p92HoRu7Wr2IdJsH7j1IL8Jhyvp2Lja9Y6MIJw
nIBj8Tzc9JVSIdHloRq+BsOp9JuNm/5KB6biZckA+oUwRxMvy3NVP9G5fs16dnTgrHZ7PlZixISw
2cxWyi5EE7PkG/Nfapj73m54ZaJN6NoMIDKvaU3iuR73xWz99CxrCYGQeQTb55e7qL+Ylf+83dfa
RxjTgOcqqlmf0biH0S30ykEmmvTxdtt/Hh6vrFgTkwVlY0VkJlCkW0jzpSETf3HdnAP2y6evY7Z4
uwCEm/+lSsGBgAVQ350a2L7lxcXfeWR+Ftrw0YRYrJ8+jMUAK2oAk2DUSwIAl0vU/KDeerRGdz7B
MZ1/Jt44nxm0dKFY3HCgqxtrr1PdP5W1r2Gsw8jGBK0cXrzLYH7YQKoGoo45JABiLlAORvjlzYsL
V8QfnFXj86QSvC5B//dwexhXMphnnvQs2pYOPEtjFcDLdOx2BOgZXNvua93I9HOZp5UrKmxVY/nZ
a5KzSIOnvGx/3Ne8ke1VDj8c5nR49kFBT6kSfnrfQZTbmIi1oTGSO3zCoRDK0jlOm4vzdVJ/cif6
y0/0XWhkh5sUI7eDa0XGUxtSbPny19i0gJtk8BcJg2mwvt8eoqurCX0YITjjBRqW7i58vnCg/zq3
/vIpF355dkiaRUndskOSZsXr7c6ujhg6M5Zu5idu1viwOZzcf3LVR5mH2x3Xu9utX825aN1Yqm3L
fVQeK/cMYZUyzGBReygEh22PPX+/vPPe2Y2xZjXEr/1m6J0zfOJOQdHH1LPx5NfnD+DxbD3CXEbk
P8kL32KsXBEQWtUV5E+zbjp3QrwE5bBxSVgbJmPZ+rWEpspsAdwL6bTUmo+BM0LIRb1lGWxHbk/F
ykSbFyy8McDJoJUq7mxnN+sFvrxj9pMk7vt97V82rw85MKNQVEwLFpyrHiqKpZjmR1/xamfBs+Dl
dhcrM2DepWaXWRkcbO2zhFRsBOmuXw3lGwWkteG5TM2Hnz8kfuJ4YNyeWaCLB5jcFV/r5sIdwua7
8fPXurj8/UMXTVqAiN9o+9zBhOc8wA8H7i45yudw6bg9QCuZw7xmgOdk5UFp28BTwt4NYAY4f3e/
cUx8qOrlm5joxpF97UuMsIYomwsjr1bHTUBf2gm4x8JVZwiwbuFyrqOnwBUzIhou8DUqUjM7s3wA
2h2caVjZMSviEA+vgOlslyJqE1zUxuKJ2GILtHUJuCsxbnJBFpYLb4ZZxBmT8gkam85XGNFaZ9W5
5dfUxYWzs+zgHz+fxm+aOecG8gobQ7q2to0U0PqBI3LiNjEU/eDy+WOatgJ/pWXzQkKsAvZRA21i
uBHB2EXINw6dttsL7urJFORaI+htD3daLro2bpf2cZphtJrHTAELYUOdf/7i1l9v97OysM2j9ezl
Vtp4gkCZtoQJST+8ZRf6W+q3/4Mfw6eSLhvTsJKJzaP2UifLpJlIzkOVRnkJ9b0OYDAZNf1dKgcY
MiMLUM6DHkJ+HVQzhglJTBSnfkxQBFoWvSFzsxKe5jEbDVstfGPZWVqye3ZKR4Y5HNB3lRK/bs/H
Wg9GAsjSGQ7DYDWd4QAdwiT2wU4hD1ltUY3WmjeiHzwGWDQGjYqVVBHL4WM/+GEb2Mf7fr2xk/sM
pI8JTsNnm/cPLrehcpDO75BI3XppWgsLI5ihPbnQUeCFvZD+Z5VUJ1S4p2isCPyIgMwD7RQuMvbG
bK8sWZPPACYrr+BoZMcz/D92NoFNakGaJYL9yUPK7xItcbgpK79YHilLzkD4DPKvg0oec3jQ3jUd
3iXoP+yLyoKRKW9doH2zVgDrOcWwUMZpMYflyO0eVlKgKS9fprVFFRBn8Wz1J88dDzAV299uemWp
mlLy8FBtNJ2Rt1vthRe68liFdPl9u/GVtGfeK8E1aGtb2U2cDE6/q4rke+bmr24OIDp8L7Iw5+XG
rW9thIyAtoupFtjIbYhDlSeaDPvc777c/oi1ETKCGUbredPm2o7tgUSuj6MzLKDsw+3G10bICOVa
12mRX149oGYaOulfHPaxGf/CGewS2y1HlrVOjHD2fUXICCD1mWf0pYewxqjxQNfDGXCHgs8DXHm2
3lhWYtks2bdjwR3AEZKz9AewlKFEUHrcjhZonYZUThsqQWu9GLt2vzR26ywIODofpROEIwjIYJKH
pZQPt6dlrYfLSH4IaYpbZOXBaOpseQCppfBw2HkaPLJMSn0I5kzel8lNOEIfVL3mXhucu4D/5ZXN
19qynnzhbKTWlagwK6y+3bZK9V4TX3zDlMLTr7dx3Vhr+fL3DwMEIVSfqc6C2MwE+++UDs6usdJ2
o/XrCEao4xrhbA26HSZ/quNaqRcFd+E9pJA5SOfldCqaEu7Q2MKbl9xFiR2yBAmsp9JgL7oScGuo
pspQuno+SDXduR6MHFAWAMhwCkJHmc8pjDRhmPw08rI7O6J34xLCcxuZfm3hGfkgdzIiUFxAJSC1
yx30BIdfte90D7i8Z09M0moj76zs8CYPzIG3KVSqKnyQe/EJ7UI5VRG5+K9ZcVAVzzXuKLdDaWWl
mFwwujio6MvSjvvxLysnRxjw3jcppsZw0BXpiMWAg4Nt78ZWA6ACI/PkixDz7vZvX0n9Jh0MR6DC
pTYqle6UA1jTwpLxAf4KLljv6bSRAlZmwgTr8qpKBwoF71h5v3UFp3YIhjZpE3YuVA7tRzxYb3zM
dX1oh5sAVirdJnV7wAggmSgOViqKQwqhkH+gFv6QCrz4QMKC4fVKKdib0ewlYXw4lIRPxwTWfcd8
If3GT1lbE5fV/yF7wLNOjFmRwHTcl0C7JAC9qo1FsTKcpl+DA50Nq4c8XJzY3vd0Ij962wcao26+
gx+1c3t4z5Wzfd/Jz/RvKGDLBo2xwj3ndD5DTbCOrC55Sq2tV8u1jzHS4JRBOY2JEt5+Ywp8lWwg
IaK6X9rLukMxAHs1w73t7fZaX8k8JiWOknrSw1iQsxYnBnM+kfz25QRIDYtud7AWTEZqEzBAt7tL
cUfl/udgaN+zYQSutN+yplpr3zjlcJSxfQ7IxdmvYaYMr9ZseMfL7H1TbdLhnMnTLYz8gL1R5ATT
YVTW4M8SQt932N8en5WgMNluIk0kPAHa5cz48kxlfqzyemPoV+aWGMeZpnP6Hv6fUMzKvRgWauGQ
qZPKvifuxuisdXD5+4eAzniHMqPX6Xii7bFOchZCpvyUjtmPvmy3YFArx1iT7AazUkgapYuOE9+L
CuebA3NFAqRlkv1ceLUxVGuzcPn7hy/x8qXEGytWqZT2+0z6L7i6b5xqAjRxpTj3R/PyQ9O+25UZ
7tD2mSv1TdTWK9SvvAh7yjOiIMqUA1AqhR7/UmxhBa6juxxuqsgnxdwHMMglZ/h3n6DMe07ASLTg
H8voFwEYVJ3bn+aC7O1mQA0BaLj0932L2Qh2+MzCgLxwMYwdeYFOxau7+Ux9XSMUH2UEOsRucsWX
oIlposSBk6E717qY5EPXTOVj0YyyDJcykCqkmhdtVMAX+oszLfMJ/kMwk/fhfo6LCXWcvevRJYWf
RE0rSPk1v8Zm6EpcSzMPRvKe076UjeqacMyHVB5Uv+QRiH3zBvRoJWH9h1zXjZ4D80/77NTV65R0
wJUWfdgXcgs8udbBZVv5sODgvBlU04jtw4Z/QNwtZfsNMjX1I3x5s5fb87wS+CbBjrDMKrWPec4w
Nrx9JmMTTfTzIjdi5s9gXAkak2Y3TMgmUPmczjCNS3aWEu5eQPPrBdV7cWwreKXaVdK/F5blS+BO
lYQCW9DuPbg2HSfpBbven8tXp8Wzu213YEi6xYILI2wTslpWR3Yx8b5vKC6z8GG0SeABGp9POh5E
8Iwl9WoHKEfMwXkB8fR2FyvJyeTtQe51AgwEfhBLqo+QCIOnMtLufZnvz7Hxw+/nFmpwHCJm58Yn
T6hpPVvulpvF2u82rk8BJBtKovE+WGZT8xekJ9Sz7zdsS1R5bREayUYKvGrkMzj8RZqc86I+uA58
YcfpuEAy9vbIr+w9fyD5HwaHTLLkDtEjkB9Ppb93CfA93SupA4iobcFkVsLVpIDpxQFaEB52Mbhy
EPBKqH4htiQPJRCk913GbGOf1rRpuBqyLiYk6Y+6hPf2oJtgowi39gFGBLiZzbhvMYDsukPtp5EL
GRdXbMl1r7Vu7MxTVmSLSy4em3yGbkk+J3on+pw8i6FUG5WllWk2pdjb3KWFp8cO51I/31tzPb97
rqP6sOEBhGPyAjZBjd8PaiPmrvfnm/iCWqWwqsvLLq67/q3wyV+1DJooX4K/Eke/wAfl1+3l6172
xv+mUd9UOF06YGxmZpFzNfJXVbAGOvOqiDw3GWEgn0y7XifpzpXNc4rKV8h875A78wEbVBMWvbcj
8Nw+zCJb9thBdSRaf69sIJxb7YaQ1YYRORyV9kWbW0dID9TRsKT9DiiG5iHrCarKF6lZnUv3m9WA
ie31wdaT8fXUYpulcb9JbRcIE1xqcxj00fpRO9UGqmGtaWM5Tz4sPGxctfBKzI5Ce3vWORsPtWtN
G2s5q4UMLLuBgSt5S+rXPNiY5+sxYpvQKgq3kVGAkRGPcoZiKJi+buq8sGzjmH/9Pmp7Rh4nXl1r
NTb1uaZZ9tqVlh/Psz/s4DfNI0AxgP8e6vrM3GWLF3MdcufYputqxjC9aVulIIXpTIalmpe3ohz4
fpn5tFtoXaLmU4HQ5YDYvHdkkj2DSOtBzl8LKKPQQoBnndCD21C3ihY9jj8sR6TIe+5Cj4TPi4i8
OhVO2HGFqrucR/tUtAHu20xLDQ3woN/VVm3hGOkPX60AxPBXBjOZ99uRuTJjpjdqIGHD6cG67Oyn
mn9uIGz6wPHeDVl3Xm8stusC2I5t7uw27MbaOs8z0K+HRUWeVw4hS6xvY13n9YmlngpgFF9Y8Qj5
iEigYLzDuXk8dySVdQRGUpfi/zvlDviV4N1pShryQPXfUwzQHA2+bn4GSqVLlJO8eKk7x/rhzunQ
PTQDG5+5gFj47cG6vtHbnnHyzzuf6Ra0hxMem+0Dhc7im1+lgQwbm/kxTCdBTr2rJ/MhQ9qp42m4
tZ5qXiW/B8uDo48euLLCAOLqMkwr5mwE1UouMGmPA2xcFt1yeQ4y4K5DZxy6SAJ6dA9g0bHNJ4Zu
kC3K5jo925r+hIDbUzdXaVhIWATeHqq132+kydR3mqpCDfEEBNJzm5BPXqfebje9Mt+mLlwyDuAb
9dw/DY4FjwE/7uXyLPF4H46V8/ftPtZ+vvvvY7vNc4Q4sXz8/O5L2/BdJcqNmV37+Ua6LPXMlOQZ
P/F0OdviC2nkg9vADVxu4VeulxRsapx8x7xPSr8c/RPxgif4re496Z6lehHQAGrUuAMO9nct7hJv
xFIywq9G5LXQpPRPuTe9Ekd9Aw/yUFBXQE94C16yMmb/eS6wvIZa3Kcn2STLkcHLuJk7GpW+u+wy
rTdmZiXrmk8HAwo8PTAGyWlg+RfesUfPmV5bzjbW7Vrzl+Peh9uC0+J3J0EVnDgTwfeJ1fq1KZIA
YlC2GH/fXrdrfVwG8EMfE4OcsJwYP6VONcLlapY9FKJ7KyQS6tAbsb3WyeXvHzoZ2RD4Uhf85DTW
J2cZvmVWfRLNuBF7a81fYvJD8zBCRVkGBtWncvI+a2F/hXDMoamGh/uGyAjtvO1alG0D95RyGxJv
4JUk+E++u691I7oHNuhu7Lh7avkBpj6gxs0RaKcbv/36zcA2JeSadhochdR0gsx2Mi5PQfKD8f4A
NF9E+P72F6zFmhHPiU601SKyTkmR/FYV5JZHHyRr5hcy8qpho4Rzmcz/Xj3ghfnvSeY8rTKVUfeE
i9VXx1OQW+NbQqsro2TWzPVSZ3CSJe7JqYPdoNVftAOwspLey8wmFSrRfLk9VGsdGRENU0R4UBPh
n9qWqO9LMXenRNX9rgja9Fe9OB00ZAu5URhc68wIbWvuRjGqkp86a4kmeWQ0eMzbY7kskP//evuD
VhCqtllNl4JBltxz2IlMfk7w/juyX0vNkg7AkzR9YDmcRG01Ovt26Ts8nDnTF5gzJDIUvkW36hEr
+5cpc5VqAvDt3GUgTfVHGBns55LtRieLbbYcZBlgd4kTd8sJZq03I91M3pBUgTdnMVnYybZ46CxJ
SHn9iLB9gvb9Xo8XGvuWfeJKd6ZyHuG6huD0xE6TxzhoPRS5TQX2KaUBPAsQ3aHVlVATKKAgeOqE
6jdOydd1IhzbfGhoOkvyxrLcUyETCyYmc4tqpybgwUNWI/0UQBc59POEQ5vYTuZdJxbvnYhkSwBl
Bb1hm68OwuVaejynp1lNyxvJnAuru59dusNbQ+6faZmPEDjo3eEMmOSQhLzJldrZjUNCR8riQdC5
37ngVH6fdRVsZFRvJQ8ZZ6VaC6YLJ/NObjB/TqYa5G/ZT6Elp5fbIbWW6Ix0Og4ulISkRU+QhWtL
QK17uicDQFAbm/Efm90rmdR8MAAiScyZ0/knLpKdXsSDysZXpdtoAjMbbN8IulHhstSHQpe7EThK
HJsfAM8Zu69SLZFtv3nwvqLeJ+m0YemWRxg+bAzuylZi6vg1UNH0mnTG0VDCxtwSUcOOVTF/qvi3
uwbXfGiYs7Ya5tHzcfVLv9a4yxZOujFvK8AIuIT9e4divW0L0qb8JJe5wlmT+lCymJL+NI5a7GYC
7tK80GBn6cl7gGEcDHGt0juIsR7Camm7HeXM/X37O6//GEJNFXaYkY3ZqFIPeBmZHwQO3LArm7vy
GwQX5kc16/JtqUqxSzth7Vy/Snaz5WbRNBBrr1SRRaPq8/fbP+bPk9p/Vhyh5gWs7Ke+v6h8xL3F
h5dhLsUxs1LsDHgiSw8yCLKvyvcHPO85TLT7NqWdtyvgqgCwjIUtGTtmsU8LLu0okx0Gbknd4WRB
ufZ3F2hYrinUvH8ENENGZFYlttykr4YioSYwIyATPOMgARLDLfK5KllM5BZc+WoaQdPGoTIJAu0x
KIvASGsGWEZEE8cq2DqyrvxwZh4qB17DiRk8ddJLyNQvYxX1WboBB7yemLG2jBQoRNcNbja4ADHU
F2TREnbZAk5K8Xee5OpU9/rnoou3qs/lfkzaB82WY19LHJ6XMg2d4K7TFH6HkSkbcOjmqs+AnFP1
L090ceeXO9KNLGrq5mfjwbLn9gK+mpYINbHl8KxpHY1rAJzlvCksKxQDq+zNmqGpB1HYz7c7WZkz
E1pOoKttZx3eoxNSAkSX4KYki40HibW2jXNnOsk8LdzcibvShSthMr5006a4zlrjRt4jRAxdQhps
znzYtyzOm/xwe0iunmAx7pfg+XCxE4WgecE7N55hQvYZIOfps1U0zclyibtrVTk8K5azjSy1EpEm
WJSnI/J0XkLXEIKV9CIiPDxP48aXXD3EIQMaAVkPNsqAFz45SDVh37/6C6y9cxRAoT0Pi8UQXO/Q
roKN9br2KUaA2qIOMgQ9jZHmIcjv4tTogDe7cYlZiQazflPIVPmBhSN1l9fhCC8HyKwDBl6FVb9l
h7Yy8Wb5pqsGa5RW4sYtFJR43x0D+KFa1ghcaR06/RYTf60bA9kw5YPfQlu9iScnj9Q8RnDHOfV9
7M6w+VR/317EK8Nloj8rP+k5KuKQJOwo7ChSyJ71e28B7bveqq+geHbtVIrtxFhfBCpvvm9hu1dy
KaNpqfjnrpZwDQMcJYmKPklecgnB3pD2dv13pbjzJQ1S9iRtjfkbvDqayEKibsQ/DYPGCg6g7sBa
FS9+5ZF2Duze3J4Uu2myoao3jwHKzNn4yC2SPdCy9I8q8fpH5Vf+rmJEH0W+wDVVeJK/ObaoHqy6
90NZduIhkR3c5eAsMnY9tIhnXGcqATstRSG1VgUJiI08oKc+69jnImjqyM/q6lMN8MYzDtrJ4whv
LswVJP5CBjjGUcJFBBqJeJtpWXfRDxuDZddPCmrKapnfJtWlB5/AL831xvHUgv13SqB1EoTZkMjn
XAc8Ym4QRP0iyBJR26W/Esg9xy3ukE9smeb3ynU+0078TGABO2qCMs0Enzu8J/UvOdO7LO33qYWj
9DAIcZ5tKXae3yCmA54EJ3fy1GOFFxC966G4DanwxQWvttER9d1kt0xKvs7QSzjbiFW5q1y8bEaZ
7Xc/USNzIiet+FtJgmTZlUPqHO0GHjqYUkIx7LzZwdhK7oaO2iEN8vKlSyHd9GDhxpjvsjav7lTV
MstIee10gy15jwOcNx/JYCWxNyXtnhFP3rX9uebTsuOUc2PjYn0WcozgspaETrUZICsJ8c979oeN
xNKyolL5Nej90AQau1RHHhU6ggfIXW/whJr1KXeoIMqvkjpuKZyDp7aPOtv628JcwVxkeMxGayva
Vz7GrFYpnzdQEHZB7++b6ZRZc/ZZz5kLqWW+fLsrZ5lIz4DCzzwAmCBuiDXDapKVh2AS+sdSyhlE
Yz/fyI3Xy0cYNePsAMd6XSgN0DjzXfUoi6Y91K3KfoOZWFOQEqHT6Oi6Hx/8qqCfa9vO/yc1ld/A
1/HJw+2PXcmd/ylhVajmpJqpOB1bGdXNvC+xS0e3G1/J/mb1hjMrmHPhqHiRLQReyt+6x0EfGXzn
T/A/vN3J9RXhmpoMFco/vpsxfp7474HYYVe+w2lj4zCxNjzGTYXNKOdZi6sQ8eLcM3nk2V38KMy+
sWtV0+RrvRQqrvr+M5MJHEmHcQ4byOEXM97qbo/O2hQYpyF/cpnoZ6riSVWRzPV3out97SfPbu3t
b3dxfQKoiSUVo9M5ricUgBg9dB8LAUMty36qgCfdKH//Cb0rd2izatMSSKUF5ULiyZYtoNd5l70X
kwOah5P56gRof/WSuEv+MPXJcBza0T+i+/RLmrhjlNWofnLQsA9BHixfPDK3kRe0zieUTvUuwOPo
gSonfePJTJvQ1ZZ9dvXohBYqGae04yAmcQhkViEk7uBxAgzyFrj0/zi7rh1JdS36RUg2yfBKqEB1
no7zgiZissnYX39XzVNfTlFIrftwpT4jKBy2t/deYSUFWxZNGDrkpIQ40Ynrv0fH9saJg5xPvFT7
0Q1b1+GVFbCsD+s4fxOgh8ETsIDdnKs5uecuzX4TMlt/aWVtIddWtsqyfDXPTotpGboT3HpfZDM+
JpU6XF9h/wo3l+b/PICfjrBqcEetJICt40i5o0bPQZVTOr/jug6BiyxX8tCS3BgDSAL0b31Bh+8C
KfRNYWjlPtMreiO6oX2BT611nHte3jbY1qFT28UJjMGG+OC8tAfhcOqj42X+sFTDd45I6K9m6PsT
gWTbPs6qBv4ddj+EqNRBnDh26aEbNbWDmpGzT+tZHswGRHXT5OLBITx7JUWvA61lpruY9w6glIkI
q9weX4G9qI8Jn5k3lNQKWMunwyzz6mj2zXSbJ7M6JE5j+p1RpFF29tmBLrUh/FmbnOTgOHwMLdaW
0qu7QRZ+x3VxVxaOqYIcYJ7s6Nq8+s0dF4YFPQfAkqbklc64/V6fj4sYJh3s+P+fjlZUkg0ld6JW
GqiK115uB2Y7BTRx96JJvK46Xn/R5dBiLAVresBeYjMXLFK9aiMzjWng2IMKakff0vtYe8XiGqRL
da7OTPKUxZErjpW6TbeoTWs74vz3T6u2B/y0VXEDwCtspz3HGujLCCT1RppyeRLMf8XPT0+Hyb00
QAMip7bJwfsnjwAORUU+PU0s3feF81cSuTENayFkcVQ1ZZPxHvEWSQI4+R0/gunoFc5bweX++kSv
vWFxTLVcOTA3hSy3Ng13ZB5R+kevOYHHtAfSzRaX4/Jcm0sEMh1L2G4n+njq0YPTh488DROU/L/0
CUsSIqmFy5JSxJFqn4XZezWUVip5q7l/rz9/ZTUtqYe9pulTxcFz5k1WBvWofNrxLcrfv2rehQi7
BE7PRp3pZZueq9QK2KyawGxp1BMLtY2UBbplJg/z1Kd+JXL3ZuI1fMdFzYWfpYYVCujW7Iq4gSZB
/Gp5cNvWzcFLdQf+vTkkjkBmcv2GQ9VGSACdPMtJeahDSNi3nDiNirG1QsCHxCMcsadb03JEOMfh
GM/jHcQyrJ2o7bTCDRp6OIkhx8BGD+4b1WvbS2WT9b6c0vjFrUf20WkGfdBpO9zkUzEfXYBv3+Ys
Tm4yrTYnr87yv602aoHu1J03z0OXIiB3za2YrBkmCSZXSL60+VgZRFpBL0SOLq7U933maPdQhhEk
vD6bl2lFurmEkcMDQueVDqdY1AV2pciDui9DKIBBHG1PNOuFxW+and6YwzMEwULcEDZi90rOsfQZ
Qa7MkrRu42gizV+mmiAbBKhM1VMGm0OTbTUwVzb00nBEAqhszzq2WjzDlL0wgpxCj9Z+AbEwuD6C
a29YpOZdpUgmzzoJZ4d15SiPOD86+NJztgFwWhupRdTTEoqLZku0yIkJpIZh/EirQ+pEtHrW0vmL
UWMR+ExN9MZU4ysa99uEEmLMJTwBb/p+y/N6LWwszuqBW6XlJhLFV6eGz0VvPcTc3eITXBwi0KEX
Q2Sx2tEmiZPTtDJfWjoN4qK9hVnjHwAMdb+snJfrk315u+BNi3GqQdt3DdWNp3ZWMxxmODr/tXpN
6+YpGWw9tE31ISb3sSyNCMqitzFQUV7OtxCOF08OvH4xirFwi8pGQhW1Igt6R4PWaBdO85bk1MVJ
omzp3FLp1dzqqQEp8qR4MtL2e9o3XxO+YUuzFst2UTGlgOC3DiDcUtzSCV4n16fl4h7E7z6vi085
yGS3hGlV0UP5Hl4j3bcBPUgh5TlL3tjlF3sHeMP5zZ/eAHCLSywJQk83FyxUmXotiXHfcrHjlB1T
lD+TunwotWqjv7f2RecF8Ol9Fm+ctDazHq6m0EgcqWLPDnX13SS1D0q6fiP8X15PzD0vhE+vGe1h
UFTTutNQBJOe+cDp+NueI2vLaREa63bU0sFOwLpw3lOgkdSW5tfagxf7HZ4NcKpgaDbqjfEhoJTe
CLG/vpQuhxJI3f3/iAhZxYk1tmfiU7azdOtuEO49Ra3cK4mbBfEwbV0m8cD/ZDpYUYutnIg6ZVIX
WFHtmVpVBXbyO7WeVFN87QVL1xWt0xwxCD6ccLeA4ADIs/FDAkzg0H67PlQrZAS2dFJBop/MxhDD
zOIw7qQf70nI/TI0DrMIplt1sgPl30w34q6/Kw7Vo/6W3ye7YuPEWoFGsf/4rCS8rw33/PbBqwsv
yb18CrU5rHe241nCY7+vf+bKHlnq7GoSwnkOwHQn071rBkwTVB+D649eWcdLed0+YbYyO+1MEyyC
GjrmWZ9/8dHnV37a2XAkMJoxw69WGnmNs9GrWbsRmy5jDyhbljpdCy4jul3ER0mpeZgyjsZpMelm
7bm2Xp5Kxxhu6xRouUma8KnRWrXTEQzep3iMxxBKd+NbSgb1AoFDfeNzV7btshQwVYI6WiLGCF0X
6fW6G1TgFzSwHulqaLdlpRVvBIgVGjNbFgPyZoghbdrGxww2J+GUKvPJgDPp+WbtzCAWVuVjAorS
e2UVfyESsOuU7Q9SPRhgnkLivevh7zyOb+OsV8/AY8LsMmWE+1oZx15s0/jl+tpaObGWWpu0SUfH
IGkfwS5yuuurjD+0Ezd9lhf8pmRjcjTMvEOxr5mzh9g0t3gMKzOx1OGcwFBKO0mGqAfqNW9qJ3Qb
ecyMAiI08MVUzrDB6Vt5EVtWTOZMMRbjRYUFUUnVwjLvjqW6ZzcfBm83oszaS85//7SNZMGZQQuj
jSY0ruKxBl1IOoVnzlU4Gxaq/Cb/ElKYLd1FmtgtuZrrLhqpScLUKT942T31bv/U6rkTANjZb3yT
blw+etg50n36KDq6qEXHPDnFsTVKP1FNx8PJyuTfutGBLpR21v5WcG7vQyMR+UM5mPSHnDm77zPa
4LSyJ849m2QjBAYnyzy4tiXvRVKORzVmY+KpRHMDB5XDX4PN1C9HT/IqyHKcqMY4GxtcuJXguRRi
hcGBPaBg3kZOmtd3XSGtXZtpW+XqteNlKb86JE7Z0Jw1US8z3PodRw13+QwDAGDeY/TzwVHUHrJ8
BF5TKJftOqNPgSdpqvbv9Q28kgIuFZQ7zaok6I9DpODb/K0uU1xeWavdOe1EDuUw9BvJ88r5xs6r
5NNqSDNB+QgidKTDy+HZHkXjg9NrelB10jZi0cpULSWUgWdFtZTobQTlXP7DKvPch2RV/H59oNae
vkjZ0FoqsRQaBAJl2bter9w7I2nMjTCzNg2LPK1sZeHmcdxEHO7m+wa89W8TmVgk9TkH8nYeP770
FUsx3rKFCixStiYyEq31ietOfpfoD197+HnoPs0xs1C/KsY+OTkT88s4D5j25/qT6T8A6YVEdoly
TQTXp8zCs0/fNe/d8iyv9H6zwPEn3/Jub4PvqbdrvNv30ym43eF/98fj7ri7DYLb2+f7p9JPvOOT
92u//7N/+nP8M3p/+vDmYX88evvj89E7/rlxPD/cF154F0VhGL4cDvi/j+ibf4j2d5GP5wTB6eDj
34R+5B9Ot8Fu9x48nv+Z7wfvQXAI3g/c22rFrgaGxeWDsWQy5glxB5Jh/ffUcs3HWEzQRHWMFAd9
Zd/TVDihxgrqVVnZ+C0xmufro72y1JeoT1BxYw7TU3BXJra3gaDIZbqxRNayuiWSU07K4l1ms6NE
+wTkJNhSagcy/sxtVE5VczC1pykdHxpcE/FynaUvoPCH1N4yeF+JQ0uAp1EpE43nvgUKh5jHWZP0
XVCt/KXxOP/1peFbwjsJ7lvl3DMgz7vUq/VXK98KouwcbC7sgqVysEbSpNFbE90heO8cHJF/z13o
XAA5ZcjMIxmlf4bZ5Ak8DfM6yEdBngdTFs91nNp/ZwCv93CgpJWfojlOILkVZz7AODSYLRWmbR4g
W5wO02wajwLV45uGaO2PdlQ5lIZUrVJPs1quw7x+NCffHHR8opuBW+t2016pEjVPBohwkXYoe/N5
SmEMrtDTUCglwmAMivZYUPG+LjX3j1sroNUyE01gu6LAR4qk1wqPA8sEwBWwsQ7okHtQQFzpDc4Q
g4oPXHCHGwCHUDkzJ7R4obIbpvqAf5GhG3+vg58WaNJQoV0m9h10ssZnCDMZQdz2MW5UZesDB1C8
t+NU3dudPfrm7PAQuIRu8kaNwNY8zlChMHoD6LfW8LOub29sjW2J3a7sqyU0NHPHgnaUtFGXQMbJ
c0lhhqrK868Rq9lS2iJNZ65zkbVRBl3phzhLcj+tmi1lpZUjagnRBXuR8AkTCD3pp9l5UgpAcC0y
M7mRMK5UPdlS/NnKOpo5o0DT2m3uhknbs6Q4drUL9TzXh8qIr9VtUNbGQ9IasGnP4epRxhtljJWp
WepgJJDQM+0CRTZUZoDouO+S1+vBYCW1XypgSEIn2KiLNsqF1u0zUIkOdWY394z1+h1oxUXUw9Au
vP6ytSla5CilAVGtvs7LSOhFC/OsrL/NJ9M9mSTvoVc2tl/TOWXLAjVvDcPq+NjAIpb8qSF11lMr
96CJv5EtXv4Qe3n3Z/PMkwzFXHjC2GFdGkZgF+kdbdmd3Tdi97XRWuRcBuFsxsWBHWFr34wgMjCv
G+7qn9effhnwRtlSEWJO87EG/DOPLHcgpheDWTwdaMMhhqHgzdr6bd/D5gu87J56Yhwsw8ugM9J4
ej+YQMrmm0KXK2twKRmS9GemWWcXAFc49U5LqvTnPIwG9Q17bsNEjeUJhNQtAPzKCbuUp7CUI3qX
IU6QyonsXtwQbjxqzNq4kF32eca4ntfMpyxzlDlRlQCpba6ZxIGgiwmKfHxu35AzzTdWkupHw9b7
J1rObeqh1a6fktKURxew6BymBPEUlNWsBWatGa+zCVOKpCqTjZ93eeWy/yhon09aXpkickFNP6g4
phHno7oVyuh0T3VuvAETW5vUcyT7NAzJXIDnYVtFNKc6/Efh59NE2pyXR9tmeUA50kQxyS0t1pX4
uKRMzGQsrbSw26iSOeR9ad3tB1azjeh7sYqk6//h6hWysbA+hxN8GGzPmN3x3k0yFSqAtINUmHsu
hjbUExTcwNB/vb5BL34SXrpYR43R2PrkACw4Cfq9K5PfNDWD64++uAXw6PPfP80NHlvDoYXoIGXV
P4kOMgv4U+WDPch6f/0Naz/+/PdPbwDTgIki5fqJu9XkDRq7R97zfP3ZF1cWfv3iql5RRVsiHQp1
n9G3zSyY8i4BuQTOl+iB3eO/bFwG1oZpccdJaGMkJV4GUgZNA9t2c6+wywlQ+E5szMTaOC1OxB49
f4fa2nTqrfSFyXjXxvMXh2lxfLgyxclN1Xwyq99qbuA48+FotT90twlIFtenYmWEljAb0YNZV7mE
nphh9UCCiM4fu7IB+ftrXU1dXyJtmAbutCvwCq7ZDFeKMasDIy7qA0RGZeRCKHWrN7v2Mef19mnN
dgRKbppTmqdyjtnrxIZkD8nCs/OQlbxdH6/L12Z8zWJTw7NFQG+1pqd0IskRblW9X3JzfMuTXO4b
F7pVBM3nY96ayXHOeekrrSs3aisXQz/evdj1MEFHH1LA/h1Elb+5NZ5UZ0GenfKntKZfifp4x3md
fxrDjKa61NuUnlyk//u2jmUIuiIPcKel4ch4+4YOBf+zMZrnjfif6ybetogECXGTunEb8L+cyfqG
QoSIFJXJk0PTLrJAfn6Bcs2HdFuoXI+SACY3sJJ4Re6yx4LXIMFc/yFrK2cRKJwiT7RMOc3J0saA
nE1nOPDd08YmW4l3y2Q27/uybehIT4XxV9MGSBHmyMEab7B/GPEWAH7liFtiKoqsJzkoxjPs3rMH
t8m1I4Abvq5bewsMH9Tl9mY6fsxlvCVGeHnM4JmwWCl2JxuYr9OTg6gUZpUTI0doSi+rh63eyNor
Fr2Rciqd0rVGdXJgq1I9jvGDSr5dn/HLcwKKx///elUNFlNCm0/jYIcsn3Zz24HwW//o7CpsrHHL
bOLynqVLxAW1ZscshpScuipKIc8uu3lPZBW0cqNsvDZG579/2rA20SXWLvxTe659IzEPSq346Iqt
vOzfofzfLUqX2Iok76F+pZQ4DWMKbLUa5MEomY3LRSwBJigE9MLL/GSMunGjsQF6JYVtZXdWblP4
X8CCeg+461YVe+1jF/FikpOpuE3zE8v71uvsJoTHmA4zhS19t7VlsQgEg9RLW7NJfsqK0QdnP6xN
iLDo9utQVneT1nUbAedy2kCX+IzeqIqksmIEnLECZcUogj6beXB9ba+tuUXiMI1D7VharKBhk/hd
pYG+2B1AGUStcEu4ZuX3L1EZbp64DCIq8Fct8mBwcD5Al/H6r1+ZgiUco9FNjaEXBgOqYQitDDKY
4wtO3XDuHC/dModcWUhL1IXZaHZVG1KdWtn4k7GLISlgbK3Sy4UmHVyY/9+TqdHkEDbu2hNVSRsN
DjjUPm9aLYEcV+oC6SHTnWv0LNRSq9ijYgybbqfuvalnGtij1teuCbjb/P/vMIbGSsaKE5gWvboG
/D3pXrO3dG7XhnCRKRBTy3hWIxvpzmJNtPCo+Wz1G+CMtUWw2OhQFFDgClX45VOuQkvYYBUPpeMV
ldX6w+wy9LFm+rX9stTem+RYm6Lk8gSVv8KDworhVe1QQ4qC+HYmt9wiVvbMkr3tpilwBD1MJCEC
Trx4MNHNcc2NvG1tNhaBq4VIUZ9OFo5KmiNP++htyyvar2XWdFku6xzQbkwHyUU2ABzqVvth0CGR
twVLZOfIdOGQWeJe+iQX0uptULeYpf2Z2iEufLNFLupD2kWGjTnJ79YMMRnAUGi6g4ezYwa6mfBT
Z8zwiDKG9oyW6rm1m2g8wF7WzkIKuXjDZ8DQ3pulkt6cwTnZdyZhBhpEPBM/s7ruFtIfPOh5UR91
2M8dZJrbu5KZ9IY3g/wx6Cp+j7tJfWMVNAwdF8JRIyyevESb3APPIG8EP4g56FkHMUVq1vKtAr3U
kxiwgwL53VelaFIfduPD8wiLiNCeBv1nXTnZt04IEUmtFk9gRSm/mRU/GsYwwy7cGOFVUlgsHCvl
3I4sU4Fuu9oBrpcW8+yycKNaMOYPUG/0Cq0YdtOM8nZo8dxAZU+r9l3NEVDamAu428zGD5UPLAmK
AgKdUMkZxw1U98pRs0QROXMFBKDs1UkN7eCBP2P7aQ5mlMqzzB+b7vH6mbCydZYgmVbSFjp91nyC
kyz3m5FLD5LLG4oma9+wSAVLPjQoZOPh+YiwXH6X/DdLoBNhbbET1n794jjABS2rG4pMeZj1FyeZ
xYNAZXhj4689/Pz3T/kfh4cynRQ0Ifp8JGEB5IsvNPDmvjbwizic1bTLTRQfTlbcWp4i5J3P8/H6
sy8DeFCUW8QsCGknouhayNSkDKWZtB3UA8j76pWaMUKXJZTmV03pPELo2gpt0s0H4sAiozVdtAqb
lkEzZ+yR/qWZcQtss+HVU1vdQ6PQ8UdaOAeIUei3DlgwR8iM6EHqWmbnpXGlbYz9yin1r4v6aeyl
je5BW9jDqejgjzbW9ltC+xtVFLB0YQJdOL6lYrIS3v8Fzk9vYpZlkdnQhxNx8cGZ29/lriN91MyC
65Ox8oIlzo4P7qQ1s5RwrBjBe6Rg+rZtbH9koCNv4dtX3mEs9oGjCT3BFR+crgEONv1rQdw9UHUb
S3Xt6ee/fxqiWjhpNiN6Ri0O1pTyQ0NuVLKFcV15+hIPqLlormgTZLA08WwaXdDOP4phq6+6EoGW
GLCkhiQfmsZxxPXen63ES6y7EeVpXdvKPdZ+/mLoXT2uDOX0+WmAUiZEtyDG9zSRcqO8vvb0xdAz
RQDLkZMTmTgZrfZGK+7I9OtrC3MR3+rJoGXtoApqiXFXWIYEvarufd3c6g2sDf4ixOXUNiooyNET
1I3gxJRHCdw7SZkdrC81rNAHWMQ54AJiaCNKxP/pOxXvmnnuWm1cJNeGflF/pn3KGQIpakusPgiI
nXisgMz9RLZuqmvDs7hM9rLhgIpS88TgZbdPe9rtcDeuoKwnIO8DPuNGxr/yIUvczCTnDBnPRE9j
9cHIL4tA4XArfV2J00vATIOsCtVMZCllyr9bTD/Vpn5sGtQQUZjh9RZLb+0TFomEjStxkwqlTvDl
4cfGpckbLI2rfVlWfbYx3+fS14VMeQnBUBOtbdHhYoSz5TCr4YQiFtp+w1lhAWJJUFn9DrfJjTlZ
qXbTJSSj0ylUeR2KNrxG2XeJY9iFKuKQ8ZC6XXMPGf/Bp3Dv8cEtDk0gDENrmLdO15WVt5RM1EkK
LS2k2BF03+Mn+yxZ3zAYBPZdQw5ONsUbR985klwY0qWuylgw0RD4UJw0lIG9xqA/c8iGfil6/Ut9
Ph1KWNBQoSTgwZo13fdVCpwTz8/5jrmxHlYGaYlpaSQ6y4aGm1mtbvP+N3yKPSLv8rjdGJy15y+i
owH1pNjITHpqxvG7PZblnSgLLbTm2fmVCnfrBFzbOosQCYuQZkpn1MOKtsjDopIAkIvGOpmavlUg
X3vFIlLWXQO5Ug1fUte/YdgWNHri8TQNr0/02jgtwmSV9hW8IEtkH00axSN7q6dkl1RGGpYS5Ijr
L1n5hCXiA3e3qjJbh0Uti72J3g/dmRCzlZ6t7IMlikMVFrdx/3ajrB131OSPrqx+Xv/hl5sTdAnZ
GNLO5DBDcaKam41PgfE71GUF0BVzH5OpY98LzssjLTOxy2uoMl5/69pwnefq0+bTtJn29dS7UTFl
d3rWgL2n7knXvFx//MqUL5EYQ9IB6CKpOg023Gn4o1aKjynLcm/LH3nt958n6tPvr9quqGqb6idU
1GUw9wC06pAO9a1eaV/b3kvt2KpoUrdIGifqxHi0tfrv0Di+ZO6eVABOXh+nlc/4j6Ag0cisIFF3
qkqL7su4I35azF2QlMnW3l6ZiqWonMtmlRGdx1HdQNtFltCZzjyOymEvt7SuV3KIpe5b3Qg5UKAW
ooqaoaZIQOybWH0rxhpNyecvjdRS+E0WnUgHHe9wVR+WFTlWSfEAf7SN43zlE5Zqb06Sx3XtNPJE
MkGeSDHZu7rN06euHHLfNQGO1kqWv13/lpVEZan7lhNnbJsK6o4AjD7pjuGntpF4sVDv9ji4fjZY
f/t6S/B27csWO13NWaHNEBI9uWkVn5gD8wsYj8iQ8DlrvQRK1C8FJBO+eFleyryVfVbkVp0hn6yM
0k+pfgex6xfTMJ6uj93lHUOWKGzoDrtkcjI3AhsxwGECUFQC+8XsS0W7/zrUtY10J4Ea4ky6916z
dyytboYu+WZsstouB3yyTBztDA5mjsWAvejnYT8a+b7R4eItSvSjzCqgGmt3HDr3sbElnrA2Zotg
yVtRZMZkxFECs1CazRD/42HWko1Sz/kx/00S/+Njl2h5mkIkFOc768NOaR926358bbb1/w/zZt6q
sRuoGznOm2yVD5P7UBT7rz18kfXMRGvShBEnKtMCtHv7w2iSnTOmmzyScyJ4aWAWiY+jd9TCNQqC
gQbK9ebAsvtONGZgxnQMh6wm97HlVKEZ10OkjaINqq7U9nZNYB/iWipQ9kw2DrOVJbBMj2rcVhgR
mCO34UFVCctLuITYevklVDKwMedY9+lALjvCFBUGi8YGbAgxyNg3rfK5I1tt1ZVts8yTpiHNMruD
KgrsDHNvoDakPyf9rq7jHa6sj7JmpS8r+Q06k7+vr4+VK95/3NgG3WooqhPn+aPxLu27UNTGjjf2
r8xUnaeM7PXMja/T9HmuwYe8/tqV7bTMnWIKbduScjuiQ6F53J7m45i2RXj96ZePA7I0CeBo3zhJ
2dVQpiqg6stfbVN/pxnZl+4ANskst9xiLucdZIla7QxaG8VYIMxZ8d+YxN9dWd6jR3ZyNGOrwrP2
MYvwkPcTc+rKFSfDzmsfS1z+0h1a+pop6XcUs8dbqNS1b9dHjl5mAGGNLwJGBloWLQHjgBKdVvxk
U9KmB2HbhuVPSc6HY1aA0zOZhtCiaTTNF9AWuzdNaBY85eb0xkppCRfi+exICAnobya8XQwM+Zge
MpFOP93Myd6MJnWElyaA5TljV91QYNZDU6ONHvQDyR8h29z5WqHrUK8SkCQcBEwfQjaC9O3N+Wta
/LJ0+KoShRtETtW7iDPMKzT8vjtN0XlGOotfVAFG4MXo37W4EWfta1Ln7iHDURVC4na8GZquq3Ea
ke5XKp1+P8LVwG9tQnesIRxoerBmbKNzdkQm9E03Ox40Lu5btp7y0wQtnP2szdPsA0CgvVmwR9rp
A9q6jM09hHStp7i0Jr/U6uLgmEk1HS2uVdQj5djvVFv8Bq8freZE025TblFfgafrV3qqB5ULScRs
nj+6KTb8ik92oI3oBGazo+9iGP0+q9KGmpschfGEIVV/kiozwRVn7eMkD6PTnd3vrETmviGY+but
sz/c1pPKU4LpgSVKGIkq26KIjkj+QOqyrddqhI6pBeeQyJTVtFNjS/BbgfZ7IehkCk8vNcy6ExsJ
eiwdmuQx9M691Oxnv5isofTcwjJDC7Yf95WClHuck47dtGIcvVH2icd4hqS8hU8bAz6yS3fCmSod
35/MP5wJTZRdmjvxIS9JGdlk1A/mFBO4pxsxgCtuVr6YqmRv1jA2B6hWx2j+6DBHQUpnHgzpWBNy
fdRBgHPBIGjG6KLTqTr5Cxj2KhKOy/eFVfOPig3COnAp3djXp2RGJzGGELw1WNoQilw6Xg0F0WeT
cUE8DV7Lty3LsztSOkmY52nhk64YA/gqWD+la0L900GvxGuZefZpSaCQXjugytXQUnhw3FICPal3
d2CW1/c1LPCeMiPTDm1vp7AgHoltemaR8DEoC/iTAi+VFHDZNIj+7fpOXouwi3PZLQ0hzdLtTgyq
krJ5ggjMxjViJegtFfWbuMkUaHT9CSaVb0SUf3THPDpcHUoQ9K7/+H8ypxeyiiUkIwa2QNYmK05J
hkFrAEn+WdWj6Q26ziN9GKqHIuN1MLW0j32G1oC7S8Ad+wlDYMk9rXUJ/Ie0Rv/LzSR5Rr0akpFD
1ul1UDCbMs8pa3Tsrv/YlZFe4jqU20poCTodFHshQwAD29F3c7bx8MvXKLLsmXFncrFr5u6kEzT+
qiY+TWl5zxXMuS0o68fj5I9oR13/krWZPSdWn/KbapIDLqAQhlXoQcFbCDZYh5Tf9ckWtmslQ1uW
dElp1Fjh7RA5ZDw0cdIgQ+/CLNk03177gkW5MnMquMj1TXeSLYPNg43Srt9Umf2COnz9F8F5y09k
7UsWp/KssURjKYcStA6PZtt0fsQsu6vdraL02ocsjuGaskx3S/hxj263m2EhKO3fbdIhZmxcDNZW
7SI+9LpNzBLe2PiAHCKTqn/vhnzjgrkyOMs6BmsVTG0Gszlx2X8zY0jBJiaMuMfHLy3TZR2jla6r
SeLSqMvl4Oc4lHxLVkg1xO2od1uyvCszsCxgpE5XFqSealTW7SMj+mOSJg/l2P3JdbkRSVfmYClZ
P3eVNGxToJnDpvZGOkl6r+ak2djNK5eJZZVi5nbJG9RCTnaxHxkkctj74BahOZheXY07o+C7hHx1
tM6f+Cl05Eob3XOf9lQoACrpPbMiUD38qtjQlfn3qy+cCMtOSqn6sp8FgX7VPt6nh/lbHfX30y1c
OwLNZz4keXx9J2/sXXFoo+aeHABSO9ihHV5fc2tTtdjvhqoYnDOwpEcrhaL4X9P9EvqI/LPW+zRw
I1KUvosHtNjS4TkphzSgc/zUAMtjQyFw4xRZ+/WLzQ5k2VB1TUFO8I8Jgdx+bMytDtfKAbUUk4fR
H7zvHNONSoP4sVXBm2T2eDJDU+hjRj8tb7+mN0yWkuhkcEpNOKMD/KQbDQb0i+yqe45V8uP6FK9s
+CVJsJk0kU8OU6ea+0LaHjfvZSe8diw3spqVsLgkBOZGJ0jJLAC+68R347gDkq15gX3ABjV0ZZaX
rEANQj8TLw11YmK4hVhRaCAJvz42K5fQf2obn1apCb+dxEinCky6V725Eal9iknju+pZ/Y+zK1mS
U1eiX0QEiFFbaqZ67rbb9oawr21ASCAxSnz9O/VWfblNEVFLtyNQISkTKfMMfrvyRfrcTZLY/6cg
fBjE6GAYAF+NkjSQb0Phptg8uX/vkDD941DYpAGRxJ+dNIVheQ8oZc8sewc/lnBnWFA+Ko81Z0As
1V1docdQ1zoyMKGsssPUBwMQR1YJEWKrerdce41H/jkJm9hzzdaI8AmCyECF8gqyF/5QDDh+ViCS
wm4QOsoxdYdw4/tYjMaOzKuXuyV4s31BdNzKG/W96BxAdCnyBVU16aQU70LdCZfGIFHKKdFWvrJ5
P40O8Fguf/+wOB7kk3vT+fIcqm8d7mZ20e4GNxHhGlt+KTpmGdayAYKyxMVdzEOZYIL3EDH7yr6x
6P3/Bfzw+w1zi1TZOFDVU3YKhuAvehJb2mZfiKVWEsjSG8yybMm8wK5bIOJVOhabQHLo37s7kTVi
ez0KF3LtnK2JmkRhbA0Lhaklr5aCCzKgjt+w+v52sLIXw+FIb9veSswvjXb5+4cZi3zuOakKwqRm
/s82G5PJpudwlOO2cwVqNulf6dj762+2kLrmgukphW62X7eQvuXV1yDq7pUefl9/9MKqzBmbJeyI
27Rg/blqajtWuvpNUmcjtUlXPq4LuXFOy7QjD4WusCFJmb4r8QR+0gn8OzhwlvuJ3/gFn/MyCfC3
HSwM5VkV0KmYSGKYWpmgpd8/uzOVTArlSuBfGA2yxPIoPdp1lr6jEF3v4avTbyDvmP9zfTWWkvyc
DNmFfpr7fUsS2BI8d8Ie73JSundQCR52JFTo18LQix0b15qSPPOHfaGaP97oqV3k2da2B+UQ4r49
64+ysiFmEfRowZVwET0ykDfvfRTpftCWNPdgzWcrK/xp7kOSnwX2AI+7LKsQd2qQ2y6tIBjkbers
K9Ev12fl0z0KKuXlCP8h1CxmJGqWAY4eGrSBjHyTcG2jYFiuJO9PQxnPn4UyDNa4FarWTgq0Zbbc
Bw5JZyXfMUeKI89TALjSqNyIEZK3t73RZbN9eCOnq/JMiNFOssC/70J+6Kz0LcrWyEcLMl90zqus
Irvp2qF3kkoML11dvZFO7ybhlEkEK9ykC1Ddi5jPTioPumNGJH+vgxGeXNz0seWOsJKtII5y28te
lvXDy1rQxPG9PnMSlC1/E1489kOawTpxTVPs0wjF8l2y5ofnt2XtWqhjhYkUZlM1b4GyYpcOm57f
pTjM3/YSszRQMyaM7kEWC/MKOlpPgzQxaQ63PZz8+w3KDBRSM2GGnKghO8/AYr2KCMr9FFLO14f4
NEgxSc6/h+h4o92mxNqXUP/2ONzLTtC+grfrSoxeJvs/F1A8f5YEoDRKhiFvJ1hMOLCJLwWkYbqO
rkzQwhLPCZVR1/n+ONEgcSP0lymN05TE6JPEEQu3I7ttjefcSt5CAsstLTdJmWV9jfym2uhOp7DI
9N3j9WVYSGVzZmUGG0c6ZL5OIusuEvnGdQ8NWWvyL2jz0DmzMiUjr3rlmHM+FUWxKbRbvTALiLgy
yCeIFFeR+lWPVJvY9rgHfc5oCEgMgw4ozNXNWH+ty5D8AQQJot523vwNqxJnWcnh1nH99T/vp+Kc
PMsFElr03G7BJUWjHW6pUR6HEVyA8R3dN3CKR7fBHIXiequq/m4I/dP1cRemPZiliJG1odcwIKAE
QJlbm0hIW/nwF8qYLlc2z+KrzTLEkJa5KvvOSxglw6v2G33v1WF0CAx0yr0g05sy6FMo6DShivMK
JXjUs39ef7+F6JtTWdG7UqKC6E2SVSHchhQeDtXpldPnwuRFs8mrCl6Vo7qokQzVi9vCnA5Gs/du
6Hy9/uMXUlM0mzg9Fb1l2wM7V/KxYuRgnGyjIDgEy+bdbSPM8mvVeG0UFgFkMnj5bQqjdAPj5r12
IMJo0qlZmaf/l0I+yYFzHujUwf1XQtEnYRC4HLi1rRT0JeDLboYjoFCPaX8i/Q83sMHeNDsDcaWu
/GGC/J2NCsjqH7jkrVxOlpZslo0ZbI0IoBg6qUun/A78gLsbhhTq2ZGX30IogkLE7FA2ERvQAeA7
YWTGk4tbdNnUexqtvMBCwp9TGhXsT0nnei6InF1sBX/S0o2L6LENAuA+zMo3cWGWwsvgHw4OHCd7
yUfKzyPrdLXpSjQTPPB31RYuOTfhOx06lzYkRjeWpz1Qjy1oWtZRWu8GKdNtajfixo3nz/Y3NIV7
R1SBOleEt3k85ML8gsyh96XOau+51xoZH/aoHmy8XIf+9tAzhtbTNIT1lkGwMIujKUNnwErRt9lY
bh8AgHi5Tdh8gMl8qFZ+50Kgz9XPtV8XrucbnejKPLvUhjbQELMQohzm1/VAX1rRy98/rCixMzlW
UEdN0mmyEzZN7SGaLGen6tJf2fcLl4W5YreBrljgTtmIuTZ/ndovt2OudGLjiCLievBHqLjyBpu2
nczutreaJcguy0ZHkro9e2lo7YZ8+l44Dbybu2ol2pYWZrZ/VGnKKA/wFgGg6E+TL8JHOcCKjeXu
BWyn1vwPFz5Tc0ZoWoAOzTOkpRT0nNG3dja1b1yWWcarOO9zR8vijFZU5L9aUsWNwdeqAwP9KevW
FOMX3mBOBB0cF47jqirOwDifW+m/AZezcjRcevTsFjoFbCwKn+jEjN0dEIBJXtQrZ5NPe104dc3W
t+s4TiZR6CatD/f5TVrIYWcBPw/WsJsfqGzdndUB5g6sbvXXGax6JeCXxnX+HY6lKByoe0gClyzz
ZewqGVdE7mhLIVIlRhisdt9tRgGawYFlJVYWPhxzgWumCqy5ae2zX4GpW48jkD3A28SMjBgUjLx9
I8I1eOfCks1ZeS6Mpd0SM5t0PH8cM7GrMrp2Ul54kTkrr9eVx3OCFyk4AEI73u/6L9ku33rwp4+z
3xEcCR7qJ/3Ad9nj9HQ90SzkgTmyetKpmOxUN2fbuKfChM49UNt6R/NRbjPSWIfrwyxN22X4j1ka
kpJtg4LmGecU+6Tzuvpile5NRuD44M6+AYC426MFzmfCGQjaBqWwIrNPg2RmPzhmreJ4edonZ73/
MMu0NfEekNezEx7q7FHlT8p6u216ZlHjAj3VQm0NfW9avnO3eA3yNULL0q+eZUkotHLgvUInMUFW
QGmNHj0Ch2m/5ys9+4VdOwcZD/Ak7XwDkqcFvxYohAwFLHPSHwDLxe6qts7C/pkDjUs7TFPLgahX
NpXPDAbAQ4ED9E2TP8cYu+MU9kyjS0EaEzfij61vPAjOhXNLAlFlNYCb2hVC3wGKAbFKBclrmhFn
pcW5kG/nuGGoEdC2q2Hb2nRwwYSoMcljFJa8bVkpvmsB16s2iv3MGraflMvfr0/Z0ppflulDOPdV
1uSlzZ1kIIG/IaZ8Y9QmcSfrh3IQb3UF19bbRpodhPKA9mxwIOPTRF908BfyL1uFfearn0V7E3sF
gm6zb+V0cYmdQiC+OeuH/aQvgAaYmO4hWbnGSvX/3135JHvMYcSVh0KL9gWqiVZW7mnVoSbr1OpP
CNst624CnPyBNA3ECATqxOUhKOzy2DqmKmA1EOgiDoWaROyinYtvQ6sSIF/1JnJ8D88Km12tM/Pd
5oTDs3YMt7znk7dxFchN0B/00xNafUECKctyU1O72w5T6v7xYH13ApPdR3HIKaIH109rnJ1EtrW7
PtuTLiB3RQ4xMMOjfN+ZHoZsQofvtGXRm+MYUGuDsfBfcV1ge02pDDZeqcy9NYrsjoSdm8dRUMGV
l9XpAcizLMlgF/4LVScIF3AkodYrxSaPtL2PiojvCS7mr7wbBGwq+ukQlJbaZREeHpPchEfpOOEX
GoUZyue9/Qxln/G+gwRI0jil2XLKxWZgcDSwO9rEXHXp0crC6hiVzhjbOUw1aeNPf3E2CQ4+0BJx
Q+EtN1md/zaUwpwtO7APOEgMW8bIsNWmsuNRhHhxb6zurK7OdhrCwq89BBJiyDxGL8QCGDPu2ymE
solP9lrZEIMuG5x3CqCq60CN29rxSpDKaLUv/WA6aK6adzV57oHpkX1pAnAnGoVroVcC5ryZugJ8
8jpyf3V+MG5RlZevygf31+R1f647/9z6A9kNdCghxj1mO/g0BwfwaZutVKBE8YI0D1Dddp4h7BL+
crMOpfdOhbil1OMpqATHJTTrzyEz+p5qJ9sbGU4XXW+Cqpz3TwMLSnRD3GBfuHYMhQ/AgHkZbrzC
mWKP5k+WsMhJA6W9D6n4nXWNf0LN1H51vPat5GV3hHsU+QeAhLba0FoN3wkxw2bsLzpiuFYKiPZm
PnxH0lL8bUwtN5XRBnZi0JqMIK+8BeAyfGLANb+KLtIPTSfoLpJ6+l75Tv1Fqbp9yMYguxsK89d4
ugGwWrPHsA1TTIDO79uw/RIoWST9RAYsSC3OGmKID7kTqD0QWTJ2df01hKnGA1WYYaeU4pTiiadU
ev2h5sIXGzm05VZGgX5P2Tgmxi3sA27R7pZMGSRm4Ba9Dwz141q28N4I6uYgyeT+IsKIu6aowYTs
DPxNWpefqNEDjoh5c3Bx2t8Vjp2C/AXAqkL8BJvamuRd4/NqE7kuXlLAgAo7Wm6pQgk3bdAQGEWb
71kf9k8Undt48jK6taQzgpAs8iNkWaNNhZQS0wLIxQgKp5pquSlHXcHVI8gFGIY0+hbIgD9zpfRz
D1GwrSz7bOvrQB0hGmf30PeELRHqLlCW47gQ7DFceG4tq9g02gaTIIv49NzAd+6pbFi6EVEtE910
5iDc1kMHlv1J3cpLIp+l28xFez91g+IYwNk0inPaQmmxCWV98tU0PNAK7jmbVDv0m7ALP85JiLq0
I1LwGuqBRnCZLKsfDlgXBVT0SvmkJ+FW27YnkHSoQG94jHQdPXCPZj8Cx/qqhWhC5I4Gd40cKWRX
6ZLuhTLt3aSA9Ks8DGLBdOUeNZh+HxRoGQUVShCVgo9hDAj09DTl2IU5D6atrbLoPFLV7yjNmy2V
sFdx4R3y4HRD96BRwtmXuC3d53CPO8OsVH3FrmZfU9d2v2DvjC8o+I7Ip1DG9GM6mobGNvyr4OZC
zaFsiPWC1qP8BmS0DUJHPsC1qZd3RHPX2qYjypQXw+YQzG8DXT8ZuSEK1jJAIjU5PzqjRS+24ohN
QXLy1vBi2lh5RncWn/SPdmzIFoz1BjKKNIVyQ1nQfFf4Hb5qOkWXuBMFOXJJqzjI+bjpumY8Utd1
H6dGdVs44IqHAiiNoxn8CSxOirJbRDxx1AYQSdtl9uNYcfdJ5Fa9baap3yOCsU1rxIIMK+ig2GN3
gIsW+og8bSGTNECY6QTbB/mFw9Vo69rldM9l0W2dgjl7RqvogdgjfdFCD8Bwq35Pe9zcQDdwHss8
A464Idk/rXG7fd2r/CFDxtlIb3K3LIDkdwn6V5xRG27jrj2xuLBTsy8u4KOSUpyBcPziapNCdOKJ
AiXyUpUNf7U7oJ7qikHVltXlvYKY/1tV6jQWUybfSlYGZTxi95wgnm3vy5HYe+k2TxHMv7eFZ08n
13j2D9TCg2PKwmZbG0kfAO+Flxx6njGEIMx9lBsq4qAYYZcDSf0DqirquULPPNF8qt99Oogdd8vw
AJRodBgMDCa5m7dx7hjvVJuifavdEp8uWacvAzfmVw5Y4QGgqfDZ7RqYuGvFECc2xLVt+PT1lgpO
eUQK1Jvr9q5HmfPsIXl/dx1rfOOd/K05cWDWGLS/2wH+zBuN8vh932r94FGr/Tl4soDEY9ZDhTEb
9qA+m7vBTGWOKdYuDJdHhY95afslEjh20a4UqiFxP3hq60Ht/Rv6jOwVsnH5TwO9ii2sF7xHknXs
e9cGHUhHUI8m9kQwk3b7xZcEJAUrADY8dCQ+LClr7joyuj/7aYKfsDGwn/Hq3DpxczmMdZDSe+1s
H+hZ4TNopUty0BkgXTIj00Mqa/nH7hmNSz8KwZ9Cl7nUQwuoVF58y1pW3OU+61+Qt6c7pF53a6eT
/yK4qe4UUtyRW1APdw2wE9tadSQJBxy6KgZBRaftsi2rbHDmhpJ9GyrL39tVzU+1cIZjD/W6s+PI
fKvdyXPQxHKnbWHlFzegtkLDMhozBU5RJpDO6+jkG55e/Jz6f2ChlOItWfUE3rG3UvFZuOjNGSKt
13mmpS06fwUoISNz6y1RENd2IfC4Uq9aKBbMiR0NZMoCvwlpgjhMQHLtNym+S01d7yLLtzbXT/wL
1dY5wcOPTOApWB8ldt9A+bEjd1JYdxnr977IT5bX+ShMuCt3v6U3ukzmh4sMaucRkuhFVrWDjk5Z
ncKshCJeqU6pJVYAzQt31znHI2tqGha9tJPOMhIkQDCu5Bo/dunZs+sR5FSqsDDMTlSt3iEAiBQi
ozV279LDZ/eiqLaJiHoFxQIYrGyN9E0C4qG4rSTkzQoTniO4VzNYkHiN9aM05J+BrOk6LIXCrFEV
jMD9Sh6AD2GB/NR44iRl+WCz9sYVnZVroIddh8FYYdZ96NMZrcdY8fH79f2/9ONn86IGU5dc4PiH
o3C19xis3Awx/vvQhMMKd3/h+j6no4gG9FVUaxBiVuCiFARA8OhBpG76XkfVyySnP9dfZSG65ryU
UDjEVARyDbhMbVQD2x/IZQ1wOK3GNZzk0hCXV/wQwK604VfEBycJR7XRzj+t0ElDdxK8juvvsBAE
c0pKkMFji7bulNgSR6S2v2vLcKVytrDScz6KGIdiquFGe874u4WvUds8t9Nag2dpjS/v82FiVJE2
k4AUVhL6BdulEz5TcOwut6ksD6xt2lh2qNhcn6OlsWZZyAhe5n6HIlQ2ptVZ+dGh98Q2aGBK2MNQ
CETDaM24eeHrQGY5icI5N0qpAcxNe3QbiMLfcBLIGDdnPx6nrNqRcQRKMw3XRBSWdtgs2HF6qjyg
Whg+9Wh5B9odYui/vsNFOY1DUq7U4RfqeGQW9WVqFyB+Z5ACzV56KPiPrb0V0zeRiRg6Erum/+4M
KyXDhdWaE1TcHqc56XAgZ+VfV3/tuidf7EasVWF9u74fFjb2nJjiQ2E6HFsLJme2OlWe+kXTflv3
wU3CXLiGzILehGnGbOM7yeRzHduKvPcjBKOv//il6bnsgw+B41c1JKAICnUMZ8yYhPUhdMHyd4pd
5+kvFs1WkvDSJF3+/mGcyoJGIW4DTqL66U9NrNei0xfByrX3WEhcc4YK0VqJYAQ0JWjc+iRQs33o
BhQirs/SQlTMqSlNWTngeKJlaUgdy1FsHfbNHYtdbXnb6yMszc8s0mVFLZ9W0FExNDpQEf1OmYB1
6RSsnJeX5mcW19RVzPcj0Blx7YRygzrkvTxd/+lLW2gWzK1TEqefHJwPMmgtqL9F9pfb2XbK0ddZ
OSUs5ME58wGXKZQRyASVEg55hII63VPkpuW5GsxjmMm962bTzkqzcGU1FtZ7blrVahW5PS6qSeVD
3H382/tqaxc/O5Qxrs/ZwnLPCQ8yqKzRq9FYNT3qBihRSPnHr39ef/jSr5/FtEssD1ISJMKdQh39
UnxBuYVvrEE9oqLi7a4PsrCh5rQHOFxBxGHwnOSicmDp6QuHPsjKF3Zpdi5jfkgWqEJ1UetnUQJl
zq+ZZb+MFowxwhUkxcJ+nbtOUT9qwSO8sCGZt+FVA8U+0kW4q9qnuvFU7DCwxa5P0tJKzKI6gnKm
6VtYsVB1pNLaeeJXAXVwlP9WNurSTM3COiszWxVgvp0VGhc0/EH0AwvrlSVe+vWzwK5Kr0BpCggW
UAS+1hXIwg6K0QIo6Jjmci1zf/4K0X/ID7bSJM20OTN5MWEkxXNtfIISol55jc93ajRnPwiwWVpB
pZOMaX2CMvJvi0UrIIbPZyia20ihNNdXYPMhL/neHURxvpmivhO284q22t/rW+jz3RrRy9AfYqEu
hsmuNWlgAzht2gCdTSn9V1GGr20GURVdsTW04NI8XRbow0ioMzPAIEV37o1E56DxvxFSrdwhF5Db
0ZzD0DDCoZVU4+HMMxuu4dtt1163Mzk9hvUAK3j7AJDl13wyP4hTPcJx/PtIy6du8p6DonrumPNK
Hfv1+qT+n7b43/5kRGdneLuxITiDvlVSDhF44mHqo0bPxoMPL8eHqFLZo+Hy4h9Yy7PleXCeIy45
2Znb/4Q5BH1xBw1e1OSKVw+qL3Fl8fYLSEro0vdVj39DveTVU0C2dL0BLtoe5aNHBnLnOvK369kj
AOs16WPqU/EIuargbqygP9PIDDWzrOLPsMHTcd1LrHIzkQNnLN1jBsfY6vv0PsVt5ow6iHPPXX88
MdxyoNEjnb0z9fBltalWQDmi4QPNd5Gg7Me/cxm224pMzjHXDtshcU/bjOFrILkTwVFQpKCMAkU2
pfgPoGijDW2RGScqs4dS0/w9HZ3wOAS63o+ZXWwrD2mZjd3w0NNwTWV/aQfO0qWUmkr34rESEPHo
uvLkeenKIWUpy8wTJacpiEGAs9D2YHl3LHz29Mpl5v+3ls820yxPjqp0LO756twn3kHegeGr2ti/
C49ik+2qI3ksT+mjV8TNA65q9+KxX8k+C+80J41Q3NSAdCDVWUKhXe7EKAYR9w0ESkkZjWu8+4VF
mZNGcgFuIIzlqrM9mV9wuPnGZb4mbvb5uS6as0XQmIIpKxTZkwY+mXc586w4HT2z62o67lC8tjfg
sEfbjJvu7Xrkf27OBTH+S579kOXSSPCU+HabkGbcW05/qNro6KfA2AgP5qrVmxr7LXXrjQtBVHgO
bQcoV14f+/NUHsyLK7UV2j1QDx1o2c8FGR9kLu6VZFt0Kh6mbtzeNsosjQ8q63tU8puksNBaZaLt
gakgiUqrH2WJriwK+TeOdNkxH6YSjQ0IWWXNkECA7gd8Q99cxvNDl2nAOlrz1xt0vr/+Tp/v9GCu
/hGiba80DF6ThpV0AzCOA9kjQN0GpNTbRpilHgfHKGGDXZoAaDs+tmE1PmUBenoZGdZqVJdp+W+a
COZSH4boLu8MVQkNm1++AKigRxP4+s///CASzAsqWactoEHw803ZHKj1RiZ7Z6m/zF6D4C+swPx+
3aElFo6EdwmqTjgIQmGu3NUOQ6u3bshKIWUhPua3bMe2wtAjmUjECBpLIS88bYBmToRyGNNI34vD
ng8rR4ClF5ot+CCBNkJi40nRwrC9UGjEdp0XnFQpypsuecFcc6DMh0xOTgkEnHMH//FdSI4pOnXX
V3zp988+OjUHyDgaapV4RIqDQM/15Hoth1hiVz1fH+Lz7BzMb90jZQBh8bBMlAMvXlCGHfWTlVH4
MlRuzWPhoN2s29BHidCRdGXQhSiZE8SbEZcBqlKewELt3kjr9dLUvv4+S4+eTRktgrpjQyMSv+LR
Y2/7f3vYNq9s3s8f7s+vMShw5akbsSFxGJTT0jb9AYZBtvLLP48Mf36FaYdQ+hmLoLmpbf6TZwbS
Imr0ynvHhd7JMNVesLFaGq7UTBf21rz84fGgTEPkV5zKx1/cRG9BYH5I1dx0bgnmxQ80Agi1plHg
1gSod1/o6mSHjQPsDFtjvH++GsFc9cHyW3jRRrV/qmyn22VpMB7asV2zRVvItvPah65Vn/cuC0/8
gkfij7TWsbgIhk4v13fq0gCX1/rwZQWwO9QNJBwTL6fjj74teBb3E9V7KXQOgGAaFYfrIy1NlPvv
kYzXO7AbdBBupdMdWlCP7yBCxbe3PX2WZEe0LYgH8c2k6dt+56YjrlmkqVcKOZ/nJ39++1ZT5UV9
Ly9sbOgxV7blHVhalLGKBLBM0MzduH70D8x2v97yNv78Kt7APDsjIVHJNFUvdVG+tWJNMm8pwC+R
+GHBHSOUVduhSgIYLm2CFOguMfj3XieOfVV4G8GalTbc51vLn1/EhfayUUWySUrcttlQHWjh7Uxp
Heuhfb8+T5+nD/8/l2vSdr1TD0CGGOs1Ne2XKDQ/WmPJlWy49PzZrhpyWdiAETdA4HlQla12gkVg
Z07H6z//85Dw50oClhnApab4+cYdH2pZDzEHk30lIpamf/YNYm0pWEibJumKFH5jorRiB9f/wVWP
lreGCFh4g/nFsAfKjnUe1ljDaPKus/LxwFtx21HZn18Iq2ao28nzVJLDjGabjfk/tXbCjeG3nZsA
Y/p3MARjigs1eNgJ9F0H+BCW/6AsVaAdvTY/CxtoLiNgTMOqkaXYoOO7Ct4788jTlXvE59K1jj9n
qpfWyLnl1wOEjEULUBXTwVZhsZG1bUt/D92g+VG7qv8q9Rju0qhnZzZ55hiOjt47LHN3Kgsk0Iqg
NngZVFM8bv/qA5R+wG1xn65v8QX9FNyw/z3F2sNxBfo+6UmUHOBw3nftc0OZH24yhRaXK1l+LFPR
wrBqoP49LGeqHYDnwTmA9UlfRhSU7jH7aqV8zSV1IZnPSfhpNVUZtN3ALa/Ts1b9ncqjp9ppXkgK
FXzlP4OQOMXXX38h284J+Swa0Hl0UXa4qGsTureA1CbS3tmAqqIXc32QhUiPZlM8ePkUNZ5JT1jn
322HMu00TQ9VWv0Gh3plHZc28qyqpR3NxCRNdIrEOZD00BJrk4/VSq5aevosV6FSa9tw4bIuTLlx
jwpo/UiArPiRTvVao21hiDnJXkGXsnJ0YJ187O1WBSBwB9lB2S29bRXmPHso9NvZFJL01IB+srU6
cT9WSLya8+MI4OfKKAsJd060p/Aq17msQDyh72H/lzQrJ5yl6bnsrQ/HAqtiDougG37qnDsNE/Rx
eM1xhrq+QRdq8n54GfXD04PKt2zTT+nJTuHCa42uewdnYieG+26GdJM7ausSLn9DXivYQd6fbhxT
lmdLqekwTmiSgTEE0fQ0dFDGByzbRPZ00xXBn5PQi9RiruPgxeu22UBIcdtOT351k1Oj44ezQ28X
OUVdXJ7egsGVZ3HFTsT+Z2VWL7H33zIP7Jf/PasK/vEpJMrx0wcm4raYhk3oypgh0YtW7qHo38Zt
hLutvlBujLJ3cB1dQVksJLa5T7AHqwAatk56IrJ/TLM81j5suQuxNwwWX+PKbl8YZc4Rb2VpF55S
eSIaN7Zg4/sEeH64z3zvEYrkMqbGXmkbLez/ue0ugwwTq2idQXDEK46pEmofGvmHuWBZX1+uhcid
S2cGee43AKTniUff5cjOdshXjpFLv30Wu42T0Qku1OnJrcnPoGv4PsMJO0jbNWvWpQEuf/8QvjXU
haxa2+lpRMl8U1iF/yidpn9JU57fODuXWfswRDhExURrZAjZHHuo1tjVWmd8ad5nIdiPqtO0KwF6
L1Fvb6gutlKAgHV9VennMTjXA0hdyEf0I363saHzKLv0m+36P/sx/zXV5CkzkRMbC4wVFR2uD7jw
sQ9mQa97r6pTy4pOIdPtaXCcbwHjry1t+njK1yTIlhZ89j2eKr/zs9BNwd0Zt171Unod7CbGlc/B
wgFszvVn0GbwK4mGW9ewh9xt/il59wh/lrfehu9M4X7lwW3VGeCO/r2tAosBsWrwIsQN7rWfboNU
rHw4FvbVnOFvpqBwJRQ/T3bNnyuIBsNYY2VTLT16FtAFLVpRF/D3dHOcz11oQE497VZmf2HHzkn9
FrVknTtNkZCSilcUjZm/QcEyCHe1hDoZxR1uiG09Nt/0FNJTSytz4xlszvQvRq2J1RgYa0C2wg8K
eJacjfHeboqMuTwQFyZUVocX6yYYnJR73+abMIDbTbTWoFwIi7k4UJG2g8HaFIlXdmUs9FEZkPg0
RC6vv8HS82exzaQSFC1v69QU/qmcmq3O6DMt6EpXcCF1+LOoRoYldXOJavjzxDJ34sb+EfFna63j
ufD8uWJBCKcEXDUR12XJ6rjJ7TRmSOc8km9FHjm3BcdcsqCBO4sZoS14AmvvaDN/30vv6/X5X3qB
yzHkw0coK0JFM6CFE0eq7dQdoxaNdKeJoee7v22Ey8gfRghoG6miwTEDPF2/fLQc/8lKH3rfWbmm
LRyY5rIFbu1Y3uTgWAbu69mpsj9pQRHNqj86lXoHGWcNmr6Qw+fOZ7x2Bt8tUyRWmDJxnC+n8J66
zdZwRPb4UrFiJV0txMTc+SwzALaFOopOnn4E/nlTQYcISji3RdxcogDIPxoYSLydQmf4ykI4SI2l
8+a3a+u9kMnn6gRjWCuamiY9VaULxjzZ1lb7en0rLU3MLJrV4A9ws0Y0O+x/nJ1Hc6RIu4V/ERFA
WrZQTpS8WmqzIdpMYzKBxCf8+ntq7qaHr1FFaDUTmgmqKkn75jnPoSHgOWEXzKFAIOmHHr8OX8p0
mdR+I52bmdHvbEBppCl1Cj8xZr73P2FjtK2NddA0ce64WECxJMPeDcPpm+11tBTXwDIbjb+21aGK
QH1QKZIbaZpPJUCCdhRXJqGt774ax8orMyyL2BHPY7sjxadA0ciqIiT6+f3G2Xi75PL3PyYKCLwE
AEw6xRYgGw8tJqUbOrVibyYnuXJs2PoNl2b74yNGDxZ/dTnySPniDVj4+bHiLyT54C6GkP8+X3n5
kisq5M3k97eBayM3ma5UKzamuXXSs4Xpnc8VpjlecvoFiXddNM/Zb5MOBGI/r3spmyq70kxbvWi9
KBfgXIzziDvEqZ72pVOqPbXsWq7D1ktYjWJb8FrTftBx5UKNF5KudA+u0VloIJK8031QXmmyjQ9a
e9NyHlAJmU4aB/LO659k/tgl35n75f3u+u8a/5daxNqSthSt5Ey2afzly8ONs3+4y5/pkR7PUwis
QQi6Q+RHdXhOol/gO4ROSKPuiOuniOywgQrHsNt1Oy9m8fJW34hjcws8uwlN9AJ0YjiEv97/ln8f
VFA7/rdH1nIcU7RzGw+1RHZgB6NRh3zIerwWJ/f3RhZr7+Ws+67tGS4spmrZ0+DNa6HuAlQsePvQ
D/ifSXmpB4CICZCoOcS/dVgWP6m4Jo/+e0cX6/kYBBqvGaaqjb28rO57x2kPRZaq3ftf/e8bBrGe
jFkrF6WnaYxtoqB1+pJ7DqDJXtiLA00O6UKvFKa2fsXl1fwxqwW4p4VXsYRULBgApKBjdy6K2jm8
/yu2nr6aljPetgSW+CYeEND1MKQlGMUAc11po43us3Y0u6PRqQ+aO1LrnKOHkxLuSJq7ukHSFVKu
r6mvN0bBel7u5nnM9DKbGFdAp5oh8m0RiQ691v58v5H+fsIU69mZwznKie0LGDZSs5/zBpqCigi9
rxAZ+qMwGY9kY8ArAgSImGy8djzb6mKr4U0qjuJXmVZxXXcyhAX6Z9AbETVLneG0mWXABVQizhx5
7Si91RtWk/eUIB63K3p2E7heEqY1iOpm8usr2piNp69nbFqmi9Yj6qkjgXglyJoadutMfmhZE+sJ
exxdACpmVca1yNN9g0zcB1zhXyuObCC8xVr8SmU/inSEcIW09pe3UEQ8VuxRk/LZy5sxnAqQAPrp
Dty8X4VDP1YvFmvd68Rb7aDAV8UJO2tgwnmnDi3BXZI9kfpjO2OxtheDMt2XumdFjESQ7MEWObh2
Qe7U95ns8itvZ2OM+pc+8ccslprGm1yONM4sf7XJoelrlBDLKxvvrYevNmY1YkbmhDiXSMl0AWOp
6HdpTqu7lqtrx8Otvuv/9/urqh5G1gXm7DXyrkv5TSDIlXtv/1+h2//uNcRa3koAHlhASwngmWtb
6LihX3ogSauWcCz18CjqFDCbYuHR4vP6mFI9kZAOINzMKu13sLVnE3iEbXcs897/Kt2GDHczLjeR
3Oq2bXPyXV4+T5Mj3Wj2i/JX1nl1C3xY3dwTX/FbhPcyJBOXbXv2uK6RHsb6KXKlzIERy0S0NEEW
zQCCRTYJghde9daGTebTh67kiJpaiu7RhXDiPALUdKdZI2ICIFNUeOQIjhl7KlWSR+Xg28/EZcEB
5Q6sxznxPqFgOoRQx7uHBIHVMqLTlH0qspzedbal913iOzvilfxluvhdEWX2PcjT5AfratwPuV4D
2JDrHhfueL+o1c5nOxrynRtWHHJHUajUmZPtXT7KZ89vWX1fMYV4k9zY4VEZ4927Tl0fqgGEM8gG
HCkj5DrP4BMmUt+y1BUySms2DHsf6K/XPHU8gEwc8KYWkBmRtNQXO8zM3RE2D3cKFdeKnNsuMXHq
zWRfA3hyz7KifUbdkcbMtO1DMvvjXUKA9UmQpR1NZmZ3o5XBU+b2/AZRBOW5V6S4A16HfWpcFzoH
hYvD1IIEB5SY920MvLKMyEV6YFRaRgVr9E2u6+6QFEn1sxwndz8Esz4JyfIbbzbFcbRucxSLn53I
4AU/JHVAm8kYKHBeQ6a9nanZOyMHNJDl2WeW9PWXEj9lidx2DCxs5UNw7vqJhahGiir0LZP4XyEx
lkv+KHnm4yprISQqeKMRJm4qnh97OQenqq7Q+Sz4T1R3ztElZDoRvLuw5kly9LsFe0o26htEEXt7
BcrWbQug1tnwNLsfq6A4QZwZhDU1dOfWpEWybtZMbxL8IfDSfPuUtos8TAnndWh9Anxvzhq+k7ry
dzBMZWdVAhhWjwKB2wgS3yNkjCN5zZWHgrAU4cfNhE3CuOwnBGH7+9kggoEzLLAO0H0PTpMCm+e0
6V3gZggVr5CaUQDQdmvhM48NScBJyuupjVpULcIMh/8RyC3RHzgf7YEJNX/tSrgVTUO6s+lEe9MA
gPVPoJS5b9t6yiJf9kmGVXbqkCxkofyKLBBFMqxqVXW7Zkm1ASWKgneIpO5wTvnyeSG+v09ql76M
XUrvC+Op/cDn8qyycpniYGaVg0Wi7PdVnrm4pPVBqRsKVEc7eLJ8k9UvfNb5sSwrN8KmUh0mqN9f
PE/qY5DAd6+z9DnFIAzZIsWOK+WdF585oU3S3xw19Yi4oyN2DBj5nZbDfI9KijiPavEiAelJWPZF
tbMX8VGPTKTHjiOb9cYjg/wHfHdgWWFU4jIaK0mOCFzrwyCY052FaRUOksT3EEm9WBCZ8W5+enPe
7qQqnHAQUKrlClRDMWaAiWFoIcOnRXnuhhNDwcox9Q/EepWRHW1+0xDa7lOXNzvW1tk/ieinr4WL
xMVsKepTSc30j4Wf6Y5L7f8oO2e4qd26irim/JQN5fKACHQZzaQxuxZws7u8yIpjGsjusCRgowKr
yUgTZTAl3GUIUgon1kGezmSgH5ROxMFrjIuTr2XIk4cLrvnhX8KVbxz8owxlYLkLVttYILVg8tVd
H8xdjTi6CZV34YmenonIUd98f+u6sTSu1bzjMHswzyAklU896JaVtDvcOpchLeE3+dhHXD76j6Ud
mSW0yPq6Oas6PWjTn42Yz6NhHzuhrPPbBElFMCbSnBGhQcKxYkc6jtdUthsHlLWhGRVfhkk8MWfp
fsrRr+YEQZe4UFXONS3TxsZhHXNJZt21QqcNcK71tz4I7mCivqJH3Xi3/+NcCUrXLYo5ieGQYHs7
yh7kNY7XUHX791/tRvOsCSBzZxOkX1RJnLX2SJvkx9gQwNXU8BOV62vRRBsttIaA8CYgRZ4MCGqf
zOPFPgnU55UW+ntZDaPnv10T6ChsY2nZnNsxmu9aP8qLHbbO4mPIf7HOpe1LhEEthgWxNeVP3/9N
Ff9QMVysE2np6FZuB2reuQLXrh6KKHOr0HOuHfS2Xux6O+6WvsTKgl6pyZPqlhOD0iXp5u/EpFe2
tVuvdbUpb7PJGXB3BnVU/4Xln0T14/0+ufXc1U68BjARGqCsOZtmeQLD9M3r0+f3H73VKqvz9oi0
DmTRJu25JXzvy1udlTeBvjfTx9I6xL+Hyz+mSuSpcH9RaBNsk4FGLsXRsisXZRvNsnYctYPJGPKv
m3Pg/66aF1wSfKhN1oaWGmtUlzrIB57ECwoCB9fDnrdPjqD5hu9/wtY3Xw1SLPCOoyYPHmAc2sOx
LsGLLK65A7i81C7+crhyVzWNdmimdGggJu2T0Tn4qU7frK7laSBTcZg8mPE649s9Y1ntRQsrsqei
hhm49YVKIwYi5XRogsqeZZP0j06huwOntfcw8lR8dcEJ/U542d2pzMs/QeFZIsGbXsjAYAyXLZyq
uR3qPTPzcoQsewEHvSV3ueiQZ0ZaYLjDpapMFs7D6P0z1465RDP/LvNp/mFKichMhTuTnWuBn9lN
LqUZNtmy++RykBPComHNZZ8lB4Hzrq5ulryabvoGysMI7jl7n2V+IcH5bQ1eG3dRuCYW2NtFwOho
SXaQ0KI/j37fhF3fjwOeDbhTRcnohEhJmHeOpXafwhbSaUT+ODVOmAN37D0vFvFjIdrezrD+HwRv
5sgbL7JGL7Uk3Tk8K/aKT+ouKMzyFUhfGeWyNzw0Y1meshHIUcRaMvJND96igIN37EHnDY4gQV64
IBHr7h7spuQ+m/PgWMxe8Qyi8rDzJHRPYSAKAJwxVtOwA7roTjDdfptaWUey1+JUQJe2S1nj/Vhk
Nv5kcO4fPIgzUTez+tOMHefOWwBHNsNMYhyryU+POMU5CCbymsClv2valKs9NrL0oLNG4xzbT+m8
98SSHyxQOZEWZo6yuf4nxxn4+zyNOLkHLn0uuWtAWg5o5Dp+/rXgQR75rSPeMvghXqjtALTV+EU7
hvST8yJGc8Px17ACVvZclAM7KpGKF9DVB2x0cnOCNjatwslzZLArG5p9H1ygXLH+yi+N32VgJhue
69AZq/EecNTqqJFTFbbtBCZLXpr7BDp1qM9qcWPmBGcKmwC5BeRuS874moV35inDeXFUTllHphZT
tQfXcnb3rVTVGQtnG3PG7JO16bCHH3M5qKJtGsB+e8QY1Qij+Op7FOQFBagb5LsEShsfg/ctsBV/
gFkDy63H9LcCAci/ezcpfs6oWD6gDAh9J/xABgzuyn7yStcQsBeSRR8Ykfxhgo8EB56hNfCtJt09
qiNdPLBLD1iQAu8DdfA41Nzdyc5ywNxNcQB93NuzNm/bULQg0fr15CDVcDYnd0waQBcKHZOSVgqH
T4sQUGz94lY6/oFCOnSo2taNGE5pO2xFGGoTTXsSou9vR4zrPfdAheAIyDmyZCn2ZdDkB7fll0OG
avfV3ONArgb/Fgk2OEQLdzq2ttWntlF0BzxzD7Sz6r/4mma4FK4rbwd0I0LE3M6OT8WcFlEulv7p
cqx4xEy1xGr2ZjgfCpJCk7MY9NwA/Hupe3BgVVI8czHBOYoGmI/Sy6Exy1LZ3GiAr8GzW7q7yuv0
DU6E8lOGs/+hxJj9lVJMOTjJDGE3cQfPxdX0buyMec2kYN80orF2Y12Md6UL5ZQvSmQAO33aTZFt
Erzy0oJMXMoZylhFCJSYPqRJJ8fj884Os7Pv+TiflICquaG0jFWjl4gGvfPUDFILAMxbeVS9WL6D
4wwBOfDwh4Ro+qUFe+FH6mDCAMvSHFXgLi8qS5I3dxEF5IBZG1ZZwAyKDVTfIoVIPPlTMN/ndEFi
NBgvO+UG/GRHhegoF6+3KXj6ULrZeIJn1duX/gxVjaiCPbEp/yERLBQu49J/B4pwCZOcuGm4NA1H
jm+fg6diij0igupXZ4G3uR1IW0RVLVMIdl19MJS4d8qv0MvdCadX6szl3tgqORQFyV5LJAYiPQPg
KyIs0eHsNhO2hqAOaiVxtETFtnEzFo0ApJyoQQGv7INP0oPipHbSy4Tu5ieXQkFQCxo8yppPXbhw
VK6Q+aqbQwvm7dmjhX1sR1KEOFzP9wEcp3cI1bDljlpBDxMlLSotPDu1xMVrmVJ669aT/pQkrv40
aI3Zz63Yjgd+/krdXgPckqqzkE6Fa1Q3fSoRNXUoqxa0DyDPy89OB7hJxDD4YqeiqEtQ3R6TqbQ/
L8H2qNvRDvkRLXjhjZMclhpDwC8rFUFvwU9Vl+XAfznjEW+3ATgwd0PiET/SI/ayOgdQAqnV03Iz
dJ2DkVs26uhOJQIO/EnAY4f5JC8u5XwAOxBQQb3mtk6D8fNkuMUOKpGIb3M4yKo8jepZms8GhJi9
N3RFJFPc/0Mxnn4pk1ndemIAYCGpx2dzQTundiGnyfJ+B1wnzuOiz6O08rvYRckd3Brf4tv4ct5z
qughKYMlUipFgCYqqt6hKds+QrKMjqfMkqgBaPA4Bb6CpR9zixMsP7yOp98oaewexD62x39MEFIY
BHHXBC36FexfTAzBrcJe6sG1uL1CPdNpf2W6mk5AULA3rD/+GW5GsoTeiFnkgBuOT55jEXWRuMbf
VbYATlaoTD+qfrKHugYcG1X2aieSEfEejdP03zE+6JdOoj67TF678+lonpup82+SvFwOiGJhGMLt
vAsSMj/j+uSUVZk+Yrc0ouc09BZjlz6Wc8B/9qjz7QA6L/ZC1eaEguP4EGjSnIokIVEFYefRzp28
AYd5Ro4Wc+4z4/hRonrnHhtT7zQCib7jne0e4KFMHvOicF4a5Tevfe7p18H2VdwH5jEDRCJUCLTf
YWnIjy6tusuyPtwirmk5WHTJE+2oi6pwMu48GCiilubdrYYg+WtbYAEA2N6Wt9qrgrt+5AMOTiBC
29npf40dymhY2/NH5fnsYXEgLPdRO39r6rr8rlD0C02AgtrceMgFQGzIE3eZ9yQKVT8CkFj8M8u+
Pgip5Rm08mcwzou9SWl+rGVb36az770AUuT8SmDxfxltyY6umog9tJhp7hG7IB567dkwoN7wfZil
/1sM0o/xg+3ebRNzkxUJfUaxIDgGyzy/IunJOXLr018jq+avJeu8vezb5ICrqCrsEPt3lyw9/1kl
vbpjCLx5TVGMRcBDVo0vxZjm381Y9b+xzCMYJcDd2/ci78zTmHMYVfB2/WeuLuFLYN+MJOxUitJh
sFjQHLQymuxpXip4WcakQuGoNtkJC3aHupdHq/sMZ/X7vlXBfVU6w+2sqL+v4Xd6baznPEzaBc5p
QSYKSoETL3clEUNcL3LYUVdnIuQdl9NusI59RcJ5jb5eG4R7lN0uQ27JIy4tAIIy2IIdc8dF0VP7
b55bovJgkdMgSQ3OY1aX0dxp76karb6reE+OnSZYuYqa3CZl2SAmWKb3SLLBDQl0DEfRS/ao/ES9
plYDS2V5O+5TOrF90DrjDoszAd6eCKwgIpChRaH41No6eJx6pLEqkAFRrrf1vEf7Bb+SrBAvqFvb
y3VMv2dgltwWcPcBPInd8XkYA/eLzPshnPTkRUHg+zey497NqPvMx8ub571fpemDyt0SITSttLhb
QcI80uyrHVSU9JlNYJbufZTTH/JB8PugRcoAg3dwn/dwhNcJTR/qjOX3Dnfyw4Lkj19OTmqIFX3L
Q0wO9MFtnR1CCMGbyEXxKLDhvB9xLP+nc2cN7Hxm/JDatAdwHrVizhowsBODbOIUW70nbRNgrxpH
PXVO4NNdhl0V5vje7Mk4HwncmEc/qeSR0Ll5QrmCfvKL1om0Ysu+oGY4zsgrCcEW9ccwYw627V5m
/hmMpY+5zlzE+A78GZEpWkdzSnK2o3VwjTLw98oYXxMl/KpFgT/xzRmqv6ibv+BuMERnev+8uvXw
y239H4d4Mnlul7nEnHlioKSNq/YXAorff/bfKxB87cvvUMKaHYtn9+iHmPoj5HrIdDf01wzCfz9s
87URv659t6dj0Jxn5sQyyx6EHXbvf/etR1/a6492aVrj0qR1UAcO7rHs4wRypRa29eDL3/94MJJa
aWAdlcAX7CCvh72aMr9STPp7gZCv/fZ50+BqwVIJSz+Nbc8/q0Tf4q5Aw4lFPjVJceUnbPWZVdFK
0mJELkvWnlGk2UFJEIFbVVyL0tzqNKuyFeqzAc6GSFtAJks4+VA5OV/rWkaLey0ke+vrr2ooM1Kh
5i7zwe2ucH4kJNv3qn2Y3PGaUWCLLfY/vnsHIV7tiHsKwLIBmT62KkL27yv/KqIeh7Udn6+UJTca
a23BT+CPFbarmrPuYI0zocIBCWbOqNEf4xTwtQc/d/QEXFvaniXDNA0bEw4toecvoZKH90faRq9d
m/D7Tk6VbFAxS8Q0RDVJ4ypvT0XtDjt3EjYUOYo573/Uxptfe/LLUhFhJugeihHKp/FBV0jTuRZ4
sfXw1cAuh94tZhfl+SZ5qShuiVmHGBTzsXl6bVV3O+nMnnNJvmb9zsk/c4rEGJDZ32+YjUlp7VGv
sxYRcrWHDb0c9g426Z24Ri3fACH8fynzjwmvchPs0VFvvCnaDiUUFLuXXWbVOCH3Z2TfkETC35Yg
mUykdVsCgFflODHq+aYliNPaA70JC4Pvd9jTTs4vW+ISP4N+LZwk1BZZNyVX2mBjLK0t6L5XuFbp
gcCgdO8NKsoxOczQV3D/Q7eXfG1Bb3zf4KJfenFiVXmLSC+IaJGY/q3JHfvB33AZY3+0dZn6tFRD
DaFu7cISeFMJiVdJcAT5kE6Zi0vj/fEBicv8zliCuCAPYerqlw7gomxC7Vxpo42OuLai60LIFCAo
GrcCpYyC6FPelD/e7+QbA1SsBqjIsxpHkcFHUNFzVw/RFDzMCOx7/+FbX5z8t2HGriPCmfiCyWt8
KivniaLS9bFH+/99dImELi8dUElLJ/l50VWsVbn72KNXiy0ZAPOzpvdjnJv3gyNQVGu97+8/e6u5
V8ts10g5CtfHmXCYwrFrw65DrymuNMrGaF17z0fSpzjlo6Oggh9osTMoVeTjC7AaVz5g4+uvLecZ
HfPODp4fo1QQlhx93Pva8Stts7Hmrd3mJEihqEkGGmNbD2IVBcB5KcdPAadxzarfrXI+ZrGFqOW/
nSdFdWKm0lviIPkOjUeUXKUabr2BS8P9MRUgOhb1woD5MdS1/QFXRuUpwPHowRtxCi3zpCyuTGpb
b2I1bpdlVgESjbzYlzKIAgcFPOJlX4QTHD7UU/lq7OYTiBLGb/wY96WRBeVuubf1tfVvq5lWo3dI
jRgMAv3AXYhaDm1a9aVoeNjU/GNT8tpynqZaSJTsZkiFqwB8DLWvEnbA3va1xR3IB9/BajDXVQmI
0WUwp7KM+mAJHeBrlmtJ5hvDYW05Ry13KRqNVcWt3uYGBa1TVRwY+EO4QbryAzZew9pq3mvHSjcJ
/LgcCe5I013dZgeE0uGAemXC2PoRq7WXolzRyCD346TH/in9FBTpQ6Z/F0UfNYJeWx83BgO7/L4/
Rl1HqmFskXJ7YxyFvTEdSRwEORhcRDSvqir9p6wsrAxnofIDtEDT3iky3LdVFao5qMNDGqYU4usW
pFbewgDj3dQqo9Aiyi5qL1dZIQYDhfRt1Au0YaJBWbJH6AWUSxFi0Myt7roSdNHJdLeVU9X3yKlW
EQiL7BllbLBN4cZCNlGfvWGDM6CeORvoxxuV9bCIKrXz/aBnoTchwBgaWcRf6rqKB5GBvo7rR9Rj
h5KeWJ31b9xPrsG4tl7NaqryEBLZ4NrVx0UO7GFcHYaqD+0yfakhSmzHD/Is1wZ6j8iektkz57Y9
NajOFnA2QEZ6pQdv7DDWBnrU+vxxbhZzZqDyt6Q62PpjvHW+ds6TxVqJEnZzLtJnCfPcMvz80MzK
VvuLPs9VwmEpOGfqW5uifoeb0p5+/tjDV3NSU05ZOgho6RLqhn6e7434xFmy/9DT13b5cQHyfpj1
Evfj2bHBzhmQSZBfefgGdw2ZQf8dxjNsPnkuF3mTI/FUR0U+0ANAcbiORQ5nxFRvzkEZoHCskAPt
RBJgpj3SN8vI77oeqP0+OJhsbnYdQ1rxx37wav5qCDT3TTG5yOJavmlVwBPSuEcHd8RXOvDG1EVX
U5cPhTepKaZgx+f7Ln+B82dnun/e//Ybo2NtrfeYm6T1ZbtWIvy8IeQ768zvjz16tf9Ammwr/Lzz
4wAClSR79IZrLbL1pVcbD5lWPVBNaJHEtXNYC2yeKtC13v/aGyse9f/bxYZRdqMCRyJGmBfCc7xX
pNMeC5CJw2LqrnzG1itdje+hdXlFIQeKBx+Z0sUdXBChVdescBvT9tqvmWgONW5NkbbV/NAL3Rtk
rLd1OGOZcfIrL3ejldaezQLK8ExCSRRL8dLKb6oL9kvbRiwfrkjONn7E2reZkPLiiPGRMNKoBpZe
Tk955brJrkDODRZnNXi46xH2x/tvfeONrI2c/WI62fcIuSSUn13F9ogyPnH19f2nb3TYdUotaJy+
j+AEHIroGFbsm0evPHjra1/+/se2hkJM3iPryYsRfSwOuHE5s84+Zq3jHt//5lsfsB7Ejp/avERy
Wy7H05IPKRQ58iH3vMP7z996zauhzAoApWBis3E61ncjdlNh45GXusNhjhQ/BL8GXd36nNWornqu
gizDmOhn2+0zo+9EgUDtGQS2LHBirq9d3mw12GpozwOYwIo5S7z0c7ovXZYcAicQe6ZL+sF3slrA
s6L2FZKv03Otp9gR9LMek285/5gTkK8dmmUweSUDwRDZPgaBfXIH59krhMhX5j5yafL/1WLytUcT
t8i1WzQJJj+wH6K0c8ZDDr3ivuh7ODwmiAPrcNG2+C46651xKjavF1bBHoq19Aj/XV6GqBgNO7Mo
IKqzEfmXJcT1J1tXQbBTNM2hpYK77c4p0xn6SyfDbUXp9A8KyUGfK+lnb8vCln/SfKgPiKmbnuAc
9mPmQadU+GbcTcKH4G4Z5+nXhzr5WkHfThq60oQ0sWxnHWZlf6cK+ciC/lBM429Bsiufc9kF/aVl
1yL63icig8ikiW3tfE1KSHvG9iaz+rEsg4gb+2Wi4spb3JjR1qJ6iCEhvDFAAKeev4MhKg09fS0I
eOvZlzXnj0nNm2yDSYG1cbAMp2KQSJbwFh6+/y42xudaUz+XtBy9ArAB2PtAVO++WT0dwGO8diWw
4RFma4+wkQ7cUSbJY5Mp3MZ1ys9DbVOBSSfvYifHv8F+yXMsZEn3izMB0JZYCn5l3fz7wszWZmGI
j5lBqnwaN+wcUB1Sc2OhaRmYvvLm/96AbG0UllOHhJ+ApzFUssep7QrIFcQrnSEdfP8N/X2qZmuX
cDApCvmCU8RCTezQAMH51i+wMTKAy7uwmEl9hmuhuDbd/b23sXU2TjI5eSKbMUVFdHxg/nwqoBj5
2C9ZLTo4wo2sKEQea5pPD2k5hAmShg8KOuE9gdjjsvhdWUe33spq2bE6Jf5YO8DEAa5noMjV7GaB
sfD9H7JxM8vWLqOhDyY/W9CpFyn3/bK89pUjYy34nXGL3y70UrDMlqHKpm8d8qJDaC8gW03aL+9/
/r+d639nNraeQZMsSyjsR7hoo5j4zQuBNaulw8mhv+C9CZVXwWT3XU7ZErE+j6FEOUJyA1093L0Q
FPkEolo27i/u0jR3D0TUd0Vr7rMFrMDhNAbLF5H7HyIcsPUsrGEb6xTz8pir9neWB1HuNj/eb4eN
wb2edb2MFkZ6Oo/BaADQJAAupduVUCw0hu/f/4iN0bd2M8m6ELhUxpsWjj4o9WbkcNOwk5s8uuKD
Q249B3e4Mx1TEGljb0lg+JpuctNe+fr/hh39radchvkfi8clbM33WokmgtNL8mqHGJPjVPo7431N
iPpW9p8gWg4rCwbljIMEHc6wOV+ZG7feD/nvh8+ulrKfCxVD7Nec2gq0PaQqlweT2jpO8qq58is3
5qx/h+kfPxLSTFdyWHLiepgegYSJx6y6dhf695mErtVHIGX2FK5aFQsg7sMM0TVRgQ/EfWifXpnh
tz7i0nx/fP206dqsYtDiI1QBoCJif6Rj+5PAQ/9+H4bu++9bIbbOjhIo0aqOLSSuZi87uEM3P/Qy
NafKDToIsLsCucEusn1/GtlB5o95f7wZksV98wMUNuPAIY0I+64nb0w4FTzoxnklfpu96N4RMJpL
/4GBARAJUiRvabVoNBUp2G2X+uqmrXhyHio3e2NML4jebWt5S+ScJWHrTeqzxV0+ibAvFcc2JZ4+
CxdCRxqYrEMNyxeRoYPBnUSVBzUqJ74LQZ3r7SqwBWAY4D7IrIijPEBvTSI4aKpTe3F0NN6YnhK3
lGFgi/ZQ0gX4ObCML/fMM0sPSJ3qTxXgdDeI7dMn7CgpHDJVF07JCClki7NQVHczoF2GshffmurY
OXN3qOZExqA10J8WcYBnUw7OZ3+G6eHYe7352c/UOc2TaH4itx1PNKaL8q7p4IuguCTomUhCVKhl
FY5MOTsv+D/OzmzJUR3t2ldEhBBi0CmD53Q656w6ISprEDMChARc/b+8/5Nqf+l0RB11d+7dxgah
4X3XetaQ3tsp3AtR17R+H1VFnv1qEFvFQ8+d+hw6RTjbWyiXQxg7kNsjFACMYjHYzuRZOFA3jSrc
rzIiiK/5ZVhu/xjFCPuF28N+ZVVwbNNl/m2WHgouQgf3cTSDSYZeShZKD5Ynf8xhTaoA8EEO1fwx
9DkU5tJ4aYwUA/UznYR+48U0fw+KzH5qart8ZG7brFJb+O+TGWGa8ElRxu28BGtpqumnl5+TzW0c
M52wnU13z7tuLiMBDWwC28cUI8e4hF53RPN8KTuO3OTcihBn2E4RvO7WUcH37kQagwZO98rz46oV
BFHglffiOrCGQ3cJRMI8mR+IqgwOvKLzK1xTXWLPXP+28ownLZgDkNaWY1z5mr6AHeLTCPmmAUSe
3Lwqn3t7PBf2WIHlIMN04jOKT727RBa0UH5UZ4Wzs/tSbHHv3bXdUP7YwVrzZ5rVYkIGIyRK817z
c5kc64T4NOujIiM/WVyhOSo6C1p3Ruv1kLJxCAOrtu2wrIc+bkYDGfKQwcEgZMA+Kpsos+IKR7QZ
imUwZ6uC+zFJJ8RBiQBchnXuQh5nlc48woOX6y1ajcGjQv4R/s9uEKEPIZ+Zb0k7tCCaVmEtmFwz
NueRXfuQt/gl6BbEK9oIsPq+CLsqxYemfpood8oPZU37p5oHPuQkVX+CR8sb8NJ5pZ1wi0yIFB+s
4a0u1fjH7UcCmNuInEl/roMDs6ibULurKiQmLcsKoZvzzvfx1uXC6E3R2N+KoWnula71hrqNeRdU
gNZVsfFUGN7BPCXr08CwKpEGi8Rkd+BIBQtwONyddqUE0plq7uz8jtmRqx1vNSH86SiRYryVXjWF
0q4sZ1spbSc24gU+Wuy4oPSBqUH7jYO4mroO7RImHnzT4Bs2be0qn9lwzATQDEsDhxwbQY1SOg5w
DOIja3d2qywNmgxX61Lm5ZopZ1RRBmsSjx1t+J3sqzTGV3bfNLGfOinOBjLQiCvuIP6j7+p4dJbi
jiMNoIkG44zHHn6+hBRAkusWSmOwl/t0Yxc9zBwq1/CYNVBKJ4iN9LZBWdINrKvtH1LX7G1A6t8G
nTFYAAY90QQJrQrGq8Lvw6yQ7ssQePUG9i3HhcYtHde07GAdmcf6QLmma1AjigT7VYAfKj9Dvy8z
AHqge4KDXhfZBiibPEsthCHyYomNqAKAiKwGhUwzHqBjJs+zW1gbAxc9Un8NiO0+thEhpt5yHRS8
WTMPeOmVLAcSeiTIQyOtOpS9nFBMsOjrYkn/pHnGfrDer4uVPQOgEaZcD9+mwvYeGtcuTlY3NOsp
0OmbQj/iLbVmP+pNocLUGzB9OqQ6LIabvWZVuQFhQ6yUIDJJ7cE/Sb/NVozM+Ts039mdVqkfD54v
DwtvyE5UINM0HqP3mV9XWD0yFdOuFbGCMfHQd5Z/RI1j7gHdKO0HRZjYKKjij0EOzWA+L/0WBh84
9oz/rjrt/VA48EGHcgYhhrZ01FOthSmilE197Gmr8WL8NBaXg2m3BSDGDwg3YXiazrhCFXpMVJPm
sRW4+lVoVj92os4frGHi64U7hEXStkk4wdAJ2mvd0CPiH9JHWdb9z7r2gdTq4OvYVD4q2U2XWXfa
APtCaxyZPceYGg6hBijmhfneOYBG7HPmt0e/bd3vjBYubFJV+VGLMt9ZGnCXwkFPSHSuvQ0QnZcQ
gXhPr+o5xr8vWojDgbMpwTqMMITaFTbB6a9pQdsYhphpfBjSgB9S7LR/CBBVNhXMfjjED7n9G6G0
9bNGpufRY0N3PwvL+T5XcnyzgnPKWdq6MoE/zmNIZxlhUFRNK0LVOuTVB5w5RJsL9iFr4W9Vqvsl
zklmzpGaPkInhMPXsirLu9SFB3kyAght5P8lxLLc7Wg52dqlnUIRw4Lry23gFYCZJXRFBZMw1AdR
B0V2DDpkkWDt7j5GrJHxoGaFHjiCZsN+aLP1REsvdNIuvesYcsUteEV+BXyxVmpy8vWioBxUPt4n
3bXZN98mWTyMpf+SIQMqnnQqY6Cb8iMC5wvYg9k5Wdu8CW8aP5TTkUj7lf4FY3CnVvB1lCdU9sm7
6bvhjo2Yh2yiFyusHJ3CYwfwkohSWw7fW9o4mymjNTK0W3s5TLNA6ZnXTYSCXntQC+X3pg4IXoS+
Q2+ja2AzGrmNkydgG2E9LuSBBV4OUxI4OGVWFn8cb3T36M/rYw+2yrGaLSdaFLDS8Dl3mdmWsnTL
mIPKPB/rfFjWtZuzHxYsIqcARtFzkchNetX7W+Cbq2fmCr0pWTo3G5810wMKOc6KZkOXYJ9VYuuE
Qk8uChoTe7IKmKIZh1sPOy8eQvOGu+Y6sIJDWzGuW8RbPaCAW5Kz+7JCTg3cJ4g2Lqcng/ps7ACk
Ffm9sjY4quAUVi51HQ/wrNqRsHO6xMo18l2zEsTqcvBbTAC64/eNopgE3b4b4WrNMg45Y06+jzUf
X1KYsSLN+/YeWCN27ie6FkxDeVbKJEjtel0owPrDsS4gJ6zpMtar0S+9rRvU1kbCgW6NSOmGcQ/W
XqeIjEUQpSBNt0aHhleR1rnbxKqp2mmFrZH7YfVT971dcvYgpR/AIteoEhLLgranPEALWhPPfRCd
x39MHa9+T8jLjjMsgFkUzDbslNj+vI9AQQuEUeTyjfuEYc4texsc1bJ2zt3x0b1HbZfDwUty894U
JngaCWG7wHadRzEMFH4/b6CJFjqL8bZ591XgB3f9LOCWmws42bBi2dhGGZ8coWLjKjFdoXE7er7i
XalPQbXI32wkAPiUtrR/q1F7R7jkWjeqhtE6ONRj5+filDAenuO94CQia5jw5c5ZVPkGhFSzF3op
4jIDgge7pmwHZKSC4V3Y6rxJpuD7SeluBmamOvRTTBSovtvgUDkDStK8gieptQJkBTELR1rK4P+O
mgz1GiwmjrVu+4KsjFE1IDCeC5dSH7AXhWHSNeMuQ77QBksdf4d3rIMdeYKpcYTj/HvVeeAY276z
7nUFKRft+p8iE6RJVFBm8SjTJUq1Wj7yBRIgkEgMZF6VtPgz16U/h6w0zbfcsrw0BIaT3vWlW90p
dy5eqsabE9gdKKz7TrUr+6Ea46XQXgTFsA3FRJFNv920K46ODtoEviOwwbI1d11zdMsF0aC8HNYA
tM1FBANiiSaBDw3SbNkPFR2ndUWZFYSwHk9J56fjjmp/2PPZV8mIwiJ4Z9h/5B0n+3EaUnhjZ//V
AId0qoKSnHLG9LbiRsCKCetRU/fB/XkOvRsBY9pPlkRmni/yQ1u5QCJUtqj3tgKiL2zOvqcZO6gS
r9vo7wnTwDtkrp8ACTn+yWVN93Pd1GtfyPknAvjEzsd42DhC0lVe8eahyqTZ2NyrYCIM+MofCh1R
C4bvYlm8Hzmgcw8Dznk1POOWPgieyrPCf0xg2MYLaQ1tBzdB4IIWBu38okMHYqTdJNr2hM5v/btv
NY4XTSnmkBjdrSoPrKq0z4HZspps+GBGSLDtpcljVjlNzIUYXpqisg+WBDkwEiW8/4inWqZXaCxh
+K9z/rM5+0BjbLTLx8IlzdFt67Q7IJ8p2FC+yIcJSIxNr5RadwvD5qgKprqDSZhUe4IiK7bqLSB6
sgNohhEtZhAthIqaLsfZE3CwD8wIClZ2OqDrDg9ZMZfZb0u6wN2OpISdPcc+fkybzEoml8y/W7gu
H1jdVMXazB5k1c2EzUXUlX19SNGkhKM7r+sDfqQdRK7n4tWETMvHq68UUECIDg+arN8qvP6Rzciw
0UXlRnREZwN+vWLezZgNt44bQPNkFwouQkSvxjUefRt6ugDmQhZdGRe86p5JQfIY1rn8EQAC/4c/
lyCJOYSEOb7wo+fm9FfP3flRVURsWgA297rP/NUUUBuWvuG8+loK9IImH+OB5iiKSPz5FWp0bJF9
0B+tRVjfBsDTfgmkhj/7lqWBefYZwnl4a4BBmxdsCjA5O048+Dmi2nKnRgxiOfrWh6Kkx3Z3hkcU
VZyGJO0AI2qC4FEA2yynhiMd8MPle2mGnIYAKeSJ7bnOnheOxikHzkcsKLnyVKg7T61sKsct6pok
lLmNjQlvvWSy03qrceLKIXGDCTYkPbZkiyFezINa3HVADH04kwNdojR1s69nRyVdjqO8MI4doyxu
7x286qvMh1NvaBlbNwYa69AbMx/Qr2CJgVWunHN3uO6ishiGezmb4YR/XJ6c1h9kAjFkCeEP8+SP
fHEYUG4eXhWICHYuLUXiqQHnf3eq9L6a53nT9HWbZHR0f6JQAAZIOzgVmIA9jNmV3x5qqtIELAo/
TifUaWD+9lB3mDy9wlYl8CNjU/bbztFWqTRtVs40N6fGH+lqMXX5XoMpczABNm/EE9Wr1+DwL8dR
fLRzqRKllZ9oY+adxGFzCpnL8ngIbOt9MSADpKgPxamYGmQ7A88EXAAzvxm1JLwxgXZhLW/fzLyQ
nbZyIGhdWoh9N4ImyRDFhW20P78FA8p1UVbN3bei7dV7mpaTH+KE495JTzUxiJkNVnRUbjiWrx0Z
p+CA5E0P1SUGQkyDGvnIefsBY69pUaIBgQJOeFW8eo6CadXArsoyD/b3qptinKvbWEskUoVARWi8
HsIa14s7TsdmKjGrC2y8JrM0uIttuxttv33q5qn8NtoBzBx6GeHt9xGM2Xtq2UtHuvvGL2lU0Kn4
RiZ/gmRv6N/YAvCBmIh3wBlfnjx8zHdLGPttcX1vo3hJD7aVoebj2YPD0SP2ndUggjzhmoxwIhPY
X8+Fjj1E0eeRxEpsVIBfyaOp6t01tGXZkyupeGIBIchl7Zdt0831BgRGs+4UgJt4U8rYmWh+D9tN
ijRBb7pXDaBlXBqyArayOjpjFyywFfN2Y0BE/e7Mpro/b/Ji24MlHMxQYv8aQDm9G4YFoSIzw7FR
8iChziTjTGGjhUzyHKe6iuLGYem3h6JfW/B1xQtiXd8lqNYr30EtLWw60iY0b7MnP8MSA4yyjEDX
xXQGSXMS+IUdz1YDaAHMge4eXiG90l6KKEKsQKveAFpYj0BKq16aO7ir3Qy4npq8pMrDjmsSgLv0
CJpag254ZuJNgBcueCo+svkeCfY7bTwYlR0xNGCa6WTdPFmFGLCLNK71SCcz3POSz5Ff0PFlzEtr
XZaqOfSkHleS5nJddzhvhYQzdwesjyAhFLXT9wbb4Aiu7KZANwlb4UWn4jhjnX+3B1v/aoFJfWqm
WsY1Hm009WOzzTy8+SEQBPjGJRuKOs6wlsI6azH1UOZtf8QbvOx93g0r28u7uxm2/i0rhVk12k03
Q2Gs7flseDSzjRIRUKwuppgWO65xsBZIUvq5jajnLWsmM5EQYCpQU4OHRzk9uKJu3plYeTb7CUS4
6THSPP5s8sJLGmBmYlSRm5OrCu8OACXwTHnvixUdlIWyNHZMePX6O5GlLRBPLvAMWVBIOMSd9MHV
Zb7POO7NygkkflVAG7KZrYXR2CALMQGNuLnzCuR/SGDL1rItJHoerp6BQznvGAIpvzvgMySM8WEM
W/RPD16q7e3cVV1SYO/2XniWvOuMjdNA6qSPfTXkz7YZxzukKZENcE4Zbq+7LDh7DSgVpzO8987E
AzjFhdxyCWhvgGohdM+0OQxcmXiayv4DpWsVBQPAAnIiLdRJI6JJp7ppUTOB1RYsFJzp5XpG4N6L
08turTgtdmPq6S5CfaX9hnm+u68XzbYg4I17dEvbPc0rdiTdUt+jYJS+lURJ4DuZiEWPDBpbpkXM
rVpj6VPuKQtwsCrTxn3zoHc9eo0N2xvKHcs6YI71hyLnJDGWg/8N6Wj5G4ta3oXYq1To/yIzs166
6UG5lXqlxgXjxWC4z5Vp70BbFuscZbpVh385TkGDWc0MZWvX9adjyvsfHIeBJ9C9/BjzlB9yZKqv
AoBI7oK5tQ9OZ/G4g0jlzco8+YyqDjvInrkRXquaAQHbFtPK8CmL/bJsHNBL5+COFRylQo8sZI36
QxUkZLLoT8RHj5gluWT3SM1R9qkYgSmOCKymj13gpM9pJ/T91E39cwqGtNhWztx5Kwds9/dCYdmO
HD4uOG2atPs5gq50yqG6IJGzoLgdTiifPxNhKALsRkpC3qfFjuJoa60CmTmvkM/rCcdr8pouQKWV
AHvlk1M+ATFWD0DNojLHFguc1zG3h7U10TSRBNucuGY9ZEsL7bKkYxOJsrEOAJcArwWUoVp+C4we
nhAwOyHDvSubH8UkBugYPM95CLzyDEbx06PpLaB+MBn+nrK2/O5WcsI2uRlepmYZ/AQT8vgtR7t0
AzuBBmDNW241r641SC/UV0pSrXu3gTxhlk+1jdAxjqUM/RgSZg24N3iJb3S9Odphn7QyL2l+oz0Q
gDcta1tnfLgrljnD9hxqHm7lI2KdTfXQWmWzBX27PHhuzTdfd8/8K7/wkvY3a7dH60zUuwJgqXhc
SidynHKKF2B741KM1QpIjApQ6klD90Nom696kARCe6J0PTbduKLMr9bULSWCVHVWhHPO5rXA0fB5
bOzuONvN8K1FrEE05b21pkP5Z6ScYnOWOYcWZup91ygw7JYhjbDkoLbQIGb7seMFanNiLKpflQ9Q
tlvmKRDkRb5gUAztlCCxFXX40ulQoMTGz75D/WpuUJi3FeIxh9z6Y5W1+FNiz3MSxRCsrC7t2c4v
hEHBRncLFh6UkEDPzhKvRkcJfJs2wSYlOGiQi+8A1/pNW0c/utoEeM+q9EHLoQRrjbavfYcdOM9S
750Wdv3SthO6TQyHG4vreu2MKFsA+bQcYfua9nSwzDprezhOyNyIiAXw8SLQlkWs1N9w/kvDLqBu
GMz038xCLjk/7b+armOGfFmRZ2jvsdba6sDO4rzFWjkRohPKASRD46W5IUf5r8/62di9aPHO1pDa
WAKBW3MGyiKcHoZf/TSwCLTrMvFM98so1HrDhbpsD3QBNiMaRZin0Sf909fj+JoSi5zbz3/94gKQ
TcyVtNoBybKyGASSpO3h2+k3aHXhUOfLVz6apCpKYBm956+veqU1f0kqHoKqFqk7FTsQkfo3sqBV
U7YOu3Ffz7fvs9t6ITAwro2OCCPZDqijYr9o5a4Cws09QwcZDbQivSlj+/xKjF/cvMUD0U+iCLRT
DdYhOPLPggYeUC+eAqYf2xLjx8JqEC1Y1GPjTi7wl+5PPMoesXnCDjatIelbURbjKcs0Qy3K/9d7
fKGryobCaqDbancIKn1HBbp+m/Vi/vEBXiip5k64s5t7OKcsGZLhTOc9ElqPNyRh14bHxerhB10b
OOqcyGxVIUThEQDzN8Qn/0l0/u/gYJfAm972eUu0aneBpbz3ACzoR4KX4OOscQUc3/JeHQcMQ+rl
9saMbRH6Gn0mJMmiWlAA2NWAS3RqqZWvvalAeKCVyRtEm89XFMbPKo2/3sQRe0ma+WO7k2gERFmf
v+Wq4KFbpk9g25NIaH0LzPP5DWb8/Pe/LqVcvYimq3GDOWBrHbbw9OfXb/Y11crFu6c1bH69QRVz
CEqEf9mN+bEEdvMMazm7obO79uUvBnaAFtjsTdrbYgU6NaDRiHK5QcG+9tEXw5oWFfdqicExwUdY
zI+GvH19W64924sRDQ8imr7V0OyGRZuf1MvYtusq9lAsSFWEKGYcd4jk6//J8MAuETG2O/kpTEVi
B8IikKdHhv9Y+A0szBWZI7vkwigs4dgz9xJJZ1YJiCmne1NmOljNDfHAVUWLZ4tSn5gR2xCIYoPt
RbrP0Y2hWwedoRHkheKWdfhzBRNagP87kNEHqIeGIyuRoLIf+ShQq0m9VvW41r63bYNsNWHSvzHw
rjzE4Pz3v94a38vB6veKZidItxkt+xGsfSfyq+WXC+ylhf74jUnqyrISnP/+14WGWVKkTCKwb4bz
mrRijYD6sLY/aHZjnF+7wMW6ZcnGjFWfgtVZFxBCIKUmfQPaOVgjt5Hvbd1kJvl64F+ZD4KLmQb5
W36Htr/Y0eYk+gPVA3CXt/T1n3+47Vy8VcVSYSNYdHqfAXMHAYrOMlTln7/+5p/PBfalw4OPWQBC
Gwya+YBwz+ZY1jc++PObb19aOxyC1kfWtdUeAMkF5SMlxGnoU/KnXezsIQefev1vv+BivOYaIkU0
zhAzQU5InIjrzLkxQK/dm4sBOjfAV6A+qxAGsUEjFz1T/k/vGOCS/zv0serNzPBK7UX5xCRUePJJ
gOYjyiJBjevGRa6Mm0vxvKu9wp1QRtkrJH1YkOmUkHpoaCy+vu+fT0o2pf/7G5S7QFxBHLXPRo7t
yx16EVbBogDS9iUvwhZtka8v9PmEZF+mYRkbvQ6Im9V+VEG8pNtOgEyMnvOCCM2Cnb6+yLVfc/GS
KSloGlBr2JNA2NtazvnGaMFXxNLtDmAF9YYKawBhHM+Sf7ripY69QOlAwZij9qYvDr0dPI9OfhAu
MVEpKqRx2Zi3vDb++mJXhvKlEL2FJ4OjqgUfdndGwnkojt6YZK88nUsdOrhXMzpWeP3chox3KN30
EQKjdHSuwUY6I+UqQMXs+9c/48pT+m+7+9eSAT03SGZ+p/a+B+z6khZV2Kc6Pwu2qshukFfEUV19
tydItb6+4pVp7FKfXvpWnbLCVnsIcZojreb6JOSwQEErKOoNqvy30XB5JLe6vvOtKdN7L4g7NM4S
ZGEtSX4PWefXP+TKCLgM/rG73khkRKk9xnY42uhZFr++/uQrI+DybD03Xm16jbEVmHpbQJWU590m
R01vXUgb2NV0vHGhKxPa5XlasKCwgBhVe+aXK1dBLrLE1F1//Suu8ARscrHJQjMCjxPhbnuBflsE
KC/0B3Y9HqBqkNtigcvEVXjcZXDOo5i4dwKRo13BzlvF3WCbpNWBevGd9hae6UrdxL5MCvKR3d6w
lA/7FF7BEIl56xH4aKhC5nAixTdpdc/Qd67Q+084gYjD0KW/sfJdu9OXJwRKZ8BY8FIb7DWIc5LT
S9DccKVdG4gXMy3ivieYPjDSh/YjyH84+Y3j9OffmVweeamBBo05KRoEkEl57UtFfBzZb5XMPv/W
5PLYOqQZFECgFqNbX0BxN22gqI5vjLzP5xhyabOgnpwH6gfjfmndCdoPaA88u2j3TncOBXC1XC25
HBLe0vnHWR6JxYGyBi0fUWxnVpiI5jU0PIBtJJCkUDCSRfPx9Xe79tUuBoKN/kgj5l4DpQFrlU82
LgwydgXVhv1Pw4Hwi+EwUEKWfrLwUle7HvLcW/6b//Yh/7cEQi6Ph0zNNi8UPniMhgQ06Uex189w
TsTVKlvp0IvNqt3CRfbMDsG+XzfRrZDj/+yCn135vHr9tUpBUF6l08SxMzo498EaPOWVXJk7iDGt
Y34n98Oq3oqTORT7JqH7bJcm/Lm9UV75/zv3z65+nqb/unoZeEuVwca8F1lHHFCk83MwzPgyobZt
A/uFnUbmBc2JIsdhgLodWTYhsukaCPAH+5slLIjqPU3HY6AbdoBJJieJhY1kE0FEA19IAQL+UVu0
3pkK4F3wrWsRgg2PqGug43ioEYsSDaSQ4VQvzsNUoQ0HmPYSW2SEUMXVBMD6lmByZfaWIBwBbkiq
X1vJ6R9up+KsSuje0eRqYzdAUdMziP3zYU6CQ0Poo9UKaDMECOWoW/vPRAkdjedkvRrt7n2lapC8
oexYIQttStAOaOGDGaeXFkxz4DPPxcexRgjMSKEKmpmHZsosvZXfl/OdRNRQErBe/OzbHKmU2kj8
NGlKbP072RwltPFPtVNYkFa6jvUjBdXkQDtth8KtRTyrgA7w747ZL58TjnpHB6NQK8Zj6RU+RAjI
mIR+7sOtffvNyagIuzRbTn5pB8nSLCZcHCiAJ1sjMTGtZhOlll3vFIM6HykK6mCxJZWQ41TWOiB6
eJzJjD5aydQ9jGWQ2bpLk60RIuq8Y5OXhimhGNPocuz7LitjH9JZQMzn5q1vwIxv21wdA1Z5SPxC
sifmZL6FNRm+E95A1zeMGUlmSIYceHBy1Dgqv4aiz3PGeG5ojeCeXuBfU9BlJ7pInQOszvaTlHAw
QX2d8Z0zdG8C2RMW5iWBPErIqIMdnDuWWX09M12bkM8z1l/DPIOOCSE+ElFrxQtEGwmS3G/slK4t
JOe///XJFOu/71od33kLyIKsHZK2RLzR4G3+7Zuff9Ffnz8oAqY7MjT2c26au6p239FvzW+g7P7b
d3/y+l8SrItSDDNVOFaknsPiFvFEP5b8rF/qunIHDv60EmkDBSXcD4hvaBCSmhLEsCMvPWprZp2m
QvZx0WAhIsOE8FlX0ftJ1PONH39tQbk4NUKb1EFyVui9oSbFXrRYN0UQxCoAIS1LixuP8MrguCwt
MQsi36VPcXKHuynIj2n98vWzuzI2LvHHLsybQW9aZ9fBtx9WqKhD9F+FOWhyX1/gyjaUXJaSWidH
P2PonR3jTbVHtsGy8XCeiZdzWnPTjHuI/kDChr9sA99kHBjo7IhdI0oCGlhnduq1Jf5tG4ji4v+O
1FmJKrXnFmvzss2b10rmofBunBuvDIRLXnKNTeDcA7S3n+S9A540D6atqex1OgY3BoF73kJ88ioE
F5uXzPInKH4wCgzer2cDXNhBprW9lam0NgFHoG6YKp/9hP1secHqUePgaCM5yq3gQ5kFvJ1zPzy0
KALFmCPzuJ6RVV23ZbepbKhkoMzONxwJMrCodfD0SqQisUycZezBspkHxBxDlkkfOjKbEFv3cWX5
ksSAD4o37lrzDlqibl1CZn0X8LQ4VtRzNrmkWeQHRZNIB/JW6VomRlAG3xe2DmK/z+wjhRQMQra0
gsIL/01bBd2gANYDWyh1sgwTi/jMyxsH4M+P3OQSV9wH2FFaI7ZRCFZqkkrG/h1O3dAN3jzoXHlZ
L4HFKijgSTorcSEOOZaTt5NQbdx4m659+4u5tssQm91zjLIeUg0Ar0fbbba5J5onkMNyRPpACNqs
hGD2e+3wneo7aLZU/laPqOgD5vuRk9LGLskall3uBj0sXLm/hu/SiZA9d8tnzT8fqO7Fls0s1GjF
JrV3wHqMEXZXJ/kEkl1PGduUEx3fSMuhH/WzF6qqW9boa3PZxc4bMkJoStoKEP8l/TG1+TNCRl+Q
KX7j6HDtsZ5/7F/LXAWPbauQYr3PxYMfvKXF89fP9Nrnnh/1359bUuxu0UveD0OzAtYnccWtmJAr
c9J/Kpi/PtqfZ3QkEHG79xDJLEdE3nctjIt67XXqxoi8ctP9iyk1qwdPjZZR+2Y+wqUTwl4JUyxZ
/du9uVhd0fPlAlnhOPPALVs4G9X9+vqDr92Zi6l0TjPo1wjeUVuNO6hyfyro9wMqYsw0Nzpun5eR
iH8xHMcuU9MosBLkQ8ibO+vs6q7v4RaKejRv/ulnXCKv0xx+a1M5+V4t3pM3578lm7ZlOh6d4h93
d5fQa4kMscwMTrHHdWY4y5dzcJJ2bwyfK8/hkno92VDrW33T7XLOgBQbFLKEAsNeWmT2vS6+3d3Y
Rl4ZppfM6+Jsy5ytESt/vSSB2MBTDHnxjVF67UecL/rXa+YZ1miY1TCY0sY5x72B2j2/lcjBpBMm
268f9bVfcJ4+/roIlCCY3DyMWOSfqCYIPQk7IX/4+sOvzEGXuOs2KBSy54jawy+bgqvUc5jRaufG
HvnaV794iylk45kMerXn3hIP89osbjyyGxvMazf/4k2mlodmfIASupxX/gK1XmyyBN7kf7sxFy8x
5gkhcPzGoz2nfHkAO4z/9jwvAdcC+0UkZaEQPxRvJPsNc3So9I0bfmXquSRbz+NAJwSdYd6HvhV7
PUR8jufG9IQqKNzxbb6Bn3+Ov75Fnz8A57IQb/lp6XuQG+/y7sMbId2HMBgK8ljQW9DPz8ePc1mQ
X9BZKtMFasa6WIAOwfA8li5sHA1gEDcKxJ/fMbizL96ugUAvBJn4/6Puy3rrxrU1/0qh3lWXg0hK
jXvOg/Zke3sekrheBCd2NM+ipl/f33al+9hMtNUx0EA3cOoAiWNR4rC4uPgNZyBv7iN16chTBnnR
EAw8cPuPd9RcG8ZW6QfS6iGayKFoowuITSdJv1Z5mtyOEu60RQeJ7Q51qIXtZ67TjEXXTnUhIBBR
7OsSeC/sbm4nL6y+WfiYuVE3ll3KYFWXEDgmOTUD/y51g/MJNKYNxmrcjUWxdBs+146xABNJEeha
zs50NblQIfDvRwcKHaEVnRPIjH1kZJhZapeZZFCfaPgZOOgj8N3haQz1LdKqne6rzwqKM8fb+fWY
MLPoLlM9dnqCPntQ6hfgxlZZEj8BEv70sccfJt6bLWK0ShuQpYKAZxR5Tjh6Y3kR0efjD//1FsFM
Y7U8rBJdkyHfk6E7S4rwxAr8hQgy1y2Hv3/z3lXvJoUg6H4StijYonyjkunRb3r6wQYO3/SmAacL
URqGqMWed7hXKG9BW/Fi9aF7GmYWqOC5VgCYwIc9DS4ZLMFh5bpNraWy/6+DBpDi718d5c8wHqei
2EP9UJ+wsSS3cEwuzmnS2GseuenWKSLk3ccH+derjbnGqo5RJcXxTDhnk9s/N4ydszhBuV3wR+VD
i+5jjRhLmjMNDSU11Huohm3BskFlGWThzh2+iVYtXBvMzFbzsgSCx1XbdKA6w+DnkibdfR7RhULP
zGw1gXSp0whRKA39yxCwgxG18wyoYHF3vHNmkN3MhKvhxAYFKNqRvRVGD5VkyZlt613gkGdIK67q
lEK8TG98aDuNab453ujMsJvlRTdK4qCuwSOLxdeeMbCxFPhxKTR+Ho43MCNdx8w6I0vbJLVHhHFr
yn1IkEHOq0+K6l5WLi5m4q6+yyeLnsEmne8qV5J7cF0YLFcY+USsPL3WA8kXNAwdrJyfq2jMLEjC
W7tupoxX+zYcVsKu4Xfae33dg2w6XVD/RbsLUWeuV439XqVAHudFT894N+Xwu5AbydsHf+w/+wq6
Tsd7dq4RIz6gti+gcgGV7FZDjMIjlnSv4h6cT4VqN5h7FurQx1uam/dGbAirlDnRUBKcclgP2dpu
PfLgkYl2IZGfe74RFsDqbVhFKAVdmaCQ5Yz+c57D9joAm/nb8U+YiQqmn1sLIM+odc7P6qJ6hpAi
IHbu7fFH/7rkhdvt93HaquGgEpaZD08faGzZgO9M0LaLBn2FE9UNLZx9l3QvvEuuj7c3sy+YpR2Z
8bFo/HHah91nhbMD08PKca4ajhs19fljbRzm3JttU+Qp1PQolH57Na59LVYx9JeY/B71rgeP5+3x
VmbG3SyX9krg2iYa6FmMqjxu+lMP2d1n15+chexu5uacqcN0ePMdAxfVkPWi3tNhgNYg9CmiVdyw
/CHEfWW5GoFG96AKpqEmxKvEa5M8vNIh5dcD6crEU0UNz2xRibMC7Oq9C+LlnSulqOEXk+R/K6WT
K8hYpPFKjrClz5UboV510BE73kEzs9Ys8vQstzLRteQspjEu3ds1T+qFNT33aGPWQmqcCkk6duaO
Ul9FCW4LmjCOFiLt3NONfBRFBQq2Z1Tuh9C1T1ut+kuHVf7CCpiJfGbl0c7Ksm4IjuYF7NCdMYOk
mgrANqb3nFblwtyZ+QRlhFe/c7O+aWEo46S6vRxDWx7k2pZ2iLmpb4TUZER5yDm4IYMieBo4/n0O
Q6Jg0g/HJ87M3SkzS5D1EEcW6wYCaWEAFKo0Ay9OsGJLc/Wd1kG0tZKSbpNaF4C3pvwUJE/7xB58
a+cO1XNiR/46cBMQTbOuvhFuye8LaAItRMyZfdh00yFJkUA6vh7OihIoQYjRQHavus8G+wYqTWsU
xKGu2CP7PN4XM11tFgDdwlK6UWOxhxbGOQjrz31WnhSqXDgEzExGeWj2TYiBPEoHPRdGIIxMzgNY
lrmfII57wgj94PsfJuibBmhQVLC1h+irA5mvJ1m0IKXAz/mM96m9BLCe+wgjYekinYJO1Tf7zDqH
vuQNoeeQldnBrG5hNc1sWtJYTUETpRFL5QBRhPFEyzsFsZGIOCseZmvVdbvjQz33Gcaq0s2UJ/D2
YGeRBgGDlPQMXwXthrQ7U/W4sDfOzScjWxERmOS9PzT7qemuGw4hJwhP5FmyPf4NM3HHrA4yR/dO
NOnxrOsE0vAE4MIlGemZQTCLg9DjDEOXAlvEgmQNNe9vsnEKr7a6lwwKCCttOwvhZ27fNa8BR0tC
siAKoG7wd/sFamln2+FU7+jeR/r4Vd7bd/IquCbn0Mk+uUsvwofo6/HOmxmbnwzxJm0BF4R2rey+
ciGp49RrJzo5/vC5kTFWesTUkKiiAaxWx49Q8X+kiwSiuUcba1y7KsgDjhJLDdunSUa3UANd8pWa
6xNjbUMqhMQ0HAHWi3W2CSn9DsW3LRag3hzvl5lVJ4y1HdcE6h5W1p+JNoX3u8+nW5Ik4zofJ/45
GCG1/bF2jNXddaOCF0Bd7WmV7F3IegHvdgY1ui3UsxaKB3N9ZaxtAtE9RsYY41A3KzvLPtW8vI9j
tkSFnNuXTas3d3ChGaVzZBV29wVwfDjdfBd9vI386bLKhrXF6hUSsrO+CauVDEFwhWqLgoxtS0rI
cvdeHeEyERpAx7t0Zt7Zh0jxZm+Ba0AGeOdQgr3Tn9WS7/xpWJgVM11pGrzRFDLjhYsMp5PBVS6y
axJYuHjjT8fffO7xh79/++Y2IHmNnvQ+b4EBU5Q/QNKtgA3N0lSYCZa2sSRhZ2Gzwc+w2scr2Z2j
qHricn9Lw9ADKGv9sa8w1mZQQ3UrLbJyP+b6GQDVfcWnq7FNu4XcYW58jaUJ+VEfil4W8vC42nJw
cUS85BA4V66yjeVYoGo+VVOt93UsvyEu7jPXegg4r1ctNJCrdrzhQXtf53RbZPUSpXNu2I0FKgKo
upcZyfbOVGxgO34+NpBNtpeSuZn++skALg6yzMeBbl/mAuo9Sq8sF+IzHxps0/ytGzif+rHVkJL9
nI+AG6tvrFtYyDNFCNPpLUiSqG0kNr6k7HEDB53e6Cu2erKS7kS/NXYbXpFe9g+8gvi1FbJhod0Z
cjHjh03hzTrsKMzOwqku91UCve76Clhc6fSoHsM7idAtpIguozI9K1A0aAtI5H+wlseN9Q+tzDbN
+7KCHSfonvAgKKvVlHabLIRE1uQFcb9QnJqJA9yIA5FyeBpCDmLfgJn8ECjwMjth8W951oizKQ4s
sLWqJRuxmenNjXgw+aiDca3K/dTv7TxayaCFX8C0MFhzTzeiQcVQVRsPT2+Hz7FdrAJU29zFFP8w
4r+ornIjHmhQu1keYGvD9iyeLNi9n4gok99dFsXwLsjChQGZ+wojBKQMXhFDhrjTMxfu1iAz6Wgj
Un/hPDcTAkwaMSjjrUoh37mfrOYUsLJtwtnC/cHco42aCw9qiZ7k2d5FmanLi8cOLkrHY8vM+mfG
Rp5EFGCdFHFRR73c9pOzJqBG4qhCz4PJuqk6Ze2GyRUQ0HM+mFiaplwCst5JH6FCcpDu98ikvzfQ
xvF0x9nC9jUzpUxysZ+NbQ5yB5DC0Kctq2Kbqot2cM4ACF9oYWYymcxiHocSFia035dQF3OBonVP
IAy38PCZOscrq+ZNbBRT4WQJb7K9lf89NBAnF3pl2xCBrR8U2H4OW1gRc/PKWNc6hbtrnbpoR9DV
WKenjuQLhbzXaf+LVW1Slq2ID6TNcXpwbd2uNSXxyg05ZFRdGkI0GYp2nh83w4WqFD+B+Z+/hWuX
/bly6xb+sr30oCo/enETQLWAZux7Cn84kEIluLuQz7rzo4A/unAJuRnztD3XpIawRpWBTcQV9Bej
REO6Gil+3w3xqnKT9AFF2Ob6+KKZGx8jkjSFUDGKUXrvJ+nohUG4rUQDE4D+UTVyLxKqIP5GP5aw
miTpbuJRNoxTtkdmuap9sclgoxQvsaJndimTFe1UiOeZH+o9OVj81vsKFzWD7ayDFFwgtpDAzMyz
10PNm/k8aktqKC1ryDs/tuG2jJZgPnNvbyQRCiIjcS9KvbfaFScvwtWAYhzoNyfF0s469+6HAPDm
3QPX9uH3EvX72IWiSeWQT4DKb47Po7nXP7T55tmQSqHlAC+cfa356PVDDGF8EGO8poeItW/bF5BA
vv9YU2aCEKUyxU2p3gMEgHo07IcwSRNwJluC2FL3HxxpI6L0uSzdLCnzfZvUj5bKtoK0H9sETQ8r
X0MQ2oJy+36s289t429jWnwsv3k9qbwZB9zmQPLWxfwU+VRuUAgkO8lpn0PbvfAXAuLMhmHKF3bA
UyvfwkZLoG4ZWu7OyevrIKMf63hTpbBkagwjDtx2M3KYibC1lkt3AjMrwOTlw6u1ct0s6PdOXehV
2Hb5A5gj8ULaNLNVm1jAUlRMx03S70UN4b+i2Gh39KJUe1G3ZHI69wHGEoZQOBEiC7HNwWhHtQcJ
kIQsJTNzDz/8/Zu5A2IfYlsIimE73nG38NxiCe4592RjyWowmtsqjLDLKP3i57YASVWFwxLjYm5C
GksVHmW0aYgDxoUoqot+GJN7IJ78fVfKZKHwOdeEkdk3ulUd3LVAxGuDz6RL1j2WmqdbOLAej2pz
XWRsxK7wk3ikOHbjeHwe+u29U3TPH3k0NQF+UOfvfQsGwvtewhcsyVb1UrT59UtTE9KXBC0cUGCx
sgfpF6I0g1fID8UYarLowSGHd1EDWiW0B/cRbq5I7T6ogG+Od8mvhxN+DO+nelRzlfcpIN+8xQZL
/If0APyBhPvCaP56O6SmyCK180YWHYiR0OfdpPIlGchugjeQBS2dFLzgj33FYVjeLFhZALYkIYu1
tzp92Vr2CayHHpM6+NCcpya2j8C0i42V3YGtBqOgiJ0k7ZkqlmDac0NgLFodDckUwktp75cFOOUU
hu06gU9FqpdUHuZaMNZs0YFTBCueYE/z6CmM5T4n8dexLO6O9/6vwz01tQ7qdvRVW+ADGj8CsyWF
u4S0LrjtQHe2vT/exswCM5F8QeJnqRpKiA9wGNTlOzbIhURhZoaaQL4IIsQRY3gybuHvWrjLVE53
2wTTzsdm3uXDtLCb//pUTk1En+J2CUVP2u07xr+HY3QK1WpY4vDoqm7UDo42yBFdCcMqJ1xCjc6M
uwnoG0oBmwAf2IgSG88KggNwX2tb6vUhjEaOj8uMKgRUWd4vvQRG9QmMKBuo1/QFJBGb7ixoM4DO
3Lb2b3kEIXmtbwbopiVrCPZDz6+0DllS1ULfn5SuoiufRBBr8KUgcLhgsCmzKh1JoKbS/GqEudPX
gBANj1Y+WZbntDTeZCqsa2hyiQ/GbxMXAIPZCb5OAwRBWH9PM/cqHYPb4z00MwgmJgBoOdepoPi9
Dy12bfvOadWqG+D11scf/+tzK5VG6JtU7DbpRHC7StpPIcetge9fZjUsIrk4nKDs+Jl1KPYfb23m
Y0zUZDPCR3JMIL5GeTd6TkEfClxcwWhp6fg0t86NBGkidIQ/LRqAkZbKQfV4/NiLG0EWwOzIyirR
7Sd2HsXPOj5vxufjj54JfyYfm0LPGQ46db2HD0RRerRJrNJrCNBagMdBgASULbIw2HO9Y+RGASdc
jGrscA/leNVwOUFp//hHzDzZxEQ6qN0HFcWTy/xvAafipa1z7rmHaft2Z66skPQlZv/Eyk3YRRcc
jmLHX3mm303so+UeKjVOBLObaQhRrEs+1Xm5ExGgcVHVLkTtmQlv8sRDuLSWXZz4ZzX4CIySKxhJ
bVmwVL+e6x4jekJhN4OCegBapdTRierH4rzCRebCy7+a1/9csKMm5DHibi67WmO5ZlqdWOEUenAU
tFcw7EKmMcLFIJp8bXmWY4WQvE/oWrMuW6UyUV4PWWxPF1P/2ONSel1BKd9zfI7rSIvkI+qXPlnb
mhdXrp1mC4nWXHcYqz+Mysp2J+gykaYoPsWJG1+0bVx/+diEMWJAHkZ1UkVBe+amolxB6CU4tfqp
XYfKhrlFAi2qj7VjpFt0jKEoFGIzgYURqNAKoJbI/TTCUWNt4YL9g62YsaBKhxQ5abdX5U2rXiA5
u4qqU2YvnDtmhuInuGkOmmxlYeo05UsUf3Wzj+FYqckkBr+0dwMIdu8dsUcSsJr4kjz4zFr9iUU8
4Y2nckJAcLKHmNAGok7BbeyLT8fHda5LjNk55RZcGnFc2tvkCk7k8HlZOvPOvbkxM8NpEnHVtLh5
aOAZFntxHnl1Zn1s05bGfETaB3NnUsBr13E29RB5nLA1ykof6xVjHkKtKqgtgneHgYXXWxdDtwRY
mAnwJvrNLahljZC62lsBTCSscTX11UbHt0O2tJ/O9LsJgmsLihS5afq9bCC8FZ7TA857XEg5ZqaL
iXurwGCDX1ODYAYPz3C8Iu3n4z0+c2IxgW1wCj1Y5OAkUVndWRMWK1rD1C6/gy/ueqr8hVkz9/qH
Pnuzc7s1Sg9covCgYnUHA+4Vq7Ob4x/weg38i31JHNp882z4A/RlPHYoIsHSyPbgzkQ8nUf2eoBV
4HrUFPfqeavWvTz4CEMvUu+IDWOGJKjidchKeuIGAJkwV0B/rXOhF4az1N6qy+YO9/O1p18NjkZw
FSIndy6FGIvEqwoGCw7oN2/9NHQQKWl/qQ72Xwx2ZBsFg/V1mrnIJCL69fh3zk1gY2mQGKiYEE5f
ezgnZXAxDbdt69yLEE6+HMf7jw2UiaBWhV2lh6B6VsBrQEfozSUk8Axfi5oINZVwy53AljyD51f4
nEBaLlglL80jTBTTy+SRFys/85bwmjMTzsSfoZJetGmBxmBbCMH0O39a4EDPDIOJPotZA6BmAVlq
2Ds5UejVIvN8mFNkQ7c+PtAzZ3vbWCtOEVuxZjzdqyZ4bjqAWXVwC/RxvIoa6AIGyWlTWRcF3HSO
tzfXVcb6qdMefqwR1qY9PtrVKR2WQu5MQLSNLa4Yea17gZhVOqW74azpvJI3w2lW8qWKwdxosPdr
v+rTurJDJ9ln6XTWiWzat9XQfBegVlygol8uDMlcFxmbnt+FE3EkPNVaKA4NnXsa283t8d6f+QJh
dFLutoI7MeRo4JzKvdRt7pqyuW8n0N6H8vR4GzOvb+Jo69QhY+P4Da7x42vR+E9gcCwsBzEzyMLo
mrHBttrJqtvDaXBc1XZibwAUsFZC9Z3tgdyS+l4Io51VC9PaTQu7++0YxU7rSXhsAlQFIz64k+oH
WMHn5yqG7y285GDbHEJSs4a8+E0GqtUDEUysgw5eWeiVaqvH0YHNtwY4rGDBNnKj+iFIdXPGJWvg
nFs7cQi9Rpp/t3XO7qaq7rbgTagOdq0wocz9sdh0eoABFTaPlcAhj2WfibL8bNelUq0B+CSXMHKs
T0uiw62d8+SGNgH5ngVB+xlil90VwzN2TQkGM2wvnBPkLT6867i4gqU5ri/CCZjlhZg8U5Wxjchf
UlymQdUDZQwh210QDu3DUIXj2rZxMgXwDQLffQubXeY2MOM9PmVmpqWJV9RWIJnv4qg91D2sPQqK
e2GYNkzDU6C7j03Ln2CLTZfUXYGUbKTx14iG32B6vbTbzKQ1JmwRu/Moi3JK93BO1avMKu7zKdmH
ubrvdXvBYZK40FEza8uEKZIQHoqqwRW9PQTwder2hUM+lvOZSMS2hDqfjhiOIH21bukj8b8eH9yZ
HcZEHh4YxNPEoFcHLzznJeVNtIUDPfjy8O+9LqGxv6rj0fJiR8LNnAdse7zZmVBhYhA7O2ISYk8Q
2C/ZBvDabQA3wKBfUjOaSzA4e78ZdCAEyAiCbbhN7IpgVYKysWky6VwMNnxEWx/u8CWh0TZwdH45
cV9d5ZL6MEWPspsRWjaXkIzwH45/64xGJTUhWnFaA5AvFO7b4XG76TJYPwOmVB7sOvuTMbfl2kI0
3pRATW7KlKebPrLoiYCRPfSHdf13UKhsk/V+cnv8hWaCiHn/n9YtnfoG+j11ohtIqqFKISU74QlB
yh82yUo71eeuaJ6PN0dfR/UXabmJ2swqaDCC7ne4iarDveVzcT45XKeeU1XTFwKf0tMqdCHbV3bR
w8CUfHJSBXYgH8HaX/eZHa2KKQNZj6dcbXjUlnvi6+q0ZZl/pd2ErAnhapv2afUEt6zuAjabCmrG
tug9SezwCo568dZibvYVBiU8hhNiF50nwiq8oJ3iq7gdrXO7CunWggjmNdGFuh5zV30dgKTegQA6
NrjFsZy1AMP7EZoP9XVbRmLTVEX/yZdR9BCqPnqmQxZe5HXnrIKmIrtonILKS2kan4PcON3ZZQ7/
Pl2VD7LFPXGAWfHiFEzlXljT5BbXHMOqz6YB0OJgBN5R8at2irgXo1bmUUicXwodSJh+BlW2LjVK
aXkOAz5Un6OVLsrLCqbKn6K8pxuYh6vHzoZfeWoX7bYAT3+t207uOnjMrFVF2y9TJASsZB26EhUR
q7FTxVlMsnyFU2C7aiLIFNB0xP4JdYGLPlTWi/IF24VS+msLQmHnPRG+l/Xo+yyvxEkYQm8VmHm1
s9rA+koaEa5cIYI1i+20RX4fsk8OPIG3fRaXDwpkRm8UBM48EsAfTHx2EhAarNoE8EXA8MIHnUwp
3A6z8RoVQRvYIJpfJ5zDKQMelDte8GJdwyZvAxshVMXBdwk9bvlilcLQbp9z93tddv0O7t3VWsqy
Ps8Lt9+pToH/WRfplynQwXOascrL4h54w1AnS4DSmW3gNQy8OYT2HPSEqnRRpgtJdM5ExS+E/zEr
Nfoa8N48nMKsltUaRz+XFVc41UJJLY+2PHc+eBPzisF/04AifVN12eCeuflVml6FxYszLiSIM4mE
icoiueRFO8KQIp4gVg6F8gKq4YOTr/slws5c1xvpUTVKG4RzRLZp1EAGRbF7ihUlFuLmzKb1Eywr
wtyCCRfkIgVZO7bwAnBj6SBWr3Hyv74N/yN4Ka7/CYjNv/8bf/5WlGMdBWFr/PHf90WG//334Xf+
9795/xv/3r0Ul0/ZS2P+o3e/g+f+aHf91D69+8Mmh6z1eKNf6vH2pdFp+/p8vOHhX/6f/vCPl9en
3I/ly7/+/FZo3EfhaUFU5H/++NHp87/+fGVs/Nfb5//44eED/vXnve6eUv3TL7w8Ne2//rTgvfiX
y4SC7ypnNqOHi/T+5fAjquRfRBImpCscQtThhiwv6jbEb4m/pM0gtSXBisb/wwv9zz+aQr/+jJK/
lEsldznDrx0klf7Xq70bnP8M1h+5zq6LKG8bfMv72SCg48khO+0SBy8nuG1SlBoFOy1RivZBp9AY
zkYt9wP3hzuRafskgk38aQ6tlJ0M6uKadbw8w319uU1HOYHYi2K+TpJ0lYb5LgjgHuIUVXLuAsx1
TyFjfa5yUm0gaB2c2JCVgeTvRNI1aov+eRWeJKwVcA06vku//xzHsaG9RW2hpONI4jimrwuxayF9
m9t3ItHwB89yZwPF8W+kj62FXP99+vGjJYfA60y4LqSnjOOuziBs3pda3LEsFRv4nDin09BFu1yU
2b5yQ3lR6nJswayGFP9vfyRalEJIR7pMmrCq0CmLwckI6lqR223gex3sU2Bo4Sclx81vNoVJ5nCX
4BspetPszxjzpoONMcxnetluw1E+ZTIkK2ugP+LGu7Dxdia+JrX/Sa/QobBqgQsEpqGkQqEK8T7p
VQWRAdL46h7OI5D6bU4dBya3U3ueV2QDjZLtIeYKfpoHyaoDfJ5YUI6BDXoMD5+nTL3YtrOqreYk
7NszGDeROlx3sJHP7GybpSgBhg+DQEqaqZO0bPZxFu3rLrhuQxZ5mtHr4/32fpM4fIyNpA3LUyqC
hh0jlDvDGMuQpck9TXprq3BxB2+OnHmgaxSrCFCdhZPIT7ORK4c5rnAFVyBGmMVvCNEq4ANr+544
MKyc/GE6ca0BaMHMz0/LoXdvEksJFKsXZ8j7zerwpaB3CWpj5RFAhU3ZeBXHg3SDyL7XSvaboMz9
dcP8bGG1vVpvvZ8dDmPoVJdzG1gq886Wwo4jtmAmf699WpzEwKGe2Ik17RI4L47USeENBXadH7jY
12oZbeDhI73abqpVnNXRZQlho4017piuno6P9E89b0tMPMYoVUAvuebpoByqFJa6fvAQ+QEKv2kL
USNq2Su/7GqPcpRmOhreWspSN8cbfiXevOsSWwFXAhA1/nOkbVpFUsgakxBKOw+tvZnqvFmLEMxb
1ec3VTN+rnl3H6cj5AIDl3hjyr+2BOd6DnuVzPY9iCxehz1vvHGkT0Vb7hJ4nAeUtx537a8FtGht
Z9qhRLWBzs/CZDX4sJgzgnAXNCoG6yIH7ijG+dYqXccOpm58qAS78Ce5g7nMunDcy8YF+yC3V6KF
e7tlf6b6n3n0W9nJRQRLl6b43pq5x7t05ap8ye/a+uWlvXgqzX/5/2CWcuCzzCcp3lP99em5aN6m
KYff+JGlCPcvG2VDqGryQ7LiHPLmf7IUCz8CxMxBnkEFcGzicAHxI02h/C+OpS9dBfqREq/qjj+y
FPyICAB+cUgSXDgOcH2/k6UcJsR/proQeCnXEVQwjp1B/QRRzoHmyll54IUJek5cEbTrGKb2mykR
vt5IN4NSneUza/LcEX6vq6axmLUKbQFsH/RL67OwHVFMnzrNVixJ+5fOmroVVGChqx0KHCkhcUX7
Z+o7wqubUj4UIo8vaglB791rt//fmIDdS93q+uUPzL/mj63On59aZKb/P0zFQ5Fyfi7un6anJGza
p3dZNj380j/T0VF/YbJJpLcC0+rtbLTlXzbyXkB2JIIHIi4KgT8moxB/YQ8i+CUERIHdCI/7MRlt
8tchVXKUzR1X2g6ECn5jMuI5b+aiopiJDPsdQfxysSGZPNI8tDPdtt20LYIae4wz+MkLLsw5IJy2
xeChk4lLO+qj3xNn+tHu4eUVtlnk7UZ+FMGTzu99Mm0b6XfAiNr+tran8oT1qVygyL7PXv5p6hCW
EZ0dGzmucRWSTWEM1AgZt13ZqzNUJz657dRu2QSyVs6shVzp/Q76ozWKQ450OOM/7QY9ODckbocR
jilw3E4gWbCG3rRcV24bbcu+71dBVNEV/FHv3ky7H4ehtynnLz4TSnSUIFNDPk1fb4LeFAuinsLA
sbAwko6CLkYjyXcts3ETwcJ806RNcfL77WHDZhyZNLIZk99Y49QU+ometlmYZgMI+Fas1kE9dTey
djp3a2dwNFs4K7xPzw6d62K+2oJhwmLhmFztBsU6cExFve2SNt7FEhAa4FOd3fEvM1uRhAhiK0bs
wy7x0ynSqu1B2rXqt7ivlBunbMOTKo7lbx3uFKYIQW7rAvxsg0Nmm9Wj0G4s0PP7YQu9/3xa8XSI
PsdlqSKvtyeykHG+P0n+0xh3FYBXyDfFT7OyDWnJfRkMW+KX0U6Gw0PAJrXlEXv87b5TNnAaDuoM
SCFN01lcIed5pGDVZbnqKilFvUM1eViYer8YIGXb4hC3BBaZefOGGa0c8GWGrc/tb9xOhj18YJyF
sPGrLsNhB72FqIjDgHHo4aGfysDBl1BHdrtymm4j5hbnaRAtsRIQ5t/GYHZYsJgONubB4XxlgiIk
G3vHEmm6JxuImC0sGePhXJDDzkKEQ23sPa6JUOrDbhppBrWyUE2NDX9r4te3XMIX+KbI0iY6GVpW
qlUOR2LhdWCnlJ+K1PKH2+PzwthnDq/BDiUZeSjLYBoaQdiyGu5MA022LemT6YsDcqLjhRFgG+AA
JE55ovKQ/z10ZSh/b+q/toywj1wQHYGDxSEbexMXxTRCB2fS6daPnHQ3RrnYjrFzuBMn4v73PxJh
A7u8ciSjJkrHDrucQ7o52Va4InyAk1v9DTFNn3a+Pe0mlunbpHL0AjT6Vz17WNIScRj1DRO/48eM
RKqr020R0RzWqqptP3duUp7msh3q9RAwXXpVV/CX3/xYxF+JsytqfRhPJBHv+9VnpMgTAqRV4Abt
nSVVdarDPH9scC266wHGuc5Zan8+3qix8rmAMgBhBEUVzimOz4efvxlMu2e2yl2abSsck2/61unT
Ne8j/nvYGPVPO8iypO1i5SPVet9OGOGSHWl3tiU68C9E0tnXoOqKmzAYl+go5vihyHEojFLHRl9i
hhqZkB1CJTEJND0N21X7d7TAumbcAIYr7iJ/RGRBNYpJGxXcQ6B702dc2zSSKOfuuhangw0Zpxy+
FAmJ1n1qpZkXJ5BA8dw6c3EfVcQsWae502sPAZbmXk8DGXppYyEl5LawcF80Rq43xIH7xW4FTjFd
2EyAsqomLWFsKoJgnYETjFBTVOqxsFN9liYFQGXcGYYX6Fo2QKDzLvpU5rxVsPnMs5O4z1WwahJ4
B+qpbsRFymAaeBOwrFoBO8+dXWbJ/rMKlIi8g8/cbZ648kvSCOvRh9XJJY1b8U2NQj3D3SO/SQHV
4mvVtOoxSnC+8lLCKxfu9BOkfOupdIdVCPqXvSorvMla4irxpA2LRqz9wCYpuEdU3mER+5e6qadm
3cDOtdtGeZLf1HLi2arLO9tdNbwLTkULlfgNp23UrG0K9MyJjMoYt3WJq+7TrtFsMzjVIFeCBuh+
nBEG+yTHAmUr5VrjVx6O7EuIq2bXG3EVDR943K6OKztgFWSAFR03PoWV5UpqXCxu4WncRiiLBPmX
IPLhtgZuenpTKVm2gIZTvg/EARuYxmLyT/xWBhzaBwDAr+qqoaEXWF2qTxJR5aBn1nZRr7teNfdg
WWC5Rg7lcMUKhwnCTv+ToyvbrhvVgl+ktdCAhlcNZ/AQO7YT23lhpWMbIUASGkDw9bd8n7rTcR/r
SAhq165dRWTaUKS/HheGvyD1Wm3VWcEBTAOfaHUtOFylWpNvkTw5Vc4fTNPwQAWC7k+pX9LtCsdZ
mFEItJgfMabpHmFi72zjuJzg+yHCeGDndzutnV/G8ZKVe/wRRI7M0nQc1fvhk/RPEgsHQ6Qe8ezI
+VyjosUUe782fIMOFPHsPNYNO5TS95Jq8R3qap2peZna6ZT3W/pkpVzEKQvH+FXZYS5hPFuOY9MD
P76zQkzJFf5O8/C4DOS4NZmqonOaFMB6CT30O0BfnJ6nWAzIPZ5whl1gdWJc412PST4k8OIKj9Qt
nUfL09c6Cqw463Qrw5XvJqrTLfQUEay5Mi18yCOkEcOU9wCJZ/Z/6JDGpHHG27E5Upvczjn65ac5
xmBoM+47+YnLGUD7kRWWTYztadSgHxgXTZEHkGDoayIXirt5RuMObOVDGGM5Nkhi9H8qDn6hTnhx
rF2G2Pn1TjIPWiwSZqBddETkTBJfrAjjpOvU8WFGGnuq+MauRa82jCzG4OF/RrBRyFoPY7wb3Ak/
dBIo9ZYdSwVucNpj05Q9Vb9iVqHDHI0rGW8QuoklF3aQ8E2YEGLdYYNy2FLSvvBnZuCdUfcOxl11
tFcLBFnb+m3D40bOUENkKdVdBnNn2/gMzeQmICT5v2WxjrbaKJqdBD2SpDEqhUBNH/k2vlTZtJct
3Lu3ssuCxcQKQRiOazE9iLSGXhXuzY2+CA1N+/01hoMd/QXvkeK3EJxwuD1J/xFB7pfUISNbdl2D
D2s9l8e0ItZYrDeHKSgM0dcpf2ffEXtXThQ8D6YiX14V9jfZImPRfQhGx7T1VOVRLYXMd+xcPoqa
wuxZqOGsy9ypVCG8ZkD+322ABfl/Y9KX3VzBwbQG6OfZyRE9bc2YG3VevI/6jtoJZv/40Iyfqrnf
v+CME8VNLIT8wRKq5xPFbODnbEb8WJbs9Pcc63hH8woOz/W8ptHWFsXW/7VVPz3BgApJ2rFi1VKr
SYrkVkJ+DcMMXcDcBfIXhCNsaMgc5znvLb1yhgCH7pBCo1YOAXsUpDnwUwlzMeubVXlz0eURsy5C
Na0woJUQ1cgkH68bQuex1FZtTlMWtunK5W4TSBBYljTxMY1Iq+o1S7qkz9gjZIbqn5VHf7/5Aj9m
EF0YNSZItTagTjcoL+RGP3eSRwU6QxQrH63cquoig45krUAd2A7Posd/96NA726xad4ot4M958Ie
tMbw25ZfYngK0bMH/iW1nhyd6hFbfFQHj/1Ib0i2dmvkW6kHVsP/FbqKUY3j27zQpVODxjqn+xbB
W/s7589u4j+dpR+oFVwjCkYetDt4PQo3n9OgZA+LgDzrcm6eUgzIgxVWpEcMdVzO7/8nWZpRsQjJ
4ihqcWflWt2vgAq4Jn+YWwWn6flcabheIo/c3rB0iGGYVJTYGGC3Qau/Y5Q8rFTDFU3rjzEaLaph
aOnxyD8ovJGfXSK/EDty6gkURaJ8VmafTsgxefMLb5H/8gbd7CWDExbl04TEyBUEejkM92kRzLdU
8ldWKlmHxB/Y2wzanIu/9dCLXyaBV8vjlGsQNz1+6xxvso30+ArFucqTqVFWL3eLLZbf6bb1bSb1
Iy0O3pWDYDUki1MDedHeeIqe11LA+hZpAOvN4PGc9pGfojn4a7zo/gHhjfbO+Tms3dpj42vWASHg
LaF450c0aD9TE88f+ar3A73RZXpZiDU3usDs5KpR3TXfldh5zeMIKsCK/lvDlAR8d6y12nADEapg
21MGH9gTF5V/EfGC1Pkwg/Aa8EXOu3XkHFfj8JAZHn4jfuNPJVlxl07MPhx4g3gDfkW8YdLMFXU8
lurBlIxHwFNOi8ZtW/ZhcmRX1xjPY+RlqdY+G3BD8uoXgtn+MvQAmadP+b6FWtrtV4joWvd98ryV
kIDJ9UiexlnCQ0Qwb665TYunQrj0a7eYooAw03dk7QE/BGnDgVNphP/vDq1aLOJuWcjyHwOUHZo1
QYREU8KaYWuCXUhHZTqyZsQ/ojZlLvmTrim5m5IIsxro0+qLQUgHDL/c+ljmcdIWfjM/kMCX/jew
KLjfm/Yu7YRmC+8YlPdDMxPjP0OyHjf+CJ/w2vq28oq2ewYGoLWTpq+WE/GhEF7yudpya80kASz2
fvp9YOb5J9QnORKDFcFyG0jubizfZ6SpLGnyPhO7XyuXka+Siz9HNaY/k5COz37zF8Aj1cVRHH0h
MX6/mypmGi/jt740yyuaN7aBFuEmNoS7WjoOqRvjYfnh5HgdTFU2hV/NT7M5Eepyz0YglEpfyrT8
ssdEauMx/sCOIenkVoRuLYYVgq/oW2DsEv8iq2xGunDKuzRL3RlDqUND4L78OWS0fCznEMEW0yT4
xfH4lAt3qUh4KKMAAwWJsaobQ6cFrl0szz/X3o84RieMzmN+Xu1/HVPKNukyoROJBm2dL3o7+dxW
nXOQHogENmmMFtj1RdINTqsOw0hUYAQ/yCsBmOubgx7zDQsarywsq04GstHW7nnVyp3RpZlXkvyX
ZSyHx9vxm+25fJ6n1QJCzRVCnonL6ooR3h2Oje+p3OOXrSrju3LwAKvIO34c0Il8GQsmnsiQ2BUn
Rcn6Wmyxld/o9kGEdQj1hMhJDKU6eZfhTKuLZd6RlJz05yXNXJuHfUdedYotBYnt09kPMb1EEbuV
EfyrS9hAN/jO/ekIKoPD0LoCr2yyqVbM28TLt7HqrvfxhiA4/QEgcGmo1nB1m2mOB6fz6BbgOlob
vyv6OGTa/s7m9UB4pxQGcXa56s/Ivz7eBdz76tJbP3da4UA/QYvLH8DmhqqxqdcFdOR2oRBde+wa
wHg3Dk/pBIP1PmoAAme8R744bRbkbL2MsH2skY7cq4bmEQuYPXI96hDHk58DBSC/DGKn/3Q8WXEL
D9oyvaY5jtN7NmHH5LU11t2lukTrcjj2CYglRs8X9K9Zu9JMwB+lxJGHSNX4JethlqFLANvaFEix
bKDvDK4pYxL0KQiT4fM0RaAYNjYz9fgO+5AP28OOXR/YVecjubrK7FeTrxJLoVz6l3wz047872x+
KNfoc54Jbb03cZeuyKZadxqd0nTSuAy+/aqAcT4NDBb0GdFBxdO3yKqbMBbz4LLhfU/jrMXg8YOI
dnhcix7aQgFYhl5uuRSwrMhRbC7ljAx45oa9HYaeVzXfAbigVayO9yD3bGvJmo7nw3l5OnDIKvge
wmTYljPOcYP6dRRRhIGy7402B+HR87i4jn18P4bhlUc8u+k5a8yYDl0O8HOj+rm4L4jhdzYa9+c8
6svxnAWMZWtkZ1w4S1OQzIirrUU+i2ZTQqyPs/Lzndgz2eHlSR4XvZRIeppzk50Wwr/n03P8fbbm
P+gRz21El4uNAO3gGktCswvOH1FRzTWflrUGPWMu0AD4uSZOQfiqo9dlXqGnLHz8z8Ta/6ap7FGV
JKiOaCTQ/NOzv02xPxWQvJXzCXfgN3oNxLQpRzu/HtHhmE6hkjqrHXQOac1VVqGAnBEdDmhYnKGG
hJXDRCd+zof+bhnKf0ngFdS71X02ehgbHcpyJHtOwl4KEcG3eN5+iTiyP0pWkkeEQI/dOkmMxITj
v/ww+mGOqX5YzHR8YGX9BtO2YM+M4WRezEV/Z12V32iTnkvS2yd0R65Q50ai8RPHvd25I9d45L4R
cEftufs+N8lxjlWZoocRx+EnK0Av1QkyGG4HXlaXlO95k2FTbMZRJ68AD+JlUzv8qZYcbHrdQ/M6
d8PClDtX68FfSp3DXhAvNv+hOJNYsUD2f3Ay9vil29yW2EuBpDQARmFnaIT5AxLI2LVccvMGw2EI
Y4djG39FaiK4rcmWNJDesWfOMnu3ljlrSFXoIu9meADe9SlFC9fK6Fc8enLUkrBSNFbrpXU7ecvw
52c15YiGdsr+9Wv8CwxTdoL3Tag9mwZogqhtxQgVMgwz3XwqC3UnLDOA6JYBW07FYWqCgrtGd4e8
IPTLfQorkPOq59eV7i5qyohF8OuYLQ5SWWB2YwTm+JyrBRt72ku/3i/6mI9fZFnUR09ndgIPPL7z
YsleN16lok23VHRm6cv/isOzblzyBR8TNhJvNaCwP3GLfPG6GDV5YCn2ZIQuTJ/5gGSXOebRfV5E
pb7JLYcTrfquHWyy+/eSJhpoHCDiB9MVs2fwauO3mt7TX6KPVpQVQHd/SIkpzUF79ZlgZufesNL/
xgQHeU7juah3EEauQ+Bppep8Eoq3ZTLZM4lileNFG8uHBX7+PUKN01vWI0X01GNatMK1fqu79xLa
5HkIUTtj+J01VegLgE/cjqRm67fFHOylYTOsezz9RgtS3g7pBvfsjIY0aaW1I60hK9x+7yUH1D+m
Ob9Bnln+mvWyEJAum9xixy73pVt3QvE8+TGOrQ2FuUcQ4sZPWCDKtZXS+h5zFySq5wQuDA08+sRf
WC1I0YgZ8kTmy/xAVwh+FABPcTxg+sl72zrIDv+JFZt6Cx//XNSxA41SK7Hrl6EiCiB0JsneHiNx
oc2dj3iH3YPHXWHK9QlmlWppkhVWRA1cLxKNKLEi/opKojfc/i3mNV0Lk8N5BIHIdSkVHPfGw2I2
eAYcIK0x2QTbpE3OOAqGHLL2opi/GPrEroX/l4LpAvim+wnNWOQ1INoAmrYCu3ppvX2s0gD/CYZl
/4iR3uGo4fzZ29qZBaUEsNyx3VUHP5bLiA50aMD1oipMBhQnPXzgX6ySKFEOZkLaLHbAvuezPbyB
sLFbu7p1u1N44mM7MXrYUwE3NdxXS/mDwQEeztNB8IB1dPRA7lD818PgQo/Wxz7GoJeQ4leXmWfw
1cTgUF/j1Uqxq2Sej1Auw0KqCwNoGKDHmN5NTi8VeKhi/8lxVEUgYg4UeBm22qNGLrKSwKCqiG6N
8sXQFcs2z/WCEKQXpVY4QOVHBKaqOFT1n41B3dY7IphEDerPgtFOlaBtNeXzAxkIDs1pHrAjQUU7
6doIsBWtpGXWA2JZ/Ueku8EGelhtm8Pu9CudOX0zSFlHvtpcDVEXK1ic1Dm88WiTpsTfZ9Uyx3W2
puahCEXQjYx3/h8+Mf+a+gRQk9mVv9NkK7+giw15jWmE45TCXSeD30KVIfe3kj0KP79iemJE1xEj
BCIxczflDpwtR7xr2qxMVuJU7UX65oXkaTPnEaGX3IwLMCIyY4a2Ihl4Bwnrpzu6YRbimwQDu8Ew
dmE7MFv2AflBR9lEZQW7KVFFGPww0EOBr6b6KNsFqAivPQxGUaqtmMi7jrvhFIyfyn72MhfpNY8h
fKm5haqXsgHjBeEw817HUyQLzDMMyC+IQG6pbtgm9KQqI/AmgIrLSa3S3CP0TdBf+M7Vsyi9BMRK
Ukx+HALD8zfjbvG1SlwjDs5iltmtcVoeVyW37I3AKxA+rShj3+wGlNEFhvDhNjkQh1QOicdHcUgr
GmbjzT/wcbCmUVWy/xZkiXSbV9uY/edLCCh+lFHl/D1Qb2pqaD3nzyPeY9HAByNOakcgQLvbZlDk
TYJ6ooTfJKivrDVrT9Yzm0yCUT6b4ldMcXJFsvaRpV9AqdFaNkQMdA1Nzo4iNo9c5lyJ22qNN40z
sygqN3XEwvNN1ZaijbhdhMRtzZtAkc3CL9NE1YgNalaTbxDz2U+PmPEdXZ2Adkc1PUuU7AkZjWoV
mjp556sgybXcS6g+xhTYvh1JOod2XkhqT9m0akx8piOUTlOM+vzMJazMm706FGvRMlzjJgevBzNp
RUrbSonR081is8Y332KCCO9BieJmtSh/GytH/k2Fwz+L3WoJ+Noxo/jxZmcTh2uySVijuxGlZtsf
BRjqJHIDEuWhpto1wsDnpWqzDKM6ferS6XXLBgf8IVBaY/kPY3LtUzL17wt1fYA9bLyrzszxPP3F
ObKnt4mcpg8bw84ArIpAneZdhKYLKGEIGFKMrUJFOwPVniVimcYOxjUpfwV3sLAfci81wO7k4SQz
psRELUXdE9Vw75lT0ASWm0+ZrXN0LuBLRWGNoNPqfVArGqnSwOwOzEo29q3EN+pv8nHYX4cB9EgT
ZZDIAz7tTGDQbdjgreqR2nNjNcuqFVGceCIPodd4n0vOyg3cFc1eUjqr75utjs/NUvI0ZwvmWq2A
QfQdU+x4TfyyZbfO7kScGbTy1V02gLjBptYXNxGMuTABZi0i3FeLOMXHXU78CbyvwHbcHxhVPpGZ
JRPOypJXWFM7/F45RrvgeBFDMvPGxojwu4zabH/MwCnIcw4nAQ+DhQwGczNCDv6mdC1FjaUEwXCl
oRDoMj4UX4PbYzDO4DYqcgKQyFBp7jbPWot1Qm72hZniJ+LWpMHxj0gNtLtydMPJNkCzOWGUJ+rA
Z4uxUYwf+jLjldxO7NDzeHGFOb4AuwWslizbq5/CHenxR4x8ZlAOx+RooesYp05Gx5b2SIVFOd9g
KitVHwlnygPo+LTqwGVGKzbYHmZrkUUnrEH/vH8uA+BTW8Y+eBQSDlZ4fWrm/hP6IkR+R1O6Ples
91md+SJ+DpmcCsRXTtEzBtbi6TzBFOpoNsqL9YwshmJrkMO8DW08ET4gw9gM4pq7TbbQcVfmdo1D
gF0qCemjzubsWeVZIZuY6P2j4hAx3cK9ZhG1H0z0OKfW4fzVOn/OUAz/pUk/Dfe+D/wrJaONair5
HD0xDDU8RaOEpZTf1qp69ylGMR5Bp7pnXyUmv5nL3AT4zBczvyDryex3cOTN5EltZKrOaVrsE44V
FdzQwXCypA9GCvV88MLGpzX1ZAOsXPrf1TclhGJ6o6jQ2f4BjgwVeFj6UJ4PGK8XJ4bdcvwBt3SO
Uh4rzTZUBSjp+zHQrFmxuh/CypYfwGEapfJaLuPZzGMpz4L43N3t84ATHloh+i5SESGYiaOU7WJm
UH1iPNLhnTQD+wfost9qjCTOdSgV9zflsvT2dPCsf+amwslcjQT4Mdo0WHITZVO7foepdKPh8pdZ
B9GfjyQsACk7gfzzGBHtAnimj05C2/Yx82P1De8JEw2FBExMbZazCNEVkkhkKHOFrggBVbvhRY/T
E90O/UWgmO7bcquowrIMY3paEmJ1u6L3G1+lH5Q60X3GDGweS7SUavy4thcMaeNS85kXgd6l4wDQ
P2y2OB5kRCyIpckM/akQwkzP4x4r1y0sbOh/eJbuDeb7ltAgf4S/YWgFHmOVRpMactYCjjbTqFFm
F2AgslpC6K5Qlu+rgo0GHf5UiDyP28WM1R+td2AXTJCpvtsW9EsAz/pUK7x0TLgfPM49MHCV9gSu
5Rs4NpqF/JMGAuOvCX8eWoZ0ge1ebvtR1GlIMXlB+kLfYMIU9FlK0uO/TIfhFo08iR7aKsmtHrIZ
r7w7zDvJpwIFtAVvDVjo+l+IQnDjj6pH3xr9AenPeCTo3sBbrc+7GMxh0VbRGi4CqWho5bOJ+qY3
oYq6XeuC3y34IkDXaYb8GoDhBeOOtJ/7G3PQVMMwl40whfIxvAQOixHNGrwyWH8H/0yUGDgTXb1H
E/+TOI0OMHofoNnB9oBHQYszIrXdVfg19cqQm2rISneTMRSg11AWQIccovil4zTay24t+3m4+e5/
Q/Q5gB7N8gls30EKGy5khWVH129kRuspc3BtsKMgF6fc+EnWBGrGHnJOKJNNP9i6mueD4egdpouj
HAh5mf1xx1A/cwC8HU8MdlR+Qi7MkYFKpQDZmICNwH5UoF6LGu7YXnZKVVXUYJMjb8ywKWADGQO/
0Wh1/+crfshuqugEQmtFXm9twMLoTsyYwr0XOBznExSsSN1ecPY+JbkbS4zCArm1kTdjfi6LtK9q
UWEzx+k/p+5RWQz/1sQOJn5fgdxeEIrKn1LCImSBBFrKZuW9inBiBTq12yD19rQA4aBvxnT0GXw+
ZheJS7qq0SS/AUokbRWOdd0eAybVsynxssW9/i5Ig8Tm4GOR7c2Wssx3pUw8u+yHzXyrkDahr2Dp
J5CF8N7r14vEenst0H3/ztAAidRB1GFhSEzUltdaxb18FpiZQYs/HxMnWoH0kuUUXE7VX7hNsO0n
ZojFHROoRO72tATXFlLoaWoTJeK4BYFE/4zyiLf2G0yyq5kztBAMMCSsOLKJ5s90WKqHPaHWdSrJ
1qcSozg7yBw1U9Bgc7w06DfOKTrXuXuRMfHu3JON0pslykp2iaAOrC67cbhEwBvf10BPwZ52FND+
ilxTNz/AoW/ARXNU8j+s0v5oKwwWAeYxgoFwwXY9dzumskC5elpOTeBjcTcothRIKGWr+TMbiWGl
Ro9gJLohA6HzBknA+ufoLSK8cB/RsB+KKTdd2E1xL2FA9Y8bPrwEPD2EdkufRNkdzfHOdvFaFD+8
4giTg+/pBEa33AeIZSiy4M7Cggm8ThIV/t7uiK/OutQ7N+H4I8V/pszkgH6p4kV9HEhDAkwbpr88
yqC2HaH4qRoEc+3D2eIkNTeJikCLBwNZ5E3gfUb+MIz4wwW6pztFjgScF4smm71ZfxchAUl8B4Hx
cbQYUtT8d9FrIJG6cvyAhclQ2jVrXKFRf8VwSnC3ffCIhbCH0juGuHOzYlJqSuzNIVHmdcUeenfJ
cabB+3GVWfLJKDbK1vWpnGtqVTxc1w10XIMRuuFfqr7tuuaFI2AGbfYlv3UAax+SwtkHzpsKrUZl
Flr83IMI9LlYnVO1zxc4L6EtID8tJBIp2hGow27k92/blij9QIMTHMzijDMXqFT2+Qwya9mbHBAd
XsCUIpPwWJL9ySHK+B2tv151GNliU71ai8wtT/rsa5Uyin7glVK/1sOSXz3N3Z9iE/RxQ+0FWGv3
+T+ImZBM5NICCRkOIQI/bQo80OaZcegPFGHu2wLuZL5mDK2zWiTx8ZUvGHw64xkX63XgNHHdeKAv
fj+gXscPwtkJZ9QWZ38Aw8A3YKhC6ztQnQBOkNsYUeNl1m+Jj/CvEao+SK+XMkUvSoijRytiMTtp
pEoG0cW44fmdL6KhPE1QhS33kEf2COeiKWzeYBAPbjQ9hE1OEESvvDF6X7H/GRnMCXq+YT9HE81U
N4P1fzNHmkCiFGu09kqXcoSTR0k6AlMX2IZ9jzPiQuBPhXqW5jjoRG+O6g6q7TxuuRxVfAFoZm8g
GlagAhnFocshKPzIqY7QL3X5hNJ4YaRLpYYlSQ5Z199Vx8Y/9t4DOEfRSJakYY4af1HVnoRbGNbJ
rSvKDXAiyhe4fsAJTiO8L0k0xGSwkU5uA6Y8wdi7ebrloNh1SzKbPVURQdNWZ9V4i6c/VE3Uc5zb
krntQ8h1XJopBqatD4PIj0aJataQjk4iakYBerARFigcwXBG46qB5kBhBTyn2yGLgXvHRDBI8Xf8
39c+2IGeIxg+ukYl+/yQbyTkyNzEVAY+Xqq4jQdnhzpz0hQNzIvQz8fosblzMJcxLSlV/68sME8M
OL3L1wIJHvAdUyuDZ8OAriZin4YEKeUm+sdx035BG4GkKZZJ9RVjZnI9baYEUecOike2Uu9/9P1Y
JQ+Q4IKHxmWJs9hkAZsfMq2iTmiUPx4WCLAd4RTzZwcdkTTwcVBP2+wUraeiNBzEeprMDUW7VdVI
usoeLR/zHxt6l7+xjKGLcYObUAjyw/DaoDULAkEv6UuWLVOMNjGWJLb2zaHEzqfxMa22A8SVKr8h
jYJosDZIkX9jqP7h4V3NfP3ul64Pvd23A/owiQWWbMqcRJ75f9/+UD+LVKbvhiq0a4aIAfxglnN9
kOGYM9imjX/BaBZX6fbDv9q+pH8R3MA/C3CgSHqbtgw+a2Qn7axU8kSOQvUP42wiUIc7Xq52AOH2
L8oQu9UuZRAoOTF2+49qP0WPS5VucS1jqKEu2cDyr1IPuW6iVK8nBYUURFDBToBhPhH3+SFA1K/Y
GioUkFHMbnaxS/MnX1MYqRM2jBpdUekdPEBWdM61ZCusQMzm0TwOESkeDslwjPMV11gzyioNgQk0
BHdonBShjeUa2XaW44J3NbNGAsfP9L6UNIN7nIDlaA1VMUDGEjbxleAVtgg3LdK1hUpmm0/QdZXR
dZmSHM94FaBnYGZoyzZTnlwGlN+2mTWYrXt6oAdkIdqrmmQokrt+GCp38lWfPE46Jl9VLLcKG6of
8KT4Ot3TLAvYCcIRvqiW8lcEEbOtB7D6HzjOdqgpIoww1FvmXOg2GuIRcgM49r7sGDiY+nqlPP1Y
MjWYu/DNQH/B64GIf6ZEmlenkc+IgNBsOmQD50XxH9qjWqN3vk/HdeJAwHWhLMRXfXX4+2+OZmv1
7oZ7A/HTAJkpmcSvZM97oIO1p+FczD1P/kFdYPdOgJ8Lr/hEn59GcqDMYVMB1hONEaua4EbIciZk
skGvsm/6NIpQ0jZSavO62fTqswu+B7hAS+dyuuqqOMD8rwyUvqYcpUadIH04TRoonKFRWzM28C5a
erwQ4PfQf0PXpt8bSsDdQ6bA8tc5Z5q+Y7jElHfRqNCKJUYCSR4QYdRJstDQ6NhreU04ZIwvJdqI
90e/LVN7rJPqG7ViI7ysRpVAUHZJThvn1dSWaQFJggTTM/3IYrgctoyKdANwDyA9hpn18MxPRiiy
EuuFee2XhEEDhXCVAtJBKKkNZ7XiwHt/jCpCuNgKUZC/LUFU2AMADsawBhxk+t8Am57pRi8xritS
h+vFvVdiQgM0ltMxMxRmUxlayi1He1MqGEbBVTor77SZBn6BTm8a7+DkCrcLtBH8xFrLom26j/cN
qkEgpRKzNHNOItK6qiSwfE2B+zDGWPQjxxkpqcW2d0KbbsgauzkPYx+PAneCxiLHE/vXZ2bYbuY0
rCucZg4nHQakj/EfoIhdTstBh3dzDBgz2OeANsKB9fGiLZQi7YYOFAj76Fj+kjBy9RjjmRSdg1YH
+YxRLzQEcc6B/M9hGfbTT25xb0LEZL/3YzLtF8j9lOhGFxBhVx9iIsnZS0LfBs7TrxWLWDfmf9Sd
2ZLdOJZlf6V+gGkECU6vdx59lOSSXmguyZ3zBJDg8PW1bkRmdUiVmbJqszLrfokIk4f8DiSBg3PW
3tv14mmTNE55m0mavoHxgIq0VjbboWKtsrryqeVJzNcOUO24mRbX8y42e/YLd++k9jEzlrfSr7L4
LDR2Wdtk1jWd35Lz3jHOfQUG4eV+yBMFUbPORymL1Sw5ZL5WUxLKzeKijSGnig3IZg+xmflbVcv2
kZnZS+7Qv8c5h9q4f4Fjg3tzMeBWJ6w+suQQO1VIV9bi6rJ15NXwzRuqPIVcWloflCL161ufozYn
4sL8MFkjbAv0YXFaz6IANlkdPAKlVHQlFul+j2n75ls7l9KmvVPzBdPJQOYap7UGgrXrwoMgLYG6
2k1ug3jtJJ5An4nDglDIK1iAXVeoSdKH9ltz8sqonndE3gbNrqdTUp0SwVjkEEs+zqatipK93iry
cSOmWUf054Y8K1bJNEd6G3mzNeyDHr3AGaqwtdfp0nsNMry5hg9yBiaXfaLGaB9H0FVfLDFRwHD8
mdXBmSs7JbBZ1LfUnC5oGZxkS7JlvBQuW2DHitJopuG5qlLO6feD3fvuuqQ3hHk6111fcYkAi+RS
2/l5csZeQjYOt7k4Ms/xmaehEB9sZ7rNJ0tLYUihiPCMnbb1L8KKbXlvFMnLr0XIXnbsLDWIlc+G
bqW0mRBCeWeQDcNzk9aVW3+OfZV054bDKf2brrKKxxZXRCLmC5cWUOO0VvWi9UKbHvw90a9WzpDw
oWjjRn9SDXzoJXLyGe1i1E5tuRaNzMIfmVoYEa3ylH64oByr6FI7o5wY9411XT/qsRHDy5C4gVOj
/pAWWA40dL9shSwK/cWnq0iNx8w+dNeIYsu8Xi3UONz9I2YEn0egE58asG1ivXGcuB0+cP/bJiM5
pIx6syqiyanuJOKFcm/mEh7ISoc5gRmi+2g2UWYpdcyLtkpOcxkAc8xtq2hRMMYPfzRZ2GQvgSht
6zj4HMMeF8xzoFe6uEjF/TKKYQQQ0cvwpekL4VxbOwvDTbxkQbfcaHEgeUrYhBFwWeRLP5+bxCeD
+SybBC33vYlKs4SA8VasNjgapsW+lZVV3tFkU82FiaWXvfgBFM05a1I934+6Adirq6iJbjufc6kW
G081rXV0zPyaMY9Pj5S1PcpzF4PjNjhw/mVumFHEAYIoWEVEDcCCK5tD0feyx4iGeDQOxqtbHsA5
GiRn4N7wg/Ngc76yggOVYRIAMHmQAfG+n9JETvt4pFhtnyMsPv3+mA957dUH5iBOpV5DO2t4Igvs
T9P5HLYCZcDiGTU8GtseHFpJHok9/SdDq8VlQlQVeTt/r3TD4W/H0ubb/UlOJu3C3Tj1dMkmC4Y7
2bhiyWS5M6WTCqiHbNYlVnyzDwfatnFEFZt2HjiA1mHSsXo6jAPZjLHCsIBwUyzgNs20pIwhSbVL
omw72q72n+I4TnO1YsIZuvoIH+ZND6Xr2GwVhvcWPbt+Fo8HxVxl2SRBl9AWLetKrcZRh3vipPJP
XTEwBc7sxH4c3aV6J8utGwhRH703tjUjqUi78CVY6vhrBKNLbCVU8Yd8CKP9ZItFHSrHKr4K1Xkv
NWYEn1NdpwY9TKXzZqfSiO3a9N5UbhESCUQsWUOKdc1w+09x6f+GMP//N2eIm0DqX8vxr29T9r35
yRji9hf+7gwR+n8LUJD5GCohlGJXQy35d2cIIcK/uYGHUhAR9c/OEK7ztwAA1Q6CwLvp5G9i9X84
Q8i/ea4rAWJtW7jSCf5HzhA/a8c9G1Mt10UX7OP65Dg4Wf2s1MLkRGR1nXZXBsdZAB/rzOK+kF3h
fLdUTL4zucuBPPfoii0MzlW+fPrLd/VPNOR/aOH/Yk2BdFESUhWgk/TwA/B/tU1F6F+mRd+aS6O7
DlrfKD96lgnWl8eZpM32BKfpeA8xxvGMI29uOfJUVm5PLZIIlWCOCIodcw7+zfu66e1+el+UuI6H
hQJK3H/yvpDQer0YS3Fh97zRRo0PeK0oocy6yIuEo1K+KP8OrlPqXYFlHo+2W7EHldpk+UM3F8XI
XA1Z5snDKFxsf/P+fhYLe9iaeZ6HCB6ozheIeX+5cuhipNMyJr1kfrYMG7uxXUi91gofrMmu2vep
aJf+LNiB9Y6hVTauJuCW8NtcpIPa4POjnqLCCQn9cfpq2cFrRNnDWGP/+ht7gl/cagBEHQrrkJs2
EtiuIYr9+R4TzUzzYXKY6NlTOR2x4G/pApeIc1dJhxZ4yzZcvzVNOjyinSrmTT522jt0cuqz36RJ
3F7qLxdV4BuATcHNToVb//YfP78VZBpot3yyuJ04MAwoRaXLK4dM11uBfObtl8zv+jT5zbX6WRDN
F+DS8mfKbAe0vdGp/6LrrpfGYiA+9+fGpg23QW/YRSsaYzaemT2D0Q9MOnNq51pm054wa/58pili
fiOI/uWO4W2gy4wI5uaJRzf56x1T1bI2uh67sw1bbp3QIfrDUVY5W2zXNlnzG5/Hn4Wzt0/NZWdA
6YvIwQLg12w9d27LNO0wc3NUUxTzemiJFOhWHcn00/53D8MfdnF/vbKsr0IIJpAoTiMcN26a179I
TnXGWKixWrPXjYWnNwPu+b13l9mAb0bS23LPNTXuodWyVmjctnlpJF7x2JrCqnbzvRv0t7BXGR3n
di5xSaX/UGVNeI4VqPvo1ONa9ZNPg7o3pxL1xksX+eOhsy3/CeA0W0+qBlUe+jsUPOmziYMRMVSJ
MiCydl02ZYU8MWCdeuvNwGOtNb3Zd7LM1bd20GaXABMCdyzenaqrbxXI4d5jDnkVUxuuW87768iJ
xaFcQvK/nM4Jce8V/T5covCDNXnhfdZE9bpKGskIBGd1O22rC2VHt2FQRz5TXpcFX4pTr1nwP7q+
UE9p4HCQo0rZAWnlIBsQunVcfRzbYnk0ozNt/eWm1hQDlVuk/QOdm/S1Hfp3amxQpVEW3RqhHQ3G
0Vo2ld8X+yiaOGl4ylCceLG7wuylvetDvglh5YhBWzI2cODtVqNnt5/w5a22DlpkIJq2Vq8YEjt7
pCnBrvbi5kPS6XC72HG9YesQ38LRYbQzd4jYQHkhyrziQbt+8OiF/bDq/V48hnVaPJnGNu80Wqd1
mKOZOkWBGzJ+8fD1oi8hV7TAhVmJZLb12quxAAPRDN2vXizwH8NlpbuAGHgnUiER8JEUu/eIp9sP
fvucV7V7alJ/QvfV0TxrunidpvxvDJN7jBqtyLXONLiWS85R9kNM+/ZLbhBcbUQY5fdFP/vPgpHL
vZWk5lMlMTZsUrQV3VBA7fkS2oYOKxOcSAqQ5ioUe0O/dMvYnIO9Kmy8oiO6aN+LyTs7AocVn1k9
dEW0Cyy0b9Vzl9Br0neTnLyB4I75u4foaz35DFXLfNZHtLzT2cA/fDajlYEuK+RYqWVxzuqzoCeq
VX0i07r84c6eOLahHve5S4Gf+qW56wIL2JYzsh2AjA52dx3AJxMuqld/pCMAaISUd2UkNh9YaTvr
ymuLXT7c+smONmtFcNVVxk21Yb0wjBmxuaOaTZ8DJS654wHYB80Pv2vi1dgmR9HO1bPw0peZRiZt
jbzfBcodGW1O9heRhczLKnfdM9O5zAlzDhym7+PGjHunWaaty6npAB2BYMEp4EostEzcsuG4M1Bo
a7rsy93YB8S0ODkeQFWLGtmd9bO/xNVdRp7XA3508yWnhbVVHZCFBUo40K01Hs3+UQ3dqo8Ez2Xr
wEZtSWKJ1Spg9mbWMWaWb26bOR4yoIJJsJjKq0gZ657DdCzLzylcjvWF9kgV80twl2GQFQV5em2j
ts5x0crFe8eVcz7BTqineq49fzPWXd/fQfH5/ksUqCz+pFq2GoJSlizPTsa3kd4RamyGteUAST77
7IE/VFhy2kjzQS0PRobJtHeyUNvQ+1qUuz+LhtryB6IDfATn8jhhzxSv9Jy7SHBsuu9raxpx4A61
QdY8M+pKqX9SKg49DFO5i/LGSY+jRuW8buaK32Bci7kSp/Hiiu5CBhg6t0N4SWob9bue6qw4eTNf
Qb1uCqDYyyRKae4CVmIptzT7oG9WgqyB5dOQFlOxQrEZ2KvaHqKbZQ3GllvJOuqjhm1GJqpt6UFs
R023PEjkYMMGAG2JmZnzfFwrAMlXR1HUnNpZLx9reJDbaEgoSjcf0kzvgg4Z7eepE3w3OmTtWHOC
7k+L07Qol7CwsVlxW+JqNCTsNC/lEu9oRgfmqapgaE5D6rfLQ19Pof8Bi/kGYRjy44gmbeUaj9ic
EA04FzZmxtNVcqnf6gUZ6qbDdIh4TZ2p9MgovGUiU1lhNvq7xeYKpduAfrpSu4wI4qvfj0ivat25
Ty6Fep5dOtLypL+2yq7Lq6sodVkkZ5pnWPKsu3EyN/Gxj9ob4Gu0ubhD3dU7iVtuDWFEdC/Pvgld
7F9CO582DAcKGm6QQZqRsijs4EdU5SH90UYAE9N9NCAs2yDXJtgT6Xiz/mDIh6rQyGLYe747hpiF
p2Fz8UpRJKdowk7nUzSFo3qr6pHLAu/dGo0Cl6RgVIr8Y9pzNMrDbgsqkuUXp66L4Ws/jnXG4tcg
OLhtT3Ej3yRzRiBEd4k9eJ+cij15D4Sr2seFumk5skhCDSQxCyYSDUrKQ4OJf/ax7R2EMUbPC99U
Kjo3/lIrHKiTFfP+LH7qIN3B2TTSZ0kyIQW/rFflnHb5e9bxbGPNzti5s9agil3D/FXPDhUMut0h
/2DhUYs9RC5Q2CMkLwm6N3uInu6YqDLW66GL5V3vetNXr9bxR0Iwo1Nbpz7qI4Q6jF38T5SML51O
siMfr96NNfX5KnJHf9WUxdmX8VjuGODO8apFof0QDdNrh6EGTgkS5jHMwytUV7we5cx95rT66E+x
9WxD9expkLK3TFKtoeoaXnKyH1vWlU3EPPwe8xY6Ylnkb8SQepu0w79P4S/jISdCQtkxotoV9BJO
MAvDto0S4HcfzhuF91RsFmP35ZMXJoBi1jIQTM4xadp0jL9PaRgS1zZ4XXMNQG+KY4TC/eigkT9k
VSEOrjDpNifMYIcd2yfmEhmQeMREjw5SB5EovbOZ1HySTLfPTjWO6PMkcRS48a+9nu86bRs/xPm+
9b45SVvuXXL4VuWEXhk9LhLwOuwem4U8bdQ881Etmd7WOn+TS6WeoLQJQxbBsGmIp7wpwtMnxmXI
dpnvfvTKQYTrmiHLRdk1CTwzeq37fIS592rXS9jwFrGOFELDNVCT+QhWoqCC+oaYUGPw1Fi7QWbI
qulH8R7F1k2MIN1PTsxBbVXWTbnWrdXZDHTzbDdk9BrpbCnV4X1MliAtwNnbBVFShV+kipL8zoxz
rlchiy8nIg+ZCvrDNN3UxAM5EKh0L1ezcwOeFsoDIO2SnlrGZn1Kksz55iYNckZ3dI7ORPzVmvmL
2bstfk2rEGEeWePJbG1UE+XDCpHhcJqSfnxpGAw99J6ioOLTh09I8mAVWmjVD3WVN9NmTozzQsc9
/JgF+XRKlW6e+gxgJb0dOjdynvTR7iaOwUrpm7+kYQqXZdgo2D7N5e1sxj5eo2eLf/RMRz55IutC
jEbaHlkuYHC2ovkQQWxYDMxXXYioqxzy/sAvDhkeGzsrN7oHbZqmoBe7QQ1QW5GLD77rsm8ZZKLp
mhkaSm85tMNlzpT6asKseBYlIzEgsmF5ccHp2VDaMt8FzRQBu/eWrVc3YobBvAItRSbUWSdAMv2x
5zD6yIJeMpWwEc2pKS4P/TC2m2myy3mnR/rg6EM7oqyskiGgnG1/2EUwRtfE9RN9yKN0HPl+Z6ta
RRO5E6sYBPLszAk6iZQgncoEwXZSmXg2g75JPxf8QqDZd5rx0l7hi7vTMaIzyIlX0RTywAf0mCFo
5b7w1XboJJeWHjZ2TMEG8ahP2EU6kw+k63PHuWnv+ph5d25Ak3dSZWruIurDhy6zx49+FsD/jnk8
fpzcuj+FOQ7kxVBU17aurlY399+ZzcdXDEXCe8ek/c6eZu8gmxitqzsGCn+r5BRG5CxtQrCbdVTk
6rLYObeYdjRnKru3GMBV6t5rFusV1RZWOCXmDd95WB36765ff0Gh3b7Cj497OYQ/nJoCk4+DdAqX
B1cOlCvkWrgZ4S0y4ziGChIcggHSWxfm/gniPN0oaIx9Dii2n82NGMPQ9woWoCBf2m9DX4zhbgq9
ArLZiGcfL5wNErn0YM1Du8XI4s2brHQjdHVOgiHZdWMcPdo4Tn3oOQOcbKrYtaOi8a4fE7leCO4g
WXzpIfby4DOG7PrOyoHmQqtP940snBXQe3D0bOwUKqm9rUDYtSnDvgOT7S642DlUP5grd9Oo133j
8FfxbDk1Y8wz0tXiixzJjIeUs0H+pL3usxJNX6gPceyTyhOaNnJ3rkdFtfCGdiGq+A39/O8kiSIe
LK1oa4zFtA6dx6H243KDLIrjqFUk2wp1Y7efhDt+n0f5sZWqOBXaT05ejpMDVdaTT87KO2es5tlw
jrzLOXnoLZk6Rb3FNm58iiUF8ibEJObe0XYdXOeKp2tlOUl4TitC2bELUqE3rCwIaRdyfPYfMEGz
PtCej8J9aOIsP+Q1GqoV49n4K7WPuOHCC+yQXz3Zru3gF9HpfZO1PmY8ScGhTIjiUziV7qaH60D/
HntPNnAYfZuoPGKr82UYTfs0phN1VBebB5CN8TQvUcKaDU0eg+6uY+qE5xgZxzpvqnpzYyFXoLDh
S4eB5Fq7JfLx3EHgKpyDn840qOwy9Td1VF5R1vE1qz44d6nkTZi2+s5SpldJak0vzdDC2ckxKI9L
zXo991RBeKrcpgehme4mFcwXnm0AGVycLoR2+ac8Lr5xNM4fC44h68nqnEdQf+51dqjDVDv+LrET
ijLuk5QGRFccq2bKtzOj3uc8as2dpPxvD8aGycFstfoqO6v93HZddycZR6xFW3WHMuusV5p6LOJL
CaBFLV0cQox+mVxjO7NO3Fi8q1Fi0YCCbNtKDH1LWrZbHanMX4lCueiWCvCntmVl3MqG4WXPKBSi
r3mBIyge8ANWT77vFsgFDEdFa7bxhLCKa5RRm9n1qA9ta35kslD9GqbOJy2tJtimDYr2K0IZubK9
jANqzb7N/TeBuVMNv0JpqwprlUysCN19EEQ3n+LbXou3gT678A5kwjryjpaX+6iR7DHdqwLnYFKU
NzWmSYQGlcGaU03qAnXgqtRn1jhtPQrA5zQP6/sBDu81KnseQDyk3lMaGlT2McfVcWqJrrklBODP
Y981vsEBaKImvNTS6Xcqa429FqJGUBDbwVYv0bhPpHUEbxAIoC17l7QMqvAzu6F6HNH7N9Ah73aa
NBukjc0eFx8GWzL3v8KAO68LvRi0MAPrGPU+X1ioA4Y3otvyBbyhqH5pk8Jao7KOnkBnYHRHXDvx
iSgPYsTbVXSF3t80jcdEKsRwyQQ/qLSYLxZyTiZexvNebARLjxOaGFoinsdbCM4cab2PlpqnV1/r
ekd3spLbyVULp6ig/VIl4/wQdrOHdxLB89Mq0qgyNjQ5BxQWRfm1XMpRf5lnnnKqI4BeURd8sBpj
6O9RlUxvbJZmnXFhL9pY+cZtwNlW3jjLZ9SHeOgFWI5cSgs6bxU4gwEdCZNxwwywyM60jOLkEvsh
jvjIBMQ3e0yYSrosdpCxOLe/MOQeP5aFq0ameguMXB2tcoaK3YWxcDz0L5MvsOfyV5k0tzjWdS8A
BCt3M2U6nRA6wXNcUY6LlxykZ2W38kWx015tVVRv9EooOZDK4MRX9KKbYEucsCkaZAsu7+1EgiBn
GJXSGbirC8aHOyDNUu7pwEBO+8sUsTUElEnnzsn4qdO2bX3tihAOf5lj/mTWKUIj6kZv6XjC7EDh
aKQaO7pbhiBbNnVnpPmQRL28lr1VE4kxKtv/OtSuU1yXcUQojZtEGGyCzO7rfV2G4L44LoT8rbkr
aSKmWVdEl+jmJ/U0Oy506bq2q5xrwhvjjJC1bir37R/HZxbuePpupVGBHVcce138USEUc3c45fNm
wxFv0rcs0v3yFBBEQlOvXXB8WBd+O6v9MlSke4VLgrwhwRUreMAUyFHryk0zur9YWKADX0vRzRyh
4HA6FkMil4PkGM7ZkB/wVw3uSs/lHL/AtGdflwa0gKMXYT6bYXZ1gLeRo4Pw1OeWM907rubgT9aF
65zh8KeCtbVMLfwEZt3QngA0cDj+RhByD+NitTbYq9R0QQpq6WM3gPSfQyux1NaOxkAeBlYa+u4o
3qcX8Mg6lGthaqzKaGHHch+K3un3lKY0CxI8bcRxxrwuXDOx6CG1pDdXJ5v2wrCRQSSL6wjJm79b
mWo5BEGc98dW1J3YLTdDKYbOM0jY+yJCBQQeJEvovweemzf5eho095MQ6W2cg9hRI4JV/DOOjG+e
oDoczqW9vzB1IqlFZwiQ7S4/V8LltWu09/5nFuPceaAWAnkflOgenaYUWIrjCgl6yGlNcYZ31bTN
Eo7GPDkt3fv4VsvYxFt0WY8sFDmNN8QrN7L8905bwnwYi8jl0pUmtPlXQE4MN4s3S0j/3hMNxVOF
Kwu/LGZynsaUmB+0wPcGK5sZ74AAUdXJwVEJ54o4Z5ESql/cxwEKvtl1cevUO8pkHN/k5KB4J3Zy
qR+QEPI5U90UNBYXJ0/rUwku8jnOA6TbK52MHiklnBPRk3JrHNgCx+iyUOpa29tQRmLGoSVKu04u
zuPNADnF40AxvIvxIKHNFUa7ohgwuekAM3lPcxCdhRqmcCVvhlKrtEi4mJipgyDGPRXBLnPRGzO4
QR69GbUogN4Q9yJJLuTUnTBp5G9JqKKQmo950EmP4RKesNmv0yMVjzHL9s+Jnfzjsip3UoKM7SEC
5jJA9EcMdeybnZBlloulS9/gw9DiBTkPVUhO6WKQBOHKp0tE/4N15uayorsBZ8Uj6p1APUlgtPYV
QS3uJHPgw4UQcteeOGo685n50BDsclxE6gMIcmU/pThl1hsWQkKvQaFNftctJHbQVhC6JjCxjjae
rnBsWCj2qWHryI8uHIxAzkO7mKot4ZQshvjoZDR3kXm/mKiq45Ud+Ny1tGl6XDCnpdHfZV7IciMg
Ub+RoW0ekopLdJgdofQPRFWyoChtuNxDAsm+ITnBeQnKiuetadH4XHENaX+4XOpXekSFe+gjqIqd
P0Vhs3GyJkYJxsIQo7/gqMm+z6H+gPKPW6Mnx+Pbnw9nr1By8cZV1B3sfgnSYqUcPS6H2hB4t0l9
h8ZgNTSLPjl4r427kkLR3/UIgAuGQm2NKVOu87OAcR5Wmev2NdZeEF8nf3ZUco+mp+nOOSQmRoBT
DoS4gkzPOVf2mQiN2EDz0X9E6JVtc27cYBf0UTGglrLys5kBUY7A+e17oO0xfXcbTyy3kMwY4brA
NQmRIKB9cGIoAvgv1cAznzldrLaFqgoap0lTYvp8E+D0y4PjGC5BG8iyuCkyk/3oKCfZaDjBcAHm
LbD88/qgwXdpmm+KHYcVN3/P6e0UJ7YBv7h6JsybeUMeyaR2jCbprFte69e7No/mT91czxekRwxs
GUQo1k9SMFi9pqKm7s6RXeAMFAV+dfIWvBN2ZE1a4MzY/TnxpyxIvW4fWV6I/L4ZqLRZp2Hw7ktJ
T+w+mrK02YV5xB3h9H3m7vGJYZ6VetMwaLhV0mtWVQtsBsSZNWV50lWIXedohzmAYJR5B4GxZH7k
uBF9lLKRuOX0DPc2SYjp4qrOGxKOqkV332C+OHb3OhPeTtAS+6wwVBsh6fIS3P2PPcLKMbrakvBY
5tgM5YLoKL9JrnxJXvPYYOFwcyaIVf+pndPev/tzxQw6pxAfjbKbfDcJOyNokZOFu6ws6Zp0j/0I
vzMKQk8eZIqRKyuwXacHBy46h9dtymNrsG7DR8rt9Q8fxLbfGHY8Vh+/VD6egs7wsZAKCNOuS/2l
FYFttmZGf4DasWlHpyf7ePCplLnINjUbynDrUAc9t4WYY2piS2Dx+jBKxhd0PvvJ2tt1NkX3Fp3P
eJU1yRB+Lb3QK69yKvzvtBm6+aKtXt78UrCj+UBF5JknzFlogscEnJkPAUakPL5TY44yt3xzKWu8
iJ6UG/JDH+wFpTtub0t2jCGb5fccMbUtdpnNJnl2kUt1b+wnWBlu+MoqbADoXy/WnWbW3O7HvLTt
gyf1rSFsDY70og1H6HgaYeaSzv8OJoiZEPE4aXMJiWSHFmeZEssGlUezpFBcDnzjBn89exjPddfM
rVmh+BpnuvNuZXDSYaf/qipzcxcZ/RtgwnAgYkSQRTASK0HbnHpYwQ+bZ62Q9j1ymJizPfNYL7wE
5TDiWAHMhnY7rvIvhSLUmFt0CNWthz0x5TjUVReKO/pPFfFAtdO7p4ShKc12lTP2+HuN5NmDS9U1
J7486Kyo2bogBoKep7iqlrvELswPkc2sAJhJ4EG0Dikq268KDw2gXHs05TXJrXZ6Dts2SzZZMnCf
IY3lotk56sYjrYu2PViWhYFZ6U3F8LzAIIqDXXLqORgAvk8MmvRhHEFl17LP6/wSG8/MzTrxcfoB
K7GQTQTMPl85s1r4AweO/S0goL77bs+kUOHlPKV+gMa9SydqAGaWeECu+spJvkVGj+nnMZq6+NVD
wms+xLQ3o3cGLFN3mHsItSO+OtnGXaxioYedMoo4uzXuqVedUMhvY+Nr+3mmn4W/1e2LPZBfbJF3
VtFBuYtBqNrdUvVO8eIx52ehL8D+m5VIU1+XOzeUjmR8SNH1I00z3xA1Hjehv67njpFimWtOVBgY
4960VA8uWmoe32CJzB4KLx6xgHPhMh/xWGVbbbLe19+qelAz0E8yZvAkTKGGs2qdtjko+C9xG7Jk
y2VRvePctXTK65UFw40irBk5nsXAqU0/f8beosvojtTeeK061P9PRrA5HkDkWZsRT1KPIK/wSbk3
ZQ2r0mI+G0xrq0Cjccx03EQPeRzI4I7st9hh1ELF4tMUacXtqe9daz5zZhiGrX2TM78E+HxFW9rA
CL5AHRtb4zY1eopeYZlUcUd0LK0XhGJdg1PHtoKpsNp7FydSEV0xBcjQTGQlhe6A20ggs/o3INbP
ZuXwI7Bu8E0h2en0HcDefgY7cFz2cWdyplOR06vbtH/iMSL13XMVaKv6CDAhlyO5cNwA/x4r+W8v
LaUMQofcB9/hbcgbUPMXpsTyZelGVDon3xL5tA/9atw4dA79+yZbgFj+3BS6ZOAQ8e9f+VdUh0WA
lZBPTjCi8B3/F2LIsueE5m7dnnTCIGrd9RXX7k/ULPWZ5vyGn/mFAry1SDxEloFEEo+vDPk+P31Q
j3OL8o2a9hD+vvvcSwD2lzqXbfE6pdhJ7SMB1fCAxo11MCojtvg/Pu//Ajz6r3JPf8oe++f5qbd3
819xqv9vRKOGXNh/TZbu3n68qdf+7cd/PPf8S/9H8/4ff4Sv1W86e/0rcXr7PX8Cp8InOQyuP3TJ
ESCuIODW+pM3FW5ASBlNft8jbs/nnv6v7Cdh/80GaHSJSvVoGrqCH/0DN+UnWPUj+mQ4LGDYnP/7
7KeQX8BMU9rSJhrJD3mqfr7RMhbbCsahuNoYxtCL2dLVYkLA1JVzexJ9+Mu39U/Y0p8JtL+/Gisd
BBozLfcG0f71+V2yWVhzboprY5kD/jhbaf+PGDdeAbZX3OJSOcwQMvtrItFkOs5+rD9XN7addVph
Gh9lZfyb3J6f16E/XsXjCWUtJEtBuu4v1GIVBpbxwrK/th6BBwX7OE55SMXHAcuEbqEhFXZC/ibk
4xcw949X9fmAt/rztgr/mtPVZ3XWkimor5q9/SLi+r2Fb9lgQxAeFSN9nLBkcvRu3sKMn/DVYU+b
1jVQ4W92AOfn5env74Tbz2UWFBJheeMr/7IORw6Srah31bVHwrRrlkasYleJz9hpISEa+2Qb4Ruw
o6HIECRCGJSg496PoWk2nW3EcZqKYkuCY3EmTDzARchxGfl07QE86HNT44kyNKOm2zaEe1F5Bhzf
l+YMJBc/xWgC05VMsUjHFtC/cL7zH//9bfrHXfJ/2MV/fD42N7BMHoxf03hKzG0xo170FW0sPk0e
c1goTghRJ9g0CQZ++dTSKWlwmK7iIL3zuCPWtuni+zh3vQ1i/Hkb4AwcD2HD2UXOD3FV9Bt/8tN1
15j+N/E2P0O0t7crWSngaAM/ItTW++VyVDU1Z8UKcxU0gfZjQENhokRZA2fhLXQrHP799/PfHuMg
4FREiU1kHdQzwPtPl/+mwioWDGavDJaQLmQIrPrNv3+JW3TjX8Dg22f6+TV+ecTcHtvC1nOzq95W
dwsngh1HzA3ayzX3xeo/mTuzHseRJUv/lUa/84L7AnT3A0VJoVik2CMzXohcue87f/18jOrpDFFq
EXUvBpiqyipUJSqM7m5u7m527Bxppazl2/I6c6hSL4zudDZR4eOEl0m98NdcmDUHQOr1oxbcBeDb
Rv+WljbeI8PNoC5puitE8ZNBWmB/Cee0HIj6bJByTWMsPBTBXb3Rt8Fj+Gwd0lv9Gn+XvoS3iS1u
01sSq1skITbVi/fLurMe9vk+28mHerApumu/u9Z2D8HC7B/jo/+a/M/fNXOoqFBT0tRjcKd00MZF
a+i11kJZ0yhElygIET8xV6DjLi/5iVeh96trQKKJKiJQ+tkVSx0puLlN0N/VRfpbhVsHyOlSE8HJ
2n7YAF9qiSi7nWjbSqRyxRQBizsdRjZyvSutIfyo93306/JgToP1zNK09J9CJATGdJuXWEIJw8mu
tavQ+aGtKIMf8oXD6GSxsGRwW9B0TnLZmOt2e7QmxhSU+7uQEhv0yZsOsh9p+NaOb0HV8oJA/sVY
kBQ62Z0fNrmmTi3niDDNrg0qMqJum+b9nRXT0Q9s2SW9avh3pvVU0b+uFQvH+pK9+cVBqBULHrj+
zgcyIsbZXTumG0/6raNW4ln5nRwtGDznjFzM1KnnBwC7NDMoyi20JHrW30kUsHedZNKfTIPEQqg5
WTpLJ3CLokWqhAfGpPD52Um8OIMHVquKvdEituBXThGY5HyVVQbQz2t46Wb+rm+rBY85mc0Ps9z8
uPOBqDNmvkndWVH7kLK0YAUPIuI9NWRio1GtCzl7t5B78Gr5748UevqpA0H96G6amQSpLKkU2Io9
UIp1lrg7nnebCmD5CGKXpuOHRkuvaXy8vAtPtrul08ck069lmGyMua58EpQWLBb6sIcKyRlgXnLL
rQHNbJinPy5b+nCIz1cGWUT+TJQVrp+Gxp+zpQRmWqq0Cyh36p1wUK+7fXStI0/+TB5S8lfSFkzL
GkwjsGhlSWh+fhv9y/RkVFIRTJ9LzvWZMshWpSl3EwiXY9PRQgsqVnCUcICXWLw81LPmOPxFKF1V
HiGzkVqgq5TeE5Q70rZ0n98jLruNu+EmUGiEXhIjn+/Dj7F9MjY7IXVacI0g/zBGcfBdch8vD+b0
508phekPNrkKm+nxDpQNOKIDCoB34IuaNWUG+OYHwVzw/ikcHjsHuQou7PySZVT6ZucpzQNSICeZ
t08LSvJpUb0DKI2vwiFQNn97PFjhAs7jkbhizA7RjEZ7xG7HYF/DJHjnqymySJBvLbjAfF8R9UmE
0PRoAG4X5XlvjwcjZaAJQ3rwBUXfxr6pPI8teIDA761tIcbvlwc1j1eYIwttaZxxPOnk+Y1MhefZ
R3eoPIS95ZAtPHQJ8IZBcoZKfupAeDTtwnY+M0CeqR/LxbucG9qxW+SFPxZh0VYHRYkz+Hu7neaN
qAx4oI1aY8EHT7yD4XHP/EsvVbbm6o3gaGgCccvqUBOOURCB9k01AFFqC712J77OYaNIdCdybTfJ
Y02D/nQlcaM8jQOlqg5NnN0EzU0iWtvLC7VkYbabQKCEUe9ioYCAYhQP0D4ueN6ZuYIZgMCD12mW
MVf/hQ3akFuvrg7GxGQrUr/eCUHuXB6GNC3v0X6dZuqPlbnuayJVowvoojqAxjvQ6zC+RdkKhlYI
Xn+EkR3/6lwHZMBlq9PkXDI6E9M0+njIgJVXB9D2sDsK0poKKo0bpLkvGzqzndi7oqGaZKDQP5rF
1Armqsqc/A06F96k2b3qClAaQW3VpajO1xJ9Oe3PyzbnNx22sGUYnMAQdUxN15PnfPI930NvrLLG
8mAOKxmwwl4JryogZ+DLfKREFqLgyQN+ModuuiXJtB/SZDm7btAzNETUB0oWULvK78E8WBvlZryJ
7rztuI12yrV1Pb4LP2mSyH9lb5fHem4XfDY+edensaplAvNpi3ExkVdKdh8Z5YKDnltBilrmFIU5
80/yTy4FijbBAucJ9dd0DQ4NSC7CmKGKsMKQvmdpsBCEz2wKUtIAySWWkSqeMvNPEnom5UShO/SS
BNdle09p4LaSKviEIeqBKs+LQJJE770YrXU4LbqO9oV04UZ3uv81BQQRWXGur7w8Zn4klCkswWUw
HgD7rYzSdep+p1k/Ly/guaFy4kxt0jrXA9KixytYlGYfMPXDQQJVjBqnBF22Lf8wv/T7zi6+t6/l
C2Ijl42eHjmM7JPNmdcAXCngqvIYWUpbe7pJoMhKIOHSFtu/p68/DjQgaGXSK9xUcZ55caEYQUmY
uTQeAMbQ86ADQTId+afxDtYthf7vVnkZjfXl0Z3uiWOb07p+2hOuZsmwDw7jwVckR+zf8jpamL9Z
wzHqziQPPg9rdryBHW19CqXjQSFVpNwUdwCg1zT/2eKNsEOubwdzyhawQwD94a7cJr/9rfVspgtb
c2mgsyMQTiqPR0I/Hiw/uJZ7KKPyhafpxwX7ZP2mFInBncEAfXI8lyOI4UYBLHwYrqdGsm326v9s
yx2dGSY8Jtv4yXza0wT1IP5wQXw/CA/hvnyNngvHWkPhdNMsXCtOUh0fE09L+cTkZ5hwP8y+hyys
UWjIwESvZB1IzYGGje3mCeUM4+vSk+7s3qT2+D/WZssMu49cG+Jk7Xf7E+W8CbJS2RXimVATRTbN
HANcbxv322UHls5Fns92ZwtLK53aKADNDjDCPGobf6M60U6/N278p+DWv0EtUXzr7y8bPY3zuDQs
ziw0y32S2IUo3qcnBZvib9W4jdqrZBcrTxzWyoKhjxv73KcsQjvTOjGcWLPo06AZwamlD4f+S70J
vhnP4w/rJnuM4HC+EV+G0qmSVTl1La7ML83V5VGe2zLUgyRKNqRBqLEe+48muBYyAC6iA9Cb9MJK
HpdujWfuAzyKPpmYLR6Aq9ygD2c4iNea0zr9Zvid36a38ra6RgFwp24j2C3Wyj4NdwGqSgsXrqUB
zi5c8OAmUCn54wF0Nlo/PfwDTaz/M0aAhU7XVrIe2myIZkxfUVo24wHmYbvqYLAu3i6v07kdYH2y
MBuGkNCClcfEnap8HYMIcVLjqkjEBW84cw6SKbJkmdsNWUZ1Ft2CoIFbawrjjbW3hk3TvZXpWsoX
TotpNmb+ruPsnBc8hzRKeMc+N5rwlYMgA7XjqfvB2zThS+rXD8N4awnq+vK8nd59p9sSwHlqhROr
z8y/zRFG99BKtb0Mly39li+9tRNRWHEhK0CrrgSxOAJ2uWz0TJxES8Xk7sKKKZSyZqsF3U1dhkXT
7IsGdt8RQIaFCoIp/G6E3WDU66TW18jabtoSPk44RE2Zl067ufwVp4tJCc3Q+AYZ0h71I6h+OvZ1
nwZHmpX6fYDwBg128GAoYoFKefVcmcJS2WKqih+vqgH7DoUU/q5M5bCZ7+Q+BKtdj2QjSteR3dfq
GoGaXR2nOzN2tz75qsEN30X6403vsQUgQyvtwryfbBKKR2Bj9ClZQW3fnD7x04jdNqQc6qkWlAUT
i7xKi6WgFd5GjbxgoSB81pQFk9l09+E5PFthhcbqLuCyvne1UYNBP+xssXLNiZw2+rsuzEubjJIB
XpH8BMW/41HFfS0GjSdCWjeOtkglqPd/Bf3LqIW3IpJTpXTw64USw8mumUxO73yWc6qQzeKZCulq
CZBgOFRFTQNzetVbkhOoyj0ZlNUg1zvoA7Zj1yzc36ZJOwoMU9Zf1SQ49aEHIkV+PFIa3Iy4B2t/
aCF1gfWnhUcvRruzR48XsitxH9DCsmthiV/YKmecF8ukHYAX8b5S5+AIKl6FZ8ZFheWIRjvjSptQ
9+DZbU/zv1PYoadV3CAIg+NtW9eEALLVF7z3zOiZU44PC7+RVHG+zvS3Dr5RlFAzgzwHBILOZVxZ
+Yp6MoBXUfMIV7l0T0PnUlZCnjbnbObJDbB9CVs87YyZba31xSaKm/JQAoCDZlsX4m1mRNYBmakU
+lhQfYaFytIAa+Mqb2Bk7mpIixkHSQuDHtZugJpECBVnLAdlJaAWt1IkfdwE8NKuRnoIdlEJfSKq
5cX2cpg7OeANxeCwEsHlkNvAa4+dxh3T0YdjoDwE8EysuwSQZC/o1sKOmPF2scsxQ+KOZy9FBqzM
ZkgtILRNLTJE0DlzTappO9O15ksUhdJNa6IEgXjpg5ci7teFijlpYRd/s0b78QVwF8saWCb+MTvK
xiB1oaIWq4Pe5s1uLOlg7DszXpjO061PQnTaBLQUTInK+TgtIAuw8lSHqkI6XQTuiQ5yaq30Yeie
ohh0vuE3wZXZxt0+K9T48fJqntsE7EOTc5PdSFHgeDVLlf7qJtGrQwdv7VZPCyguslbZ5hTjpIlu
R2/h3RFU1KcuG55+8GwHEM4nnCumWe2ZG6HZ2ftu1On7qKaC09Dds5Ur6IjRP0UUOhSVqzKyfvxN
myYGmWRD4sDU2X/Hg02oakm+4Snsuu+CcBd0LpJPwLHj187rFqLLyYE1szUbX9+lidDAu3KwAuQG
TfXGGqubjDayf2ZIU6URyjMFLO3xkLLRM6WGzveDCvntL49s42BLd83bZSvnB/PHysxLdKuta8hS
IH4tevTKJtkB6GPHhcf1iS8yZRYREXwIxJCkUI/HwtsocsUxkg9dudHHq0G57pHurNcSrBD9gvud
XNZIWsJgyZNT4prK6XdsS6iHGDLnnhF9SXTksdb9q6cs5O9OtvZkAwwvBVkQjEAij21IUUe7IhN3
8BElnvTWXiJE700wJfTPrVykyegBk3dp6TmXl+v0eD22PIeXkBxCBs4qRN5HkGs1GZDurFoJ448y
CR4R/NhWI4wN9IfX47uF2ACES9eXP2Gav6PtPX2BqU3klRLYufmNhtPdjLw+lw6WEcMP5q19621A
2KxJHkC9L2yC0/v/ZG2K0kAFuf/P34Mll1ODZlPpEPeS0xn6Ng/jdeXLTleHr2r/xY3lL372pMGb
gZqePTblblK+uTzkcy7FBU5nuBPt4JxpMk1oVQ99WTpoyO1W1buSwERQ/RSRUrts6JxfgdPgBkXA
gsFVPvYrOAfMsCxL6aA8hQgNle9FcJP9jKEUUg9AfC4bOzcqoLIS7xlOYUqTx8YCURpQoJGUQ9qa
U+ftTddHd3SkfSkjY2G/nIkyYDT+mJrtyT6EqBBuaIVajfzo6fKmqfubvu8Wdsc515weLYCUuckw
h8cjKpISrmhpJDKHKqoUofXFbRvo0NXmVYkgVYTRdGEOT1MyvE255YlMH97JK/zYZE5vRhBJRX2g
p8j8Eg/ISrdlMl4rMKWsPMSyd4TDX7EYGWsjUrN1lzbr1m/hF6NlxBU5qlzIxMcsKNAnGKFqi6of
mRQjmKJV7dvlBT9N/sFQCrhjUlH9gCXOVlyLOlly67jmlISpSTXTr4VVo3SLFOYK8YFypXIVvWll
S7ARwpoEkfMW2pCxgWc/9VeNjwJY0iQCRFKWvLn8cadrh8gcrzNLtCRuDfPWhJLjocuTmNtSa1pr
uQ5vQ7q4nFbrx7WiCzemG+bryyY/ALDHoYxsGrU80KYASXkmHS8e8gV1F0x4184djHcPRe2fHSJ9
T0PXCJ5NJr57n+RIke0ak+QrstYo9NIlTkt4Q/3mqS/MAEFbNa1sumusEmonN3yJ4lB4zwsRDhBB
MsAFC4MVvCuBNCJEg5NYtufK8kPo15Dsib48XndhrT2ouQx/YOmhfEobW+yHiLFH7jO6XAI/GC3F
dKXR+bpPhZx0Jsqt0Vey50MIg6FgvKuh3D1EEuTAdEE23XeI+qjstkmYPIuktcHr0vD7Cngk+d51
DY3KaZF4h76jnLGwI6Y5+zynlGQBVHAAS1MiHe3m4zkV0dEBOaIXB0K34/XwiiDB4NcrqdteXr15
TJkbmm12FGg75MAw1JiiUwvtyowPFoxpl61Mn3tpODMXmSRrsxYSsYMmgqGFNDOrsoWoNZ8xEgTk
7jjjdGD/XJdn6R6VPtU6lcL2ECfh3vOTXQshkW2VIbJwEdm1vzcgSq0gHdlltD1ZwJNn0xamQNjQ
wG0PgU9mZxBzOGNN8P6XrZwcZCRwSbDwvjLAV0vabNpaHV43SQgAafjtuqQjz25rA9qvbpMZUKC1
I+VIM0VQLPqbXsE7C8P6dC+htHry9Dc7vUf8OuFxCdFuBqUBPIx2ay4Mb5qkz17xYYXqPOkNppPj
89jJec8BYlNSkhwoIcnNAcVDOwPBc3kS5743tzJfqoC+YknPeKaGcQq/kvtG7aHbXDbygVk4Gcv0
RGQ8E5n87OmEmmEn+mbIO7F2nTg0DgW6lXX9izruKhrzdUifaG51xC74fl1xsBWl7/md7ioXlrbC
qdtw96F6TPmNsjXlouN5HZIYMSXV9e+RV1jBCHANK4ozRkCkaDmGyHNT1A+VbC1siZOjh+YXc2q2
Id1Kxp5WpKNkJ11p6kDpKLjXKbxZm6CnrXzlqbvk7fJUn64nRxvJjwkVPiV4Z+sJg0MlyakQ3MdS
jVD0CNNZoqGbdtnKSX6FFxbPH/mjP+kDc3g8HE+PjQBRME5SxeptSMMkUD7dsGkhKRY7Q1xxbqmk
d6pv1cCLBVGkJWDdfKB8wUfhgxufSAZs3uCYdkHRpKlUHyClgpBsSKDTqpNs4VK5ZGUWYyQBhiNI
metDb3kHLQHgb9CRs+Ab54xoKAxPc0rOWJ75Rt8lcYwqYXmAAIVjMxLT/EUYJXFhF07f+nkTTjPG
YQnfgShyoZy7oMGlB12Xj01opLDEBaWT+ELpyL0ZbAoUDBYC2MmwuGLRe8qVRyFQUdU59hElhwkz
VaTiQMc1oRla4JfLXjj58tGAPgyAVsYRiMfznczdXIfzVisOsYEOc8A9hhKR//qvGZmdnFCj4wES
RgJo1MPirRufCqP8ux4wG8nMA9B2Kj0x4AYgZe8dMMpgHBbi/DzqcZNhMf7M1SwCJ7C25b2vFAck
VPpdUtkqGzWkSg2xxLpbKmYtrczkGp9KO5nbw6XqMWmJ8gyjC13iNyQwFiZtHlLnQ5o+4pMRKVeG
NJyWP0dExx53BfzxcGgsvZfPu/GfmZuFADNBq5GWpOIwtN8VAIfB0hNhabKmcX4aB9SQFhoTanEw
yeULyb2hPUvm73/Ni2d7MY6FJAhjbHgDeGDzm5K8as1CxntpHJMLfhpHkOmjMba4WJjQaoaUchm/
xYvl6IXlmANOuxG14txiJDCjTholdgHD9+XJOgmUx3tlDt9DBEUp8kIuDoYUXhUGlN7gqOV8reTf
Lxs668G0B8jm1PBBJvF4xsTa9QE/su15WqxNajVa924MytqwHl1toSRydnU+2ZrtlollE+XX6SkD
K3Bj3Erti574zuUBLRmZ7ZVSgOO2k6c4Bq9FrFyJprCS/pnnH70Bf6ZttmFq2LzK6sOK7CMwUcB6
DpMzdO9N+vddGgAl5Q0SkRTL5wI/yIqWViWIBH9omdS8sXkv22m/YOVMbCaZBJqIB63Kc2l2Iy2a
Cl3WsioOcAGLk+4jpNnwjcDqTVV1ZS49N88sEuZ4w4CJIylxUoKDS5x6fId7F19HUlewktj0wV72
hJOk6sfT+ZOVub/1Wgy7PVaKZD29XPb5ffQQDhAV2lVrFz/GO/9BXnp4nh2aBoSCmxQVjXk3clQH
MvTBDetlxY7rdr/0pkXzNV1IT5818yn/MDuuDZMMOZUILh7hN0iJ4abdR83PyxN4Jggd5ThmB7as
IjyLhjHR1EXsQH0opZeqDrZjEi/cDM6v1KfRzLaTUqHbXFeEuw5iA3jV4NI3+7uyk79kMSoCmUkV
DzVIXX7UDESkLdgjDWXbyt7fD7tHI56dUUYG1ZHcTREqrB3Enh2lpnsd4VAzTxdMnTxI54md2Vkl
mVGGuqZRHCp/pSFCiJjFc/VoXEUvyJYriUMdDLrJbIPKx+VlPXN8fR6kNdvrkSTEUTcZlsLYqWNo
v4eHyxZO32bH2TFrfmNtUlImU3YMsgPrC/Ty0nd0xxHojGTH8jZIQlw2uOCpc5YbT0IlywIKcYDH
yImGOxkd0TBKNzWy05ctLey7OfQy0CKiJyKTB3jj1mpwXUSwtkav/5qR2aGcJHD4VR8rlPZXWnOj
+NDChwvh8czJf+QGs+joCpWsZgprJCbdVmpLe9S9tdx0thDtS8nbXh7S2QPmzw6f56ClvAwEbZq3
FglZhLfBAG/zMXMs9cWo2fN0Cjfa0ptmyS1mYaUd/69RcOyElYPfvZj921gtNFtMUWH2CGQmqZnR
2D11WE+f8enWadG4lzY11/M6RflBE21S0cjqwUwKhRZ5uj2k+Zdn87xFqOp4R/Nr7u8ZdboiiUfO
z9xy3DC8zdMB7Y4RtJH5GFkWlEdLYKMT4Phf8eqPzdlpUHsBtFlwKh9SVVh1yhdIuZHsa2FQDzZZ
BvGCvJOstVJdK4tNrCfrSLcnyERdph6LruAHM8OnCfYzQ48Rutf2df5ViQunpis30+CtNJagcycT
O7M0G6RlhabaJZ6+L8V7txB3CsJLIzoSah281LnhUF5Y2IYfqZUj75mZnG12ZdA7HaJXfa9uHfm6
epXRnsmQsrKDygZIYhtXkM6vqMi8ateD/jjph98EzlI946TCp0yfAYCHFhppygHNToVCQFenHfmM
4LX61v0unXJXPZZP3oPxmK/jb82uecruMU4JzVksf59d4E/GZ+fF0MP2pssY1+86Uubwh0gIXa+U
atXeVE5y32/jlyy1+19L9CGnXj0Ne8LeAqzhyjmHZUYKLKqV5UO6iVZbayNDOdROiQJ8DWGtrTny
nb6+vHdP4u7M4uzcR/RiUCJk0PbFYD3I6TPSuuvea53SfR3hU71s7OS4OjY2LzeiV+QXfjX5M11g
Zrk2jcLpLXEhuC9ZmS0fchSpW0YMKas2HoK+6CSgfPTj8lDObs0/KzXHenYgk5VEnxzUT7ZynfHU
sq4mGuYygaynKG2ThsXLJs+6JYhzHAPSF2qnx4HdLMaSupir7WPTtZO4X00CGMj0LDV5nZ+/P3Zm
ISCIY7kdR1PbBx5tT8o+F7dysfBgWBrL9A2fYmiXxSMiABYxNHuOYYCH49k2abBKtYWAdnqx/fC5
P6OZvuSTpdEVlayiXraH9lB8sH7UT6loB7fyLv7e/Oi+QJ5hJjYsppfXamkOZ2d9p6EnU1IH36fV
2i87OxrblSy8/GtGJh/9NDQFmbMw1ziIVCRCzCDYhMmvKpTXl638L0HpzwzOQgTy8qGPYKW2r9J1
qx6EfGV9M3/y8tHfBNFpgo2eL+zgy96BNvLxwLIKBDdPAW1fZFvFuomN54qGA8QpL49sycwsUIxD
rvqxxyJpXr6SDQ8U8Je0d2RriQHy5Lp55IMntS6RNqxQGVioPIC61SYeTY3hWzhLRGHlZ6t/bViz
OFGLgphFJrNXqz9cBJbz4juv/1VXKs5lQ6cPZVBMJvc9C/1ZHfa8WaRI1NRIq6rX9j39e+gQJI89
HGV28NNqHd1+irdLnXTTD5zdTgA30L9PPwiF7nm7lzoAIy+pDe8tZT3kSLuzdy+P6czGxcJUJ+QE
hnJx5uwWWHFFELAg+gUsykqMsEMGKZ8RaUtH74Kp+R1HSPRW9Wky2icwuqbFOkRgQQl+/0vjmeMc
kHATgwIMy16UMzuqSkev8hXM8gtBYmks8vGOlUNwTUrLWAwDzlwKD2LwLWuXGmTOOxxAF0q6U6Ph
PJ2lW2OS1oWo7aWnZO++Fj1MEbzmVUcbKEPYZWHLNYT9/5RP/LE6i7PZOIiZ0mM1m6BJiEh90Zdo
+M7du/G7PzZmfjc1QI1GhmQwSLVbTbbVdfpk7FHCeoo3plM57e/wm7ZVVslG/i7WtvU1+55d/TOu
8j+fMEe5qi7wCgl9mP0gNbxPLYenaZy9XDZyfgf/MTKLuZlUuMg9Mc5OeB38b2P99e/9fIQwQSIC
XgVbAQ5Gnxz105kYFaJbB17R3FfhGDs0C/5CQX2pz/BktabgMOEO4YIDhngCRTEBDKLSKbX3kZCK
vWOi1fiu9Kn+DHm5eVDltEBNU2/KtxDF1thO1Kbijdh73avfNMVqBMuM1msnATAfYrl7l/QciWOA
GF5s5/S0vqE4WyAfQsp6sBNotlI7EapaoOe+qBdusvMXwDQW8L6ywaYC/jGn9LAaJa89Na7vfTke
n1tkauywLBLymaiPpVKym8g8F3bU/Pb8YRP6EE4NqKABGh+vkhI3SVZYSn1PRG9/SV3YrcDBBnba
QT2p5cr4NRJbNOy03WXvmIcp7CI9M/FdgpIAdTI7sDCpSYUodveZJUU3WTbmq7yOixUkZv7CHebM
tE4zig/Czch7buboA9IqVjdq3T3inj4SJe0vgS2lKuIzSuZ3boOU0uWxzW8z09g+G5yF4FCDhhet
lO6e6gkaY7HwbCV6Z8sDzVhV5f7NxwjWGBQMpzoYcRG6o+MVlMxcDz2x7+4t15dX0VCGj7rbvWaQ
s/+synaJteTM4ADvGOCzsQeGYhaCOV5kPfbS7l4z4AVCHad2PGjgVkkWuY6QFebC6p1cemmiA0gH
ThVMG8WhOdjM07QKLRRTuY+N34HiPWoweEa5egVrvz26soNM+43cJXdhkd+q4VI6/mR/gKGj7AWH
CAgVmJ9nUcxCcE8I6bO7V4bwvUdCYzeIXr3q0vrVypXChivYsMN8iYPppNGBUR/ZnZbhU/REsLCL
h15h1KH01g/qxteUm06Q6UjN7TGr7QowLqpau7CTAMH2Cq04Sxzx8xMCunRIH0BmmLTdw6Q1W+oy
NkUhGA39XotE08kUdF67algqjJ21gtOQsFS5vH7MxKeRSqxuOTWp3ceCW2zTRIm54tHBcXlPnlD7
TbS61PzoBYV1WxPnPTiGmSlN1gjBQ9/rzYucmGa4cjtXPFijm2aoVKT6tzSsaG2Ig8xHeTiu0T3O
jTR/9uDIfBBL+OHDod55yCZtRk8srsdQCP86Av4fMLYf8l/pU13++lXffcv/44iE/b+O//X/D072
qc/xf+dkf/yVN9/j4MfExV77v/5tBVta9pmKffrf/5uK3fzH1CJC/5oIZJiWFMLrf1OxS/+QoAEk
H0OsoK9gepSkWVn7//nvyj8MgGVs4+m9IlODxQv/m4pd0P5Bjw13FFhPpsZMiJf/6z/gtPd+Zfd/
vXiYwKN//7e0Se6zIK2r//z3v0rin19GPMPoh4BGabr20Dg/ixgysiF6WOYbXR966Jyywbuz5EFR
kKcci/S2BYmAkspYRfG6s9A7uO7lvvziq2gXo4AnA4KyGgGZtHFAtsuB0LAJHW/UUD5K20yHVDsc
BrSfrCx5GhJNs1BPD4tsHYFmfEXwqrNWCEz0wzqTYaxwlMh3f6ds4HLDZVJ9rgwxg8DSN5q7WkGZ
g2s7fJdXjQmj79ZQs6Fdq31t0CVtjEgGgi3sX4vAsJJd01bS8IYeUTFcS0MNOq8VMk+H7VRCOlei
ILuiWwER8jyk39mWx9J9Jz0+0pnkNzG0LnlSErrGMot5k2Rei0ZoAkOqn8LSbAkD0QXhnZx6E8SE
0Nc3QvQ9MWTjXdRbJOe4ggw59yHTgrYiDL4UZZMOG6+36j2RL3dt04ql31ldu+gyGmXWrSw103dd
D5G5naFkdI/SiZmBlJEzc6VA8IOOsoqI6hoR3JpEVIZM30obzfw5CPuyZEjBoDq6UkAkqdbR+NQF
gS5STdEm0S4to5mlZDCOJMWCvlb6AJpzkY7mbZAq9XsVoE5H+3Nq3OtQCO/TRpcDp6hG1Ip7cC5g
UKD3QE5ZzFUBYnTK9aVVlo+ogQSDXSF8kgFS6trBMUZDueVJNzZbxNSQyW0kaiowKJpNv1JSq5Q2
pWhwTZQLHdK3wtTD8LEv21p/HFFeDq6QP2qr3dAgPbmrmhC9xkSVI3/tNXCpOIE0ZBLoavSQUTtv
Uwk97SpC4bwUqLu1rdznW00PoF3VvHoUtlTrxPo2iq2mvg30UEg2vg5+z5H0kkMC+ENaXFeRLHwp
YkMIv5tDKJN44zuQPBGsPAQ9ohfSupCi1r/yQoX7edKrHhrhhTJm67gupBp1Q0VEZXrKdq2qAJUY
u4BYL0c0kDadKyHpkCgz2jCS7DZvA8kEX1t4wnOWdboGo3AexSsIQKvwuow64S1A8KXf+AFEWnbJ
ZSm4RZ9RMh6DpqgaFMoRwHP6vB66ryDRknzlo+QVPMeC34V3PJGq674z2uQmCGq53Xt9bHWHsoaT
dld0fWVucnShAPg3keJ+qWUrUn/z3UK2tSYpQ4cmDQHa82GQAsfI5Cx/0Lo2TVfwMMjBxi+GnjT/
0GlosPheHeyk0ARiU2Z+MzqJjtzkHgkjwzzEaQlrg5/2gnKtjF5mOYIL6cLWtwbtt6Gl9aSsFaTR
WoTEKV6RKqyUdRkkMTKALfW5Naq+CDP3Cv2uWwtNx2xS4OnLO89FKWIVu02e7OXeI3K5nlTLP7Mw
7XOePAh+3ltSoImrpu9Tf6MVYuita1qGdBuW0AxR7SoW610m1LoPyfj0u7KSRcEVpGVFciejZRpe
dWJZZXsZGTDjCj262N9VVRfnVzHiAzDs4kfudem3rblNx7yD3LfSCnVlNIgFOFEgJYKjKb4PlLtS
+9KOszhQn9Sw4TmWByrF/Qo1xFfVivgcVp//KTUq89rt0xZtMzNDMEo2yt8F+qC/h6iXciethuxN
7CbrSaXwHwS/LQe7F0lTs8WSUl2Zqpu7xDeR3211mXDjB3XESqClvka2II43oCPrg6zVEiWiMSdN
0I7iz1zVsuIqGaK8JH6HsD9m6Mr+kuTC2EcD82qjEYjMr56Vv2txFN2rSlXL30MvaL9DJBEtOyqy
ULNTqQJAiDha9mZKFeTVGt03P91Mxn1iLWeTprx5K7sBohXaCmz3Gtqhw1erE6Gc8zNdHKD063vV
DnsPTEegjTkoJ6UxzZ3ciB3K1YFWQqPGXajZUKvpXztR9RGFToLoOa8zP9oiWdShwMvlJ1txYAi5
o7iq8kUTtUgRrjw5A2Vto7EuIIWUNtltMwBLt+u0b8aVGuJsKx9ukZcEspdfAVLAoqNbzfDYGhWV
GbcXvW7luY347PuattNdWSs2iPa51pUqVe4dSsTKzxJ67dimFYRur1KqK3Q63bAfHFdtsszOlLi+
lTNdS1eSNSTIXVYmlfWuAaWmaYPynHlxici3IteWnVLmlFdqmpS3aC8G1IqUZHgoITBSt3VgNRb9
Mm5ELOLqbTgS92+k3l2L8lvci/JzgfnI1pNU81EcHeQbVE1bSiW6BTyp8aI4sMkwj8+5FFQPZtzr
b6EQyD5yn6Vx7dHpiAAsEnVfolSCXq0oe+9dJpaz3kC1UC/tCn1YGVYxJrZO2v0ZWu3oVhdRY98I
ZVh+rZHxveusTko3SuxGVAqLFBK+pHtLY0H+Ioi9ldquKif3jV5U3goCx0mKu2hcY40Ca1uskbhP
XqS6gE5ekSKFM8ZE7smJ0OPYlWGYFcJWHQRRUFcqsqWxLRuFTmzL5QFFrDHRJCfSQ1lfFTQm/5S5
OItQR+jtQ0v6+TkHVI8amaCTVtf9HHm20OxIwtRBXV6Jld/KKy8tON5yc4QQJRYlF71nuTH2TT/p
CCZ9UD7Wspt9jxpTQQFS700OZkUpopXVFiEzlGRuiF/R6QCfbyC9qZCd/kBTj6VUSzW454EhRFuv
zmA6a7Ogf+RJKX6XvSF4iQMrCJzU5Gm+yvuA1k7TGmWFsoaU7TMw4XddRU3UyeUIzLaLcty7GYjW
97HR4mdkA7Ubye+V18yKm8hR+zj7ycsJOHESB75l51nPa1DmBxcb3fo/7H3XcuRIluyvjPXTvWYX
ZRAB9bAvAZWKyaRO8gVGGZABEQH59etg9dxhZc9WWs9M79rYdouy7iJZSKgj/PhxLyqFFq1JHhrE
YZg4crbcZEvTVlWrtorXOboofSw1Qjc103rxCt9g0L30sXJTDzsWWFwpMsharohDmimQsMwCa0SV
442SFjX0SLEr1/sKyfpDo/eEBHie2LtpdmzaFFOfPHI2YJKmgJjSQ2UFZo6+MU1O6pswVIPHmuok
r6Ivq5QmrUIOchhVPPqs4gOFrmyO/sYYHXgr9CSTnoqlzCwY8xmeujOS0aaqFQVD9wE+xTATrPJA
a+qYrGLw7w5VLXXYezZ4ZT11SadU5WYNdNjiw2NqFta2y8DwpK2rpKPXzlPmRO3QkNpT7Cobw7zs
R/jjxqyxQ7Mt9Nw3zLq4gJELui6NVMM1cTks1bHqGR/Kwk1E4PKZwQ68skSDKiQlGWJFyo4w4DM+
WjUZS4CP2QjaqpLh40D0vLxD4Tdcwi4Qwpkil9OFC6MdQuVkpPi22IAZypQ0xmIdO/MiFHUam7DL
gIofrduBP6dF1wCNg5Jg4/fYWIWcKBropzoeyT0UyTrFV5OMFzTDFe380YGMi5vwqvBLBoqdJ6Rw
HYSycXrPZDfsy6zrYq+w0ukai7Ti1YA1i6RTBRsduxJIHxAcgggt9mhhoo6iGXVqauljQ8e6yyrf
FlZ5aIWSvjqkNB81JxsHqMbb8K+Eo/JSZzMVy8NjbCYCIg0N0bcVas0rrGdjkDeUTZzBdQ/ApFdg
ofSKwUz4UZ96mDI2qpW8qQmsl/0m6+c7TU2quxn2wMSPWxNgmpoI1aRq3NZveWp3RYAiCknI7Sss
CY+Y6Bk0g81mT1Mnn56y0obRRAKvxAq5LbXiwDR5ec06pDXKVLWH2L2t5vsRlOcMBwdFAfVaUkBa
YipR0MeQeXutR7PCQrZZ9UfZCCOmU6bVr4NsY8hmNrm1aBvp1RxAMn+AB7PSDcBKGsdJvGnEuroX
txMiGiZOykNFZGxdC1MkL61b9k/TPLCDI6d8vjItUWJLGGbgFhBD4AZ+p7odynVT8qvJlXHlFymv
NWS31lU94NLxrk0rDoHZzlI3wnT6PIr52Cq4tFAt8kEyYVcwVTBNOsCCNMNC8JC9pvWovif6VECV
2h0tBkVeNu6k0iGuiHyA23w8GcOFhEBcEVpGLm4ya0pfU66hKZniYri36rZ7GLWsedH7UVFohux8
X3Wt3nhqJ/MbUUH3ynM5UgU1mj5/yGaOhkjJ8Oh4HQrVK1gR6/sJbiuPZW6NEF2Fd54JIoXTP9rG
lMOns2pAtp0Vlja0b1C4NM2MRTMbHucvboWegSppZxoem1wzo71J5HMp0vRFSYzsRQhXwtm7nYGr
KOC2gt8PuTENi96M4rf5denk9RPaG6Cw3Bm6S7Ml4uhm8IhVfe7i1Th2fcok0gDaNxqbZQseCSkh
OTK61p3KK+VFdXsDZl0iNY+z7jAFDbCOx34aIdoXMpJ0122Vw1oSwunmxTSU5cc8jOPD2LP5xR5F
EcMtVhXvHYxzhxAPVrmxOR8lbYo+k9TJ4hbqXYLYmTcItT/Crq96UgFa2p6Nyg8+jVrSOaGjlSAK
teCWo2oekW6DOefWndSNdti7mQ2aflYXrrOBL3Yq/GlAKTooI6wm1VTR3tCH1YU3G4xkV5D+V2xP
r3pzCWBlHyYc5u20TC38Bh8chtZTL7T9mHBsZtiurB6I2aFar7XYZYFQDfYq8l5rIyKS/BJFMbwx
YZqMawxvHtUI4lxW8w0Z0E1Rl8mmQPSRmNkZOsT4Yfuc4UWBPjNeXOxmxQLZzda6LZKqFcTN7CQ0
7Sq79p0GhWJQ6nMVX7gzhxR4k0viXMOWUyzfNCbq4wgtA9RScOWF27nHZFHMGIA7VRwY88z0h9Qc
0wOrnUk3cfFyWX4X2v0TUfsFG5M/g9Qe3oX8C33m+VcY7fNnvuNohvnNXKTIoHm2LI1DFOOvOJpB
vmGkAEooljBMG1poGIH+FUfTv4H1hJVveEYYqNkXl7JfcTRD+4YpBJbrwZlb3FMc7ffgaOBvAuH+
G45mQ3AGm7MQmwEPz4bNk3OCo1k5XuokdXqU9fmmj8m9NKzuUKcj8TtoQKysZh5oP9go88Fh2jrz
eNCLtgp5qdreiBV1ML961sGn2Np1aksiVXGwi5kb86GyyLga0wz5hYw6iUwCpE6q07ZXOzVMSwsp
owDpQEg057poNL/O8yroOBj4ULSDkxgxtu1USN/Qm8oMIfCg7IfZvsdgyQmUPlVC2VvZRwxo5VKX
Gn/IlUk7VJ2hXOmz1R66IVU3tjWUO7OXcNqu+ARFErdvkwetTMQT3q2k309zkLWRcLqLeKwC25Kb
zO3fGwM/kHT2NVNhRQ9djTdD7xR0JX1JYTtRUtKiqzjqXXpjJfYuMdu1XpSROYk1Sdb5c6zpF6Yy
HsyKP8dW88Tn5qVt+abSOyieuNshrneVPYbpUB9sZh00xg8lV0B6NObVEGu348TgjVxHyN+DfeBO
dpO09Q234bSsc3uvszJgqUabSQtEy7Z5MR4G5wjHMd9IY69ti8gZ3Z0lxl2P+gmKMDW1KuUJ1OSO
CpgIScFu4JzaUmSKJzk216YsHyxn3iW5vZ36+DGv5odBFOtYk9FUiTuz1wFm2aFRIzezNrStGPNS
xmxqV4+iDIbRwEOixJd9X2GIq0BzUAVfeMea93GCr1eT7dBwX+tVVqHDYFu7csMRQdpzmL7FIAyf
JHUuEq38aGAygsqcWoq7r4ERwoLhUm9wRKfyZ3vKVszJ1gjVntnnvswgkQZijHbZMRPdXvxc5vyN
2zDNlldwc77MEvgnws4AMr9MW5n6oePCV9pwnh97iJ0m432izSaFRaPfT8pNqerPsHhf5cYl0SZ4
PZE2ct0iwhbY4nksj0qhhK0yh4JVd2Z8WxkRgaxeq8VAHMeo07NIUeD4lh5S6KkqLolaPQvcQd8b
EhSl3tnr3Amb6n4WDzHv1qRtn2Y79uvSXMGzNgDYewHpio1dkqe0ZQeo3EWjWlxOigaWRIUjNVbr
N1J4zCjWSv4kem0T1/0KUIVnA4sYJzyd2tJPOlGj6xdYOGd7Z9Q2ZZ08mfoznqDt3MJNuVcB1zxm
SCTJwute8TiGvH0/fKRKcaXmww3vDX9wkohhe0QdjbXNjxzGc+jEzS0ERQKnljvYJm5gxX2H2sQX
EuKX9oUAP9zJu7DVrt2uf9AyOyTDhWNcdOYWDhQQqLEnwHbjrkvybWvdO0q2QfcTovAKyASuGDci
HQxgIRgctlCXmjy+morhxl5evsRxb7V+1XTXpHkvgR0bWdiWms9N+NTLHugNLDmctdU2oaNCnx/2
9VbtXlQWur181QK5GrIRUDXUakb43ld2IOHiZRnlpam0x8I2V5Me39lcCURd79DTzZ6muFd9bW4V
6wo27bgMelS5bK0PqBBmzNLaYOL9ChVuYCZPEzEPaD2Ez0QRoeO7j5t+D0GiB5T+r+gamFenQzDz
tsJKfDA2F9hhh9AXZ5EU9UDtekXYJslD0iv3QhLa6dC2YdmIVoa4d7BHOwDn8AqlK6gi0qWAkIJa
WgEby5fJmaLRmn0G+eK5jRo8vq1qQROqv9dVhn3cNv5IlkJVnWNPVvnWzfJ1Z2Q2zEXibc35W419
BwT0uPSczlzB93EDe47QSoYb2G4PIDFrfYCNwtTLUWQ9YCKAXketnzAUb3ckyeqLdqEXoL/YYgIE
o+1510zMpWRQsi0EYp3LLsbbCveTJCJp9pZ0/WWsFTvLBfbkADbfxmWCtgDdTaVpeDjsVYkfpfXi
wy41/THn8400QYiv+r0oimTboLUOpOTqCrtB/U7WugntS1LuCTLPtVkK/TBMhrbX1WOcBaaIC3Bv
IeyWqR5L7xJmpX4tWIFnt9EiaOuFwgX2kz4XRQssoYbIlq4NcHkTq9iermQpaownqzvgT0Fe1FGR
l3LLIyV3zMuM52s55hlafJZS0cbgr8cDJHFVd+WOauhWGCA1LH1AzC+8crrR4fjaWWlUqNVWz5xj
k/R3FQxmABfYd23axMA1Zy+388nvmm5X8kNamkCL0hhqrSbqPFGOm16v3uBw8jp3xm3S9lueDQ16
uHzlcPWSKCKBjJN6rFFgPtet3XkJ9Dhlirdj3PDex2tOBUu4VxXYfEi6Gs2R22eAFvGCDCD0tJ2B
HqdsRzpoVoAW/0GF+M1aMTK2djQYKc7Ptp4chwnfpdOxzaKydEAxzmefZ8qbmutBiR43VeYI7dHg
58yYwknOUJcyiz2vYb/oNgCyChNTkPmodsaHMgG0nCGiCxkscGRMg8XUGtuOdiPZYVSJsUgM3n78
lA/xlVsn+567x4EMz4OrH6B0HRpEvsGJsIEKXDWoPsYEO4mkdAsAhEeZqipAO3p1M4DvQPVKTaOh
stAx11a5UzBVw+5aV/nKOBgI38WNUYAWDgwC6GYh9m0/N6j3AaBCFHD2CugiezpUj8Oq0DDsS2AL
PU7ynjfE8HtSxLsySwyKsT/bpUl+kVrI373D6qMZo91TSNO/E0XaocPxNGBkZflFbTo0d1O5sWXy
xq0hRjk170AhiD0LWvI0Qwu05rGZ7xJh5WBTTmqUEk2GTtvlVBUSTWtWwxMR07VlGNhpuMqwYQ7l
7MLCBD7HsKoT0WDxqDBgoKh2x3p8bFKyY2ateJAAOoBWU3oGUzcoL0zEKedWke6lKNr1iDBiqMOq
FZJWo2wpkL89y9GiuhYVCesC3Zz2ztDcNJOT00FZ5pC5coUJD8NUEEphOd9A4913khiDr6ZPwtrg
N82Y7GYOu8FCQe+CAWQNS8DO2XKZtbMnFcPe146A36kzFgenXaInUAjDy6RLwkqb+FUJ2b3cNTa1
al45bHLWQ1IfJeCp0EhXQs2U6xkEjDvoAU0zoOI6U5HTIInNCIuDEZJA/gCn+giLXSICKvXAaxtw
rlA+/l9ZQbJe6Q3gQYZ9o8CSeFKhRe8o0qSN0q0bxcJjTQDF1Nh9bPWXdEEde/2tQ6FJ6tgD+vyd
rvNnu/ULTER/1m5dls/8a6f1+e3fOy3T/QbK1Ke2GZyWdc0BkeY7Y2HhLvzaWenWN2PR+QdxDMNN
dWmf/tpZadY3bPh/uqVBJQ265sbv66x+bKwgwGTBwQt8Sei3IiOeEhRSaaO/zxw4XINVhY4Ijjx5
CHRHNXx3RJvSp7Mi1xjF9c2FwpeRQt6NTgdAsoLRjlK3Rk2V0ag/wI9EAlKVOt5nACtikGg6G78m
AuMo2WmupBjMm6+OkAN0s1hfq37sAu/ZmnmJys2AfNONwvv+Xp2axPRgjI4tfLvVOfGJWw8dxexD
vZJSSY58nk30chBty6hQHXWkWErDNItUwOtXmgbcZZvNFeTdR8ifP5YlBMUhH9QaBO+e3YCU3GB6
E5rYWwdKKbWqC1HvmxsT2l9xVDZwH0NWgcPCpoUHOmZEE7ycAhczDwLQu0jzUORpaty6Vd5vR5mD
9UWYkeG/xwy24SnAr4lK1pjaUi3Mq7msoDdF4qlRNnYVA8fOh8S46TWcJCSh8jmmmt2e2eU5YY2h
m18cC8DlhPA0hKDBaPmRNVagYlE7KJYhPbs1X4FDYTY0BuI1rGAubF1lBebGsamUvtQTe68KVcJs
tEgti2qD7azwB/PDl7fgV4LMV0LMj3xBwIbYocN6DcQjoOhqgqL740fSipqVyeA6fokB+V5TrBEN
1+CssmSUGx1T1PB3Hw+iNJ+OeDqADWNhg36hk4HR1SP9NTgezJXCTrbpY+xU0i8xE3rVdDTUPz/e
8vm/wBQ4P7xEC3wCYx8c7nQHtQNZAqQi4vgFw6nlChs2mFKAW5ZCHOHnh/qRKbdcShwKYQRDysVb
wDwhsmJLS1ioMhxfwdQk4MpYvaJgm8kZSvBvDoPwA7c9/ArPXdT/yx39cgXTQVbZzNCuM0V3AgYT
zRCS2Oeo/CBd/XjloIEFiHTRLyEgXeF8Tk4H8DaBqN5AwPmNRQ9bqxGwhK+xwZg2vSHT5q7TC9V8
LIiiKRG39fSD8QxiNzH4Tk7s8QQTNgzKCJptTCLycYSiZ5FA0UMOJH7MCMMiAibUObqpzKp1jAr0
EjVLNqiMr3KzUt7dzAJDwWWG0q+6cbYwT4SAdjDLDg9QjiDZMsqJqQvKW1Fq3izNzvAGZ5jLx0Qj
jTJ4iTtPZejkI0O407nZZiFKl+JmMBTECNm3OfcBZtdulIL7S67Qp/aJV0LLGWxg9BRQdJjNnrVb
K8Y8KfZMpVMKHUIkCMCmF5fwR6lQ5ibmtMGUdsSabW7ZxUrhJgxvQAqvKk/jVl/uNWxkaD5AlIxj
jU7kNkzCqrHEk4g5jxowVZNZ2MOHFzMYqx8mFIC9aqWBiSFXsY8HtbYguxP3UBJFbWO+tLngBcyk
Rd3AdEUIvlUrHh9LvVWE70KytzuOoJS/zpgTX5l5no4zBi1aKg8zz5XsvnSTrL0ypqbrb0GZq7OV
k+ZVegFUHCMDUfCygCh+PVhgBmUmKHshEfHUreRc981uzscsvwcXimTXjS6bGsVdm6T7ueOKvp2z
sZtezCIGYOJKp3Ev+86KJ78pnTYJcUQHKzZjDR/uOSXmy5QXxcWgMKw1JmiXgdIrUGp6izGNy8Cx
l5C+XZnQqYXLu6UJy0SX0CrKHTpZ177DeqlTeXA0coqwSmeXBKQ1Snknkq4iN/2MqfB9kaWMB4I5
4xhBMq9HZ+4oEyRNm5ljaNjHTREfCbRJrA3cu1oJAIlp/An3ImHFKpFAMZnf2ACynnUgWYqMam0s
m1dYidgDGBJssYLijpuCnc+MXgGNINV03+6RQCW3MPdxlCFnYMqQnm8LI3Ya6radmFa5jU5h07oN
pNGhXwwBcYKZJOyruiJBEhC1E4m+c1SKgtQA4oDPncG4cE4gw9fOnQ7ty7x6nHQ8k2gJoQ9CO+li
NU8dKgl1GcHiOEhzOLvgtZpq6dlDG8uNI0nPAvQLsxsQkIgHasE66M6ZYrZTOSmcAHQ+lMWgiEk3
kI7QLGoOpAV2ZtcEfqmjWPhNnLQexgZ64pe6MQJt4hN6xBTT2pHyJJkmatWGynYGaUYWAmnrp1Wi
Aw/JoLbDI5437lNa2awOk7a10dToelaHDfiM1tqC7pykNtpc+M+CWY9FeltReoq1BQ4n+h6iir3s
WhPMlFFXVmAPq4CiIYC4Fz3EZhCP6ir32zJmt6TH+XqsUZBcHOSZMve0LjPK+WIibV1AM33GABcf
GUoakDHnSWHjOF0Jt/i0nPl+VLJyxsyoTXUXsHRcIAKRmQGyZh14R6zZNMCZdSzndrwoWFhgiAug
0J7rkkTpwGMImv0805wkNbCt4SGAsTRW+1B2GqeyTxwtUZK2oMUlAyeXgAhK3+piONbNmnImqZ3w
+zFewLEAbCATIIWivD1JA6jTarxyduKrbb/wWkB+SZ0BbDZwi+4n002vawP0ztTR2R7OV2pQjS5g
5Dypz6ykLHntSyZfPgi0V5fyHExhHSrcP+Y9uAoIQ9o89XUCbtsKQZy9EEQarF7HaKZ3ThuT3+f3
ZkN7EgkW4xQTRdLiPbPkyC+5Nou5RhRCBl9rYPkuOeJWMYJR8fPbeZLRcRSUX4CmYfoE9VU4uv54
lH400qTutcmH4ywJWM2yqAfS9vvqhuUocLLElUM2R7V3qkjWVKgoijKdfHiwqVetIPp6UIT9+vNz
OVkjXy4ZON4Glr6glw71j9MtKWQ3yfs8HvxkzDo0J46Vx2TftmAJBV0NaZX7sVSGea1bvE4x9GH6
E3hTlbvjVdPLXQMhFi1q+Kg6niatyd0nGfzc737+KZcq8+uzBAshOCFCMsMx8Qrhqvx4xQ2hD2MD
My/AY4UdmC64jKCxaEDaXGQIh41+ogCr/Dzon733L4i/X66//yyf//LOQRub9s/l+3/8cvE8gdj9
/kP7vfzE9/abmN+WlY+lOXKgV02WgvZ7+42vIMzBEQDjRUi1Yofq/7fjyCrfYBkP07tlOc0xP9cM
/roxgK/BQhFxS7WwmUIQt35XQ/7Ds7IcGNLLGMFCSELFxvRpx6I0Wq8bOWD0ynCTKDM1Y9dZwNnB
sHyNpVOuvlyav9OQ/RgMlsM56Ogh9ozojpB7upcJ9Hkw4652qRTxsi9m1WBVpOcklk6lvr4fZmlS
sMcIvg5ZUsyXyJZA/KNRCnAutcYF0N83DPWrOnqoBtIN1iuHFSzmYR2gLRg4xlkJQDui+2fOdTnK
397D7ycLZwoNa0Vg1/1GvaYdGxW8iMGlZd1WL1mhsqs5j+Yszj6qqjLfRAfSEZBAsSlB8AW2m/Rh
pvC2DXib1wcO+Y2HrLFKL55z/CDXtPwjt/X6uoFz97Xs88zDMla+S4UCrFgF1LrVFFWzPFtgySNx
0d52Y0vWrEcQ9loFrgRNosZ5kKmgWJSyUN+QVnLsGaQ2jj9YIqyY3j0lnA9PczsdgIPEewuhA/r+
SRW6Tjnc2ooOsisYoX7ZO8sUCEVX8mcsQbhYv/3HLwSgyH+9iORVr5X4y//Zvr+Dv8X+71/Wonjm
b+JraFn+gO+RxbW+YaNsMfdFfajhxULt8j2y4CsAPmBODzcuBBwdz+WvOJ+iad+wG4SfcTR4hKlL
vfMlroCJscQVICawacSS2snq0c9WkSxwMb4+/BaEIBbVJkhCYI9v8Wv68RWcCVhU4NLpEdpDavbb
jK3Sdguzq7JcS+gPlH7JbwqIsNSEQc1wNcqVZWytGdQpENmaZAPhMFCD0pgOiV9jyjCv1MFDD9M6
IekCuLphTUnU2Gq56bPIwG5IDG+zgNue2exKHfxRBxze0MYaBl8bwy7GOk4SxB1cqXxLRuW4red1
CiXDfpVOt3CvoeIi2dr34rZ8G5/Nj/EZ8ysYu5ZXafY4QZA+PuPL9alS8SU8/OYKLVfwS5DSnYq1
cUKg44ih6tP0bj9UT80T+M3mg/reJ9R+AfXffqmeqqfunScU/iLzC5hhyU0J2nrYTe9T6lc6Bc+x
6nyzWg0Z+K2vVo5OsomyGRNnb8qgW7GWeaQxaPY9FgoWEDRawhNizDABPBPxPvGmn5ySc1J52EUN
UiTDTR/sY92ChQ6l262p3NX6gVh0P38oVzB/3pW3833+aARKQfNHUB0a0O9m6i4TNc/F6vs1gJIp
xrzPawVFc3TG9fTsxzyp+v+HPua5B+TUkerf4AE5FxUc1Elfn/n/fVHhxz7QWYICChbHhujMQmU7
rcdKrWhKq7QMLPI1Du0LrfAyEEfyGMO0SZ7zUjl3tJMg/U8e7dSf9fPkgO0iv1iGAanVk4jXksXX
uE9J1HlWNHlDQLzMRyHhuZ4bIMR7M/7GKMZnIfOZb54JTyi8fpuUFnD5rx/gtDMqIR5VA/YkEYmG
QA2ags6gVbcABCmII+Zx8uQOiycAVPpb53l8A/NHv9OxaD9S/AoamqLSfFPfuCptmMfmqHWo8ZJu
SixDxlhHoM1d+c6upObB/pBVXn6n7LGiJLfpnQoAw6b4NX/vV9in/f4/pIY2PzVKOmRgytMOLIkg
r2gbY6U2AP9XYrh9y3byA9u0wAQvsmtQiUFYNzbswB7nZ+w+dsTj+8Hvr7GdCYrgDpqlu/beKry6
oDvwEK2jdi/e+ii/nB6GLfPLa+iAFjS9zhswyqlq0lsjHMGBhyBJAQVLCsWRAStGj9laS7CYRtOP
BF/9qF/5a/2K4RpgOPyDOZy1f1P3BtIujMqw4gf2dn0HU3pweQrYDytea/pY/+ocyp90qEPCXGvg
2G2g3Y2M4tpPCy/ZqljF+V49/pdb0Odv80l8//M2/zve5nPRxD4Blv7V0eRHlOV7pF7MhEwbXOVF
CP/HVNb0o+YkU0GiWmfvg04O0wi7K2mLeQX3Yd1TDHJOOPPcIZevf6kY/xWHPEFIfz1NtK+QQoMf
AzSCfjxmbuoAsg1OIhGAROkL7/ZhDpK993tFT78nhy8HOkkO//CBPh2mT4pUpJ6lKSHoTtCa/HhG
qY5BvSMaAgd0OLwBncMSpZ1Vnk6ylZ6OI1auRrayMe/Ehns8h8qMUV5r5VgRaCcnMDWl8bGPW64n
I6k3gNJUj6RQLLfmBOt3EyJvu2/qHsKIDkJyBqErP85vQfWGXj0cDs8An5+erz87nZMbxEVupW2a
EexVe6WXDODveBjwDzNtsEjveNi7YBwLQz6SWQ/CBFWPYwofqgMSR9xTApu28YI/QzDA9qvcO5d0
/+5r+vVyn9xXVoLoB8oHiSZU9muMUOp1jOEN97Kb9tI5WitnpR9r9AbO5fDSX4xRe5GeUSk6d8tP
Nc3+zW/56Sz+v/uWL0/cT57IhWf0NUxVSQlvKAVlXvMMXAo2J/Wz6GhycU4e6dyjdao+9Uc8WufO
dQE8v4Tkf/hcTyYP3+Ow/WmRh0kG/jqJWqJPimwechIdj6p3ecmopI+Pdzc3Z1CJz5tzevO+Huck
nDAH83x3Oc60YddyDT44VTdxxFZy/VKv2zVB2W55KJDXgo40UiBGGNOaorbb1XtOn583fqBEwcbC
b2qoTGv6QKhFOd1DuIq6Z4v6UxG+z7zx9QOfxpcWNm1QLCARrBPza8S/mHndlRsmBy0JcgiReuoa
ZEmeevyq3sAbVfWwbWqDmnR3zmr53Gf5xKW/PA3sD/ws5x6Yz8T+5bP8ow/M3y0Qvlz/UwktE2Rx
1yzxwPShRBLciCfI2dIqIthLhwH8OX/Ds9f4BEIYskaoaov7Lf3xtRx997K4BQvZhC8KRsapj3xX
G6jDaLYyUs81bvMe4KHX+IuQK9olcabdOPfGfN6ILxf6f/yNOXvHTqYj/+wdOyEG/iZ0faqjfblA
wurcPk/xhHBYx0Qq2mIvXhHiax+GB3WLEjtJ//RTchIu//Cn5OxFOImr/4qL8PcARBC3XXPRA1u0
UE9CowGNonkQNTwc/KeKPtXhEF08lVT6xzDz6TsLqICmrHP56F2JwKCrm5u94YEm76+2k3dc+au7
jK6+DDQO3xPJV0Ym1Cj/TnXw5UOd6h0XHRg3UNzESmQE8RYficazrkwKjaRbK+om2mP7EP8nNtUW
th1UHq2LNlSvqg/5iu+EVMNqwqsvQ4PeK+FbszIeTb/z3FXsNaucNoFzF6M5uYqDq/vC0w5WMG2A
l6zWigfPMB/cGz/3xpXjpxEYOB7+DSSNDpAIC8dtEr7PXh/MHpQ4gvd2SwxKbg+AppQAtfN7dRH7
5CDpu+JF6zwCER4X0KJe8Chpjj8+95w3x38vkO0Cr6Ub4cdh8oJU/cIiEab4U0F1jVLv9WBe0HJ3
cHyM54O1iwxlezU+B9YcaCBCSdV179n4bYLvEKHrpVG84w8pDmn55rW9X+AyLVLXD9mH3HThQ++N
G5zPa+69Wv7ucfAf9g59ALzlPRyuSy8iOByn1Xrwwb+j0QO+tIMWh7nZBA7FtxsbbEbPnhpWa043
+5urq5LCzjw0qRVsRbD8fRy8nG7foPFN27DzWl8E0t923tu9jtAP1h+Se+a9mfg5KMgEMI/aYacj
PG47elGssUnoI0H4g3e82GZrrOoFQIcuk92W75Y/rPbbMFkPm/7YfEwtdr7p4E0bGNGvO0greJj8
0G6TeUqIRVvAh9lu2hiXy2GXTxh7Mf69zymEZXD4t/2jGcWXDn1efXT0/l69Sn0st6mUNruCNrjG
dSB89Rg8YjMpsGgfVOtH4Xf+4MMQPrQvcJkVb6RrRqOJTnTFvdWA8zvzJiyl4W8qrb+9nafco7qb
ExD+8CKYVAQFzhQncBGuqyillxejP4d8NwT+wY4Kqm0exTrQNviI4RQGnn+m6jsXKchJyf7fEinO
XZ+TRN/KppFj+3l9locqvrAvh+BCoYI23pPmzz4G697medp5gRHhHeBUDdlht9ncXJ25POeD1kmZ
/2fQ+jNo/e8MWie14x/5Up6LDycA7B8ZP/WFU/GbYI6xlmW62CyAXvNJvalAzWdOKgSrJZm1vhot
+VEEfdiHXdAFc4h1kKC8H8MxxOzJW742bRpkSfn5fctEavna5M1h9czXWqiFzmb2dU/zzVAPQNoP
8iANMl8J+pV93a/6leJZ/n+yd527jSTr9VXuC/SicwAMA67qxEyKIiXNn4YSO+fcT+9TnLlYTe9c
0WuvvbvwQCNpxNTVFb78nQODxjTwO4RFrRyQ8RFbqlV2dgbyE1XJujWtzlKWnfXsm4apW0yTqk60
6C3uOEKLdqZg93gUZBAm8jTw2WExJLBqIE23EQnI6Vmiz8B2ubr4MBqcd/RA73Nox7vY2d/JZgPD
qCN3OV2LLYnXxrZ8lZyJrqFpM7Lerx+eVAQFAuImMB/OOTHIdNXaUNNvqzNwZQjiGRqBBThShRxa
8sbm5sIGdLxAfeP5Hs8zo+Lt7Q3Z0CWNrNhGIbKTwniVyWi3dmGxaQnM+lSao63aqVk4zCjQKdjR
nM/1NtbzxlrPTPlQB/SNX+WI/GP1WsxeS3V8s5WXoMrZSq7AfALDli2jvOytYgFIBadYDOZoSTaP
1KOIIEoBKxwtEG5i+1ZgR/grQ3w9tQIzxoJLpmYHWH72GJogbA7BjMgOrZomeB6vttEYYE1u6sR4
dnDjDXxeMO/xuxQ99BZvTzBBY7tcj48cUIsA5LUTnMrq7XoxWaMJS9+zRCLag4W2DljTBWww3Ay+
BIwqtDzchorv0YL1ZmqwuEurpemqtKSd6gg2j0BQsujswvQo3onAcYUNFtu53VBU7lOaoZ7GClxS
3vOLaSsd8nW5ENeNQ4H+amYUAWAyYTjCMnNDQmCeW0DgtlPL7hfNttnyNjCYlvikzcFE8x0Nline
la90bGFmejYmTxMYkjAMaXju8Hdi5eaAT+yQTQZmEwWil9lYDaZihbgTDFAAFFi6peJbww3BaGeH
B4EBV1sb69B2DYpG4Ptx19okXPgLGpDIuUUIcFtUzLyyn6Libysq0Ir3uaiYO7teK3NxqENUdHYN
QVFbqtNB4A+2dxi+KQYPZ0mEjGDPKI+ew+SDYPLWiBPoOTwdUSWBLi47dTj62sFhxaa1FqFE88ca
7kBrTlZqAt4XXy0FlpazNLNNs+kX6uOA/SwTNHvSaTnuUHZg4lT4FhodYD3Dv8DpHSmS//hIeceT
rfgY3DU0WRqLxmkcHD5bclB9tQi2+QJJfapfTw6knfW5SEVT/o15mmXsqy7Ss6BH04mEkAA70S2F
J7/pKVOPraW8TnZnFlCLk608JosJUglgD6ZkMjnJvlQqEJW2DmAOMXs1lS2AVziRHWDe0AxkAhAN
lJWeCTQB/Pat3PGXoQV4Rad0hBcme2NI1gzyNTJzJziy96WoTmGvDQ8hlC9K6sxyg/dB9gov7BME
N7JLvB8dQg4HOkxQUGDCu1XqsFd9fWX9zl6R4yuw2U9/mdjhUnBLB79xxdACLoiTYtwh1iWxS5rg
Z4yRAdvMKmyMCfeYQQskdosRMKnvmQHuI3XwvUkddj8scuEvI3NyczYem/3GOHEnOV7Frnz93jE9
wd4HYbvt3BQil4ldDQaEhoBCSPfxIoXNsJ4osx9AenlQlvUiuYvu5Md8AfEN3dps63thCXR2W3cQ
sLkaOQM8e2bMKPgSzNbJsAoyDWgMLdda0BiQ36BucwBcCBmdm812siDdKdMuItbLd9l+RAcrNCOg
Fq2CNrSiaNgmACuhAhIKsRlY3D60YzuwAssETB2ME87koN6Z6iqhECrbs0Y3cXyoNIBpmCmea2xE
EphBIWOsnc1UdeCwOIWO/aWZkZXdjaZA1wDSvigwLDwabDwYDSNR9sjtLn3zCLoLzkkQ5ckc/S5y
QhNq3oNe8yiMkhFny6owcwpmEikZA1GgnHIbzVGo4ZSLel2vNee4KaEqK6ixTQ8dKmLgFY3NR7SE
46ZrTFBtAduYsPOFjjYUP8U2IA1RCLVyV8aiJ2d2hzomBkPG8E23dZHPhcptcUAwWrOyWjNHaKuw
tIOBERiOYRGovo4QDVGDiZ5cAF4iwrN2EQpf1AtpWa8FR3yUX9VX4AG++tiZgOJd6+vOXcCvBjY/
c7SJSGF+pWSFUI65mexHu7O4DZYWlqfvoEptzy3Bg2rRC1Ch6eWS0MMb0un0eNo+R+R06skbrD4P
C0ZbNzqpW3PFrD1gY5I7FmKpyT27Son/5LiWAfNQQ7iH2Xpnw61MhEFMts1Kq3eNvY8V1jFTJezp
EVuLLali6nh5ZSPe5PRuvsqxMEwWstnysDQl9gEa8E3khWD1rFF4hfBeb0vLwF1iJZk5nmP6e8o2
E7Ll2EIejSiMZWyHEfsVLbJWCTuTak6+0BwBEyct1UcOoSHApmBDbUVToSMmZk0Dl4X3iGU4lmSl
O393ATcCjAgPex8tgdia7BaYoAY2KRaSDVW10HdBuRshC8D93hCps5COXOiAGR5q5Emu0TrAL199
EnZgmYXKDgUyKFf/ZHhkvgc70PkWysf2XdFS7Mms7sF5a8pUWAsQsO0W6GT4u1nwlhQS35UpO7sq
3TAzVVkX9otA2hOkmJntrpYqpBqTY7BY7cyOl61TQt7Bej2Mp9YBpZnZbmpHIJB2eB0koSOscgdy
GpIZuG6QdExiowbNihHbBAzz9QtuhlFQeTccxKN4DNftk7BVNvHaXyjb7iF3BsLhXYbFQqSIrO4N
+AZMFjI5LBCMjUlZaIbYiXFuVcjCr5/N4S9/DZB+eEwybFhsG9e3dRwytkoswAjbeiVYAw3OvY1X
IZzb4T39vqPqYlhBMjvJ0bfYKBsXAVsTgbvGggWbnQAfBBsbcemH/qFyWrOE3QmsZRxzHZ/qWZED
2G8nwiEeobQn7KbnilKY1RW2J9YJKxg49QuYFPGYeIAfh/PPXKDIERaIhmIXIlzKrFv87my20kB/
h7nRwtRoYPsyY4OtOTPYSxTyANQNf3XYiLAZnHA3IsbJ4ROBfYNzo0M84suKILRLbGCmlFtMRoBd
LSA+3sKs5iFhDaeHu1VctqiFtLU1C9JqVzGGflgEU0dTJDl+wt2wmSWOFlJoFRZoBRqQBaQo24DP
IYHQmF0OQKgQ2AbcVB8zAh4ezJm0Tx8g5hYeCO8mtlbYCSlEG3N44XiiYpQlMBp8PnN32gVPKCQ4
jpN2VUXXmXE5fKT21K+4RYDDfP2yk2XnNNRYZFsexZLZuVsqGywXC7qT4Jk7QJFb3lFFcgBbaeuZ
+gLf160IbAf6VaEOpHiIMQTmRChb3ZTwzZRrfPIW3B0U8yo9de6wYoqZbTj2CRxcE+9qVMAosTMz
dJkzOOEQvcDzrhc12h/ApQ3J5VlsNYDNRUV7Ldqa9co2cgijoHcCuIAwOjAF6XratLvCcUM7ozR5
bxGo1rG6LRIhoJLE5gqxlRsnIFlJ6Bv2MSaIzbZ8FzhsVzMPuXxgsw2tCGcHe/2eqSHunr2WParT
2mX/VxaRI94xzcm8wcCBGwVvEK+m2HY3DMKbPjZj4PlYV/HTx/7pY//KgyTccidm4XoNuHhT0iMa
F8H4ZYqjhpH3zMSkuLlVlHnbeWGj+ZDf/um8/HRefjovP52Xn87LR167j0UiLAI6z4x/SKZcs9Uf
BKrApalvMPGNUgPEpBeOBpv4RhPgrWvMEjb/rWvcdsJmqYKfTthPJ+ynEwa766cT9uc7YTet6Fmi
6n9kRWs35PG8RYPnyzg1BmRKeipf8x7FgiXOs7W0Y4lVVjmG/CNBsALZXeWaQwQHCDxUpNZN2QIt
FYKpsTUhDsPi21+jRqjT083XdxaXjel7bhD+7WFaIryNfklLcXqEDVoEcQYUPeamj/I3FpBhMY+v
cdYV849v1X3dvNNZruPve6c301/XTPoHRf7/NP0lGD/c/GDrlQSR54EYM/NX+6oTBbFr2OZHtA7x
OhZzO5/fziN9QVA1R/HDGQ8UJqLpK5QJ9vgpsdA6i/chDrWYzJe7iexKvLSmCKrfc2SHUoJltst2
taPvmwdxL22lzXCQ7wsL9H8IQSLpg3RVjdAS2e/3rwlShXtENROyRyhqWk5LfoGa1OXklKaCUH9r
54iOBrZA88WIYtbSZF0fA5zrwCZ4d0em5VNCtMPlcgzIEWkAjJUz30LzcEEOQMI9xEjspajzOLOy
Tc5enVcIfK9b4tG3t4ii9gOZP0T/z5V5RmoDcUGF3TBKOFEVApxzzAieYXd/OGMurnOET25s/MAr
WFHB4e3zzOSPo+gfVmbm2wN714jB2iCjVpl9rZDyoV96Cziy5FEj9j0acR464pO7gdxfe9kdFC8T
a01Q/7JGBc0JPTKWTzwzRMqDpe06JFdswKojyBciMYF7iRBzPb+h1Ga8ztoFtS+RdRnJ53dyLSf9
jVH94U5m5VKDNHLKICIfoH4pHr13lFk7/VI7hs/qgT+Ih2FfWxqI9QJTRImlSsHJNwiUm4i20Y9o
DpQBbgz8IFT+vOSvKpJ8AGOmgGusPXR4UTQOigfVAh9l9/T5uCUW6fts3DND3WhrrSs8nI1xK4TI
076zFGhKXwXkjEyfhJvQp6fUTu3E4sz4GB+DjUhY5g58iw6LabP64M/HdG2w+2xMM7O+qXxZiguW
W0GGSqbIRCEVItnNWkcdF8vnoSCG1O611oQ2jKPBylEJJDz09hK1S+iYQmYTWcD6mpSRsOdBj8Jq
YpAj6pHCTDbIGcFqyhzlCS2qN7YCsIBuzCl7/oNcjrKA10IO42fZAh3jZUla5A02rORnRMqWZQdY
fihD4VJv+XesfKlDJs47I/eDerRmx6rR6lOC3yy9zZLMoG1wWTqdlTOx9Dcrsmf7HSyyyL47VWH5
oCU5+PeVsSpls5RIhsDz6EYov66RwazNcD0gSves7ibLZSU/Oi2g7pH4xSrqSJzWyPsBIoul0xCE
ZiNOFsO1LMkwY9SvyTtWr9BZ0pKHiZAhUXwpnH719uZZl8tp/Z46d/ssJllGcP4go0ITPwKcwePF
MGtUqLHoOIt5M73PfvaIfCNvjURB67K/WRaIxcqRXkRwvbrmk5Gy/R9uL3EGo9PKWQjqPWx5EFhe
axDQr+uy6e1PklsSlj0DeSYNIUogeJdLSIxjQUdS0BNPTql5Oh1zE9zY7A4hEw9vb6B3ucrIz8/B
jy3EX2XKtUHzwz7ihyzspBYDLe+SnazC6kKlmdM5OasCcyos0rQWH25c9Ja2vHaIfbjqT235f6Ut
b+6HWdbmD9kPt4SxODOe/rzTckvsXouIP2zcn2L3ryV2ZxbSX0yr3zKUrkARH3bX/4WhdMvoFGeG
0l/F6Lxl9oszA+mva/ZrP4K80jVAXANRDBC00kw6gvfNB+gITD398KVD5c4uH9zFLjvWG8FFkbf5
jkoKKyHv8caHJYfaA7M9oYyehkuYF266RG0PQbEP3LvXgSpOjVoyYFY5qj1tckRiIoJCvW4TX+sq
Msq6DIKTAcs7jGlwKJwc2OyHqiSHBJ4emjVvmLI3b2/mn/3Nbu+Kh/sbR0PnNZCRqWjlnUMA6mmd
hg0zsPiRZvctSmTkB818ZKY5q4UdTBjjtLqH+wEHJHbjlXqtFS1pu2F1oOBcQJsIKAcAMD+SVkOh
Fer2WPOAGe1QZGWDfwIuPys5apEhZwWXKOWhAIvFz8EBNR4I5wAM6yhAj26tzw25mzc3sxb+Vjcn
/bDy+8PKzc7dyMd+Jsod8DrA2EpWhzPiGudH+NGoveMRBXGcPSh6UHF0jU7unf2hQLuMQOGP3HAn
mNr6bA/NjkjpAckoUTCSnb1YHj9fw5u3OdOZ/4u3qbAZ/ew+Z4ECRcpDta0QqiktVksab8GuSmxQ
NpAXFnx5WWxF8vy0dnz0j4bLxRYhG6DT4JndC4od8bKcIobGwgqj9UVywFhrp3txrbrqSnfTow9m
N/fz2WMj+mzEM+04eYaW6wNGDGxbe4WA3ucfL//Qzf+wB2darIlzORc1SA+QNoI8MB5pfH5hzWTC
WqY8fmeowFRcVqHJKtETU3BtYcXKxpkHH9iBeVeD8O5SoSsfEYt+LVEBwsEjEk3uwHJPUJxGut7y
7j4f+I15Meb+76DyXDBhXtLDE1rHDrcc7B9rjV8nxpiF4Avw6jVSiQusGnQRgwrEBFoWzRHbQwiV
I/dsZ0zwvV8QV7UXxEEnG/C5iWK/TIjuvePf+x5YN6eKPBWwaSuCUaKhjUUIA3jhy4rcQReiwemI
ON4FlHooy7vcWF2JzcInu2dOrMAVExfxAW4CUmXE4B8N8lgiAMyixV827JHOLFk5KxR8Y62f2OJx
TkXMzxfr1rkzZmL8r3/uDCZJPljKv/fc3dq+M4Hb/uHbdyZ0/57bdyau/7e27w3tOGf0+F3a8ZYA
vkayPmy0v4wA/iFgnq4jEaWBngLIjzMJDA4toVbUXnZeArQn1Q5oA9EO9foAWUePMFFOkHcmeilY
kupG54LAM4HxW8H268Vn0jmZGjHnpAH9tSkttxE6iib0wo7W5orstUstyc1QbM/K+Q00U4G2mtV5
HhU0Qr2sqqNfETBQBaBqhDNToqeLSXhgakhuZ3pPKEm3t1se9yGalwh30Tn6ikf6NyIpunJyU6JH
Hv8dF4PDWo0iBOxDm3cj4If46CJBkoYFWiMLXOjwf1I7slKUWONJdH+IMKBFkzdF85nZ0SWe+FzY
AnfzxuSI38uusQyBQulhZUwNndQjmmmYxF/lUD0jzEr2Jw/Rv/nCX7tpWG8Nuo3xiEYe/5nFYl3Y
A3rLJZvpiJyw3oAvBt5Z4mFmNbFOHNaPyD7tS0nw3NevYM9eA/xgOIX3aAFDET8r8y+QzEDK0BKR
HNQJug3pgPYulmUH5Bb7G+X+6EhCW7iGjoHu2mDR413oncqI4Xyt3heWAhTUADyaz6fsX+inX7fT
TD+lvpC24OGDDwUvqSQvPlmU9O4eVMvMNAS7nmmzB9geSa1s8eXLw2g+SBTIdSAnQe/6GxBsoMMj
8na4LEPs+oIG2AypeWttb278mV76/7Txfwgb9VEizZRqWXlZV6RYxas5zyIV7IstGjPfIvt+cY8e
IvQSoYH8avSHWN/7l5cShtnhcj4DeuD9HbyKKASBLbtgFh76adfLy+WCXsKjSy8c0rFscZciYeeZ
HtGiF6JFp0AfXuagwY3la6PlMbBGckPm3by7mUb/e93dbaE10/U/hdZNoTVzDf80oXXTUpj5mH+o
pfBDQ9sQGJm0IYD+djZJnqeGyThAF0JLgcwJRzqHgAfU3USWz6rNk2R5Q0b/EHJW/3DJ2e2GIteo
kYhLBprwBho3oFLoFQhYmhc5QPtpJ3ROGoH9OY7T1M4mYKTKAqBG5ZgYvPzY9wDaL9Osphxf7NNO
fCmCknbZWDmKFtfE6Dv+1oh/aDD8OmJ5ZsqlURwrXg3BCSSSDn24KMkJaLGQyLhBfLBBY69bAAbk
9MyKEpZbH/j8NzTwNcr/G4PuwxBmBl1aafKoyhgCHGsmou98izXKMTi7hDBYGNY36KNO6ADr6nhJ
UAvxuQ0gMqvosxHMrKZ0ACdtUGIEG+Ydvx02DBBxZwPTr4GFsj4tI3K4cclb8z43O/74eb8imX92
1zN7oi7apuc43LVgl7DkUBdWUsS+EOooUVZQOhPOCwNGAJJPR3pziz4+Zhqm5JChmiA0UT4wulgS
Zv0qCPsjyoEipcv585n6saz7sD1mqn3QOw6kYhjmGdr6hVmYsMpgdiKkwUzaR9PpKPCICrJnIIuv
MoCFGGyjs62YH8Iau133nlkCbOhg2YVtj0b08/lyvHw+0psbma35B3/uj9/IN5d0pkn/pCW9JSYZ
a9nHifrzxeSt0zqT66kfS31cYA+mZLNfu5/vmxsfPq9t/n0ffiWa+OSUX+sjPmzKCGzGvNdDJeG0
1DjAAmBKAExC40300JA164IPabLNUVLVAnIM+BqA+yrIFuAMrOLpjWUcnqzP7/jWmZ5X/v55Z1q4
YUTMQeT/CCPihja6Tt6HFfsDtNHNTTKTsekUqlpRsU3CU0CJ+SjkhbUEDVBTBn3LdAJHvgwmfH5H
QRHdiABIbHtb1CI6qGU8ojef3rBMbo5pLk3/CmOaydc/8jD9Lmrd/2jrpnpOwufsH6St3p/bf+SX
fxyb5yasm/C1/jf2Ya95MVahHzT//v2f4G38di1GXvvdH9aVyPbQvlfj3XvdJnjrV54l9sr/6pPf
6HDvxwJ0uK95mzXs0/wwzz4yVyqYyk+oL5+L93+c36u39/l7vrJdgh39FxW8aJoB9lgBhNUydvBX
uktOVH6RVN4AUa4qqkC6xoW+8V0K2i+CoYIfW0RRvcJLLNHzje9SkH/ReQl80RrwsUWNh9j8573v
v0rXz+guZ4UuCt6vA9RaxwA0Q1NALP69wvPB4Norcu2TgeeURSyn+K9XG+qTUuSwu+NJ+lKMoy/S
BNxAFqz+hoZGLEl25uvpcy5Ey8Br1dLiuFw1hyipRQLilGSnFo38LOu5uGp1PkXFfdjrwMKdxHIi
IKHRHz1D4HZRG/cIVYx5+mB4fbvmBuBc5YlGSjQWSG4lGNxDW+Z6TqN8dJAzUl4iXuae5XSUwN4g
gImNj0G9pk4SSZJuXGi83puxKoanD4v6bd4+dnbODHHMEwjOZVDjgj4brKXyvBwlH6OkjDPpAlYl
8STxWUzrpBx6R2krj8p+klYkE9LA9ZUMbEqB2r4qo2FAU8makBPO94cjF0YCwnGa2J15NU5HUnVD
RSMu2ORJDsqBiOM7njRV5QP5rG2BqxXL0/q/cR8gF5YVgxcNYKvPZJfU1b6m9PmlLILgLvW890CK
RycpIrQoqRzAn/z8rYI9QbXMlxy/C9Q7Ix3ALzfWHBm1IqJe4wsvXuJ1S09pZGKk/LqLenGh+0G1
irNO3ktZEC18IQ+Xnw/+e3PkugZgotYNUcexAUnyzDirJD6RasO/ZKkHVHBel9e67zd0bDpxLcRS
fsP5mrExs+sZ4GhTDKwpVhVcEd+fjalPwtEQtfdWSh65WDkFySRYShE1bpNnyQq2C0/aPESNcgEA
x2hI7c/vV2L+5a8W0tcBaCovqroMXnTAs34/gDSqh6oZ8vdwSniBcJGSAs67jsq33MvEy5R4JU+9
uluoXKMAhqjjx5dUFoOCTqEyPvdCGXRWWqX6OhnEnZJpPEfaKSm/dF6XWFM8aoEp800hkinlwlWn
g/0d9f4ad85D4JKqfKzYvtQEDfEr6W4yOK5106TyH7Is8+84TwdFTpvoxY2g4sxbwW0bkEo6owEG
uzeSOLPblqU+94OgeZW6qitJLqrjcuS0/hHE1CCAnXiw3+ZSyF8CfhABFOgNMpMFXr1N9EQ9BmoQ
gCa2rTFlcZ+P27bJIp1UY9E+qBzfbANVnlCCpOgHVa+V8xAM/RYPVTQISqAO9i2w5Iug2ghKHt4P
un7QNPkW48pvtjLiPozmG4dQFFT5yrrwwZLC4cj9rlJeilKTieIlk5XEoCwUfAH+YuTJ5MZO+tH1
cEkEm6BPsJ1nkYwy4jVRGsuXtjGGR8XzFWsEs4WZJU0KpPrUEJ+l2NDcjptWQeMVKLjw6juxy4qK
iB3kkaj53TovKi41NSNT3VrIYt+sZBkQc6mhLTheL5Gn1/QGyEyxEdJpFOtDqJfdfZe2YJ8sw74n
oajwuzHhrTQJppLwuSZVpMsalIJxUgdAJaNaGlLYXnD8hZ2idhI6dSpDvTEbTE58d6wMQddkRjFt
GLwqX4PaHyY/lUN5GNLptTe8zoz9ijdHTBnahKpgVSBRVkO93LgkM1N/c0mVhy7XQeDGS7OgShCG
WqMUwyufVPrCiBsgJCcamEJjz7gltX4jNHBoICWxzqDZxumZWYLQ1SknVvXraHSPaoUySlI0dfIk
ZICHmww0PKl+j9CJquhYEF1LvoRVFG9GWe2HG0MR2V19f9fXHccrYOyG9lRnQ4mNVNMD0XjJ5YF/
iscpbUhryNVejKqsJ0NXgOImGEbtFHk9LxFO9rnHIKv7RzFSY5olfbnj0kgFlihneEfOV56boRsr
y+hCiJ4mALWnkFUT8aeszCyYLQ0qPttSxrVSrbqxhFf0hu/vBm2OOK8GSBMNVKaKuNsP24YPJ71M
OPU5icXcBxXpoL7xdQW0YhzyXTc2TU4yPYN9k6i6YBU4N+9DpRukDkE1bmq+iDa0SohBLxTG/XbK
h8YSwiDUTQV38dyH/ngZ1Q7yQOSmATbEJB7lOqm3sT/Kj9Mgdecy98QdpHAnkkhwY68MD3HQ5BzR
Rr1LSZjrUUj4xtcEMLHmmSuO7fgUJ20lWPKYnPiiUVaqEkwrucjbtZBoaUqELhqQJFUiFWSpghwd
hDRpJrCfhtwi9HOuvDGNsxALk+4S6IGRn8csyBp2xvfTKHVN3de++FyJAf8kt5WaUSGQ+5rwQTr5
pEZQWTMFY0hXaq4OCy0YQFAyRckySisfNV68GN3VXQ5oQ2/i6RAU3dEPRBElcdCKl0YKQZFRpTHI
eQe/RbKsqfPDVZr+Lr9mE75WeQ3ylu9dlqsp/qs/syves2NTvb83m+di/srvXJ+/hq8jMJvqXzs7
i+Y5GT/6OdfXf3V0BP0XGT6JzPOo1dZUuDT/9HPUX2BEMfdCZopdU1kk45ufI2u/oLobno8Ik1pR
ZNZ58s3PkZRfZF1iJirEtCQpKHb6HX4OkzS/nl2NF9DspcoKqDPRpyxqVzfow9nNlbScGkNHg2XY
9KtI459Voxdo0oiSO4lRTQNFCDYf5mb/9dM/+gyCMDPgoN1FTWNt0YooiRCF8zYCUU7jShYaZGe9
pp5ORa9H2SLl9ALNel5koIe/qyN1nXtjUWyjSM+13dR7AvqoZTkrV1HGKdVS8sSksmEM6RJknCYA
HZmfwmkhe31lFZjbN8EXBc+MoMpAhFwFRm5HiTbyT3qS85JbGFVZLPk6THNTkaIiszQwsiLTE3vS
qohT8OlEhVg8+H47vnFdJJV0qnngNMa8gRSQVnePXRwFQKGVwwn12gYAj/fRyBdHNYpidEr2xaQu
4c8iJ6PUiSctksmQHxWunXyH09VgxNCGHhzR8Es0yaohIAaaRaEgkjJWu4hK4CaVAmKMcR/RIR5D
YNtOVaitgq5Tq8RstKSKiVhVMiDWvXRI72oj9EQTNpThpPCVDlEgCDvR9/WAQuPzT2nK7zhUS9Ym
N/n9pgjrzA4qtVOJKvXaY5qlNeyuvJbzvddrOZpwk3zgjrUkjZLV9FKbrPnJ40Wiq9EAsMpAiJ96
IVMf4CZ7ViZWqkyVIi2e9EKvdnym9y9tLYc1UZRYB1pzOOFG8z4E4qegjWL6wud1Cm+1VHDTiRSg
ykfnREGnDZeKgsujbkkklRQYZsulhULCko9RJzP6PZpuRenYebGm2FKWSAX1VL+x/EJurKntEwmF
n7FRtvtwHLvuWKc6rumpafnEK3lA1XIcMyrVjNTXH7RpGYVNvo3rmpOXep6G95qcs/Zkv+4za6y9
6JVPmxL98WEJlyLmEhFY+lJTAJB2mmQe5lGaxZUzdWIyBXTSJ8nbVRHX9W+6VA2CtDSMMsomIvsT
XyxHvk3RUSnXbUrbMozqfcrnxRPfRfhvzMlY+04uZTBHhYkYollDC/N8h0uPZWRXnpfFFqcZXrWP
a0GK9yV6NmPHG9OhyKg4wM10mkbC/hKUlK8PQ1lxfkHyMc/a3uxFUer3fNlm0SktxCBZK9j22IVg
xMWrSc7XrcSTbw/qkxAC9NIQIyA28wY+2ZsGTYvNKtbVGnXDha9PqLLuPaWbzNDI/HYB601Tv8Bo
8RF1RCSltgtNDbiHqgwwa1PQYTdL4VQ8dWGnShZX9ogSjH2Lu86kGk/6RaEfsiILkbvs6rJ+GpVB
BuuuGuYmTkqumL2uNYPVjr6BJutOxvu5tmp4J9cGIT51SYWjwhfDGFG5zZPorDVBFe97VS7S+ybM
09qq0hByo6l1bMjIMEJQSqlRfR/KJRcuyjGKRrMcQSz0KqpGhK5h5jg5mVZm703NhZcEMZg71LUV
ylOQ6ROJ2lwAvZYgLONYqGzOn/SzFMmxYfdKLd/7Zaht81bgN+WYuIGfkpIPEVsSRRqUVWSK3SjD
dtGcsNYWidgiJ+Z7ESqq1NaefOUkjXHnKj7Wqsk6IpWJT5uu1fYISyT7UuE52qZ6yIOzOBxWUix4
527S28qKwduqHVQxu8+k9AI7qUfVezgoDp80QJqduswgWdhi+kNpG0AaJ7Q05P6YCZCECXh238TU
g7848OohyVM3HsLK1nzloYuMEI3XgWy2k3Au9Pw9xUJvtLIpzUAWXG7oa2csC2+hZe1L1qQ7Cc6t
JTZ9YPIed+QiA8zztQbQWbYyxliShtPLZTUaZskNpz5snKLhA7sOwoAiSqZtutqDndx1DkJLhBtD
wTJqISRqm2+1LINk1XWtGEjrh1sjCs56KlkhPFqa+GJjoTDfI3EUFo/wJSUax+dMHlcIbAEZQfCX
7QRUaj4ol40KqF01lhejUdpJ5a0nkGgTWYYykNpp5ed1YqfKFJHWM1BGWA6gqJOaldQkkGJtdAcV
1ptVjjPry+lSLCBHo0m3IauUh0kb7yUYwaQBoa4b1GJKPHECBSsvLXz0dMFQndae131BJXhOq0xB
Z0MpN0RUYYMKcY8edqOqYMkDvCNUyWQAozZvTV+U3kTdWHBC4mahCPj0Oh2fvLhqAuoFWKWg53nS
8ZldCNxajPx7yQDmgpJOpDJGVPohmDIST0/RxD+GURDTfgpam+8k/VDyBqcQqSk3sq8u/Tgztq2n
HPii62mQYjN5RvvQddqBjwIEUepw3RiK2+kZah9ifyuG8OPawUipL0eOX4yRJcXiuBjHZK9wQWoK
NYhTVFn6T+bOrclOXdnSf6jVIRAC8QrzPuvqsl0uvxC+CoEEAgkQ/Poe0+s8LPt0e8d564gdFStq
lyeTmzI1xpeZ8pJDSRoQJxGpSNupM7H512Z2YSkSr5quTKC7AOHHAgnVcFuecxEi6AJi2/NFP0cj
4Pmd9BSAvHceJVBixd7Bb1ibiM0M2dkAbUdt0BSKZpjR0SHVy3GOOn5aurT5sMJyM/iqUuBSj4tS
RZLKT/mKzHtVm5sKEk3K7up4ai9jFez7zmfRl3ww8nNOrEXHiGzM23202jssHevj6Gy36zUXnzLR
RZdka7svdeXG6GDqddtNwDjQ5tjimoVR7qA9tieZthU6nzfMonH0EIv3MIcJZvY0Sw1wcUvI3i15
v68QMO5r2WosjnKTOxpm94b6h+g00jr7bNMY9TK9xhYI6SPiRDvPhzSs6eMU5V8oH/ReSJIwKA+9
bo9RJPv0K29zH93lHv+sEJOUoCGRLdAiE7M92nRGFxc/paXcSP04RDL8zAcV7/K+b1FlsRL1yoXd
yjaumhR7uR4SyBRxRwtsxWK1TyqWYkpGWkF/iqlelxK3UbzSRvsHo+QylR32POLQ0ZY+S+PDsiO0
w0nHS4VWEY0jDwaz9ZBz2TE7TnOHqTzzWD8aQM3HKl6yrzmd29NGF3oRbZuVeSbZfnQeI2Rk3egy
DWZFXGyCLbTSAF5pOiDFyPlzZrnrinXaMHHCkXa4j2KINLqes6HoW2cPfGyHl2FYt1OM36KxVNVH
Z6pCvLORaxH2pZy/RYKvR+aa6NNgI4Y26JvG+MUuCfVQdHqC+o15xp/clM771kw+PsiZ5K4wg6If
swVzBbDNLJQZ/KlKRnOmhoamGAnWnN5VvORySe6jZsgu0DD6FxGyV6Whzjg3R7qgszu1k+0eVCJo
6bv06LAuHrmM23g3MhK9H10V7xFju3KoOoigN30+R9b+rHSiTgkW0JMf4gYzSHp9qJC5YzlUvLCI
h9dsIOOxm1iObEfPZz9OXcFUmz7PSLafUZ6F6QBySK+e85+BBn22+rYID2KuoJxPY79vTIZGXXkv
o/umneglddP2UMdKmx3JG0X3sjLm2yCcM/vGzehMks/dwxbyw9SP1TFrR5gKqB5yeLWZb7N3noxI
sWTaYNIK2fxO9A35umpXf6Kjg1rJc6vPWcTy6pTNUb4LVosiJ0aX25hiCGlmsD22S/0DMdVFhfB+
OWZLGC9rjV0Fxt/mJYP9XpiVL89YeiZVIAjxY03tisS3HqfTFs36CFFwQkcTp9DNjGVAz50Klwp6
5aGJN//BM0bmsm0IOqI42ly9bPzBxAt7y7HT6X8kfQUFJ/ZpPl3ndEMHFpcvHy2NkuRgTZqO8EiI
Rf/wrPIvYh7EPRuzCPmMnt9hS0mh+EL8PdJqxi5NBAkeSE9YrNdkQ5Gupi68X2g0z3ihRf0zNRSP
dGPW+DNkEF66MUWbH7rmrByS0WLuDNGRKueF5kcLD2sqUki8u3kwGLnN5vWrXWLbHPK2nutyTOPw
mC5EsEsrhRpPqecawlUj++zqNv4MpaRGk/o278fjOI/ZpY6YeX8zkcpaG3eZWhYundFg+qHN7HXW
fLODj4bd5qP5jveQ1EscangmYV0uDe+qIh+Z3sfKd0WLUkxSaLmgYjZxVVuyGYs6FBkYSrFaG/S7
qWaZ7GekO/Kxxu2XxWJTUa4N9ukFjzGjmCWDUcd4ykD448k8sYx/gXiyvlOp1+1hWRrHd8jFfJl4
q++XqiNnDK+Ud1M91eU0q49VWqsrVvXoKsyGSQVqhLiEVfOYiyE+zBOv7hOs4o986bJ9DNUIOYBU
H/gydBhWvtX7fo3r+xl77J1rWPJNTJt95Sl1d2HU8zOpaHvsevGhYXo405W1d5yb7gO0fnfYbFB7
T6U7kqTDgIw4HtFQh6/oodVNgy4MTQG7i3i5b32MQL3mtN/3SiHT3/A0T9mCxWkI77Y5oBS4o0g0
VD/U467WlZuuHDvKfb0O8w6qeWQLhZB/DPGAcvNuZv6O1hU53OSOC4bLewzJTVNyGszSH9jYhUIw
HB4HVcgQbW57VbKp5x9TJ5Ky6rDxbiTe2on7GEF8c7dtZQQLVOOEWx/JpyqkmPiWxPG9Hrrso6zW
7WeTEwiXntLt0dDxETtIh0lf+Lb7XM+ofZx1NBftQDAK2JMpv1YNckWS+p5ehegaBByR4G5ZVY5q
3N75seE73yG1P+qFtE9p1s/5TWdt8afeYgGTPJegGFlUXya99KEcs4CCiKHB1PtKq+9Dv617MyX2
sNYqQecgQ2p/6IaUzWXP49sDiX3mdcmWjEDY9P0d8V12Xp2piiG9zTTv8conkAG/puvEX9Zl3S7a
ubQt6IQeXLOaknVP1yaOC4kdBnTPUcwo9e5puwsxk69MtsMb19IX3ZiwdxGbMIJ3ldU5Fpm6dJYy
PJBOm/fT4iLMFASQh2mEbZ//5FiK3lOa/TAyIOrOEklwHTu4CrjzOabXQkN4XaUYVRE3ln0bqccY
CI8AhzRAYwMKawgbVN/aK8TY9uxGNR/IWA/oCKcF2g4MVJZwddVSSOf7A46M0UEqMrvYV7JIxont
CJ/cK4KbObtlZA/TFvxpJEMPZB/PTFyGpdMveSPbe820em/StX1I1jAUs/Ubrr64Zrgtl6oZMRKP
rSHaV2k7OWyARiQKI22b7xoi8WHWk2Lf1om1X7QhBjd2zb4qv4aL5dYem67rz3TMFd9n+digWLht
FVBJI5dnP1aZKXSdmXCe5oi/bNkSA66NfffqZ9z0ssc6dre0lAC3mTqFXSCSqWu7DlQfNu1zupvg
Jh3jocZA+9W36rmJsSfaV22cftaR1GifF4xBi7bNOtkUa+P1KYvbLTpo77KvixXLcNfyZctKsULq
Pteu7r7obh2+UGK2D4FOW1uEnuQjXiPkpbh6NRnvl6RbZTkDWk6ubbsuB9OI+rVOLZIfxFC6nUZk
nD+RnDk8qFkdw4pXRN3HjsppB/5sfAzMRG+QpyjGXfMFk2IUq14Hk71H/KaIHIvrvy9TRsEed/mA
UUTt6r60SY7RZ3WH/Xj1S+DiesZ/G2q7b4gLMyZCE5I9CxbNmIVi0vGDaqcGElbNmrqE59eftnqA
5egx6+ZCxDbs64gu75UnGGhlOFw3mkf162QFdG8dmagcKy6/eAs39MhJFWGnVM0EYkNYLNPniYnu
dU5jww/1FkFeIz6DNNCudZD7KHMOrUQ90/UuKIGfAxZ16BQ1TLLSm0h9DolGgBnhZqPBWN5BjBKm
jkMZjzyyl5uzYst+qcdv+NdI+vmMVCNqtX3zNamunbOwTWFQt7bdY++GD7EcIWpH5EDR7MxmCTL7
1el94kzyQURuKxGZ8Gd4Jxke3nze8A4x05hbxMLvm1/CE7+JJ7Ey7CyEvEjZybXImzTWZ1VxajT8
3RHRukgrM1FM3oTwsJ2AoIRWldAGbf9oZIOLEUfNRlc4Kulmrjqflywu7LpAd2KZJdshM31Lij4Y
6Z7SLYc+s+bBvnUJx7WyoHNCuYgKP6PGxOYK0Zr2H1jcuVhg+8v0hzFacftHbwXYgHpCFCKNXvEF
wzKw9t7Bqhu+mi6DBmMqSKz/peVAwMJFin0DLWgyo9J3dUMU33VDVvX73LClOdGFUIxE5VMTnkM1
2DfCGT4g5g0u0z/iDrPIl6+E1NwdFkdxD1IrcXIpC/ibvF8GVMpzGaFFHt8GaF7LmONCTe2IU/KO
4fM97hOkV2u7/pGgcCEuoLRFGJo5Dsa9afT5wPJsq63/QONJh2csl7I5OsBN7T1JRjyUNbbr7b1Z
Q9JgqpQA2fMQYekxd/PUTq9I/J3/2KWhGj9Ejm72sPRZfwtosvLHiSbZUI7C4tOM2/BFx6Xn+iH/
dapC5FN6hg5IUBRp/FoipLvuoRkdVpQZ3yFcMdm0xxyYlEG3Qy+ZKikXYrtpr9Iepxg0DPgijqcl
IEEa5VFNvEfMSMwdSVdfjGNIPqog0EByEs3JoGlI22WbeZ9U85IW/4vGdQe9LeEol6hgFHd0rTYE
u8bZx2Tpov4sesff/u4e/O7YwxcD53IzTfGixynewz9ssmaR4HcUw1Mbs+GxC0xF0FPmNBQ5zUZ1
YNFk/lOV5h9FMTgo/m0exymHQwdbJv2DsEEy3U8eyVORZsS+Qb5DWUeFp+HHiO3dLp42fklWNwwF
0PdOYt/TEXJYIbUUfmmHZ72Yxpb5TPm+ibup6AI1h5UN/POwCL/seL1gazxsFsF+9azrsHHx4kOS
kvklG6L6kEdDdIGhiUKUPG1G8x+8x9+N/1+nl4MdSsBy0ZjBDPrdetxIbCOEj7XAHljh2e7Hs6zb
YecYD0+ATJd7li2Y79rL4f3/8G7mEWOw/QXkBHbzon4/8oBXbVbduhVzEyOxbHV6hmxc/6i5xQYi
hwXV/AdKNfrdfL+dLJJWAajv5shF4KV+P+TYKTfNQIiwSOjqYUtmTFLiJL+EZuO2QP24uDPtkD0S
PttLJ8a8gIDv0Ex6Eo4ciO+XqKhrhsHMf78Uv6MQt+8lIujJMP1gF4o4++NSdMMYtwMCeqGrODwJ
Y8JTU49IF0faIDf4+8Fud/Rfvt+vgyU0g74p4L7hffr9IuRrlfa9i6Zizg02V7W2bLoZw8n578f5
86QikJjoVRVBJIXbj8v++3HWeWsavFOoQqEOcjuFVqT3Y1/PmNxjesSGvx/uzwcZh4vxHIHmETBb
QSP8frhujVSH9agH9nQLPCoomA/ANG/LX9Vi0dduvYlQCAxQljfkWLu/fwEAJX9cWZidFK4uKCZ4
qiAi/1gq1BKr0MIYKpDfD9Nr7fRG9k2S+BQWJJGPyDkSzFx00sIuqF37Vm26J9B4hgmCXjZSiINU
QjHxcBUfnKx71HF1mUDr5rhNZcHAMtxgQ5b0ZRIqkJGtx/pRDnJR2GNs8XYKrFlQ6U3qFbNFsUTr
YqV9TE9WWlLv+OSx9v/jy/DZI9DCSLjloAmDxxRDmwayiey2KQ0J7rMAZaGuHRLZ+AFORGp3RKfr
ehq1p/5JLwHXOXch6j9gb4GACusG9uDQBARdP1N8sOgorrybqs4cAlW30LtU+NnPpG/3bV/x65Cx
7FnmK347ANPixbiwbCoSrHjRcaH8FombGtlAPBt8+X706uhB4OGjBJNfpA22OgAjFRczOgjBic+m
u0a0+U/KagRwXGOFHKCCzXCZfFpVr11eaWQmQOI+bqPfnjOyegTTOMFX4LqCLRVDf9d3arQI6Dqb
kYR4QcJ2qvm6Tj+4TpBF93k9kZfQsMqf135GuHcTzyFOWNZEu34TygDJE/gcpqAk7eNt6NYiyZFS
letYI4tqmcCFgk6jjiSA5CgquDnbqXKS+LM3AQHaABKHofcrH+EDILIL2uqTcFDMQ0p1XQj05KOF
mmvIFoPOYGqAfD3lq0VH3V+fMKkEB5lg0IATccsApksqlZ9g7v26CBlOOoMPju5gpMeX3ZDjN+Vi
5to9+ZDbN7c1HuaNDRWU5gVNGnievcZsxFPTUPgcK1mGh8r7zuwr24I6rIj4UrXh3jUdvIW0a9Ds
OU2wgdSuWcnlnywtLM3c48bOSUGG2ewSKJs/o76Nn1fZRkkhQathWqPpNn3Btqn7T2HvD/gBgCGW
CqRQOZZdnqZ/woZ52raWRV1cKKeQ00uYis84R6xTIqkILcGJPjRiwi34+yLx5+IbpeDJGZrApQxt
/ECx/r5KxQv2h5VYYHjrHOu7JJCWdz12t09/P85tcf33Ig+0AIJWBFZUZBEFcvH7caCrJrNvekyK
ZyT7WOeR+dFQNg6nusm5AW6eYeOqN0rFtdqi/pPHS/Hz71/hv13iPE/SFMEsYTmC2q9g/C++ZMvX
mHQmhXGziPAEWhxHVH32DCQTVATj63cjV1yDvx/1zxwRZww8RuAnSgsyFBn8fuLw4GrwyVCAukQ0
VxZhf4NV6+Z36258m6Wao/+w7v+3OIfzBECBmt9b9UEk/uBIF7y7wbTwgbda5Y8BDT3sTgb2I19H
LCV/P7s/H5+YYq4AaqQpcJ00AkL0+9l1oFZyH5qhkDm2ImDqbUuee2+37uvfD/R/u3kcV1IAKQeO
n90yqX/dvHqSXTImGVpkbX37lfNKDUVSa/win3tbZKMI3/8hOv5+XLz5+OR/P7kxjRPwUFwkDKl3
wv64gQh6XeqqaEHu4/Ujpc5d1oSOPVqe6c7u46RPv6usDT+56qPvnPhZl3Ej3BdXM+X3RKzD97hv
xngPWIVfWziI6GpS5fo5MzP7YLvM3OUB6mahwFp8zGFGfzEqpn7XV0Jgmw11D6F2XiFkKmWXXSzn
GdU84sbsqDxcOB6+fhcv+fqF8dmh2KohQ3OH1RkW05D2XxdfERTkRnE4A87oxFOIMoSrVY1Sfepz
Ybwv62QQOStSkhl2zH7tryckBqS0MNLQKnw2WXX20MSmH3nssQy5Smz2svRbksFO62ZyAnGDVbtO
Gj8V40RUD6v6phPko8Xvu1/iEmHYV9wb7PXFUzKv+ASprcKkVN9X79pMRrBxt8VTc5nSqhF7J7wF
PjQZgz1v7Aw+s6v7GIEz356kYxu4EpGAVtksjqThL94PM2j6g9oSLGTd0pBHBz7gJfwSgmoJElXD
s/3eADiHwqZy+ui48TgRcDrQnFckCXkjwpG3OhlK1gHsibr5p9aMd8BSZonAvwqKrnYZ3vs7xxso
1rxN/M6OdkpOve1WKJyEV6+q7jr0FjJTfgqbZJ+cVctHLpBZ7ARJub2QnvFrN8pElmvdCFST5MId
x+a2MnngeCfY1SItVV8hBK5N4pNShGUer67dQKfZhV//iQkc6uCIda0imLL9SxRqEtW5N1svt1uV
C+QEVirkY//8PZwgIa9U8UzcKT+iSiODZPkp8J7tMpEGe/Lrlqe7VjvyRuDPvE/A2UA9Smi1fQYX
0167iPSo77dkgGqONPeIWhp+WNZ88Qedh8qUdJum6r7pIEAfRuMdpoxPozH3anErRoEEIPc7DsKH
lOAO8TD/w79s44qv3HVe2mNqBBRrvSJ0Qv62NTor4R3BjNxfN7cZFUPDWPDT+bVfQzj+evP/RwTp
+97gf39Cob+Vw/0/IdP/D9FR0FT/Wv1uZXj/VV738MWgvO4FIMv2Y9Rfuu//Bkh//av/AkgpANII
CCgTLMaW5sZf/1Mox/83SnBQsQQhJAW9iSXz3wCpQJiARpLzlCfxbSf0XwBpwv+3iFFCgkqSmAMk
BZD6PwBIsSD9vlbTWxYFeDTHN8P+jqZ/9KMAVyyHSEG5iJOt/gQFGOIwlI+0ADRdo3nVgPc2b6Hp
zrEHyVZnwy5aSPZkYN+cUe5AUT2X0yKJpHvInbcvNQufrUO1ia+m6NEEPGrg7eRdvnbzvRSAFHax
a/r7ThF4U1ua3M+QvzmG+eF9y5FrdLObLwFY+lm00u1TYmmDco1ouXJGpuOE1+7SjN4fItdvbyFD
qh5mLty5z/v1KmcsEFETXrq8V/cB//rIspGBk5oXBkNDjp+gdoW96rw7xNY+a45VKg/duMv0PIuS
mFoes3WBrwluctcmk9Ios8lhx9xs5CFm8OCM+qUW0qTIboazzHt0KQLyd2RJYy/ZzZPWsmMwjLP5
26LDdBhZ8mNEorqnvUJHMNTjlXGbN5dUoypjIRphj43zfeTkfIlQlGdReBdl52WOM8yYrkFyFBFD
WVj45ZR3K/kKnh5th23eFrOBFcEjtV4ChGg0Y4gCedvGKP5qpiY7ec8A0PfpkL/JyAOAUat9ASUo
d2sy69PsWv0zyFieUOZ2CBXzpaun9TT3XXfG/rXKdl3Hjn6k3UkYaz8sI4TuaeTyXrINjnHNB14k
rZtPfe0cCiGV5lfooFE52XE76zYnDyhsUmhiZvpj3tNmt8L0nwrFDOS2jYCGGnSPLeVqMY4cKAKU
qvQ63+iEreq3521O+HPcxaDFrBHn/sYziBvZkOfOXecb7QCVNr0g1uiDngMEuMVAw8ZN/RBrgr5n
LmoPtzqi4wBRvwQm1Oy4qDC05AZYRAnV8S6B8xqDZylSvmELFLIjtnhRiYDZPSzGHh3gha9Lhu14
3ANhXBNNdxlYjjw2w2HxaV+2WQXc/wZ6JDfko7vBH5RGCLKZQoFRpeFxGp6djdjMub7xIvZGjqRA
SAx4jI8MAtP7JK38YQHfAQudVvVep1rsQe/M+/pGofQ3HmX0cCAKICLdtcqhthfUrfCierFBVLhx
LNiabse1medvcoZtWEkWQ9wEOrpzNkRn1If5oaAANI8SkBx+cL+H0a2wwwVEUqiMVyU2oLpgccv2
Uz/hP1fcS+AMaRztgfikmAelw+d4RLGC83X4CgaIv4ff8RnM71jqSLOHaJyvWiL4QJiNjozw6DFP
xmrv9EqOS2rmfY8AdegMLpGf0+h+GALmxHTGntKQI93Cg8ZD4XhdZzA29PRxWHIYZhVU5n3Fp09w
iLcP8TzaXTUny8EBeKYh9KeOuGgXk5GWadR+6oWj+yXJqle8qtAVGqGfTR0+Zuj3e5o4Yfs0vj2N
mxnZI3T+d4CMMFfKB3Ugqm2fKsTkXdJ6gd5lS5geBijcaP3dNzNm10Az+QicIpyYWKZHz+bsB/js
6LqKKSlNdGNsIY3CQx+qBY1+A/V3JqGB7BfsG+/jCdp3AbfSDbuQ5t0DZNvmWteGVwUFj9wnFSSF
aftKIO/e1zCdvw/ZjfJK4KgerXV1GZI0HJwgSxFtOv8RVZrscnzekbSrv3TaLNe4RUGrjtaD1e0H
4Mnc7tTSjGiETSazXMSk5vxR9StSAzJM7euAV/2hzyhtUMbbbc896e6FHDEtSMj4jFBWo3IuDJUu
4SLiCc2S7n3o08SeKZXdsa5AXu2aGL0Dc2AuykAwyCTaE64Ko5c4ljs9zBa0MWDrPciKjxqaDtx9
07yPJ6AD+SLu5DKi/Gfs452P8ei2PSTAkIJABxPidsCv5Jkl9XQnZ5rCwUmSY2x9ssvb+RsbPCLW
1Bhk7mt+gMUzFWHFE1QH3pY6A3nAtW5K1Idt9ypt0P9QmSOYYnXIk+5b2o5v2plzhjqzTOuHhNYv
KbnBELVspkPapSl89Siaylnekr7Wfpkrtt6TtZd32InhyzI2nqjSmDQK192WMoBQsRtWymZzD2s+
sU9wOtHSWUN6qQUEDBYq+75V2fpZDQajjNY0lEM7AeYFP+0LEEFvsR4+5fP60C75o/BYoMDlfPfj
MB58PE09FsY9Vovl0LRZeNhIkpQSt/Wsubv6LK7LNRHPDJ71ISbL124h1at3tt4xsJo72W0bwjZY
bLeoZqdgTGExQ1n6uQK7UxAm8ncS+Mujhmy7m+ZWPGtspqAJtndTK/VQcgTgHuj/Yk4J9gcvds7a
L2brGyhGQmZlUKo6z0s3HJ3iAavdpF9XCEyXUUQbrK11KFHIgXFPIus/Tbbvkl0TTXAzsz49R7Fl
X6vI2kOUdsoWm2fZla+Of+9rHT/m2tDn0dZAuAi+6iMokBXMoLvEolkvSyarj/0ceHMFI6OfQlV9
i5ZFgwJFEEv78Ayeir0QSD3HBRvlA5AHXgyZzVDPqJadgDr7NqxQzIrBMvLWAsU/d7wK3Z52/Ay+
btlhXRb4wTmYMkADTc8DIJyQPrYrhcQndWSfZdiyL12sn+YohXeMtGqDD2Fcd49bXIGeztbuadnW
6SNr6avr8UYFAdtCzboXYHzRFWSS+tBDz9yjgSb7EFekP8lh5mgbjtQzQ20NxRjBEUkEsB2id1zb
9JNVwJ+lZeO1okN1D4/ZPtRjM78bpQtnIJDAvcmwlasRK6xw1iB654F8w3fUSRHRIBBXZpE9yKGK
rrIW5JBLeIsu8fBqsUFn0gCyrlN2rDUBsrLEug0FSiSBWQ3VhjEF9ZEApkUvNnOPOiHA6JnO5WVO
sr4kc41q5mbd0gIz/do9MP8WuvLYYtQXhlV+9oKju0IM3bbA1hOkEuSi79gzY5RZl68PfWXr4waG
+BLGaHzfzAJjFoYIlN8cCXjbER2e5oFYf9Ko7AIjkDYc4lmKSiClq+iziEWLInARLWVMjDgC+5aH
rBLkpa0DFi4QfgQOYGqhMTfD28hSQe+0WKofKE+Zope66gIvaptth15LVqE+PfsMmGZDk9WgkhjN
JBTBpnfA3Li0gSHYu58gOn/2PmUvqNIVOwFNtwBcJ1Bi5K35kjNA8zuqm+HYcp8/QL7BmDVmxEdo
YBDG8f+SC6rOjpGoNTKSun8B2z4e4RTxw4C2Fu94g0dlEIBZ/DKXzeTHA11HFIorJI9FD59/l/Dg
0WhOrI+cpK8J7VZUjdPqYGRW77cQmh9A4jBSDe7TeVoRSTMorSc61XaPOzGcwrxtH7qwecjTn4ck
5kWGipYSTtJ3pBDtXZcjEzMbfHfNj5F5y7pWFRnwtYRv6Aac+sJ6Mn9pPH8ART0+Od3KM/KU5zEB
s5/ah3Gsf8R9vgcD/g4E+49Ob+9USL6BPT+SnmYnSCjxHUeytIjlrHX2VGkb7cMancNmXJF1ti3c
QLBy1ul5lCliT5Bhj4UQMAhHTr/QnU7qY7zq7WtoKkzmaJf1VgPuG8yrrVP3DqxSlJ8q1S/2jOIQ
A4kOpc7ZM2nVtwwZ7HNMmH+fof5vKmr0ICy6eJXPREJLyqheyj6L0cUeFM5LZRgg/TzAGBq8uLRO
y/2yLdtjDicCJR/5OCPNVRXGGmwpSRH1JCqoJVmeFzrJ9ZBrSnZ1Ojbv5IQ/qRaoQ9F6TxdLTg4E
7gnsNnYLtUZ0NTSpz0Rq8pRtPZBJ2N7bQ6Jn9YMmo8SWq+9Lxcf+oa7kXLJM8afkRgtmVhnITdFG
b5xBepyQ5QQVjlq7DNdTE7evp8EAbJnGes8SjVXY2PrUgqzc66qZUaZw4xMV1h/EXoYavxu5GAkZ
7g0kmHVRn9I+wYWA30HO3aqRQRjwENUUgBeaDJPl1yZ6siuCaxOLd+i92+266VNnZIlgMr0YtdF9
9n+oO7PltrFs2/5KfUAhAxs9XgmABNVLlmzZLwi5Q7PR98DX30FVnUyZZYpR+XDjnHrIinBkGkS3
sPdac445rEWIDqLdOuj849i0UaH200Wi6/1uOuguk0a7ogl1ZzXDGnRW3HxSlVZ/aBB1bYaDWLM8
yDatg4DTeJVyZnlB98iO96amRLtKdddgYQl+a6eOdp2IWds2B1WomQ8E/WV2c58VPN6rNk37Aesb
K4v5ejTTe9scSXGA77fHNphfRwtqOlUt3SywkqWQOMHG4mHt5+9DVolwGlRAzUJBuLXoccKKe1DK
KywdNvi8rjO9NJnTJ1ujtVfFsfsglkl+GmYs2kH/Ko6dJrV7xIWdsn0oXOPwFxT2VZwa/EOm8T0S
wBKFiEW3dWnd1U8EFUFBguLFSYHI2iifY/S8NwLRZOyPsYJst0ydzmfG+NweRL3Fq7wXWeeFIyri
Z8eVDWuuh9KpyzsahjbbyCy+w9fpYrwsiwfTXHvMiOrqNVZtewWqmK/tKFY/6xUeO4yVzfe6LqpP
5qvauJ+pQ2gjaU9WKY6+yYz0j3PjiF2VWfLD2CyqPzFL3PZrS6ykvcrrNDMeeRhY/Az9ol6sStcU
QVsbhYfJsdn3Q5QGtrrAuTAz7m/S4Ptg/2EcziXZKNE83xZL73xo45o1IeI557ngwbjsUHHQ76jr
60G3VU9vl+XRQU3g2cOsfI3WBZBb2aU/RW85z5ayZHt5kGf/Ew/Ov+236cFmy9uFlLuO9NA8mHBT
3LjCyabLfw52tmY0OsyNqrtjqDYunoXYnW/qzLrJkOd6tuXGrBbSe7ad2Y2YxfKvWdL/t87cL/27
3Y/q0P36v0C5OqR9nzZ+b4EaHFp3/9h3h//r3rbwDv/lv1lXpv3HYXyiOkhrDP3Vs/0/rCtL/IFS
QQWdALqDTt4BpvNvEzjb2T9UpCqoM3CQqzaC3T+beIqp/XHgWQAN4K90NNTQ/00XT/w6McNRa9BX
pBt4mGu9GfG06QCwqJA5xj7zdqYbx6cVkWBqpvp27lv9i9pJ5cnW8/k5RcToVemKmLSmDCwR9CMl
X9zdYQ4QjGokPsp2bM4M1l5hQn+Ngv76ZYcR0ZtflpCFMqIYlyGu4OJSMzBWybmFc+q4zrVWyshD
tmsGTWyrGzEu+YdeX59QfoqtpsZ0YhYMqZ6x5hikaM4gvk8b3HIYYw4RPUGOM/3hzZ3/na390Oj8
3S89GpOp1WAlvcsKZ4gwLustbspcqQt0tTIBbGIkl7Byq2BcE5nDtDFSv2+66gzA6gjK9Nd10n69
TrrTRe6IhZKqwBIOKCDmqRSOjdOY4GOSvgg7IFpeMjGRBAw2XlpNlHrvn/qvmpe/jn009axKXLwo
frFelXEGoMca0/sYi+ReMfkEmZOrPqQ6rCg2J3Z8Zsb768T1r2MetZtHun+aIrQsrOVQILsfrE3l
lPl1Fal02P98lX93Q0+c1rFoyUF3V6jrJMNRxMnlWjdJMMuyQoSeTmG20lPD2DuCBFtUz66LMizW
sd868Xoj88l3TWX2aQTM167svuIIMLZVilpMKCI6c9OPmCF/XgTnSEGgKHlVdhYqWE1mIAO6lFUC
Wsst+2s31Fe1vJjMXF7ELs5LpkzJo6UZWRCLxg0q1EW8vDGpWG1u73Q5JxcqE6ubeh2wDjf1slc7
d/CQwOFQm5f+5v2reuK+/QdciM5AnztmGa4R4hcECDSs5mzclbX94f0j6L/qHv66KkeD8SGhlWBk
UxXmo5pfJDYIAJwTSshGdr4ci2beaG1asZt0K38Fp7IfUPFeoCgaN+o8iHsMD0uQtIl5i6+x2CjJ
KD/1ZWyEcZ0MoZ0tPTMMUaImipudbuZKQK9w3JmJoDHXDSKQ+YKbir4VADk8QP1aXhrj0Oznembr
ZXLKbSfmSyM2GowGFaHiMZMeS3evtXhwtlNM//D9a3Hqah/V9QxBc4Z6lk7mAQZT1antL9bKuLJe
7O37hzhVeY41hE1rW5q70C3FvtVt8VWq/kitxoI43NRx8WmK2s9Gn5Q+Wi6ax4W+nLnRrwKd31Rc
56ji1ko02CgTqlCm1jDTb8/Iqp4MYXxU42T8ceg3lBsH1oflO/YiDcYIwt0h1qfp3VjsVUN8ZmCJ
zlyIQ6n93c85KsEohuirViYXuy7wg6wMEZDEpUW4LKii6UUhI43zoDF1faMN1RQoQtJI7Jo5BF3Q
n/sZh6r7u59xVI3HkhldoQqaOm6cogxAfSyhQnlwE58afdL9tCyaYFF7ZZNMjROsrevsHGc9J2Q9
sZZwjiozelsDCb+Sh8402p5QFaIpq7y5hEhITKVmxcH71/vEs31YZ71dGUQwnfp1dJg7obnZdYsF
3TZyG18V59TJvwpg/iwk9lF5bXPXXSPmYqHsh8yPNGFCalFc7qAY9g3SPmTci/j0/umceo/Mw694
s9IZoCis7APicC47fbtIS97n0lb48FB1JBMAH/Aju3Kj/jkMRutbc1aeeZOO0IJ/numxlsgGkLUs
Ta/skGWWF12t6J7KFOgz4Df9uhaiDEy9dmnrY43dRbUWz1zmscADjFj+q4olks4jFz72daAuN+US
RbrfmssQpuZUbLEnxqFepIKRmeHWX6XqFM9ILOudO6hJ7ymMvvJNUzZz66cI4NDcTPVy22CK7Xfv
X16YZL9/L47VYMWcDaWOCz+EQLd8h0vEyLDhzC+Y0ynulgkRtAJJpqa9Gdo8Z+KkMt1jMzgPm9pw
895jdzcH0qpbFKIdGG5r4uFL+8jy8tGR13MOMWIjskX9ZuJwe2lAZgy+iqcJ4Fo3fE5wc/gFQLKt
OVgqm+c2kahMTb5VGOps9OdLmbhyZ0Wpfaci2MgY70ai8QBaoO9dZu0ayfpyo0eQQYI1H9x9vnQO
y7sUA3SQF5HtMIwDd+5brIB3Vqmtwk91fbhD2d+0m8ku7dvYdJic6FNCI9sdcqKZrKI0N5h1lE+L
0cqfroM/LujJsCyulmaOP5ss2y5TDDbOzYj3KTCtmaEztM0YVpveau5myCYc/y4zfStIsA1v9bmK
+52WVNajTqMi5cyq9acSZcq3CeFUQNPZMcNmKfX7xlnxLNNpNq7azHIfl841RSCMKK056FJGPpM/
jblTNbTPJhhcZeMmnB6NOXdtgwKujnkFn8HTlZ4/1KokBEh6kaurktOKwm646a3GHj3mN9kLwsf5
UU8Lic16rPcNhMeDRZ4WX9+a3Pl81GtnM+Z1smzwnUxp2C1dqvil5rYTF3o0dwez7zN9bYCMUy0d
MBnCkrcWpmLlIunN7kdlmfnPKavdy5b+P/PAuisD1mBVACAAl7aStj1RDSUdGI/pI85q0c7OI9Nc
7jJ8j/yhLBhebsxaoztlpYX1rKxpRWurM+QEZ8SlTYelvXieihTV/rKmBgS7WpZ077RYKUJ3TvRn
pj8j00TZPmVllr0IaVnfCkPB8TDE1VI+Nb1qfXPB9ShbNoVz72ejNsf3VqqXjSdqhV6KzABybQAI
VA9GURQfY60qY2/NNamGshma2tOhd20xu5fGvhk7bc9YQxm26dSuNEvQprF0rFKUWhjMN/jgJWL8
Oh0j33ImrsycqMO90fPeb8pBbSYAL532YTAULfbTXjPcjVjK3J9q0/ILNxEbq3XdS/qOg5/paxQI
cQDZOG0hfAeD9LyJ4mz97C5m03iJu4LO06K5/9DUZlluTGNRsq061Fh3HZq2xjwNjWckbn8fC55r
7OIOD3vexz/NpKxp+poTY+RYZCZWBRnTnh7WJlTQz27nrqmz26kX1gdm1sNzqzIdCBSr4jnk0aHv
ivgeh5mqZ/ddkiD86AoL0CPvWkMbtLU/RKAafip6Z31z4lH0frKM5g9IQ1aK3nhoNW9kZveUKZ1G
Zw589teeCV7imZ1e/qigqDzRJMI3H2MJH+hBzzNTFt1YxKYRQ/nS4N+8GYSOf3ceBmZ17fBotWnd
oR2M9X3vMPJg8s34EGeAduN0TsAQ0sKXCFgZDYdZw2twTCgHSOViwngee1HELdb+onmxeZwkMycV
CbFWFdlWTgm0C+ZL+uexG+YkKOPqYirUZN/0USuQdoumDp05RwYUL9kc9kZuax6ynvWrRKLYhwty
cGzVcaZcMU4DdkhRKB6iJp+pmj0aQyhhxYVaR+p1OujrHpNEb290xnof0Slw45G5O1eiWaGpyLbZ
GowQW57zKL0RDa8vN7IJzWaarc0EthaPC8jEDYTH1V+Q4FAo+iUNgS+hRm5n1/2BOC6N4LBO6reC
wST2TCM15b505+Frw46g3Do1xZPBoojRJRhKfr24FWDI3GqtaSN7bJdtaSd8LJEqocupjc+q2xcv
Yz5RbTFh6gVs6IYxJEMRnuduHKOIGk7N9NLGbYmiSxITdarBe/j+J/DEguk1t/vNAqOZ9MFESMP6
FFr11iz1eI/DYcGhokdn2jWHrsxv1p6vgt43h5gHgs2boqpCS5J9NPWLHsZgcML3T0A7dQZHC37w
epW72loZzkWVBzB21R3LCWMzmDG2R1l1H3IAFNsVYfCGtoPhIUKyLmBoWtg802QrhRn5jjkwKzQq
Jm58BbfGmqUf6QaLnYLpxUcWlYaZyRCYW8hXdpLrRWM43Y3aZueww+LEEv3Agny71JuzaYzQA+Zh
NkwZJD0TMB7CU7QOxoh8dhFBF6PXnzO32zcsQ3egrOcrUY/ambXziS2ydbRHsFnGIVNv0tBcMvU2
G43oGqN09qw0ygqCrej8NNbjUBnKZJetDI/O3MATK+pjkeBiL/mIHiANowxMd6ZPvblNMRqJxJ7q
q0EvLBM50sAcewQk8dSbRveCmwRHZT0so7pD466PDMEQAG/sdS6CWcBo8lRjRBRmR2PzkZ1/e+Cl
meMSzIzIHpW8iNnYJzmDQCsZrc8KkNzLHKoh32BDjyggBiy190/wxHU1j/YkpVFnFcU1CZNhRmW2
kB2WrTWavAEOGiSUBsXgxsJ3BthNjcrvCQLG+My7d+LlMI92K2tblcyD2T8AoC4+W/G8BIvSzn5W
Z/UZdOeJrd2xN7GdU7uF0JOxcgPNkCnFrigRaSVK+n3WF/vMRTxxIvbhz98UkdheU2RptQzTUTeu
0BeMMAJYfk8Wi8z379OpN9A+FLA3xyhLRqS5Puehbq7Jtp0Sw8uRNLMEB/Du23x+PKQeyx1AuZZn
r3L3k7NmOzXWoh9nfsKhaP2mVh7bKuxa6V3UejlvWV/t62hZdhoivDuBTeG+ifsD5C5pn4AfA+Ex
dfM6awrzfm1gbS0dNbWOGDm+/1tOvJb2UT1CBg8wYO5lqLBs3jggWLxCNacNwQuKJ4oqg4qxjH+v
J2Uf1R66YbbM+pjcIkefPMuKGS/rlRLoMJkf3j+fU0/QUQuiXwQAyFY/NBkzBq/w6ljsSGDmSDnO
PKSnvnRHb3q9uOsoaXLTVZwRXqVd5Xdga/6rSIc/9+PH1jAHjd9a2FYZNo3ZerbrPlZt4V52+YTG
F+rpmdfgRLmyDs/D27dgnABys7sPoSOtgdqr000eK9dxvaxXhWLSTFt4va3BZIkzRuf8b6/2nd88
+cchG9hRZpF0EIsKxEQfpQP7DdfGK9IvN9bnFKE5rH/szmx6J1xamzaPKig8skA+HkH3uerztoNV
GKXyZ+lU1Udccx06MmtslV1WjRLe2uuGGjFdwlQip+LrZlPtlrqY7oibRZI3p5FEGFqqe+DYVedH
toEcUY9Ybu5U2bE3sxUGrJ7mLO29kHUdbwqj7U3IQt3IXHwAHQlGHcV6CQTozA058SKaR6XP7Sem
WbnMwqiiCZJLQBB1169Xeu50XpbK7LlJ8vjMQ3b4MPzmNphHNdASk15XTp2GUlt/oHy4X1fRsX3J
bnJlFLvOmXLorUgq3n8pT9Xc40Qu1cqWrHIYUZVDciWcYbhXKxhsdQKS09bSejt0iYuBRb5Eq608
u6YkP4Sv9d37xz9RFMyjIgcMNa/XOZOh0dHJOjDKgpR54lYr8vTMQObUIY5KW8vIxZnHMgkZxQ37
CCcZ+Ji0usyRMZ35yp96Qo5K2+qUsoAHGYe9XmBDmJoRzpIpr+pW1Pu5GQc2gIby7W9dMuOoyJV4
Odm5O3HI3rHznEm19rD/XW+aVTt4/xAnlhTHPvnERgC2HnRhxGRUd2IFhemUOukFvVx3UY80+v3j
HBnz/yypxlGtc/vGnCEGxqGIrPIyqxfd66wq8kUFaK9UdOUasIO86NThVvDi39lWUQSEE9Ufh1IT
L9UErkZNBCIyk+1iBWTO6dXHeMrKcMS7F9VhjlAEca/8tKaptV17eHNskom/IasTtmQsgWP1u6Qi
VQCNnhmMWDvpe4zydhHmt4wWLDvctGf3obiYJuCOqXaC3KhiATRbSXFfcnuBRrV8jjNsYHCuWq/r
NMtfreiLjd97a7MHPfOgnXpdjcMde/Nx6PO6QsmAmwMeO9v9rKwgU/UtiNOcLKsmZ2qQtOAEWmWK
tiPRD58RrQ2eTr7Vmf3eiWf9GNFRjUiSVl3EYVfY8RfNXssPBGRh8RxU4Y1gOutNWxnjj/efkKNY
jr+ekKN6CPVdqfpFxmHe2+q1bXVVoEflGtZd2+6nWUt2vdWByNc7TB72IVBipidYaCOpOKlFzNVc
PbmJ4nodWHtvMFt1a0yzEWClWb9YjFoOI0L8IhomEbbhOPiWqjrzGp26VIdF5pub5Y5up9jpEIf2
PHcB7CWV/JByuVkL81OfQhxbcxoc71+ok0/GUSUFpCGzom7iUCvYixv60h040stXe1zGyxSa98Vo
ye4S80jyYZJF5a0JijloBOfO9nBHfvPlOo4ryIAfpApBHqHdKxaw4lbxMNyci1g+NYk5jlZuutYd
NWhaYSxi2reaSMNqJUzAXvkKu/NsX9bKrAUa2tR9a4JRwPhjndlinfiEvA6139xIVawgz2qWMaqZ
I2kY5tIHYpf6E3LlM4uMEyX3OF6bplNmrIuShPayaM/EJ8zXahd965y1HD16J+f6TYcAi9/dpmP7
NrJb5ESWjbzTRvzRuPNyr08gxiZMd75GWMvOMXN1O+Wx8NdsTu9LbVCAUqUs+aw6Y4xBb3/TzcoS
jLGtXyymVvqdbUV/81ofVTg9Jr1rcfhc522Z3Uca7WCxIrdNdVN8fP9dOXU7D3/+5nami4PnaRxS
sGfS3cGkJNFHdcxbg6y+M1+2E8u44+i9bsrV2YYrEvZd1l3Yk0CHQ+TBVjMLd2fUqebJWAwBM6P6
zBFPndRRsVEKHUaV06MYplsOVVmTFzyynWfgqjuzknoNrfvNK64f1Rh97hFc5i4dKltJHmnBFjvs
ndpd3rY11BpF95emGj9w3GbPkD0JNSjL4HOcddva5eDPhpCBaZPUh2Q6943SwoCQ89y17Xxu+3Tq
RTpa7g1u008Mh1K2T3A03AlbENLeZVtZTHnsdG127z9Ep45ztOaLrEbB+ET9Rq9tMkwvlsu1csU2
oZ0Gfn3Jz3zyT9xX7Wi5BwIKjRi5FnRvB+yWI/RpJXKVoJ3y4kztOVG5jxNfKqaBvQAyEo7jFAVk
zhjXPSyc4P0LdeoEDoXozdsmrHEueerLsLWwgsI5M4NI4wvhEJD1Nw9xVDNkU/Wkn6BfysqYmZKG
paWr11uHvJwzn9dTJ3H48zcnEbvL4LTwLcI2cZ3bWlZIzKp2vRvH4txdOPFAaUcrHSVJV0AmboHv
J+o/RpFaB/UsxR7scE1kIcSC9+/HiQ/A60rrzanw09sZNmoWorP8YHX1TZx1CKQrXEVjjTMRFN2Z
5+rURTsqFyuxNeu0sI0wSuYB2iuE1W5IBlAT98whTgkIXlV4b86mxybbO/WYhVmGjg/WS3Shzhhz
srHUdtPU9V5zGNlotBeCVArAicLQLiBi2FgbnbPr8lM376gaOIlJW6BkG51UDYTiyXXwKQpTiC9R
U9XQ8pes3Y9aNLgoDIaXoqvEFyi7deWNg6F/64E0XbgSP54h2XMgjcvZRjixoIHy/l1/XUj8pnYf
B4NWMDrZ3qPZ1TE7SNiiHxZjYHafzVutlSBqZ9qtSA8R9VqVgy8Jagdz5AFLGE5tAyO9j3RruUlz
zAZTTuRLhnTs0xALZ9fjGsWnHs0B2svVL6IJGHKcVZtBJpft1F1BkCK8pluZCRoxEGV9vRqX2Ppk
YX3fFbEut0PcXnIHm93YK65vpLF2M6udL9pzNeLEF/k4iDWvmwySIg8K839tD2GVfYqbobtVWzaL
q/ZTWWv27m3rnincxms63O8u+VHlQ6mZSCifWTithCBAh4eMjAdUrTY5i7DVn7EA7UzyP10PKFdx
LdIK9l6i0N8LdJPUG7aPSFJAE7LMxMYLxdyeiTP2pmwtN3idXLwqVCLNVLYjxiK6USXX1sMjNH0p
wITYm7HC+NJL+AkgaTUm//Rgvydj1E54itr2zmyU8RZZk/4h18V8NzSW+T1pykT4HSbBDtJqal1P
jKFTWLwdePVM16LbwlUg7OCHnB5iRqsjxhKrGgjW+caUtKy8Yom0m7InKZARO5GtG20tLmwd7K3v
Qt6DD6MjViLtC4U6OTbuHIhUxhB4iHYMwU0zFVRsZc19dxHSJkAMTCUGVKf4YdHI8WfbVGw/nfXu
czuq6YvTOwgplaZ1mUcApIOap6zRiyqG+WOlFg+9lUwX+LG6LbDt25oQU0bZC+l7RpsMtQdJSGGy
0NnaVTWVJGvkamKMpKd0zOM5v/T7kOfiKspiLP+WPkSDj0im3VpNlbxodtsx1yRIBkhDihUl0EtD
PGPB1y7ypISRnDj4tVXSuzAOajYuKTlNrfCcOmpCXeF0UtJbYUjz6UruoJbrwivh2+gevfL5R6XW
/fiAcrJ5yOxsZFTuuPirELm435qoy3VvNd08jAE1VX4pLJId6BQXCmqtuJ1uesyi30lENZ/zhV0o
2HU4Bp69GtlHWIXEHE0Q9z9NaWLi4wUDFpGPMTlPfQXEyhvXuP6aDQuvyipz8ANtvIx7AVJvwMAO
XRlNAjx9JDp4lPNVA++xMIWHoWAq0/MiRBVfpGJ0nmAmpT8VpE/pruyKQvp20UXhDHLoEHZQMpY3
FmQYG2MCNb2pnUMQDIFhg7HLAWQ/suMo0TANKQFb7EjMFYVwYcw7SbjbRtfHQ8h3FuOKNhM7vZ6s
dBXs1Cb1fooT6NyV1eOQJALuKdYF/4IjSuwRaj0T7YPbEZOqXOKcFOHCRb3VdEoJhNywGm8eevfL
ZLvbyKHv7dVzudw57rJIUOquvRtVHksPW9bkZVY3rptU5N3VlNeL3NLVaj4vRH6+AA4GNTDm2aGL
lQBLsjrVvQBrQYxQA3I0IO0iR5lBshymPTod94Md107I8o7Jl9Mqdh4Mbc0NpXobX0lPGp6UqIOW
zlthX2SamGdPliXpYPibslurgp1ADs14yciRMCbNaU3YzW3sfohTYlTQ2zIPZbQNUv2BTnO1KzPF
/DZaJBTwLCgF6UkFHIZeNunTUEb292owJR/trJi5JDA54oCkhwqVdMOkYNu7NZF5IwG81/E0p3Kr
K3l3T6S4ugBnmvEarNKNKFdOOwz4Vid69lWymmgphkk+Ks2MGIzuTfGEJFoxCKZInK+40thpSsvA
vWwCk+BgpmHers5BxF/J0cr9zO6jHWI5LIsErZrrtqGZeJMXsxw3MxUkxae8CkpNPSq4SwA3MbuD
TREsulILP8ccT+7C6vRbGE71I5YZ5N6jal9JfZLONnGL/vs4Cqzhq8ADTGICNO5JEOZMCAhk9tXQ
4IlrGU+D24/0yfV+uh6NjjQA/j6HSJsoDvGhZ8C5iI8wYMBPyAYJac6/u+C8B7+YxLDtaDp+Bpyh
Urpkv3CFGjg18A/QR22KzuQMeHzHy3klzWODOMcEuQZZHJ9oP+0LfQb+glPQvOetb5AQJm4DHJQn
+RDv5mBVXcuh3cV08b+a5nhNkNTHWLWIRREgqi9nTYl/kL6X8iQg5tlYokxvjcLWv0VJjFVizOq6
3UAvN/HwasLe6iAN4sBdUyawZFPYeNo6mW6hVtH1nIFFbKyGDyq+6WGMWOr0zA26UpIkRl4As/dC
CNgmja0+Rwtu8rAvotsm1e3bQh/FI6bs6mGVKr7BRqstHsUM8jmYoo7A+rEpjStyAxAi6fUU3c1q
bhoEUNXiMyE2QxWYHVIjtFTNLZk6/fWcLk8IFg+yCTcrHxWJxxpdZdJ9B7VV4fpD2EUoySCLL7mb
8+OqVC7CI8i6vaDDWKw4XNvBX+oK/AYIeoy6Wi+HBxRp0wOUxvlLXBndsnN6XSEoS5pt7+VERi+s
PXN3OXA2VcZTVayGJZcAmm9efiWibXwkA6a4gYAPuCNW4xUYUDk1qT8rYNY9eCNRqFbdohNyVBGl
qNpzMkC6IythV2NI+5bw7n5mYdCCH0VvXCOz6yIUh+MB5oZeV5ae6kZuj+ACRp0xlDT7mOgOV8y1
TWhyHRFlJdxwBGtXKXyVcjObWvfwTxjYVsqqwdmNZVZ8Qq/DT0uUsv70/hL01ArsaI2cRVTJQSXW
I3MoViIV34wp725date+iCOD4RZfmlEO7pl+xYn9h3q0daZ0Erd4OCDfo/peIgT+yT7X2tt5+u39
UzrVlVQP5/pm+zGpRpcYcBp3Nsnom1LXVb8qErm1UtF97Yku8Qk8y/266NowRW7o92R2fj1z8BP7
9uPUbBWVKHxC1lDgsx5jU5A5PSaYWeSEmzdWR1/DvBwoMc+2RlXe582kXk7N5AS1IUtf73JlK9Xx
5f2fc+L2qkeb8HnVyBaFPb9TJ7DIQBmtbbuWcMPSpNohXMyhsqfDNmaRcuaIJzZd6tGmnM9mLy1N
YpQgxeGjhk/I14uZNQcFa49qf/6bz9HRzlxUBH1r2mTvzN4oA7Ak+TVry9GvtVTev3/xTj2q+q/P
0ZqD5m1r29mt60L3xbVu83lB4hqt59Q1p45wtBnvskLo8BWIUnSUpz7T9TsyOiA4mot6prFw6nYc
dd6aosyZmRkMANKGTDOnKy6ruRJbXKHVTgzOfGYre6KBoR7VkQjYWlcns7KLZfLMJpZwxQmtcZF8
JzZv2Uurt8+oYl7nkP+5g9PcowpCjm+rIspPwmjAsdkAArkjima8ZdJExmPfWaFuDahTQSlf40HT
vaqNRaAlyQxOqR0+urn7s5ha1ixpL6/GaBYfswJSXTLpcEvZGZH3h3oBlvbix+CiAjTRVqDlqXWn
93O9TW1mrRZ9aRRrJBRNSkb8ymIUgcIUcgsNBfm6q+W3MUmwkPBqeR3ZFjPUYZmuRqWeg8RWi30B
pM2bcgCkfELXAAhoEUik6r49IJVgJ9qjJ+yWcy2Zw/3+3UU7qolNnGdI6HJl11hltxesM4NqPoSS
rENHALqR+SXMT7+XUrno0l59IAeZBZkDE+z9l0n8vjC+AhbfVmWpxY3WRkW0GyeCm30wRPktU0Id
qDhuih3w50YD/pO7ArVh172MGoRra7aGnVPVIzuIRQp/gvlDWCn96TM/69SvOiqQehJ3vaFMEN7y
RuwOhMR7tJya//5Jn3i/X13kb75EgxQKlFHePhOXgFflicsue4GjONBpeP8Q+Nd/d2d1cVRwBwy+
iZ6sMmx13fW5qVDHYhrsrm7H36IWfW6VrRPe2mYNqjKKPw8WiuNsPiAetXW5yA/ZW5FDmglMW5yY
nRtdR6CstjQr8GTG7l1l5Pm97KtvrUmE6/s/+9TI6/UxeXNpoBzG5UDWFMozuDYTsj2wR3La/suG
vfb2HfSfb7PT6Ff5YpihmzKa0VLV4LvtuHe6gOaARJZXLzLcD0Zimhutc8Xl+z/vRNk8xnBDUVmN
FfJdGDm1fe9aA2ILeqWe5q7421rbCN8/zomy+dpBfXMVZKwWMgYHvkvc5c41tGonXRgawJPAnJsS
1hKuhvcPdeqUjr4EhTMOArxbtFPbebxa0IV57BWnreao+A4xe/zr0v1XAIyT3Nlf6Ba344+2H9of
/7h+qbt/bIfy+wuR0uUx0fZ/Iav24HT/0yH/H6jaXfJSvrwlXBz+9X8zav+AXWHpqqrB03dcU+Vt
/hejVtH/0EzHEYSbOAY8eigXfwIuhPhD2AauO/5nCVU/KLP+B1L7h22AtVAhlPK3AY83/xu8Bcio
X6qJyQdJHNJehK2a/FLA4r+ufUxZj1SrFwCIDom6tWoQSlBZmpcJPVWe2kZTrqgUyHJmFJERjnoW
vhsioOFML0tV74tENye4DXyAvbZW9c+aRLfIpKYwmgsB3YtpQGKVdKOXRvZ+D/dJv4uKxhwvOmV1
aW0W2TCLjX7IMr7ssnmWV0u8NGCPGinHywiUYerX1tD7LGUr1xtcIqc2Oo4bdZ+D+R8v9NjsvJk/
6R8V2xb3SWLpPUt/9YdmIVK8IsBiwNUDPDLbuXPffJL00FApusLuL3GXoKtes7ozX/JlXdSbtWEx
HZK1qhCaF7Os9mdBTqNHs2f86bSkhQawoUZ1X2Vpp8O24ML4dqUjwM+GEVe9FUlzRwBGPoK9ao1d
bY+olJzVxljdwNnvwoywujiAlVgD4iM+uXldsV/N6aTjexgj8wcaZ+USfC6saVTZi+WRTN1MGxtn
xBNrO0PbrB05a5BnM3fDCMZFdisJyQnGIWm+rFjkXtRMA/7uOI21iyPFhSoaL8WDCx8Ly1mOLId+
oSGfMO1mP/4fdWfSGzeydum/0uh9XHAIMshFb0hmpmbLkmzJ3hC2JXGehyD5678nqy5w7bTaQl2g
Fw3UqqpsJslgDO97znNkUiVNJLDDX7c4UT8qXHptYGzGkX9kOGl/BTNcdJwf1vgF+lwncGm7glrY
mBKRWXKmDH2Umowbq1QkwjZdBqHVj/uDABRq7uvYj7udO8rxu8xljMaxydW9AU2YjkSG+TGKYcri
mGzYDew2BeAd85FP7BqItjHC9VBTbkhk/32sbAssO+8FTh7Z2F/Wram+tvTE52PguCHIb2YvOIuF
hOwayxDsrqSnqIFwfUbWZurzGLvJGtm1I6coK2rxAd7eJo4oRaDeJiPrUhfwyY/qtiw9L1qZwaKf
icAOcJ/x9MxUCJJcpgY7uzvCgaHKVldZSDhserttfv7dnrNsOE+kqV5mz5dQAPG/fnfjtX5itZsG
qmbHkG9NYGixo02vL9tha74TCJzbuxHc0Ucj83IVitXJXia3dW/Y0eKUL8xqaQkIkmwr1tnr5wj4
WPVMdl+6UkpXFlHpxypcaNtafVKxhBhYljMw07jwxubSaUbzsXRUeQMybGuC0ZRLTWWZFJsArntx
j2jBmYMsdRvgzlN86c7O8N3WTUGucCHjJ0qxmu7x6JJMRfUjS0INDOeVIAJskR4x21NQbDKjkug7
rGiFm0Mp1EbWP2f+XPDr2MBTPIVSBva6GEcVziS6HO0pU/JKOKUoQ2pdOdXCreKFZsbQEfzuQE9L
bH8jJTEriB0cCLDllSRgOwGTQvo+NEA777cGKhsOvcEiV36WFNi7kRhW+mJbvFKRzJ7LHCdI0GMa
bfb9SFZiWPRS7/quWYYAC5K4MMlne41R/8/HtHXrOaZpUNxnuHFelcr0awq1G+BpIRrSyXxKXOFU
e+aTV0j15Eya2Ja+ML3PhKnOzk4bCsGwkze3bkM2KOUfM3/N0tzK9vFm+d9Wd6wJmKnqdAqgiPvX
bhInL/Yg2+Xu6CnHCseQLENhO9VFBdhy203JIgJKVQ5NpWIqzkk5aKFGasJ1vm7CER9Jt/XXz0kl
vSd65tQhthmFYlVLyt/DhjNbJSBj7XAc/TQ7AMdfqjO4wG5/N9qWu34p57joLoiqVefMGnEWOA3n
rdBpiOvBGNeoRxVbXnlDDJGh9oK8ltdioH+JbnN0KLyNm31tFpmYD16R+d9NC0X9PgHVdsxe0P0H
sNqUROj+1eAA26IK+H1U26SdMqfVXAxyeSNpR61ivAXKl9ihcrahYJs0whkppmVFAObQ2zsb+hmo
z7Ao98Fplph2Lu2tD5hpNbQhggPvajBMKtj6ztl2eUdEAE7dUn5s83rxgzmDHB+m49Z5QU7YOU0t
5KdtWNYlVNdYW4gL8rofH3JPcYTz3KGQAdDG5KZ0Yv3Xe2+uJteDbtuPVffMYqDqKDMd7I9Okxcr
E25fDKHFRLPtHVOu0w4Q0BH606oE/BwQbDfyBcZT/h9KVoCEh1w9AeXsmCWVFOM1fDudnieMT31O
vxoPjsZeah8ZNFThh7qTn7sYK/sOv7lVXGq5zo/KWogsS6k3etj7TBB4pdHmP1ydJY0J4ZnP7XgY
HszPC2BgXEtVA+V7LFN7+9j2cU4RjQWmi8psHh+3fCUTvfJR+1ELPxJ8AoW6tQ1sI5kB4nGmpQmU
pF/zKj32oczW+piMen1dvAIanoTF7ZLZu3XV1yQvrTPThKx1Q1wD9OiFn2U/lDj1C0YF0P6odpZp
3TWJZ7/QyMderB33kFFm/ehutM3gbNO2j/jWrqrHmqAvTN+1OT0MamVSsRkS2VXPnNtGftmldRCP
XuwHjbktr3Fp89PhChCQbtnxUtILZ78GrzsHtmzWcfrYGEn5fTgiv8tUfFVo9W77sVftWZeX/X2c
dq24onnBlAdkuX5quRJdOQq/xChFJvHQ+pV48/WLb3cO4T1VUx90J92rhDAeI6hqP6u5aI/B+K+9
5v+L/Xf7Ut+P/cvLyAb8/4Ndt3k8R//ft93n/bf65133X//739tu1/6XbRMHxB7ZImDPO9oO/952
S/kvw1YQtjGIGYooHbbW/8bK2f6/oLkSG2E5PsmLlkEd8N+7bsv5F0EOUHuIrvv7j/2TXfevh0Bl
E9TmGpZnWpZrmNgDjie3nw6D9YYkLu8sa1cVUxtfzIOVXaIHNunKerPtf2WubdWZVSfH3cxPT+j2
7wLQ/6qn6rY5piz8n//963b/70uTxCTN49lBgck7uXSHEp913NiRvZBHgvixBy3R5k2zwQfz52ud
3qbrE5piQK0nU8OHesKT/vk2UZ2YTpG6a5TqCoT8YD9DQVjIf0Z7YnYjuOQk1+9Uid+8Jl5WixQW
ksROJfqOKCBPVWqNPEkPR9lL9wIEI3kUREHdII+/c4/5Mn++z18P2so+3qdFoK20YBhKTnS/3qcz
IY4fpL9GsiUclFkntyFOUrQORL2U91WfNB//+RWJLjHZ/zKdmdbJW9Qru9AybdbIIan30jYg27tq
s2Bf2/qzIYbp8I+vR2qGR9YVWEXfUyfXA6uAFNrs1qi3k0vgX6E3p+lN7ybZuW1Y74lH33iHAE1M
zsyOpH1z2tbpB9Sr2WKtyLy7BADpiv2kvM4qajNu7QDwSO//fHu/1gT/eoGEwRAIJ8FNHgO9fn2B
K3gdr1zpk2aW++kY0HThbOt7TtK3LuIapHBy4Oek7Z88Q0ssBMIN/RptsVkn0aBJrwq2xvPO/3wz
vz894maY4HhwpiR77eRmiDfpjgd+StogR8aD21dz9sF2GyvZT4KAVdQawN0vtxwVg/NObfL02kyr
VC2ORE/bcmx1Kry2iOOuu7TfonleBRT/dvxkshHZExJCKFtWA7ulTfGugYnX859St0JYcQyXQ54p
Xfrm8hRKtbG7VyliE0RJdQyE241dHNiemWz7Pz/a01eomMmYu5XlmowV75QRgLOib1I2o9GoQIiR
TFx/tCqje6/fcXo7x/nSgXjOdptAee9kdVCAOkrhpEZUeeb6tYB44AGtTiGL/vlufntZJndCyKJp
8UUfL/TrqJ87Mr/zJt7IPXWLZyCoBOg4ZvXBcKvpsmYRgyiaEEz056ueNGt5W2StkBQNtJVl2XDd
kzK2N8VlMuRYj13r0EKH8oDTD8vBteyzQThnOvdJypwOBo63P1/5t/uV5PW5juORRkjO5F8F6p9W
XQlwXYhiWKNO2cmVLgjpAUzAicWrARknsJLnCJ/0ePvny56uuBzbYNdCmmFX4bn2qeVDUXXQhFoY
EaX31d1JLJHIxHIw1gtHDZSh71g3fhukXA85jiUV+YCUCU9Wo6rpNXkEwog4NdDYIc34LPaL/J1P
4XTNAwamUHKbx3OgyYWOD/unhwlriW/aK72ozVbnEgrCetuv9XYQhqDvRcTUOyveb0+R68EHtphd
DDZNv3E9YRqSIZF6ERqb4QjooxijUp1RyhpZLt4ZKr89Q67G1tCw3eNGjdiIX+9ukks1ZiSOYa0x
OGJzjCC+cunf6Tm8dU/uMWaVuRKPqMt28+dnSBx86ojNA64Qt+pHbTTND5kPINdKS4h3Zua3r2X7
x29OIfY8eV/jgnYV+5SKwBEDXMSkce24VgZ8fPk3EJtKfvLSvLHFfPPhoaU84pdRaJ1K3LFHQ9jc
eHjAi9pLDmtDSD1v+Kez5PEV8VERkcmu3PBONpfWAAl8ygsvqtTcPMzIGC8qULvvvKK3hvnPVzl5
RS6+nsF2GHaVa4nLJOdhQZdKoy1NyDoQafnpz5PFX/2mX9ayv26Lto91PGg4pzDYXsh4Zv5SEWEO
+hNiwexeJ419WWToGk3IpTSkfWvvFYNxQeDFFBXzZEebNWlAjM6eQ3nxjhf+t2nz+IvYh1mSNYLy
+cl+Ii1aiIAVI0cNM9xCDvBXFUSQ/aDrNOyN6dnQvfX5z4/huPT89hQck5MRa5NkH/jrlzERbEwQ
NNiRxbbw/GpnO/glbBW0ruJzYjdk5kz6eiwX9U577s3PxCEj3SIv3WLB+PXCaR+vShAkFtndbJ+Z
bbntsmneIKGgTfzzPR7n4d/v8T+XOpmnPbKbM426MZpSvVylqXlnTRmu4tqhGmpXZ0RrbfeQuixy
spvmnZf65jfqgBblvOsa3ikptPEHe9GCl9rnOjsQ/WUfoAzW/82k85+rnHJPu2RF+z0rFW32DNwX
AW5ApmgbOq18z7n55g0dp2xmBJ8oxpOnWW5adOyceHGWDzpZqearaqb3Dgpvjksi1VhX6arbpwcF
McEPT3IeGybO+sInou+CYmPyuFC8/daYTn3Bed4hQE++Jyx4+8oe/Tp0g8cBejIwiYrXlcWVS12Y
a5B2RF24RiYAZzbpxdId6adIr/e6n4sffx6obz1atrxsEvkkSMw+WQy3zGiFFjOXtjN1v9WyuSAU
PHln5nvry/v5KifTzKoGbdgD4TiU2AiKEY0MO3Po99niT++Att+7oZOlY6z8SnkpX16t5uE87/J4
PyB3f2cP8dbSQbKBpBLhu653inRRaMKb1uKG1q72IxOOWTj47MhMNRMtsgEl/y++tp8veLLEG3Zv
OGNmqahzy/JHjak+KuIy+zxoXCn/fEhQvoKyaricHU59X52XSMKAWRbnvrd/qH5ez3u9jO8s8W8N
Caopimocq7w8pV51g0y75Gg2ITp1CTnuxpdW61f7hre3+/MNvXkpCy2J5GBuYen59fPqU/DYdCS9
qKs9olMr0TwrGD/H5u74zk72rdHnHRMqOK4qTnfHcfPTzhka24YdlxWe+rWJEaJrd4CFincGw9tX
QUxDsIYJHejkhjwfV5HVJ17kxq2zJwarvVobPZ3/+bG9d5WTWWktqJ6vgjdEDhazfDLjVbeb6r+6
ikfUM6dujsTHl/fTE+swgGTLzNzXdJuid7hYMGHz7J0h8Na9+AYHRI/Soc2h+NerFHOMEqjiXjgp
y8C3EgD4sf1edeaNgUbRlVXXpzrtkor561UGy5lo1WCB8PPcxwS3oBDbxavT7504Tt4zZv5+tWMR
yOCwazscPY9Zxz8/uc2RtAhjx4yOvFd6XT2Ok6iqXLu8MhpaXu9saX5/hA6iCY5LfLBAmk8PNKaV
eathpFYk4M/u2UodgaOe/c7E+sZNOSaxDCAHeISsxL/e1OBNlo/U24qasStXgNUQlwOnT+Y86Lyi
KP7xuHAplVOnoJjmMEOcfK+kI7ClKCwTFanhPFPgWgndqolpfWdO/et3/7ohdG12FT5tAYwE/PPr
fbWE6K6t4zk0bNdCf48JyOjUzlTCQFbrryM5W94g7eJRrkqqgzHbmh56Rc49uV4xZwnOAvyXO4re
9JcbDufd3jcLgw5Y7PlEtjNM6mofI161cPWRpRdisentw5/nhN9fj6tsGqVsFFj4fjs7J31eNGNv
c16Y+Gb3iviuJJyw1GT7Y1bI3Z+vdrrKeuTzuBRViYOTks/3ZITzxjbOPTBMa4faVaArBCFTl5KE
nfDnkEniqsvfeVOnd8g1fcDyDmZAtFj+aQVrGpKsKWvpR/6w+d5lq23bpJRkkyJY4Pd4r41y+lV5
lFOPIeeoyEzO06cnXaSYS+cTB0dBJ1UUIvCIf8H2ab0zy/7+JD3DZLvC4COrnKrgr8NPeHUPqTON
I1GqLo/cslUvK/1h+u5x+9UpJlNHf353v98YiUTHf1jjqUmc6rupBGtqxVbMh6x7mEJ1ft7qdz3X
x8+Hn/7zl8Vxjr9ekhhFO5B58OQTHjBB13SBmh2mp7r4Vhqu6M6Ux+blLrO2Qe+TzkA+QFjC9JTm
mNzSySo+lPjUPySzDexepJtN0OLq1wLYRAo/Oy/ib1tViSzsBYRkZsPmCZPYpZ+YD7Ce5Rlu09ij
4RwTbaErP74xUb3+cF1oe2x04aqPVF4+kys17tpsy+9RZw53wvK7Gstb2ieXubG17SUEjT5a2Ful
Z+u00Kijo7/e1KoHrzGi8npwxkkf7DiT50bJ9LfLVO48Iubtj4Tc9UZY3UtriazFwLgZQR+n5nOV
41XTaA2+mqs/oDxS5a0WBPIFounTB0LYq72yIYbE/BKsg3EbSWf9XiyEbtLBXsf7xT9miqO+QUBN
5oJJh7/D7xM0WgLmwfqWtPgDNMEWxlZ5Q9BusyOC0ms15Tq5nblkiF8SrgD3q7QVxA6BoK1zSFTE
mw/Ly5l6EkwH1HFr3x3dx/gZr+15avarlNghxwKXZGDLysh32AExmGLKvF4T8iDhWNfGF8C3y2ey
iJx9YVlOWDiDgWs397FJp6n9Ii1E5+Ei0GAFOFs10CwWxjmxQI2l7Hc/o9DAlSxM5/ik6iRRN2mu
SZl2tNiqsEqoRO5jtyKE1zu6dx9tu9RO0Pid8Vk3KIF0qsEJNML0q6jFT/kN4VHHyxvq5LUcTYSO
vOLpQZi4aHzM5IQu0ulqaDGisvAG1wzA5bX6hdjC1LwdEv5gZPeW+0Gtph9f8NcOFCe3QlIwWKDn
7ulf0R7L9ViS9W1P1rxD+NuexeT+9LuuHNs0sJsEgj8JDO4lauR8vjCbdG4/dEw6zkFVTmY8z1MF
dLD2O/VY2Km46K1xy3aTR2aNteR3Zro20dpMw5O1WqoKBqHRewFDbe1dMm6yDJe58X9s5ljcru20
7QkjJufdMpPiWgvA84HKexmSCT+uH/vBcNHmGC0ZohQ98aV3NSmxhDbpqlnCMQOqdWaRKOEM6O7c
zmkAQSvz6E4syDw7l+2WVvs688ubpMG2SJL1MuhQd0A1xoGLhdo9Clu6xsswrLrYB8OGdXe9RrZW
2NVdwzGGWsuSkJb8yUaDynekW4IG89LzUExV3ZresUBO+R7/0eZAfAUcfEc2RsWXrQnQTQh4JgK0
+YDtU1Q3yTgIQOo8DmuElZsMU7SBx3ACv1BIhyaUn8Sse50XqsEXydfaKGr7TCV1ofZunghx0QCu
+CDc1ReRybw0+EgeVyOl5dlWcYhjnJ7JrIZtjvyGtLZAqBHU2mTFa7xXSFkUYVfJKrC/SJ9Prejw
byJqsvaSb3VCbljnzb5evfbWm/mS9ulSbreJD0IxijH302daVo5adpe4z1Xck7AulOunUc00Zu4J
6kBZ6HU6JgcZ+E69s3ER44A0hOXt0qHYPpN1QFq1sP3V3ilCLEktLpf0Q4biCoouZvNvsjCsD86C
gCoi3wDnTWMO0g16RVs+BfWFYUTr4lxZiRIXXmYmz0nP6kc+lLV50QYrH68owxqxbZ1rP1K4tL7r
vMAM3tbe/AWYRKEOMjdpsohmSL65Q6pldHSC0m5N0TkEXZ7l/F6zSB/dXnRGYHdaix0tfpHtVxtv
uz4ilkIjM2wZjOSvIxncjI5AY7tbL9dxm4+aSbpUiPbsYt61xmC7YZvYFQlXEFHItDqKltQ56Cnt
XrO2U6NlDFTmhdGYXrE3qgyr80oAXOhDwNK7yVeLjqRcrMc06fzsMNrZsu3IZc+xOtXz+moglkjP
Z8CDy35OE/eKDG2WrNlpDaKivcW8tbp2JSqh3wYClsdUvU5m4d+wdbLlWZpNzhfXHTfjwh77jaYX
JPX8TLYDgsWJICbkn7k0X1pNxvJOVk77pSRmlJvSEPkABCRK7RdlIgjzR0zWpCAXJLSzdHws4Gmx
QDQbdJV+K20Nj0H5cThybruK6ds8i6JRblCZWssg78YB0AdJe+3BbFZ7CMtJuT8YZGMSeazDBJ3A
XIVDYK9zj1wvH2TQkI6QH1J0gh9Tgs+dfdoJMKmdbpbnBh3xFHjuOqTRVKoeR7ms8WHWyaJV2FYK
BTMNIh/mgDVo2o0yZz86MBq+2vyNFvqCmFBhWy32SMTZIL4YvbS/YtiiCgxfyH7KZVU4PNGhKA4I
xYgNdBSKRRO1NSOqAlFAeJjlX5lOnkBKQ0L30gm5FIFyNGpGFOAOXHWSEAf8nhxs8A1n0wfPLF2C
LxpBLYPKHWRFucrSC8FtLF5Yp8liR4NYi09jtpUGuG+7KFiVdTftHRiK37eYyfrGtQASxFuBtdMv
Uv1VEuZ6VYylYQUyaxkfY51UL2JibgzbcUz9j42ryY/2MkHWj7kOcDEmcn6b0B6WFH2nAWUZ7XTH
C/Qrn2isdSZx6dCscTUD18gJ3F4bolf2Ew/bCdti5Ra1mbRGkC9HVHZPd/uH4y22fdmpBlNSWx/5
QwSpb/5FaiA5D8lz8ZqQTwxOfbmIiRB2DHE9kUF2OjATJHaOPc8kShkpqgUfQgifLUSW+JwmiHY+
69fG2DfwIk1A0LqfnqyYmf58bgtgkuugHetbPBF6vNukNRQ3Tb3RsId7kLbrLqtnXUdpQs445HBn
K6adPTRp/h3ebtY8j4twY8qPkCPLg9TuvA2fFg45w/aVI5NFWxVNiszrjwN0JQvKpzOi6NvFcC8B
DfXC7Cm5FFbp9MCElGimndFunUvSHAHUQxmN2zJnz1mZWsWTMkmth0o5VcyTij2JCqD46DxYFOT6
fVu567ov66yPI2cscAtlSTW2H2ILnIXNz3CPMzyx8vEgyxem6zEhLrhvJzAHIB6CpaIKFcx+11hB
n+n0ZYChUgaNtXT3RoWUaU9quHOoaTSU+5T+ZhaME/8m4vu1rjFOWqypM+8TmAkrQli37IOue2nl
/n5FUv9F8neLnZe24mB346wPohrHJgJ5MbIrgFvh7eJq0R/LfJTu5aIL8TSbLJJ7EMpmE5Vbvemd
hgxq+vsudxYC2YxkvG9sHCE7NGM4SirhTfO+3PLkguxSsz6fmnbZPvX9nA4RS0brPQJk78ugbVT2
bUYKCDigGFn8Nn/e/D1JmMRm64niaKi31btfSrJ1SFvOySAmkaCI9wkG/zQErONNQMtrM9951uzf
Jd3a3VitmzuXAjHzJaIZF7TUlKdf1sK2v+TQX9OHvK2L7iDTLf+QLgMTVt9l40W/ao23y/dsuRN+
mbNjpNf1RcFFr0KLckWy7+GzEKgxebLeG7L3but1KF/NolrJdx4G7CmkMTvsnG1Lw1bN1XJXqrb+
zoRoPRAxgBLaseKjl8/OcxUgunDpt26uDut6TF+PIgt5qAprel7F0BicYDyqm3G7tmdrPrbxDhlc
+eo3LPsBdRo8gn0xzreLLDyiWBszfsktdzzmObns3Lt1K14Wj9Vs16Rdf4UHaK3DSVgszM1YDhzh
YrO/IK+NXeGMDrrdlywIe6CLmEttMz+Cd3wbDkfBiUcHQ1bMT83mPJIA3YZGmXxztN3vhup44xJL
BRCqdXodiTwIdKz5m+Ny/mBCKP/Qe9NzO/oZYu01v16SmhvIht5LCtadZrhN+dQfWlgor3HmWNN5
6k41WYdTt3ertCe5ALV+HbISDoeV8v+enoogoz6BoQXDsfo+lXP3mAt5j4gagpIe2RwFzpR5KgCW
Yh9mSBhRznwQGX2Gcjx1rfVY5nKNiO04R5k5cyMzzeO7SntAS5q8M6+8WJxvuZdGel3MB2kky9WG
4zzsgW1ee4SE7a3V9z/79B8vfbYI4QAEeg2IMhcPbVaLLxXIgHvyocQ+s3r50Ft6/jh7FQ6L2M++
1gSPcwbdhO4wZXB4Pb62Hsuvt11g73UOWUzAPNOWeky8Qd9XvrOFsbXNN9KpyrDuevZUAruE61QP
21KfmVNboVcBs27N7hzqni87SLd1C2dCfUN2PlM4e7l8zLoyOzORpD9tLCA7MSKU/yv93YkX7xqy
E7ZnzlOxAzaR22qK9X5QLIdpN8kLvWbjeUoBO1hG44rwl0tVy8MIgzVAojoGdSwbVkIqfb5b4ivR
ZhkgXLAeDU7YZ6pZikPTLNaXTbouBcAy/1xD9gKUmhjqw5Zu854QsctljetPK/wjfnuRRcXq9pc4
SS8EzZjXdR66cz1nT34l0xvbEFXYSrxMbVaCHSkd8Zgadne19k794DlyvMOUsLp70mFKDqwa1rMs
13FnMBTtbbb3dqG+zJw2A4xk53SZmsd+oqq7lXW+s0bhwQnphkvOoNlK19WAJNLleMnlgo8kHXwg
TFXvnW1JnkSrbrJz9HruZTlU26vnCZuEMQKWdGFlEZ6is00bX7EGiTsA8fGZlYziMge9c5a1VCNg
h2R5aC7JbTM6w60szewBCPfQwbwrrtNlEeeUJZazVbXMZfP6MiHU2LP+mNCJ3OmJclS1a6dixDI8
FD/iItkuGrqOV6XTfKvZenGwsFWQt1JGw7xml7qqs28C2fsDql/rohb9sOtiCg7B6ro8Y8+AOdp2
8z5nRwmOgoAoO3AoOu1zzvQBwvv4HCXWx83vfcJhUb2G0iUIZ8MUcsjqQlu71J3dqKUve2HUtbho
XfOC8CgoK25TXE6F81nGtrjdPJPwNDw0l46RGozHbWlg3bXqRrnWHROGeqlyydrgJvatKuLXUQ6P
E/fwjdNH04eVUzZfFwxyJbzM3N05RT7cw1AbL8ot689sQ9+WNYF6Yc2kGqxdnCM2du1b1BjsuuSo
vwB8zoJl4wC8THG2YsbiIMK6ZBOHW7UIoQPO+WA6ClnFTybYqZQzFGWycAVKCFHOIuUxAGS2nQHO
Y8nOlmJkg571S3/ojWFeQrZv011aQx3nLGrezUljLDt+PtEY5LaVTQQnDQOKhEGOzY/Sw92iHTat
Xl9al25D3TZotbSfWqdqtkAkrvUdQXa1TyXctX0hG4WnbXLzmyXxCVuhOgT2zOsSnUQdbysPcS22
dWiX3VjxwbfeD5MpFlpC4jqH1Z+s8gAsNUajVRRst+KhMJhAptq1g0zWVGQ1vpub1BeVH2SMIaCI
QhtyL6uUOrHT52YRVGWft2HW2pN5XtSenoCt8fACsS5YOXQ6e8S4GuncRG5bqlsBcdwLu00oJyg8
e/0icmsFmZe7xHSUIrEfG5HAqKc14WIMy60Rq5jh6OtGdgpskFn5z30jhu/uOI635VyBOoqFTJJo
Ztb+UYvMKyLWtsrej71PduSG1C4JcelZA4TmRn6qW8HUhqQyKyItMOcFGVvL9nqiirKGxaiLdg/8
j8Ix/rcu30H+HO7rucnI4kKOgcVWFiNDgbbdtxJmpaQR2Ss7GPW44BLPRod6mK6x4gGm8pyPsCji
63EwobbV9JxiOEm5vvGd1hTM6clEvcnt2k9qXCkb19sQP0qnwD5o9GuWRJKt2OvUF/DJmmpuvwH2
6qrzBecxMm8dW+pa2Mcz86oA/IU1cCjExLJgobHqlS3lxM4fQFPcdV/a2eMeqpWiKSY/GxqlUfD0
8K/h4/Iaq1oBcrVtF3Vm4V3DqPPutg6i4r7K48KluNOvAAkXjuKRkmDMCU7ckg29Qa9BzhU0KtZ+
zHNoCjNTZFaj6o/Qeizq4Nee219YgEKqAxgscUa4/RfMclaKuzbJi52mCjsiRy5XMoLWft7O2G2P
465k3v7sdnb8kuSsPOHqdvWdh2kzvbLY1OH9PzZqKPmU3jNkGHfeJQoeZ7glaXzXxMA4iWi1to2a
H2KdncjseAvJbUw+4Z+jkM0AzDn1eRjfdgi9mjYQ1Im7QCcFViU5yp6v01phb2JRmq+3puc85s8D
9aPWq1SH87FGSWlRPwIHiieXw2OlJuuh8QROSeIGyfWbCMeD8UHN7bpek3a6N3DOtQfR8ElxGAEn
6exqycPYe5mhWwokDaiNo0k9iwx7BiqabbAjwwVvEo45gkQvFWeW55z+jYZTuMKsNHuwlhGRF+oG
thWhmQvOvbDL0vWDtaxMgJMLWS+ItxrcYiyd8WYiwSKLyD8UjMi0Mh9mmHrqMBJXJiMUfTIPyhaB
biiTmEzRuedEdtHVJi8+6lLdjvBwYzmx+oztIj+NNICKj32H2e06R9fjyjC1ynJj+1bSBPZsHb92
KxmVu83HyRbEVWu4QUIkSHmsZ0/rJ1gjotzVzHWUa11VcM6hcX3bTCW4SUGioh10vqW7aEwmzKA+
IbbxdUdCtRlQFcXTmMauP5DHXgxo11HSWwiz2kFPZGbrbQSslk9+cwt5nyOZnJ3NC6utKtpbQCa9
eW2sdWXwbseGU0nVT1hZC7uYDkRtbJxEdcdziu2kUucLYbItmgp2Co8r1cE5mjS7w/0xn3HGzoZn
yPhMyBgMjP2y0A+49FeVLxfUMefxdhjQ4u6Y8q353hk8zlW7CfIUb7KqgDIdmizuu4ccblvFyBFa
f4xXXHyvPZROclrRhLUX3uIg7WNi6fp7DfIfYVqbp8R0pjZZmGGNtWWqQjOTwiEk1onr84Fdrk/8
h+mCMuPLyzogtQuRHoHfprPZhEZFE8kMlnbSDeEvW9PCeavoV7+Og1y+Fw4nNaJz24UqnbESNixB
p5dLeU51ZvQ/lTb9LmaySmyiDWsf9DdMugT+N2lAgzm4n/ylsJcPG2kP/l2GdTOPzCyb2RFNktxR
WsPS5hywEp7j7BYO0tUT5fOSrPFUDgAXOzP32GvnYnOKG7dCVIXzWXb2doAgDFO4wTBphJjfBUdI
R89+xtlyXVz2eTXNpoDa9YB5WNVO3h3atFHrzlDQzy50HAuBUXK129iP2AIm1eeqI2L1oLplZrct
WMrFnbayVBQBdh6xfEJ3nKcEdufVWIn/Ye88liRHtvT8KjTuMQYtzGhcBBAImVpUVm1gWcohHcIB
OICn5xd3OJxbPeS0Gbnlpu123+6KzIDwc34ZDxRo6oPKvDZ6bMpxXS9ZGxXi4rPkFzsxzW6VOBAF
Bfz+PJQ1Z1ukb5VlWJufIacy4kFl5c33tW9TRbqLpr4Lz1WGnnbbTUqG8qEb26D/pLKuCV9wC9On
xnG3GF33r6zw/zcp/lfbhSn9P5sU32Qx/vr5Xy6FFD/b5p/tiv/4D/8tJQQYPcTCgunJQnpyy/b5
nykh4b/cBL34klD+IYdFOfS//Iq++S94UOwgvMnHkcXcRPj/lhIS8X85yIugp7FsIZ367//tDwG3
+svf/7Nn8B+K7X/nTxFyoFcJAuJQ0bKhXflr5hd8B8RJgR06LV+au253Hx8vT5fkd5Qc9d+IO3BC
/UHW3j7MRefjYenx+Sr45f7koemrzTdrYlKO7GDtc963cAOpXms175iwIuOwEgB7GQxBwVw15Na7
RX9HGtIne6rNLCjusSqHv7OqtX4vVKqdjcIXpxUjeLo0QfEaCt3tF9Xi6d22bTnQMt49mkboX/zV
dj8IgxwI7yCjb+eBk2RxS0bbt2IZi2++VQZFrDvD/+KMNTXcgDdgZPZCyRTtPxVHel9g4Dz4GvxA
V5wKDxWJzMgC8q3ezsKZu/kUicaHS6FI+sOeQkMCoNgzr2rCR6bUz5roVwcqo48jUtN2zzvEdfbR
alrLYahMIiGodcO2Pljor/dy7jtCOXqcXCcjcOfwmaBd3BBZQS7tyc2aICC6mhTosxkYNV/cJPpE
k1t6kKAT0RvndaGg+imuGSN/5SOipfmatyR2aQB+N6ZSOfBSGRJGvVH7lkFmGrR4Nt063zVeeBvk
N1FXcd2gxT40jptRLzDknBRaBNeyBQKOLWS7MIPo2nkdkdFKYlXtrj/hIsg+YhJYvUM3t8HwmOvM
Gk/Ur45QIZLoFGjdtX5pNYF8tt0txX6RbXVnrwZMopfXi5XafWSw8LNTfJ0J7e7OQ9RpL163zcJw
ujrfrbHxw6c60uuQjqyYZewpNe7djcCetKxNLRkG8u4Bd7mcyAZdgDcaEmbIeAkaumbHbjS/m9a0
Hswsl4QhrCWBBGytgb4M5RB+zQEzK3JLhT6Ym4KyRJrkvG3Y3FkFmnZ8mjWAXzK1fvEajcEtRdw2
5A/defrnnPv9R7tq884lFfNIpk5wmQyOOvCkGdk0J3AIQW362ymqO+OVyCgCXBZ6sAGSCrTObEvI
qkELSP0I7JeuboY0622Ko8e19cqdYtx8b62hfxxah/KcLNLqGJbs4juF9xY59jZnnxzay4+2N1QY
R6HaDlPbmvT+BTgHk3KJ/J50gaDP476xsjg0VvlJzU919EvDeadbO/KIj8vaX0PmKTfuygBEjvOf
UPBBB58i9+yNUvSsfSoGrzsMoWf3e9ptgwfSyu2VLGuT4mnaatnNJpNsij1h3SSvTk5WfoYGHfUH
hrjlwN09hgSKTFKn2stp4hisQt6FNyPIrl4VyR+bKTrvRAZzfWcs1Wqmkof1u0+MOZtiM1vd3wiB
/iJgwd/Cu5VcQh+nsR9gKP/zVdWANJvuyC5dD0lrmnTCieM/nRV/76X5109wsALiHgORj24/wT9J
H5Wq+mGq+AT2zWELjqYo/x8/4S+v24ixzCH9g1G3h2A26Y9S/zefgIkj4JEKbeyTf/4O1iYUt4pn
7SbE3Z5LnMLwN5/wD7/zvx9QIQ5zHECIe7CjeR6exr9I1GGf8t4pM+6DsXWXO6QT5summvBLIVzD
uphD30l+M0FiUBXKO+nSZG53QX1HWIfHLumo0k97iJgvS4/g7EYPrtvHYM1mc+wXOViHDHnEcjUN
JrPEqqvO/ptb6U/1Fb8Bd89NBuVFpIGF0V+dBX1bLTe5n7UjNvtqjj8R8J7d1tyjqPmbT/pTvfav
n2SjlEOaDkHC//jzchgu7KpZG9bOXrtXPInlBabhCQj574IK//cfhIfHd7Hjc+H//CAGXr8pJKku
7gRMVQyxo9v3ItIf//kj8h+/ucAm4xfXdsC1/w8P4UL3Xrhaq013Ss00bLa4KsOvZEkdDV39zWfd
btU/7rObtPHmC+QvWHSdvzzwRVCNpApJZ0ee6kmWsFYti80W21S7Bel//nv9pUvudqGQcRL+BoCA
7Qpm+M/vryK/06XAAnS8ceLafzedhPOBvBhkrp/B/DyIc9hcHfV3ekNE73++2P7x0XiCMJu4+D4Q
Vf7FjKHdbhAUqrAX2970GlDc4aPEimri/MNJPEgdLaStrnXw02a1PotRbs8O2Uf7UWFFSdwhL9oj
h3zxULYuYXIVy2EeEwVJyqjvTcZHR3fk4aZdgA/jOLyUwIlva2Rzt3j0Ib1ma2F9zTYVfctCn5B1
1lmqDW0P3UBiQQb0O6OZhERt7pPk5Qrq4eKSUI9r2W3jqaXDt9v1vp6/152WfhoIW7/5XbgEEHSW
v6/Zj5+9CYjvWYyBK2PRgxKfGzMznYvotPl97Lrisa4yBTrqZJQ4at/YKKMMkCM4BZHtziR+cT4g
qVpMOUU7sURduBPr2G1JSCbGi1Z+YV+msLP9M27V/qXf9NCelg6t99oZ6mexivHRk3l7AqGRRwod
6707Njjl83LNya6m3H44zJPv3DmuVjPnb9SZcQ6rYO5CukXchIzrwEyJ+aUpojBqNlPC7ktczFWz
PMA7q6TL7L65a4Z1/oTgbC+96J0k73vzKXJU+GgNdpu0ASk1JC3laO4YpWLRTGWZYC1oH+wIxCid
Z6CvF0HCfIGAo6fxkTLDdrlThhL6InzWWODtTC1+XCpS2g8KWQIB+hXOwcQpW/3SyUDksQJC/Rqh
Ayh53x1vkU1pHiLqYCiMXrAT9s7BEllaN3kQm8jZuO2c4J0AuexqALmOcZNN4op6S+ozF9NOVR8s
yRJm83lC3NbszEHgC6ZyXr5qnpq90Vf+kkqc2e51iqqZxHkbA/91FLo+bKFvvOPQmTsWYyLZZrLK
XO5qf8gfGR6CuFdlH6LMonhvR47lcDeNiGMwkZcUNDhDcbK7LG+fp3E1u3TJgL0vyE38B4wxkEpZ
xOEh5arX14p7xzlo/jifAlSL1JdxV/deGL2ObkHBBMTtZRilnywKvc3RQwMZmZRmtGEqVjb+HdOh
xqNEmti516SMH7x+1jBQbWGjpiKsTpU/KMTwb0KEbAQFpZVEv/imV36q1ojaC2lYwamWm6ySJWpr
P17hAF/9Sg7FdXQoOdtFxcru3/tD+a3fxrIbE3ciIRa/sG0fXDYxJHnlWDsNiGBgnORg+lOCYnH4
IiskLvCSSidO5oypdNfoJUc0k3or0TI7zCnjp1270FxInY7GqofHxYx8Rme3+21bmnxls7HTojTC
YzlQ0BT2pt57FGbwcC11OCcWvXdDUhQ9ZUjFlM1HtZKjragyt3fIBUmnLMWU05URhc9ZNtNAZWi5
fSEoV9e7ABfnZ0ToGpqTzJRpoGfvrGyKM3h0Lcg8lY0fPt0Kn+uKxICWn8khtRASYMaqsfcMj84l
e+ibc+EPlvEZqNwhQZiau/0kjKhKpEueVNLhiTP2vmvmOs55yc0HgGt1dbf1Syu7/BOKVl4JF9x+
lFSjhgfdkKqF6Czs1xjaw9SHxbBLLLVdVrxR4CkcGiiM4eA1mTEkJi/xYm/WZvNbjz1S/87R0fNM
shGR71FXexdzkov9QAeLQkLlAAUmt1KE7eq5BWqg3kBICLW1RP3RKAakwH4mlye2S93fDVZZT+8o
NnQmk96s0eonY9GBxyE+ydEX2kaalbkJ77TYyys/t0xcO9RETC5z93VkU4qnhtS/WPo699NxLlfj
4pTQucfcYBgDmCpxZfZILO2MIo5DEJTtTzgT/BtBaQ9k29GZG0+rse0DKg5dGARlPOdm0IjUjGTx
tmWN9yanxduvpezOUWflImkn2Jk+HNf3sHP87Wqpwrwz1m2ZXnuyBG16G6R8HI0yP0wEM3zXk4V2
jQDR3E59KsOcvdnmofNW09wYy0V0l3oQQ3BEbxZapz6zaDit2nW7kQ4IFfQLe1+5nWsTpVAajBSD
Avq6qvkYs173qVvg4H3yyc/Ym81knif2P+tbPeUWCoTC611U1mZ57a16fmL72hCJQyHD3NKUk5B6
KO4tV/rPsptsOhr9brXj0MrmrER8ZnDY9aCO6BmhbIb7wJ1W4sTqdQnTcqJq5bjofkW4XFF4dhh8
vVyw5Yljq4jbu1tny6FkKZuH02ob7QtVAZiPpB6L+iK8yZvhH8EYa6HtaL/Ya9Od16WpRUzIxFru
LIDxJp4QhPY3Toz00xhrb52WqjYHnu9wqy6Gt9XVrgS7eJ4jnpbjTDuAf+RsGI4ecEtzP0StOhSm
8L40qC0wrQA46DSz5hEm22q+CENvHxsvgCAVbiFTZaDwSHjbzqe+9i2eEt9DGFjZuXUQ5jA9ok2e
g2tDGr0VuzSaWWmllqEnWC9ynt1xk3yzhNd15NV/irEYzB062eLFwTvPSpA5ex/fzH6bwmbdrUwV
iKDLtaBrZ2EcQZQNTejlHm+wYLPaQ75tBWGaW+CcBnO2rGsFUTBSpdFm8tlF9N3tK9SlLw2hDvKg
Iq77TtFdH9yTBC6eDZYUmepuc9+2PH/mNY1WLTfnqT/22TKVH1UlIn3fGHWJPFj298TNueG1EMoE
IiIKf7q0NlsUgpUSgGCUDj/1BpXHYYrLEEiGpN0MeewZ8q2meYbRCtq4br4ZS13z3M0h8kvEcRVU
iFN09GFVNDE7/STH74bRW/tGYy1JhNMhavDqqbrSJFd6R2h+o0qggSw4/15EQNpIJ1bgGstTepdl
n2zxPcl/ri7fNbVjHGMDVdj3vrWVzQUJRiRJoQ1tpNaZFKcyM/kjYOK8D4rZwCAImWkp0TBt2kkN
wjOPQknUfGKbKnlGdAm93uuRaq9GVeLZyjbKH8D1qj4OoVOSBiVjSrzTxgTVra8hePz8QjoSLEVR
Qo30QyLBZRItnGNPlO197m7VIdNRnoqx7mP08IJc20VABUymyxVeluOCJWxfh8TCJq3ww2tl1ab6
TV0bbWpIRhIaY7wDDR6G5KytiCsNMtUgyWnI49oTWVxFx8kLRhhuzAiA/l3Fi2Tq9sY2r5dGwWvR
lR4hFwLDXdZU+0j4PjAoBDl6dUi9nWpX62qPamDqLdz5aq5ja5Pt7troUqao/l5yuDIYGJE4ycqv
kDfit7gss/Yfy2xrHpcVgfinrmYh3iMTWsnGrFRypPnB10xkQwqjs+3rVmuGCcP8aixo42PwZ/W0
UJYN/d4o/2I3VgjoEJbtPoowV8V9mYfET2SGE5PouS2nbmZcTAmsW+TZ3Yzse2NXDIPU3RlfWaMm
WNGiW42XQOZIqORWNO2O7379HOF+1592ILP+O3nlVpFOQUOghVkXQ/NCcByvEARgyJMHgkpPNuAt
5VMhxQngfNHedm75WWgh8nixlfM64VW6AZPmeiY5NKOWooCDCt3MCK+cGHNMyrUod4Hb97+ROzNB
g2qilqpOdGReJnok5CrR68mIkqJk3QbjVJFYnQZtLo5lVGYPS2HWr51KR0Z5BTJElu3MA2AiHG4e
Nm8En0ZwTS4uc+S2Jc4mMtaNaguetF32SOk2Fd6HfSn3bBne/WTeGivcZvqN1Lh+45ELD3RIhBcV
dXZqhMr4bQmerJhX83rSZClTo0cKpXnZFuqL9rz/xQ/fJSqp37bOeJscaLBd2YYZmubSkrhkcISn
SOoh11er9Ob3Do8UW1hUgqMtY70fPEOhINvUkAwUQlxVbZvhHiZAWsi3W/uQDUu2nYptW8Wphi9D
Xq4a89Bo2aMKq2ddngxf0+g4lL2QV8oUWzQ93LQfxRDIOp7qpdP7cUNhfqVAV1/a3HbWE6/F/MRS
RfJmrRyz2FulXn9wGsAsV1uD1WpB9XUW/W3vKhSEo0LUmPr1HBxLMdKrZXa+OlI7l+vncHEDwDHf
Lh/Xsu6/9+SU3DnwCoeM2NYExmxadnZfZYS1GoX+MOeRCkL0dXqyEzn5I69NQT7OXqOt7K8tCHpw
plCtbF5HGQJNjlzPYN87XfXh3FpGY2aR+XmZa+eJwlP1LVQW4htsONtF5OZ4mb3a/VwaWwyxwKEk
7zatzYrHeBzyZz8zbRQPnYswzpmM9WLMYtX73jWX+yoY5VG586BvuwnJzQIGf1dA7f3oJJJxwxio
9AB1rL6ThI0dYc6S0ZNRl26rlVV3Xp9vXwnWG4jeGQcklyS4sxKuqvxCxfCt4I5jF9Mn+Hy9Q2JB
VuHI+YPCS9lRQrgZGRIEinMEqKC7Ohie/FMZMcePymNmiKY6WWtU6CMNaikKzjFdl7J+7hCZ7U0T
r+rkhI7EL0XPTYRH4VsJuvaK5HTm4crCJe7HunhqB2W+I3/tvsvNrB48sKg9nWAYtAANsq82RTwA
dFZ/Ce1iuM83aPpk6QQ2eZcwkS+R3xW/67bWzORLtBwiSN57f17Zy0d/ACa2OBMT6Rfjw9q69qHy
fEu9tRjYzrnKi2SzQntLeeQ8clyx6MeNxn6gbOMO/ctUkhVuyidG0vbrNFsugdX88rtmUwxArkNd
Bq8J0aFaGD02Tagg+4RR1Dv486KuVVHVlKThBsUEVqb86P2TY7fWq3brl0wyJnigG7vSKZCl4Ryy
FC2k/fabF411LiMduZjKcn1amd8lOdpSflHD1OUH/jT3vsqdqktQBClk2a3zAw8u+haigU96CyyE
v0gSrF05sItkhJJ9DfvGOLbLrW/QWG7toY4yODJqlCrLPnBzJCLWSApFz/vgnWQ0+tHZJD/8fHTb
k60MHFkVJTKEfXQhgbrZgJhcIMVACLV8NYgdf/Z7S8SeIZZLDVFz1UOGptkhsPK+Df3mOCNveR6y
MdibfejFMqjbBypNI8q0oxkPCcv7TrHv0f4y+vrbNHlNMqKm8o/lwvVCodR7U5rnJi2knWlEB4cD
xdih7eVeKnqZvfX+QmmTZRsJZYsWnN/K/N3b5SUv1HYUkASngfyQDJUOjQBSz+rcrO7yiomgfEIZ
C7ui8SL5+6JougG1h0F0ITj8y1RTpbXNinD0xZ+bm+BlvUkBMhAL9GIUakzUNrd4YlOLXqCbNxTZ
145/PFdJk9dTTKkgUm69RjhoW1Xy+8raWp4MGxUwgNJwdad5TMIO0hAVTHHwNO81Dwe4s4Ny4D9S
UdO812tpV1Rtmoj5LBRNqdOtUYLhmLMaNeN8lTT8qHgeB+8X7cHtnpNefps8umPJj38mo82Z76j+
8ZLb8PwWrlXw0kxtMzG2BlP1Ywuj7stK6tSckkRm4gNFhr/yvOEk31lL28VI1Gv+SjLCA+1tPoTf
DRtkDlhC80CPSbAei3I016sUlvfZFq7FyxhcNBkcFou0KAzabplfCRdc8aInkUVVBEkEWZX26EPI
3+7nH3PmT3viMR9dqxR9jJDF5ic09HydqLx/wQJvxzPP1KOSXvjLX0Gm1sbWhJjb+fYRIRT+yNSq
nwHB2CWj0pOXkKcLwXGosJfQJMEKjS4aIm6DsNnrYiteMipe0oFMm32EradIO9hovBeIfrf9AJ+E
WjLIey82Ciu4ejMEahwi3X9CrVa7uw7+nemXOw995W6ZX7INcfm7cYXEK5uDaXXmSbVQ+2lVsaip
q1l3xT5qjJ/0TGb4ZNjHf2WTb1h7I8PIIim3JANi2C56CFpYSYs0/aPGM/gZuI17MIPWTagcKNbj
Olp8tFbOypNtzsOTTWbOw1Jz4aLKnPZV1OgEi5lmHrLG7J5kwwipUu/aZmxKtXl3XaFe2276DBAp
3m2hvT7j5SiutJ9h/sotqLUzHQ5PFbcfirqxHuPBZR4/YDuePraCeKWzOTYLb1skwXdg8ivjYcvS
tNgiP1kY6G8Nyb3/zm6ozwTA6z1WgWU+iqkef3YMleMOp3uTzB23xs7S5pQQiCVv2ajuCHxSze8j
c/D3uvW5DoPP6rivRievkzxsKVcMTHayOxm2MjoOQ1lMVJcs07xj7Ozvco3JK2Vkc524xKjwFjUW
ncoFUP/Dks8RGtAJk9Whd8cWa2nUz8E9Bt42DecxUHGr2C2QGnj6uz3pgox8FUwnO69VdMiY9T+r
CTVV3s3Vp0EcMN0f5Dues61cTJwqy6oP9DA/8Fg+VTnIQe640c4rFi87RcPkeilutFruJHMyfibm
obuuGhEz4SeMkrITw0dXzG48KAUBXkdN9gWHI946ewo1Dmsu2bsPCIuxjAhX59lpIYqzuXRPPs0/
Y4ploMmI9aIkJHZmm7jLIs8QY461CzDoaH+g9GkNfwJo/kKZ+ZTlFSZZtYT2A10TFMZt0PA1ases
fnFGdzoUg138dqgC7pgTMgbP0GjwcwUtbDMh/VFzXcuq9HgUckEDpvIkPAUVn58CIaMZs/Ys6LJR
WSAkr8qL5cgZSGmqLedkb505HabNmOY41GpocB76NFFM7kRrQy2amzjcyNdqP1jYcWPisOfsdaGd
fUyCQiDwh1ym2QFCMLsLRRQgIy9Q6R0qWTtXoxhtNE+NWKMjbTTbck+GKtWgYvAWKm3DtfhhAY7P
MbW7xbV0Ze8lVHitwdFZ19I4oE7xP5E3WPrmwrlF9Yt6OnS4yaonYfXha+c3FIsTFaCvUzDxcwSd
IC4SCZaBdssDZKGBNMdC9GhHAcEyYPYT0D9f2U001uvPJleaYjun7z9nYLrt58iiVT/OzL0nyTtw
OUrEAuMOI7z9ZInWr5KsktarcZt2j8J1LHWMWgev5Sjl3jWM5mHI0BRj/PTAzXvT+oUmPE8XaVEa
EXmyAYNfHBxipp+X15rvPV2cwQeBtsyU2aS4c+kS3g7IpYcnJezpqJERsEYN0fYw0iD5yFin76Wj
5jwOLApDV2UG/Fv+kv2U62Ri2y+9yonhagVWPiqml4PZNtq9OB7ZCbmvsnesgGTbZnIIr4hl2pVN
GBT+ebJ5sOOCm/i9wfHa7DDZG4wGFrI5BADVuq967OT7babFDYEE+OluMkT5Tp2uYtcAzZd0nWTJ
hl7wKsaMF3NQ9fS+1CEMULt88mFVtkfq078gJhze6qbzYNY4sX65WPkf6waLlORdMR5mPwz3te8j
uye/IKdLEbjwZVw36qbrtnLsa+FN0c3KP7Q0DtMMnOSZUjjIzW0t0ijAbINhpgvnnRij+rjICt1L
uwT5STaVa/DVzFSA0Z/wtfFW7y6bjO5kRqN+MR2z5HStqZbJfkVdZzw1BjFoZfSzCHaIGAcrgei8
We0ZQOvYJzaUWOzKMn8pS0e4OxZ8RnTdZCWhkXmTfylp2RhIMaxZzcyB+xlOOXoDFXyY8/o1w6zR
Jo6fZzdtsuq4ii3qkXGZWDS68tLk63hUrR8gUVHrdFklQMjVxEAjUiLP++HcIU/vTlOJ7wwXcKPv
3bGX815OM9bEKKtm3If2ZogLMUUwhEQ7jlc3ywD4uOIF+BkrRf1gSjQp6K57rAsYnTN+yFwA0K83
W17eDt3RhDN87m+HrsBhTTNK1FVDjN09+gbRZ1FuIm18TNyp7r4YLNyMnCj2q2pK+TAHSLKHCtyR
r4rtLV3ARqtDGRBPkMg+ZD0jSnYtz5Y1Bx8WBpuLoRu1PgztOGGIWZzexolknUVEXmLS6LbHlwof
8b2ySC1IB4zP+kvXwVkgJdb0qgydw2E7FEG7n40MaSvfaPTU6Xm75BGa9icJPcdvFo6ifrRGL3wq
CnuU5xp3jJE0MjDeNtWZD6YQW78zG2Aj+p0acy8pZWKps32bQSfyl7um28ifMG9QuDBGHzO4rP0r
9xKpdl1hpiQHTfK8jJb7nYmTb4ignG44wnW9tYqWHS6AMxKrRaLEdrCbELl8KQQuw55RjPAGusNa
gMVt4vMmY4khjoQPS+CHNIUhRke66s/Ge5st/bEMOFJ3DT3G37lw1l0RkPT8reLXJniisI0XSNEa
cmVGEAdwFzgvegyNG+iYqaSyFICAVw66vHFP84mgPkE1l+g6OrSVt72WXkGdb62X5W1cHVrBVuFc
V+DqJ1j08psce3p+qXceTgFG2eqYDxIF2EKwNYpBMMrmFkm1d2tVvuCgxLynu6rdEoCJ6IUcb3e8
q0fCt5/HNgtE3IT1xm48k8KdImHo6pQqvQggUYraZBoJ/N8Gopf6NKJZh6xpeD/GTlSrE00oqv2O
G39Y3zCeWfmzyihy4ZYV2IZWbBvlzgsH/TbPZVMk2VLIN6WXiBlZhaDosOuGsZMFsHm6zTRFPY3Z
eMtOKSr11RGiOXXmlh/dnGRQImbq7Z3uGRe141K95F4HruRmOjO4dj6dLOAcZr8r+wKDLXBMh9VO
C6u4rzwjN5/zfOUOL7m3govHkX1qmtUqziUsMztpzre/W0N7+kS3Od5blaYT3sGo9lTYvIdjjf/n
MRSBenFY+wmnNeauOGej3z0JYS3TVdu2TOuqFV99BiG1wxQE1liaNGoR879+9lXYBfEkVDHH5BsJ
Hduc28vF2ARWCMsVi6LqcioeHRzb24nmnb790m/4XKhpxZ0iRVV/kdiG5c601Pg6ev7wuvokfOMj
7QzA/qI9h1s/kNkbGTaqdAej2O5W9NbGTV9RXsAg3FwB9OonfnbDSgjUG90f1ToNl1l6w6NFhP7e
dvvtvSMR5K4lpDpxoNyJ6Kjnsw9sgnvWgzm4mRCNVRxW3yPFZ3VqAi8ofLt5d8tyhPkMzMF+KuVk
/3TNjliNvHDmtKoRdH4tmAHBPld0ETuox+CoeF5Og1dOVzi34JvVTeGFWA8PWH0w+ySSfVYd9GAW
DYtg4aTYKsynmfa0g134fc1DuLpvmap5w1IJVxyCsZ/y48RODGtJM8fRnlyWrEJGY79HMRvtPciJ
3xxZZFltHTb2zCvrTzUNwx2ywvwRuyWKQm4r2vd88L82kQYqyJ1EJjs993ZvP+JeKdKimZd7EuLs
D2sYrau/WN6+7/ijeth7CgQL5TX7oodCrG3dpatqV+4SV2Ic1iY+G2c2yvAM9bN8ASmSBIB6qNWb
ld7KgRbXu8DrgncTbxo0gz3dd3qKjoUgH5nCIluxr1gCAB9iTDKTQvz/5FnK9nOnoscSMyYcasYP
JHwnFY1lPjjFhHyyq0cynnmdfJlMhnuTW3OPnpHW5DHL7YZCMGa/a6HROZ5FaJM1kdW8j48M6ahf
c33rItRZ81JaSn9zyLGRO4BRgmsESUzOY15knTqi45Pnmxf+uETMuTuvXlruaNNosJUOZJVNZJH+
Mu1s+2orD2bEhGkbjsCV61u/maN5l8MA8l24TZedtDOhttVR4fxyeAwPmelmQ+KM5YBz1qjqZyFC
UAeELNazBsNkkgJ126nKnmWaG9CeUTPWdiwKJ3xrtqz19j5OnX6viEdhM2uaKaFqapOnLBJGnjRT
0BkpE0VHUgMc4VHWYqtf12JbdrPR6KvNXBft1oq3XNpypF3Q/U3Wod4a+eiFDDlrRg4lyKuFGZJL
mzG33C4c7RAM1WTEYOj7Nm+9zYMy4LrZTFiERDSzuJsKhVDaWeU4v/stY1YkVrXsst7wltNkby6o
cwiQxiOOO3szNisJeE0asVLkbeRQuls9znt/vcVS1dVjtuACOldirJ4xJULLcyloWwy2N9h2oe4L
skZL8ENHHOE/xWtnFDxXmP/vheXf7E+BJVCUMKeXaYDTtd6x1PNcbHxhU2wwPSfLZvTLbl3y4QeR
vLqJ/Xacv3mlx0sr6/PmUZH8tCTkFZZ1DPDd7kNYCfmMrQ7yEsvQJeM1ds8K4z9M4zI8WcVKbqxt
ShgLqnXSKDPYV8KxmnFqdtFtpq/dtGyVG+xz+5ZdGvIejolwNZ8hzgB+e/6sljg3NzutHDbzefT9
6UH3M/rGuh8cUgk8bEO7BWSh2RUZORYoL6b20Sld+27B7upc0Na1y8nxCyCucDDbR2OUFeTOzKMC
00/GH27yBzFQ5Ms4LA8l883FyvLtMxsq/TKM/4O081yOG1m29QtdRMCbv0BbNik6iaT0ByGRErz3
ePr7gXPumW50RyM0d7ZGY6Q9iarKqsrKXLkWQEq0/bTutrSasVrniedacIEQYG1yC5CnDel2uydz
Lb9AhOW/AjdHSsTVFMoOaiH9bOiairk7Yjd76PMecT8tak1CtIGG8igorde4F8tbJNdgYPFZFmVT
qkmR0Gsv5BCuNCFVLzGO7sOWCdoQJkgmuaW00qmZmnr6SBXCH55BEsTlG2FPScNpUvg7rfSjP5Uo
msI2sWi6eeApb7bbhnhmpVSxnjhiC2+7DeGNmcDoCsOEXehmT5YeGM4Tx0AEcknMuD+GPNkizSJ/
Mz7JP0lsrZlx8TvQvpxTUOP+k1e8ZAj4ubk7HrGjRjqCmmnMsZy0IX09QkVN10JRfq306JKQWicA
iEj03YaBrN7SKVCETgIw7puSe+qLiowDDESy/2HKfMquVPu8ogCB6CuvRYnMFF/c+4fBrPpX5JAD
fRNYeimuOXEtgFhcht6rZZbmhzdAsLRPO9gb7kAnlumaAB5aKC3PpLvBQj/OlsxueKtTNfwV9Kny
szDbSgAMlpo/fJBNNfRS+SQNp3vmh0/5wuKIp/5CCrUzCkQXa5GjSygpE/lhck/bE20QEriMDral
IR93dE5AY5M0wEBkzwye26QU8y+RK3Yd25BOMnugI7m9p6N/oj9o+3eRe/W3khWTRmYkc+5kljz5
OY1fb3Iuqc9DQYMzVfYgcHdTeGZQLSS1tCGfrUMAJ8MKcgsWLZXpLjSR8ghkq34reU0ewt6Pyn1W
tS5E7hzUNJK1FJNpspCnk9pryR4ktWeJK5qcvciZaE2j9YhiTW9HnlC9QDym/vJTAny6qVEDhRqh
zeqbwK0zfU/tvH+sI6HJtv+n7scUCrGWIxz6MsRaWxU52qZSaKwmA/0E9aS5RUYzvEXOqPuJhmZB
DlYUv1+HpZ6jeg1on8F9SDpRlDiJFh8j0rNOaiu/QVtLrp6GAJ4YNq5ljAtklBeAttQiRZNCKDxq
qjoDdIt56KLaSwf0JMUoCk+BBd1g9oVabq4+XB/QBayrpcqfZCwana/mbEDgs3IIFsjojj4vNtH9
GmXu43UTF+bMgimbLI/CeJDgOJ0zTcmFvokwoeSPufE1Hdck8a+bOEdBm6i9iAr4Mo2ur88WrqNG
gchHvYZsNS3jVrcqBNrso60ITHb0l+h3TT72FANtiujHcZtbhilpcxn6FPUcVEEzsCS5CwcbaYNA
5Imw0/v3xLwJrEU48rTWc4O0NMETaoIi16cGuBOPy6FKAWer2lUM/wjJQ1G6ScttYN2FwZ3nrVvK
vfoC+Pp8xSbYMxg2WTMlHTLbU5t0rtPnDDbOztonOWt2bVpvlGZ9fc0+4eKnI4NpFXAOyzVpb6tT
K9zRovX0WgMkIYbOV51TrfVtu+pXgi3Ykh2sM4cgc2U55B2dYtU69RpGwxU61jaBoZ07worywxq6
6lWz0CFwviP4LEgfJdDfhq7O3RVV3CYodT5Lsu775qU2F2iiP9nUz8bNzMoyjKxQ2s5WVIg9stQm
bTvFehp3u2pXsiM75IJsGur/d9z0rjlUSB3wMat/Rg3W0vFWrkMu1ckXdtCMfxnQ+wS2p+PG0EXF
/Keb8ng1pC5HyzaBO8Qc9gFFCW9FxTOsHP252khf3J2QHHS7YQW++fbzx9Kky2c7eGZ+2ndHztCK
YZu5IeYFuulBLDxCMZDuf9xnzsQ76MBCFOzdTb57B8pipzZdmIP9p7NDZ4neeKZBM02EKXFQ0ZAC
gF3npD/9koq0u9GXcOqoVeMUkui02Wuo6bQj+4Etq8DEc8FW2p9y9VKRTyElvQ9CY0HG6uyYoTmF
Th7uGFk34fSddw1lCd0AFnzvg6LdZ36+asT6aQj1yoGM5EGGoZgK1IIwxGdLxYljTkahQdZhFodv
Zc7OrscWkF1forYSWl/K4jXvCCIrtXushOwWstt10+lfqOOS2tZK4LFq/dCbilMp0W1ajLvK8+5y
r1+guL60HnyVonGHMBm0nZyuR1kNFDvp/kJZ8leWqweR0F0L1cJusztTbxyvhwk0bb5ZcnwvQDub
JsovdCMXel8uLghKXzqMzXyHOVsQQ6bI6/VArYsEpK4mrCza/rsCehRT2iE04QAae79+QJ5FAdNy
HJmcbQm5HMB9pJgscXyNRJkIIRc12qbsdpm/cOSfnXozY/PDWPMAxncYawFVEedR/zZ4hV4f0dm9
ghF2lqHJKpcZi3m6lOBo4YpI4U0SB21NrWmbQ3BY8IS4bub8LKHnGx4kjfMbNZy5UKFnCHUt1Aqk
MZr5MKTiH5TxSKkl1bdxNLKX68bOJs5U6buzSKUYBvjAudSErJVtpYURjEXZd0U9hPrCYC7994mc
cH+mjRNh5v65BbTUQ5uDpF32qyalMXbGwhDO5oshHJuYPuHo7BVCoQXPggkRSBVPUYiUDQd2mxqg
xPXJOncAC/Eg0SR60iGFUmcOkCMoJtQafDxCIG7hU3Y8pX1hyy8EteebFTOfKgiKMulxTgM+GlBW
e3Jbj5ZrG9JLHW4S8CgpKBw6AJo3I9cWAobzfUqwDoMhhX2DaZwHDIgD+bVVeKSssQrxaLNv3XYd
9cljZI3rNh0X7J0tl4E96BNkzmn+Oj+KgsAknS7Jrq1mv1pd+hL39VM6QNeVen+l/8ZVyA82EIOy
mERrrgcmTJXgFMEn24fplt+Z7by2pModKubKr8UFT5+OmJPrh4hIRleKIB5GB9pAT1dNhN+rAe3K
edc4lfosaX86eq1SkQq7sU7aN4hy1n/pjpNFFSUEySLi0ebnUVMkSeSJWIT919ECaAi03+6iQOuZ
08MfwbsEf+fcox90Ni5SuYNsTdxfZf+lz79rEJpG0UK8cOYTnzZM1krlpSCqs1OCYnFu0orPw0e4
NUmUqeWNEb8Ozcv1CfuUQZitEQOhCjvpepq6NnuZtrUyQN0r85arBOmWXv96VcDnsodFKDwMjfbH
VboanDz53LxNd9FAS2NJhXQth26/4J1n+87kuapTj5hOXYL12bHVVUVsQcqsof+hdoBzwLSYiap8
VdQ23o+1TLJPbdKF6J39de6mdDBOrdyg0/HT2VQXoCFbpaAldLVaHVaru9Xhjr/bTD82G3uz39s2
f7nbbDb8nb23t7W9327tpy0//b8/dNpPftlP9pZf3vPXJ34fv3c9/To/OdMPhz9W00+OY6+cx8fV
jh+HHbZW00/86fBj+i3Tb53+YfVxeHl8OXwc8lXOPx0O/Pg4TP8XvvOwsFvPPU5BWofXvAETiQkJ
y+luRc6OjqtaAuEDhX9UvsviuHGjW1f/et3lzldZmfRnFI2GYGDL84Ztb9CKsaxBDWd4XZu39CJq
hwRwVx44ufXnurFLg2KTqpAqGSp2Z4NKlLYLJIvMYxTnDzSK7+mvBmTc3cJ9vLtu6tyNFJUjVUZU
GLkRyCJP5y+C5hmatxTS4ziCP/alKooVCUKH9od1Wr+DQLhu7/wUglSK1dI15K+5qqahH92J8L0r
uYK8gz22ankQ3SReAVHIbnoBauvrps4PckxZEKlZxCsaIeypqaDSPVWrItoSWzPaSxQb7KAdklU/
6OhmUP3UbzxjaA/AcF4MUDgLQcbn1J0eUmD5pjCDQ12ZbrBT+63mp2IfJ6TF7cz+8c+rWrkHNGVD
gG0H23ZDH+oqcX53G/oLlLX7TFfbtjt0dmO/5CvR/vNhOt4GXa+bJSHa6Uyaf5rCQ5uUx7Rn5tKe
IwjN0KjQLmiUijoFrADKUox1bkLR2CgTJYQhq2cbpkc+CUBYY/BGtahI0xZcLMhnzkSsp7jg1MTM
l3LJbAypbPHdQEp3WYuOgTZkzb4EYOsUAzgXRUo/IqEtnC6N75VGLJzrLnZho04HD69VCJl4H8++
IIld11dbvkCiJOdAbnKbweSnpsMb8j1/f9LRjKxB/kQ+lqf4LCFAR8ZA2YSnUQw9pSTciNZdkhBt
Vf+fduRTty2Flp5wCTsgDFaddOeCIApgpSnihWDhkodA36ihOSRyfc6lz+FUjbxGAvUCoe1jkXvv
obHk5xdOGxqbCXckUiiTq5+OpfMjMMUxqYQS4K9dKa2jydDE+VqxsNmlafZPdxQLc2Rp5gk9FAKm
nzFrjUqHY/Aw4nj+71pQQYwnjlCSE25+VuD8dWHJ9IUjHNNoPBsUAvib2SDDBr4DIIwcK9LXwLsH
aqGKu6J66OStCJBBDW6z9kbstzk9weWTX94CrGqsjRbZY/bz+n74zDufT8O/3zKbBjWsA2ivmAa+
Zci2Xv0lE3+4cMIo2i0N3/DSBv1z7B7cEEL5aK1Hm2FYCI0uuBWRoS6D6NVxrnlEILW6kukl05GX
okR1Dd2DFrza9YFe2Pg6MojSRP1Gim6eGGsA5MM9Qb2MXsM/cgYTpKr9pkl5jcTE35uaCOQUjhmZ
t89EdHd8Y0L3W6h5pOjozJSvbTA85pV2AFsLG3S+dGjPo5zPXB/QGYMiDM98fRYNuBlqCR69/E78
tcq+6PV9P96J4X3wfH325h47NzO7GROzQx9IpJnHjZ49eobijJcWTca7Ud1Chr4wgfM44NMa2TKd
lg3yI3PtQLXtU9lre4rPb0nmgMuUv4c37tPgkbm/Pq75cfNpibQ9tNiSwftk9sQqtVqv6S+hCq0d
zHAby7Qp/OWNMzPxeScexU/yoJR0uU8r1L2O3YdcrdDsSMrt9YHM99DcyuyukQM5UhrIOwB7Z2De
KxjTF26ZS1P1+X5BfnPKZM48TYvyVi4QC3RS5VbrU5q7VvqSCOKlhed5KJGfMMjDzMtxVi/TOyYD
CqiGH/DbjUnuJH5jyzmQ1nwLZGIFs8T1iTuLSaaZO7Y5zezR+uhpRCezhk0BHL6aQnJS0t93EBPI
E2G0+oJaZLl0GF3YtYB6/qGTmupks9USai8s/dSaWHzQIhKR2kl+h0Nvj+Uvxd1dH+BnaHh8wjNA
jJE049CDDU2b+XgwXdqIoSQOVABO+0w7O1EIsM7uJTjUe2WT3MBT/URWuqe98cHaW9smtS0adCaR
OCdciCGkC556/Dn6LMiHvhf6FIGx0/i61Z30q7eO7tydLdz5B+UmeBafro9/0eBssr1uoB06ZPwg
Dc09+OaV91jvDEz1L64T7/Ptx4LF6bV3Zcb12QUwdomrwKSbOB39ZNQlI6e/CTcP41q5SR16Kxd2
pjxN2TV70/ccubDfdB1ET9irV/Wtcju2Di9rnjDpveqIP7Mvnv2KrsUXlphnHFwQ8mZhwEtrOv36
0QekfpnpVfb5AdVdJW/wMX3z7t28yqbtkrWveSAJC1mcC34NdSsPfEOE4ZUX6nRgHRnVgBaiRF7k
VFXgu9fdlU7bAE0vrUHYpH2YqAx22lsuDbYFiZIKzQXwrMj6o4TjXUIfcVPt1P7WMp5rca+bT16T
roGkrQzkHKqFO+B8v0+fSgFI51ybngKnnyqio5WPUHHRt70Ouicp+S56TgtDhd7/vr4UZytB+yrM
cbw3NBGkybyEgUDeiHKbTg95lmWbgrY9UhJjvnBoTlN74nCTFR7p9Epyc56dXzzdcz0NzNgxymS8
qTLEnix53Aqp/u3vh4O8Pa9ynlCkyGee3Sq1Sy4csC46bj+TQPg+yt7C2pyFNozFhONJk3jwg8uY
rU1aC0qsJbD0Wvn3QXmuR7B/PWVsDyT5i6b/h5mzIKUkBUqS3JjLZStpPkSjViaOH5Qv6BHcmn75
Ynn5Qkh95nC8b0EgTMgc3p/G5+PnaG9MDRQ57H9QAKCUZXZflbR2PO0JUlxnVBbKv/PIenpLkzgg
YYKTk02dTSAiOa1Fayennfmsu3+AgifjA91r1z3hkhWdCrMEbSEtrdbkkkcjGrQODZuMlxkqQI+h
8kuFSA1RIp5n40L0eVY4ngakT8gZCKQRSJ4n8wrV0+kkwRTEPau+uWmVnRvRMbYT1IOkOQgM6jrA
iu57aBwQ+Pn7cU7VdAAeVK3Rujodp4W0lUTnf0rLKZAOY2uYe/IYpOejBUMXTgqgQfSbkOyBz1KZ
XYumEsS5NWCIHhWH8iqaJerj9bFcNsHTBMU0WaOyejoWOYOwQtVSgL8QYeQV0Oygzd+v27jkFwBc
KSpzQkzFzlMbHjTusJUgqjJqv8wenNh32qhtsVswc+HEm5aEOj5LwqE3N9OEEXzKJbOlHrKCRI5q
rKRKXFiTJSuzZ5bVtZ0iBVgp83SLas5tqKkfSZo8/Ic5483IvKHB8Q+X+NFeIhEeQlCIGU9/C9Jf
PSI1cB5Ww6/rZs5SLNNGIrT+Hzsc4qdrk+s1bZAddmJyXkKxHfsfSnYzUtqhVZlO5i9ZSZM5Aob7
64YvHOkndmeuLRdW7KEYg121pu+2dlIymsjTrlsIhFTlSUwF57rFC15ILUnSYKiE7h2U3+lIU4So
6r6OUoezC2AJKk81MDPlxe0XDvYlQ7NISw8EX0L5KAU8EyfPRqDIewCU2WEo8x+R4S89Xi/M5ESu
P6UxyVVp1mxcjQDpIkItmMujF7EYJq2Phr66lGx8eqeA9nDVv+X0nV4rwOioqnInm3C5ns5lZEgC
lcgGmSSIMbu2tVufvh34HpbS0Rd2Gye8CMkuL05urtngghYWEBN1QLg4LDhhU0hWwZFlCmxSf+8d
BH2GDGyRguPnhXO036Chz9sOoLGDZBX8lF9b65GG8ACJxet2Lt1cJJ3+NTS7JHvXJwEGxNuZJFKi
iJ4z+C9RNx6cXL9BG6rPoSMXVjBe0ExwCJQF57w4oRSJWDoiQ/LspyuXWlkxKhIqvxBxrCUhWsuD
upbk7On6MC8EN9bUP/k/ZszZsYLIjQR9LmY8GPNV90enFM+qmK1qWdpl+ZKXXLQ23ZAQP/NWV2aD
CvqiFzpzZFCsl5hnB1H9FQS/vbZawW2wvj60CzemNWGcwDKovNXnniIJlVhULUNDUvNBSJRbVEau
W7i4RkcWZgdIIQ5AdiwsGGHrpF5rIzv+pEbx5rqZiwPRNIiv0NiQpDlGtw7SIWnFjoPD9B5Fo39W
goX332Vnt1BQgpAVNvl5mJYF/Osk03D23n1y0WNLs68GWSlgaOYzjf1y+2iod8Zv0UcAJ6m31wd4
6SBWgDPwAcQe4AJnvq5WhasNyHmG5j1KXCg3vAcNFGVLoJ1LJzDod25RIM8U0GZbutSSTpKpljmh
YsA5kq/Q1YaQkW5XCypoE8hzsnTHnOE5pxMY9nwNcMsEvp9nReOxS9MOPWhH1ZRXekn3epA0P4xY
OeS1dpfC4eOMqv9VL42nAKpIG9Y5aV+qnXjjJsVeU0tlk9cFVASS8u36rE+bbfbw5JEGfATKIlif
5hiKMtekLkBUmZQclQJAxhVsX0j+/p76owbra7MEb7y0zFDSgAnkRKNsOI/74kYL0CdIHTLSttv8
Qs+bFnQniBaO7osDO7Izi/wgdaK3MENH022/1f1Dm+5FrV8l2i637qR8k3cLpdhLxwCNAUjnTLvn
rNgb4Lz01/uE5mboqGSnBQF92VJaGNaSmWl6j24+ta7DSjKZPt166Ax0tUdvBX/zdae4tEWA8rBM
k7+CBDs1YkJ1R499kCLb+cX1Ye2GJdLYWeKmTtf+8F8m7sjYbKF8scxoe6GZ0aVsWBQHOYDQckkh
4/M5MfdzyPZ4lqkaUD1xdrpEkPN3BdwfTgF1rEYzSqeTUmsR4u0g55Izd6N1aokKG+2wYeRI6Xui
pXdRb21alIHbgh4B7Y9WFAuH3iUvnfpxKMtwN50VLjnm4Tb1edCltbGqc4BS0p8or7aZ9A20opDd
oX97fW0vORCAKeTtNCBq7PvTtc2B5MKrHbO2RRJCRBqjg674/d2ky/JfTE2xp6xYosSNf2oKqabK
TS0Gl5XjnTW4TLX4lX6O5+sjOs9HY2NSQZR5c0toCU5DPtoTClFiIk6vokmh1Yj8b20d3FXt78H9
ULpub/q1b2uN6Ghq9ywF/VqD228lyEhba1AOXP+YaWvM/ex468zGHFVeVQlc1ihFbgSjgU4rhTbk
tg6+ye1CRHDxJP1348x709pRFbvYw5Qnfc/NHVweJWQZ+f76gJaszDaODotQX2lYscz9xNGW37f0
YXb/YR/QxwW6WuNxRG3ldAlVL27DgNZMYMjeympoPg9IH74C0IHbMNhIkJiYw1IgemkrWBMuHXgU
75X5VghCeKdKg5OHKH5txXBTlN7aNB6vT+AnyGruEsdmpsjuyD1rqQgbuKpTRyD/+w3WhzbfuVVQ
h+tWM4ZnSNsldwNcH54ACk6wEOaS1f7krOqQu5TguDPMNhYcQgIpezLhYXrpGwlkqeBWlkGPXYmr
DX6XHawyM34l0IQ/tXoJ2AOec/MZqSnrsQcr4LSJW30v+K/A/Ei98C0uzH5b+5kXbTyI92qqgtCF
gyKkMPlYIqdIx9eAmALStUUGJa8iRpvO75V03XUdGs0G3caQyY7KqiqN/CF3kS1HRDemC73Ja3Dr
vZZv4OVwEDqll6hSs5SSGJo4NOdTwP1iQcsASa3epx9CYwRvgxhR3AmMQgRSiF7OqupVKi8wVHnA
xsNJvyJqDWUlG574TLd4H9416qA/ADyy+nXd5p23Nnp6T6DNaVZyrnhAIlXotCG41E2Y50X3xc8B
qt75iWwkTtgpxj2Cg+Xe9+D67sOW6MA1EUTewKubiIw+NL51MMpSbWnaeAuPRLZJYFpLoUGqQQjC
iNwdWq/qf9IREsIRi2DhGiqwPF44SS9twmMXmp1w5diNZRuyPRLKm5X7pXGfYGyzzejrdV89r91y
lFJVIXFPFpOq9MxQFYrQ7k0JxqG/T7Odb6xDcTMU30wzsmFhQrxBWYJfXtyFRyansR9tj56ubKgL
yIiUPqLnMkp7rQ9rSz5+vz62i3NIN+XUSUaXxTwGt6piRPEXO5AY7Dpf3WZF+C1U9Ke86RaW6/I0
/mtrDlHohxT06pQKHvWdZP4Sh0cENpzB/Knm9Fyvq+gRCpCFm+fCI4PEEm9dndYsIol5AzGMi14Z
VAVJOuvOKx6y7q7s3z3/55Ahawq/yQbRQfY55NBrOa9B8a6C6K2Of12f5umCOz3tTr9CPl3OTiqh
e/D5ijZCH9V9Bom4AgTquP6qy1/9wAmqhXfruQNhEVSyMb3wSb/PbqgU3vM+8GsomyFbzwsB/QMT
2ZMlMxeSr9ghUqM8qlOmm1ea3K6Fe2nMuAk7/Vm12seg9WFF8a0bXaH6CY8ighsKjzwo/vdBVhRr
E5qGBdc6jy8mzCpIHjrEwSHMC5+jGVk5+rkp01jdEcv6W5gAaBAaoOez4M20Vc2X//5UmEZONwiA
L3RB5xelK4HhlSKMJgXCWb8j1JKRnXGoHgrJz3b4Msi3w7hUt7m4rEdG1VNHEhM39koVR+q1cRdK
+lvtw+9eqguRx4W9yuCmEgS5dXDt86yHSJsVsqIV+QDK+ckkD/EVukgzuTcryHPXSXUHR+DCXj0/
iyablBGnKeXunbksfE+N1aC041TJ7xJCvjD74sLbmAq/r2/Gi3N4ZGe2GV3IUBHHYmxldZPFv+pk
LXUL4c20DGf7/cjELHIrQ6sBw8RQ6vJxFJEhg5/z+iCWJmvmCKaM9KefMogI/SNuin0UmI9GfDBl
ON+um7p4eB0NZprPo7soyc2QEguDSc17wfgQ4FZGWkDh6eJKt53k2lUtL5i8NDp2lGmR1oNnYt6T
ZCF80XcmGWa5Vld+cj8EX9I22Cj9Xz+zien+tWPMcrydP1G70CnioAJzgABqXdNQMcbe6voMXvK4
YzNzz+7jVm2QAHIaAdBMZ659pDHypFoYzVn7ExWG6SSiiYKKG+3hMzvg/yCxMcm65kE3UkTpXHUj
102AUhP8vMldJEO4k5uFAIdSAJlXOaQ/zC5pD3KF6ojdlYDD/n7kYFHogQIrQgV45js5SjYWZD0Z
NUBwX2WCVK1XdO66yaXff2/peOzyqZcaSqnyTGDsCI49Z670URnqysgWntWX9sKxldnGliBozgeX
lTS6V6uGoz2D86F4BO3gw4NmRm+U7f/DuEwSTmRCpuBpZtFDUA1FJFLcU2PlJkQk5SYD9kVtM9YW
FuvSqQVyeYLAcJES7J5OYV3FtZdNpppGuYUu/iFIdef6aC5eLFTDJj+1TLDYs+HAoRPWo0idA0FP
yH4dZdjJIixqG6VeS9aDDEy6bu6vG710mjB9Jokd3BD6hNNxCYIlDnlPcntSBTCk2onHYZ+o6lpP
64XVOk8SgrQnTQ/jFWV8oPenptC0KMoxkFMqiok9Cqux9WxJ/17Kd6jipeW3/zCwI2uzLKGRdFC/
w6rt+KSNzXSriNANZRXKcwszePFk4UYmkgY8z/ky7YujO0AYyxjdHywNmrgyNfhWrGQVAACuK7Qd
DTQVhlergz6z6O/c2ECQbFjwnEuLyAeQRgZFNXnP6RckSQZ5Q8eF5/PKdpP3Bqp+aEH3ohUsrOGl
PT7hzYDwW2Su5/QyQjpxTwhAwq1Qad/EYexKG100o7JFND9/ZvpQ3WuB19UOAhMaz0FixP/wCRN9
D325uNFZKTcYdTMFhzZBWu6RhtpM2N36QTPR/dijsGAbiKpcd6VLjkv5x4TOiZuKqszp9Jq610vw
UWZOb/4cJaLYhwQAfiX5NiKOXuUvrOaFiJ215F0y+RTlu9lqygVkagMqNhNxenEoBtW8CYXSRz5J
DYO1QhZkW9dm5S6MchrFcVxGoV+kzVBmlDwHjXk5TejkokALmm4cRdgWhfmuRDLqlNb365M599VP
M6B3ZFEFxCN97qaj3TK0kEuzUWBNq9tbv09gLUXFIhvWlPgWYHGXugknxoIpLTFhYNRZIGipQlXk
rQ/JCLQI5mMOU9zekxWhe43rvAg3Sgjv3hpGNfNVVeo+hCRypOtOCCKA5zA3BXvE/fSXGASsceeW
efc7FhFfuEWuZjotIXRMVlmikVqrR0joNjAwxn8GFzmslT4G2otM1upBLGPrhtaXvqavumu/5n6J
9FGv6Ck8NXlKtkkJe8iMgSN+M/TR+zpl+r5DgFfvw7RvfrtGWO/RuenDhcjrwkpMx9b/NjROv360
EvXYdh2CSCY6ZkK8SqLe41khdjSUDNa6ysT+6/WVv9DoBFvfBNEhbwsQft68lqUQ0DdmalE41W1d
yW/yCIx03KHeCjMrctelWHytYNFTw56eEzRWsvSQITFooN4hyeHCQ2S+z7jOpwImxWPwp5ahzSJC
qxzDODAE15ZS9UlVPdTWSnQVq104+m/mKO2vD38eQWAOpixwGfi9BqPo7BTxolwX5EYUIFcM3Nuw
Mv50Yz0uuPzZJqaTZmq4Jqac8nHzMRV9nTaUqSHjq62V1NyMNX5qDn/rOTMrs3hyQOp7bEOstAOa
KfAqNWisDrB/GUtwvPnRy2kxEbZx2TAoYpSZj2p5PChFAOF1UvwKLCijzI8iqJyx+BKGe0Ne6Iw4
94iJncOkHWTK1nCVnu4IeuUVuKBrzgtz3CmK+wgnqS017Z1Kv4YyugsH/YUNyIywIYi7yDCak8cc
bUBR10hoV5YJR4dk+81aAytkjOgRpwuGzrzCnCi66MCHXWIiiZpFXnDAuZkHHbettj+DTETew9gI
Srawv89nDyuEPygictpCq3I6nCjnnURezXPySnqvgU+6qBr2goH6UkngLFXm9vqOujQshasE6gyi
ZmCUpwbHJh1aQUK0z8i+pjmahYHhSPrS5J2lSSeqN0MlvAOUocJxMtu4sdyXSSbEvnN4o3vB9mzI
H95fnbXzuJCXPKtLYgneMBVUOioNCrZOB+TTNenCK+rToVKuoKHYbm+rVWzDEHF94j5n5vSuPzU0
87xOkXsUp9DNRiXik8OvhMcvdPS1wj8pDHL6M+F/h7e31Z21vrvf2Pt+Gvj24V21b1W7WGnrfK2t
3+0H9Mts+hHt1+362dk9fnwclrIs5xvl9HNnK4DyVOSVHvMiGG3oBE0abFMpR4PYi54MrZMWQHTn
jjyZM4EjkralYX72dOglTZbI3fhO2PQ3UKFvxMK4AQ1w1/f1hitzYdnP3ZgWS7D7ZHMA1gCFPF31
vJFTRPJIdKO0cFMVIgJqQ3fIZeHh+qrPY/d/vOvfYc1OgdgVjNosGJZvurbiviGhsI4q7vum3ymw
YOlaLNm6ry1cFmfD42U+cUZRqOUop2J5OrzRUyvF7IvI8bLR0aGM0CK6wJSFV9glKxbLBkSIuxxY
zakV2fUtyGqg8+2qW61Ee3SM0L9a2DfTtjjZNtx7Eh0WgFU5DmBWOjVSREUuKmkXwbDV7DSUDjgK
d9cX6cI4GIKOL3Ba6yQcTk00o9cocck4Rrd9QUFuU0ETJcbG3/sc1xv90aCK4cSd55NVV6sKabq5
Q+p0GupijXgbxW/XxzI57sl0TQRuR0ZmYQLCdMMQ09zt9AFzRmF631QxUCfub54YsfvH78vn6ybP
ai44OSS/RFgcowBk5p3sbZB3CCD0gaPJwaPfyRsV0ba+FN8lyXvsoxaFEvGVujhER8UqUJdAZGdH
B7gVlOstvATU0JkbNgjcxu0kN9qJbWHXnfFu0cfys1AayZGgOFzFRTp8uz7mCy7DxoJEl6YmyODm
/Sp9h+hUqGeBU4Zysda1LNoRxQZrr2NTXzd11udIGXQKw7BG0ht2t+lbjkIWP6R/q60kSpPeBu1u
G7qWdTq+uDHK9tFLE/dIsNyiOHfw42mqnQSe/X6rJ+Emj8S90Hwp3d+Gsde6heBavrA1If1UabwD
TcdHzvbNWA5dVKh6AKSHri/4cUKiKCut0BnxJJ307pAFuqOjQV7ygNebepdlsvbgx7KwFoOycXdJ
YHr+TcnNQLFKcZUVMgnyY4cmQ7sqwXShSCv0wsEUg1R1pAjBFQcNYt6BRVIob+ARUA+A2zJsFs7P
c5fmAJ3YOEgK8DBiQ53Oeam5iCimEUUfxG+Q6JR8qsR7kYLpuDFkdO+b3LbKtZ8uGL7gV9hVeX+L
BvSy8y6AsfBTV8hRiUAX0FEibZVVwsozpPWCT02n5skxwfi4G6DVIRaGBWDmU3rVW1pSprwmYhYr
93l/P1rmN0ppEXqGUG7UwbpwbxRv22YvaBn25nMpOn77M88P6qQ+sO6bexIJ1z/rgkMRl0/oPzYV
DXyzWUfIr9ACZHbQgdsiGmVLHFvXLZzle9lMJyamTzjaTE1fgFGjrcPJ3yGxow5MUbi9Gd66X/33
JeKYCweTBgsO/kMvJyKbs7PYGou+iDNsmQhGD8jbVPe1rCLwSSvCwivqkt/w/gQTMr05YEk+HZZH
d6yHbiNXmJfvEGVbeZG2NzNxYfrOgsKpY46DyJrckzt5FlfErtz2gliGDn29yi0Jq3GVd27uiGMr
7qTA0xdu5ov2oGbiQqPv9uzyj8qxlSodcQLLj2/k+rsXyKivb0T176cP/mKYDWlU4iKZx0uQBbSy
F1SMayi+cGO9126x9QTz63XvuzQcAhniXPpVaBudrRLn4OgTOodOHP6QtI+23ejKR+4vhACXrQCW
gxNSn6oMp74QBKJEe6AcOp64r8ePEefz+oeg/bg+mAsuB3WNOjFW8MYlqDk1E8Y1wa1rBU5IJL0V
Ai25SQo1CGwLzN5CikW+cF59croSrfN0P7sDQ2jtMiOIQkf2O/EFdXertVM/lB77gY5Re0DJRbZF
4KK/qrQDrI6Ux7cY0cfbBLUd46Hs4zzh7OalvIUhVETaQ6zcjwrJ8q+j78XvhlFpO6TMEZsZWtP4
roaZ9PPv5wt2HJFQhVoMfQ2n81U03FOd6AYOeLiV6yM5RW+t5Vqr62Yurf6xmVm8nMpuREENM4hS
ILm982owtVGEWOrLfzA0IZTp7ue8nveGWmoh56NKvN8kBlTLaa+qr5IZFU8kbZT3UfcJDK5bvOBx
0IGSS+H8oZN8/t4A+CgNZh7Qf69HewE9HBVNXrcOttfNnIXQU6aN64eTm+Fx4p0ulFLKLgh+Pwbr
XiI8hpoqpeSbwWpQZiXDlxf1qmn+/BeboFtRLOA5Or/3a7d0B8/AphVAutfitvtceiwzHo3JQ7SU
4btwMX1WOhRgteB457R6UOppeqZEsaOY+kEkSExaY6U3f4IamnBjCQJ9adnIrBCdT9lYKlin81m4
lPSRGIodbzRvRI3cr6mt5WrhiLjg95BOSWRwSC7zupodR42GkKolIO0pZvp2SiKESW53iKbaabdw
W1yYPvydZy+1G87YuYNU1OE4UPrQIbf+f0n7ribXcaTZX8QIevNKUpRvp/YvjGNB70H362+iJ745
EsQrxJmN3Z3YfdguASwUClVZmdCulHvpiCDyfSzaDtp4MqC34MIS1EcWlvcPYzZK+ajkfyWsZ3mL
FNpSjTIqZHoG7ZDUg5fLEoQ08k04/O2cNHKIC1Nc2mLP6I3UKQq/aflagYYKykzQo3qPdEGkWvCL
CzvcOYtluTO0AnYgcoSWXruyunhDZ/3vowYeKfgXCtqYUeZzFjmWG72BQhd2zvap0tyFECov4ia4
fYJ1eDGXUetozwLXiZ4eYze/9HKtb8okoUy3NXkbzAYP/NNtAwvbhQ4+kDToH4H/lO+IVmGVRmZJ
U8+MBpzUPCg1YMTDv67Hs5cPYh/KIBpagvxplY3WjiSToN6SlQc01MCpKO9o8RMMpZCUFHXR+V3D
9YHCP9pSQA2g6Mc/Idtak4jCKhRNYWPUVHXVSHDtLlqAYgqm5kw8U/m5kzwsMeAWdZlXgCDH0UO/
bv4yHHyt4cwCO7pnRxMweTuDKjceSeVjH+7n4SQneydtoR4pcAH+ZvqyhC4TCu9sGILvUtOwbyCz
BlhDMt/V40auN2G0KjCJaHtRurrtbl9bf+7QnDGelrZuQtIUCow1tZ+rx2Fa5wDLpiuFbEwdStB4
mt5Dj7QMN7YmKj5/1V9vGefujFDK0UjUYby+ax/l0ZVeHG9aDeuf2dHwjxgVQoNy/aZsXDBsuAoq
4ZUHZKZne8MqdyPRz+GPHr8VXEQERQABABW/Rq4PzeSpzoaIJi5Z6n9rwVwwrCInDJUZJmjm0xEC
8q4x+4B0JE4g2V5bCh5WV22Pf5ZkYWzQhkYH8rdLp4XEdKpDMxaXchW03YM8v0Mk3G7vJ0h1d79s
bZvpnxWGI1EE8Ur5W2sIsIFLxxI5HEqheO0jqWNbfnZowtokCdWw3txpPQypuL0qSOMWLWB8FZTK
JpAPvAV5riCXYc4Z4N7QCsqPcqwLKnPXKCREL2AcgDVH+GKwzctFNJhWgbCqDElGqIea+3x6UpyN
lB5JtyqhU+ykIBjxzBr/FlTelwLBmWH+bKZWT7oeDHoexgYciM9r3xPo7U4vbbVTOv92IFhy/nNb
nKckkBFXUEjMvIqUAUR4q1ndSVEssCJaEX/EauhQTwmsRJrmmvN9VuylGJv6Xe42YPYVWBOtiTtt
FIInbSqzNWmeZn223Q68Rre3jU8S2QFDBx39JQBVAArgfAPy3k1TdxRS86Fe+2YT/4rBiu5CCnFa
RSNBlc1sRRwiS5uIFARz+axzf0UjPEJzM3baHocqPXUdNKk9SX4pFYyIQ+3y+fb6FrYQDRmMc6Ax
Y6LuxK1Pp71SSiZsdY4+QqnQfK46cw4yC+je25bYX+JCIxSWdKAR8DADGp+zROSwMwYboSouYlcB
9JqUD3oGfT8FaBYGdNUC2yiIwKqysJnnZnntBuhRM15vxI94dDZsKg5DaT6JX7UJmrOSuWur54ZE
+z5qfaQVXoinpDcBu5DMhdtZL3oCzW2KEqPy4/Z2fLVCr/cDbgWiaCQ0fO22IdD+sgo4LybnQTBE
SbqLjFJWMVIUJ68qyBg+bCdztjGoUTeJjtGehnYDdOPUDnXlbgbt0ZxGb0VTyQ9FCKUJXx46I8O4
Y0pRnRzGbleMGlB95WRqPmRAq58UOpWDr0r5+DMrEv1XFDZx0Ooj8NlDbKrfrb4xIPM5pfuJ2ACm
IHWYn6jTKHAKOf0I2zreQrC7DeocY+sH6E85x1TuS0G3demTgY4NFCwo5oGhgrtUCJX1PodovGdN
UryWzFldmbWzraqm2WpamfuTjTbsVOr9399maCdbqFujKIoRFa62M9qRlcwzARVl9RwWkhsLM6KF
43ZhgYvCA0CdU5Jj+E6qKzeGUjbdhSJszELIQv0TGgCMQhFwfW778gkQCWdIsArlII8+7T96K9Cg
IDy83nbhK1QagiMsIS7idgYYjq8dUS2xyBRCBox64w9g9PzctYK0dl31FG9nr3ocPeFkmH4dRi5s
Muc5yzjsQu16E6g7bwwgfrsfVrY/r8tDdldvwRIYGFtR1rgQty4McnErM7rGtHoYlNfkKX+JD+l2
XKFW/nR7Mxec/tzMV/vwbF1GFUfm0MBMH1gBTdw2MLCc/uN/s8L5X1JEkwI1KuzeDzQXHsMDZlwl
X9vetiLYMpXLAmyihl02wEpyCNcgAnxr/X4VB5agmHLVBeL8jycuo4oOLuIRdvRHJeg3EItfIS68
Q9Xi8faCFo/tH0f/aqGefZwZI8yoWcGQKW/m0CfNNlRfbpu46lViMSjhIQdl8CWQ13B+RiEVLneM
LVTJPipph9jrl/1qMp9CK7Cddar+tuSgFEku8gWpf6xCuQTxAkJefA3RiGhoalkG6hanx4x1Bwnw
TY1LoBSgJv4/y4PwOFr8gOrwQ0RKRrMWcGGwY5t0VWq1G9pvpfw+lKNrhcrK7kOUqCS6bofcJ3P6
XbC7C18QE0wM4YDHkoHK22XYqHSM5uulAZfE6PiqCiDgAdS7V+3DDVFdZ21ghH+tnMjbbbsL23th
ljsJWdIpelTBrNLuMF8vaT+n8piForG9r0jLJxPod4H/gy0OEMLL5Vmy1Xd1pKPwDGZEdHijqD8i
PUCFiUrtRtapTVwzrcbvdqHTu2IcKs2V+7SCYFva7gZIfz5ladkSt4Ni4EsDdMdDnUn0ewVKXsHt
vlSRQPMRrJrsyYXOFvdb47xC5ms5EI98pK+Om680UCr68nbelUGJOebndnP7IyxcGRcGuY9glCDe
ATUmNqd9hIYV0Oer2waWvvL5irh3SKeTzoa2Lb6yhhl+t5SgJRnLXvK3pVYcVoi0MrpocCNrqFVd
fmWp7msaK8hPbLNeUZreFdDRoX0jeJYu7JeG4juoz9iMCb7TpRnokqPFlQ65R+3BB3er34ze7Q1b
SlEAOmXFSeBqASC/tDBEij4w9UVPnbxGWanFqqeq2xa92ygiXsGFj4NqKzr40LsDivwK1iTrVdaH
iN0RIALFZzPed+UqSUVevbikMzNsU8+uCAwE1GMyIRea1s6JZK7qlU/WPrsPH4BO/I13DfSg1ABM
In4tCK1f1yl3+LFClPvxwTCIxiPXdS0F0XSKFSon46Tv9JW0Sr7rj9+NO4yJ9V66hY4w3YA/3Iu3
mjdtkvUgemYtuMzFT+COWGo4sWpPbJOLD9M+QsPntsMsXR8XBrgjBvms3ogdGDB+YKS0C93Y7V3d
j9Eujlb0uyloQy09Gy/scZ8zirOoTyJ4aLSlR5DWFX54mNc6dedd4SqP0np6o9BhftWeuw/BUkV7
yR0OScq0TFex1OY92UJm2fb7N6CGS1dhjuR1T2nw9wHyYrHsCJ35bjT1c482O+IKpDFkaUVGERJc
tCYupCQyZr1ztqZCTbdmn4DqUrCG5WP+5xCw/PpsDXUVZfU8YQ11QQJHq7x2fDM7t1OC259n0Q7Y
BTFGhzaUwUMGjV6poj6HnVx5nI3RJfa3TrtzEtEo20LCAjnqP3Y4BzTReQAjEV6KRHqY+mM7vElU
5Gnspr0KHGc2OE9LzVBtxx42ZvKUhECL5asCUstk2HTzUW0eYxD5Od+m/3BdXiyNczcM0jlSbLNg
oUP+oPUoNGpBTaqJPpVoC3mni8qpcyiWF9ono7pvyOhqIvkKkQ3O7aZyDnO1g42GPM32poRMti5i
4F2q8gMHDtYM5EuMG5r7TtRWY0DBsWG1Q7BjvhNvwGDRgFjOkl+mCZpbr012AgEcqBNAjpuBesa/
7fWLTy0Mi6DUzxhZQDt8ebzKts7bvoTb0zrQrMc+DwqFBGPthbnjys7gyuMhKwVnbbnAAKQNEMlf
AAfuC3ZGZDZTjMSq8Uc/3FbfwXqF+oLjZS65BwHNUX4aJcxdCBbLFsOfC5Ar/2uW+6iJpCXYBRvP
vbWFd+UYENdt9qNH3+tTvRc9Y5ciyrk1LqsDCmaeGsVChTLfVDqGJT27BWx2dXtR7DffWBOPW2qc
HNx8zIrRvBcVMDdHu6/ctEWcxNzz+21jiynJ2Zr4+SJFqse5VmENFKdrTPrikyX31h1SoMTNMd3k
qu8E9aLo6aTtGuDofAgV9YkoaRCtmctKyhHcaJhuyLz5/jN20+O8ab3o5Kx+qVsMe7vNuqpdut+P
gri6FBNwWiHYhulIcBhxXjtXSlraMlLBrPEbsF4yfjbp6fYOL72imO7dv0Y4Hx1mgLSaCWvrgt43
NvQONcVv+WHwQ7dfDxsqyvAWM7Bzg5yb0gYyCa0Cg+payYJwPT6TxxLEFJgbc6FBKHghLO4htHYV
pO46a81dxpsB1V2nZvleXCB5PnTJZhA9c5ZN/Fvt5WGc5dAkQzwipOl54gKzNabEbXvBOhYSH0Ym
/m/Zg3PBPk1lEMKj7FHGo1vYd4oo+1+IHii/IvfHP/GK5V/TmdW3HZALqKsgCKfS73F8kqLjX6N8
vupEZ2a4dXSRBqYtB2Y0ciDJoY82RiiI9otbdWaCu2JmVbJrkkLLZlTRM4c8RUWebx+ahS9+sVfs
F5zliFJDGtQjsAj0XdzS+R2BiNGoPm8bWTqZILPACx1vdKaUw37FmZW5tVOpUmElITr0mlELiDK3
0NyiuENpBvZGw5/bVVW+jPQlFIEC2THk4vyFdeYvZ9ZTSesTSYbD5X2yBmnlCdM0+8kqXKKZq6bN
fDYxX9jt+vaqWUy7ZZaLeXGWELy+sehZe2rDQ2YcR+VDaz41EaX49TdE4eBrphRa7BhZ4cJQ3g61
2coYq8A0buSmtL7LoXGayZEADnS9jwxRAck+zN2jaHCV53e07orJTL28aF2dHqvxNNSTN2hbuVv3
1gOIV27v4NLCmKQ7+s0AbgGQePnhxio3s6rCZHiWeZLykkZPUvvxP5ng8QYGNQsnLGGiMui60d81
akI4xb9tZCFbBUCUCSBCBwjTBXxJOVTAYBRBA9ubFTf/bUMF8bfjVvtWc7vGtT6lo3mC9vfmttXr
4HFplHP7SaosTBTBaG0NKzNp/UEUyRdyGpiANipcAkriKJdffqC660gE6nGYWBXP0JP18iBZF1vn
kG3BXVZ6xUYrXq115T0OrnNI1s7B2N5e5HWsv/wFXBDOdcks5Bi/wOpB1bs11FWv9bizXv/aDNCJ
rMAIqj4WTC4XiuMFUSwaY4H0xXD22hhY8jOm8G5b+apWXoYMgCDhIRgJAVIVOLhLMzKIOeo8y5GR
uvlT+qr0Llklioeyjhvv4nWI8W0NvBrHfkWC/OQIs8OFA3dhnztwdTarrYPehweuh0Dxs0D/UO6m
QHWzF/v401p/+ylYMLvAbiyYb/FReW7yxIbB8NNQ3EH20td+r7jOyjjSMVB+Q/LPFZi8DstoeAAw
y6gkWe2Tu1MTeZIaY4THNL50Sh7qu/6UACN+MCuUz+a186l4qV+HnmYIG5oLzooHK8Q60MpnlV7u
GjSkyVTSkMCLsjBz5zp8ymR6N8xSu1XkUMRsu7TQc2vc+U8tI5klTUoBCa5TkMN8G4vsWSUf9qxu
pu737W1d8BymZsGEzkD+eqWxliRVFNY1PqRTEm+Uv40Tdc3qdNvIQkQDQSYijSljlN7ga+SjMnal
5QB5NGLYwIDQamc9Ms01gVcumQEJD+5UC62Fq5EcI7ZzCKEPeGKj0A9sXWX/fSoPzjd0/dgMO8Y9
eJRA7MQS+FoBdJkhpKVar07OJNH927u19EkwN4wRJmYLaKbLYKJbGcaXbTTaJPuxb4OM+oYmMMHi
AXd8MSWLCUCN0RpfNWinyMmVugdA2AqDdH6PIKybxNsKbVolwGA6mgsiKel/BlSvbEIdhlFaYVV8
Xy8Cp5ITEYxDaJXdzq6sh5OXh3L4MGoW/NyKUEnDZla6B+Jy6jsDuK5qxQZ2BaUvqXax8xKoVQcJ
Ff94boftMEj6K8jJ8RqJZZCjJ5WWzn6vIaGSc7OL1nTIMCjbI7k6tM1AD2g3Nne1MhG6r6xYfzBn
EzfPPM2B2k3R3lRz+VOdSns/xna7pTiIsacoOXIzfdYVgCbRmWgwMu6Yv3O5HINZt6fvsTQZYIgJ
81MEBN9bldp0rzvpGBiw8VjZxNxXRaGCim10+p2emeZ7X0f1Wk2nSHFHOnSTrxCpuCtju/dnOWMD
X42MuVY1S9pAJUq5pSb8zW0GK38Yiqab90CXDuGDI8nafTI6du8N4Ant3LGIyi1YT6fXijYRiJt7
h7il0qmQa07NdRRrMxCMdllhuoFOyeDOaiTdZ2ohv6f1DKKbro2BG7OMGvM3UuJb1TQ0u14vWkx6
51GxL6q03OEzagQMZOn0S63VEix+Q5o/x1QFQzvoGeWgaNv4d9vVmQotg6ZAEciyMCVAQcj+rupD
91HOpGd83XbyXSGNtmoI1SH4VWTaQY9aVNU7M5QE98d1AQUlaBDEIJAz8hseShQjV42kusSbP589
fUTZRurWcyKv466C2At0nyVRneFqHB1ubhvICoBJhBwKJCYuT3Kf13VEGOJSOqFAVRzeS8+a3fyo
Pz+Tu34fe+bJuEtXtU8f8u/RykYaBppCTbDypbDIhOPAlcfY+viSqxESS4fuEg5eGphEc+kozD8W
Lkj73AR3ZWlDOJZ2BxMOBFGgE36cvO+oI1uu+uAUvvZYb+ND4zpbEdJItDQuvQNvmlV2A+wSTPhL
2eQOhSBPFVngMrtuUjAc+RUpcb7a+G5UH29H+4U3to2UAnkFhhaBI+DBMh3eHyWmQ5E7lqr0afWW
9VFEBEXE2i7Q9XHmNgvyENLJrp6b/ex2URirfpeq+c+GaAn8F9TooLPta8ElsbT08+uUS7gyEo4D
YRMPA32RkNKakaA5v+Q15wbYDzh739tNl5ZqDRhtPaivqVqsayDvjanaFep/sHR+pXKvDScvEFES
wDDb8TM1TD+hld8UoJzTREIuosub2zS5pGU1SLi822mjNLsWT20RpnohP4QImY58FChuzCtw+UHc
T2qPaMYw1UWQG9CWWJunCDQ+eqisbzunyBS3b2Mp5+kkofYdVvFmINsiAywR4ubyMYoEr16RKW7j
RsUikGpHo6IcQ78zY3/S/ax81eXaLyQRye7SZYB5Naj7QcwNktOcsZqUPW0h3OYNUCxvoRsSeZq+
gbCga4zbIRE5xZKjn5vjHL1VUn0qJJibcnT7e3+Sf4eQ08xeb3+thU4/6EkBYMUALQovGMu8PFC9
Y4AgtAICnq7oCspbp1/oIf/AldOg1xS72lreDHtnU70Pji/Cli45PpJ8lG1BkXYN6DHpSI3MgO0I
kgLAdtvAiShzubq9RIEV/t05FUQ24wk3KtSvXDt6MPUnkwa3bSx9rbOV8MWRfG7mOp2wEqMyzPWg
pQ0ahMpxBncJ2sphcvrfzHFnLJ70OmszmNO0H5n1o0CGXIWjGyVvt+18FWv5BPx8XZzTJ3VuKxJ7
hcXfnGcZtUZ3PqBohsvzYK3Q0Opd+84O4u8CswxpfmUWaQfSIKCjDF7XvUEIaUIohXo9btDc8Bzj
iaonZUIZN/bBCNBNYmTD0vlmAEmm7oFReF4u14mUaCCljj0tiwrUINq+pPREhwpKBs1djyaz5AhQ
U0vxC0RaIOxA7AWXAnf2kAlDF2hQkeuBiWklaQ9GSkPXjgt5Cz75d8h/i3rp/FnAVPTFfDnz47Pr
M9alBEwv7EEF7YmsqbTMrfCa8RtzagSNAD4V+McUBtmRzMLNr5LnHo8TXYEpo5a29mTdA3rt3vYT
kQluNZMR9aQKYaKpRudpJk0CAjxCnm5b4c82vxDuK0UTuk6zAyv2IIF9/Djr4Np80vCwvG2H94Z/
7KCyAldA4s2X9ofGAoP7VOGs1fqp7y23d8INXlurekqPmoTi7m17vMNz9niZhsnWIuRreN04VQvG
3CYqvbInlkvU+iMM7YDEZB2VafAfrEK3nFEkgoKHZ0eCjJzRkrhGOaTMdmAwrbJfKpSbK/0h1xRA
LgXmrpAbX6s8s8fdoyDet1oJ1SqP9CoeyZMrtRA/02WPTKfBuM8xSmNMKycRXDpXU5W8XXYSz06a
rlREliPYVcJ5rUWBXj9O2vOgrzusdirXZTt5c1wEtN2aImKsRU86WzN3LvAQzinJYRuQFniOaQCe
AhhVRo6KgQe8kQtS5cWocmaPOyH66ICiomRrVQ9EyTEvGgXmIHoxLp7DMyvMn892dK4SQhvmOZPj
rEaj+xxa6sJjE3QZRaOV19StLFCCC1Bm1w+4ELglZR1U6FsdF11nAM4c0cataly0jJUuDp8B4KOu
Ph2KBhmSvJWNdZR8C03T68l7L5LMXnAlVJFBsQ6GdTadxb/2ZLukSRZiOndoHO2pmBWZ8Xwae6gV
NV7l4IqkJSb80lBFa6TIAQilIdCZNBlWrRbb/+Vj29DzBJ0fuhZ8aaBXlc4CsASF2bj9ldvxDnwR
xM1sIuhALn7uMzucE2uQ1QUpIr6ApEIIYVY9qVPBVfIZ/ydyTpwEPKXRrzMx7nrpWKQGJ0k1Ismx
pclxtdKp3dwpBdF26YyAZAUUDsh3jSt6SSD0R1QF8TKmgGzZpDoYWXignf16O7wu7RrId1C6Y1wU
0AK5XItV9VIE3ml4Q2IWz6Y8ZVtQINBDhITn1cjTt9vmrmAxLMyhToXxWcbmcOWbUY95hiZGJSJD
/bzvtiDsKvsPE6+/aUelzK2tYzb4rQgswRejv8x+lYUV1mPlMfrlUJg9JSiqwxsOdlfpa+BFZVcu
jfbB7nZRBuHKEu3W8ptgvdehFYORCopiQLUwRkUuLtQQPuswkmq4pHVAnjh31kGKxnep1dRVCk5I
N6f2m5T081s3oGTaJZPutWn8RDTtc1DIq2Y36Z1kTvM67WVgTQkYL2//xOukCL+PZXmY2sb4I88C
l0lyK6EbAcg0wNnV21C83/7712nD5d/nwnCRt5GeY4IBReJ1Kr1a6vOYPWb52rD9CuqZt41dn5pL
Y1yTUk8Kfa7Q9XDDzJdRzso0EqBJIcAeLEVYBYhmPOqhUI5nMPdV1bbr0cEBqyHEllzdejXST017
kYoRUsyHVH2ph33bB3J4VCGMeXuFV3gBKPYwNkKgLdHHYsR9lye2sPoyq7XOcFXlQ0l91i2s+5Wl
/7YMD9TuTTt4hjGsnOElTAHbc45CBuSv2fPz59Y/PwGj2JjzBw0s7zKSWZr22MOpralaKZWfhrVb
x7tOX0UQx62kewoykj7BMTa9sVa8ogxGdTXjyQKkkv6gAm0ebWpk4FAvA7OL1yWAiDwXqGM1viZH
nozGZG1EwWDrHgZm3TI56c1mwiD8aDdu0X7TC+Kn0rGrPnP9V9ucHPted9bJhJlTcLSDCi/LT9Ta
FYWIi2YhPWS7/2fpnDfHsRXOBYTi0aJJfag/uSPIgsgENdf7kfoaan5T8mRQUVNw4RBdmOU+ejKO
mHMYYLafAjqAZhj7eAKaCs5GDiCDEzyUrsPlxSo19t4+T52GIbVbAnMlntAdINNytkvH0e0w9Agx
GnP6KdsiGPHC0T1fIk8UHVcYVJaK3kB5zAQ/y4zmCTR7Z2HDRMVvv3beLyQo3hTAbFyuLZym0Ewp
7EzzCPKA3G3CU5H9coydQh8tS3JTx59Tv5rehib1TSVQtZ+YQnUHw3TVfHAlULRW2nEY162cuhJk
dW8f8K8r99YP5F4gYU50o1Sw+QbB5kOSZ4bP6znM4cxbIFH/lU0K4OzqyiIPc/xZVvsUvdROLvxi
BBtDjKEU55FqUEqq723MNDXWndqaoptt8XudZZlcDOytXp6mFvtIZtWXLM9JX+JoW0NSAMz5iUN8
3XqyQRYcAc1cv9EKPaGfemkLdkv0K7jzqNbhaKUhfgX6/a4e/qxbxS1oLgq612kSDoTJ1NIAUkZZ
nF+s7MxVoYyGm9WPuRpEYFbQMzeKMcHv+NR5t8oPGRuOlzH+880Yy5XsfAwNmM6fBd7BLF15x9kv
4RZcgsJQ01r8khZ9mqTeUJBvFGkNycmdEyLpbXxFYznwvdw+oU9K5rtxetElTGEnGwqq3CSZXJXu
IC7utfYqN0C2FGsQfELdLHu3zBhvzWp9+zcvJH1s93R0oEzAP66UmKQ0GyxnmAzIj7yH6hrdJ0mL
3KbV1yMYrsN+9jowX0MPSvlbpdavm4rhygEKATMGf1MRuzfLPp4NTHkMGPWAMrafS/1PvQNU+vYi
lz3kjyXuuxA7DHWtgSVw0+JhAHh5FHSo9JvUFARnkSXuLlBzfLQwhSWiyX6Iq3IuQJiZPeiiIvUV
Hxm3e/w1oBe1bU0Rwg5wfL6to5WP/5rtKjr7efxIpWSlIjYRxZulO0Veq9qOxAAmIA15zZx3rXq1
7Bn/43OYwHtSuA29LxzgfOtVqb4i1ZwcUZ9zMRqwCqINFLwJSPFlbMdofghOW/xgUwrvxqjzrcZ6
JGyMoxu1IFXB4CbPqORYfu44n2n4o2kkqMiE8Xp2eh+UAoLotOz5Zz+IixtzpNcjxF4MtwBLUDlV
niJDHNA5tJEKCqsKFZ19Kz8MnelasX/bIRf2AmVigNhYFUDBNO/lXuRqLg1xjkBRdBHqVdIx7LNV
l1UiVgnWCuQCEuxYIKdlYhVXYjwApECJykIEHg0p8SQCSE0yRSA3mTqou4StFOD/G67DENBFaKsU
Ltp9oDHubZES/eKCGTU/ajAI0zyCLqy11ikSRBmomm0zawjiuViVnYiufSkBB//QHztcApFp4ZRE
OewkTfttJKAEdJRXrTN9dQQvWWmcQjJsbTk9OHLv5Xr0aA7KfazrgdGnornbxc0/+y1crkBTJzNk
Ax+ZsmKHse6brWwey9lyHXKvDR46IzvLONBccNLY37366CrbBQRXsNZzfp2BlFOJmd002ZkK8ZxO
0A1YOjmGcWaBi6dKr0+xXGCXc+eOWG+jtm3zTTq8aeNjXu6gs6Crh6EUnJml9P7CKndowCJNIt3G
ugzrRZnfQilcZ/JOKh6a+HfWge87kCG58R8OKoTToXWpgpeQr00YHV6t5oSV6ibORahvcnQ3y8IR
PFrZhl19sjMz3IY2chNNFjPDZniqYQ3uzLBYaeNTqZng6RdUFa4gJ7g7QFn+Z1XcTiLLVjupwi2V
lg9KHkjJEfJGMfmVRQ4qDau8wM3olcVPRQfsfRBkHIuh4F/jGCe6jH1ZkmdKlyHsam20Ghz5vtfK
Y5/ZglMgMsNO5/kzKUtR48qwxsp4arv7xHyfQ0EzafGgna2EvWbOTJSxHMl0xFdLZ8mVh9rrRaNx
okVw4SwtO9kADzdCSBSttRGPy5HsnLJd3fZyFhF490PHEqoQkMhkqjmXCyH1CHZTGZ+kBRgvBq1I
aB+VuoMEx14yRYoNX3kdZw05AOPERpEEqn5s0WfbRnS7MtoEX6ZWdv3024jUTdFt6nL0zATTa869
PFOIHyMnsTJXstay1a7t8eTQDTV+OvqdrP0sIbKu+TrQZV3ht2Xp68Nesr7ZZuOlnUhqfSncXfxg
LnMpE3Q+K+ZKSaq292oyoQJSdj80p6KgeQXZDMRf4ldCkmIfTXOMDrB8b0c0E+SWS8cWMQh5A1OE
As8e95ksWiqhHgFA3WHCZhXZTu2rWiMflLAEmtIgjpsVw+DpTnKKMgyfmcMMbbfYUHHVQ3JBsUQH
YCkkQw4RCDXoAAFa+LVzZ58SeMqxsTrNcOfsw8lk1yjeSZq5Vv1i2tt6BI+qdZJ06e/d9eJ7cPuA
EhvetyW+R1SjBKKanYzHFu23aY6mMcjPK5d0GJu5fUZYTLzltVyIJrlqx2AUwp03rwqU0IYCY+tx
sYKSgUcT3ZW1FxujabeNLrseG79j1TzGanV5VvRy1ApzxMk0hsZtd0lmI8hAe8S37zLrvpia37qZ
PzXAMQsMs9h1tdw/hnn+QNJjmgS7zB7Vz3T4UNTfxJH9yn4um22XQFVtfqysfU1Hl4qIePloBPwQ
cG2Q8ADGDcIKvF5vTbQiKqIm9VAy1KMNaWzcvo9zui4dwTe98t9/TIG3mc2qAZrObW+S5YbZ5zAV
PmKmW1kZIJnZdV6srrSfosPCx3LO1tdvOTsrqlKFdZHAVq/gvXYH5EEv4nbjL6QvE9CmVKHoy/C+
3HKa0VQzJYRWU1cdDacEWunptlvwz1vOAM9AmhUdqstRnqKO9FIMgRnty3BtapvbVhZ3CqppbFyR
SexxF4QFba26paB51izQ+wQSpgOSQZDYLa0Emhrg52AaEHiJXR6sspptgGwRySMAyXISpObkZuVK
+WvsANuyc0Psm519dllKGj3vmKG2qw5p7qQofSszpAXa9gFP4NBregqRC9P8HGWlhWS0EWRmrIF8
A4MNtzd26WRBw4odL1z3QKdc/pas0+ZyVlFostJAVkdPiZ6IvO/Qlx0VQWd5yRXPTbH4crbsolJr
IC9hKswwrqE9DpGo7L5swcQ8PevCAl92aYEx/VmQvYCzt+uqvNN6QQK56CEQYPq/v88FfKcAnWsz
4u/XxU/0331SoIbrWCstFlXXv1CL58H2y0fwVtOYHDbIYjlnhCNC4amBKZTE/MgwNmMsBQaBKGs2
BN1s+T0FlJ5AzC8tD5003U32sJ1b6jVD7yYaUyWW3XhwNlS5o6HzOBSCvWCB49YP5Jy460sKfVD8
QCq92eZDZO6ATADGqO52dbXR6F/CBfj94AJA3kWGE8VQrkjTFqD7DhNp4LgvwXEvmipcCjXslfx/
O8+ldtD6MDA2gIUljR9pL510J8ur24du0U9R8QCtPCSRAUq89NNBKgw060B0nKiHKFXAriOCzl0B
XP7Zrz8mOFedzFIf1QT7Rb209sDgA17EgKwsTJaY93Qr+cXv+JmebFGFQ7Q07r7pZyuSKvad0P2L
77oHsIlD5cb9KR/QdfAVr/JEKOPFCPZnM/mx77jIHFTZYTEDKWHWPrdQ1sres/Yg5b1/+7stoKkR
uc9scdEyHMIuhZ4sbG3ng7bX/Npz7hyvWsXb9of8Q3Wtw7QxKtd+mgVYUsG+OlzwDB2zGWrGjR3F
1aZM4oOpZ//hjj1fHBdyAHGYxgT82p5j0nWpDfeFUbiZlQmcX/S92ErProG6TxtdCbGHE5AyKDNb
4EWsU1/vT0PytzVG7hTw8m/Q5lSn3sSuqZ3um+VLbqauaQv2bQFFfekVXMRI2kFvZQiIYuLZOeiP
o+8E4RYtx49uHwbZrn+aXJE7LEfff483X4QKZSW2nBbfCm0iuUnRnDlOw7E2E7cx/UJZO1pw2/WX
DaI0g8QIRQE+ZCnUjEcjw8je/D7c1V56SB/mnebFb7fNXEE1vr4Y4CtgKYcU0tV8XIWX9KDrsGPF
hzjfheN9ZifATryZYP2Rg/j/kXalzW3jyvYXsYr78pWbJEvyHtvJF5btJCTBfQf569+B572JBLGE
yrxMJnduuSrNBhroRi/noH9DwdQaRuJs0UjG6sUP4hobzXigr+FjzJIuGakJRCfdTTmgrQFD+QnZ
CBRcNf8TKZyxjMTKjIRJ6TCQsTzhnRymN/VrWQex6bX7edc8kW/gNNEfld110SL92JedHDzMbM5I
3eAwOPaGWJsWg8pq/1+uqRPtOLfTlCjeLQZk0CL2SkCXoMviuharF+GJBM7BxFNdp5IECdhGN5Iq
bzQE74CLiv4/NgiQCNCH4rn5dd5PFgqTdepSMspw2Zs26WPuG2HjLVvzJUTBwBuP5lsaJnBqdtgd
vs1utxV8wLrzRu/0/30AZyMUY+uVGeMDqH+MfOcz3be7X9nB3JFbDRCrZuneiKZoVs/3iUjOOCo0
yZpVATbu0ibPBDGQWxRgTF+SyvQsbQZldT4/5nH3DlxlgV0K1eWMRlNT2psNZJvHZHSt2HfuSGhu
0ofy1ThaiSdtGM0ug1gX2NLqbYNiG0bQVaTzDZ4fpMmmjthsp1MjfihsDRCEz1PXBCmpD2NneSWV
H1r6sfTgmCOBjobH68bMNpIPogFojTetoiOVw5P0TVIxqa0CzQuiZCSUrVne6qOEnCbIug62XSnf
rgtcuwNgV2DnY4QoYGo7vwPAt670yQiFncRVsto1y7sF7VDXhaxdcadCOPOFbJrWOoQk2meK5q5q
myMmGtrnbni5Lml1/U7U4ayW0maOxwEv6Zr23jCVuK8XTHN3nibCrRUtHGejCIfMvC0gqXfe43hr
ZU+WFVxX5iKzx+4dQByjJitjUgnI0eebo5uYnZDYsW8sfznogemDheSXcTM9D/tkc13Y2nm3wMIM
6lC0VV3w0atq03TptOC8R+9WGmYWph7r2m1kd3LeNSls4o/rAtcX8F+BOlfjsfOhJksHgWqlBchf
utTswwL4YdfFrB/pP4rxnGEZTVVlBji8p960o/fcEV/92SJFupmQAnYV4os4Fddt8I9i6vmu1ZWh
tGrJbBCz9GWg636ZP2kiiNI1t3eyXzoXnBslUBUGTAphsuutQP9lLXi4if5+9vMTn2el5oJCo4zk
DPVIH7viiddVi2Nh3VfXAXoQziWMpMtZCQiBj/XU9rNH6EuLzl9Hd2Npl86v8ihqi1y9hxjeApJ6
4Lbic1sxEGYivYJERzmk0eiVJCzjyZ0GBRmE8Lrdra7fiSzOClQ7lwyjxfox4BTJfCg0wVV30cfw
dTucSOAsoLTnUm8pJDQmmlZv6vapih9b3SubzUAOBbII5AagtZOkuIrplcJGZqbBha9ChYnhnqmo
OXGuAxSupjJEsEBMIGD4p7BGNKqlUuu4LbErdONEpTdqtHnMLbO4AzlnVnnIsCcYSlr0FjNZsejk
rV4pgCBFIQTV+AsoQkuNp6aLNHwRcJ/UoJtuekdwJ4tEsMN/ciy0wpmbNNcRChLrNhsAQVyS2xKz
09etZ/VsnGjC+TE4l9FOF4gBL1q/Nyw0v0WSckNoimlcg9yAfQFYDyTe600lynethl/gDfl3GTnX
NrW1MqsWlvExB3n0nRpE3zu3L7fyXnso/DZQHxnkqugFu3o4T6Ryzm7qh9QYa6YycDpkNWyzpyrZ
VIm3NIJwevVo/pHED4gT0o123EJSgi78VpfdXhUcfoGV8BeNpVWW1VaQkOt4U9WhSltXLwQZUJEa
3A3jUKU2EwfbNCpo1IOMp+s2uLohwGFCcAgOGYBInJt6SUhJjQZ1vBTpednwCuqT/ChF94Rur0u6
qFqzqwzPM7yzcZ+BK4VTJcsVkmtmBZdpz26k7cfxd87GBm6lFq1/VTBpW6v4PkfH2rgHyJJA+pqi
KHTI4MNEAgU09JyiepYsaYU6xPTghPqmely2FUDVdn1wmH0L3SHuofWGzpMErXfrcnWQEQJ1B8E3
+/nJXRKhXZ5IIEgGFHT33iZSaNIfSe3cUeNZy0T9G2s3CiY9bISRYFxCLvtcWFUhv2EvyEmpmIWl
y74gH1SzXQN8VeV+zPyu/3V9WVcFAsgcDEgALgVPx7lAqUaIUiM96mV2tZ+7752NNCi9TezJW6L4
eSkAMJURwV6yv5T3SQga2MwWOHWAaHou1EK+xiqVEUJ125WznTru5/G/5IXg71ATwHvJBJLFuRDH
pgOKSsi1tXoXdtGCpnl508Ui3oDV8B8zqQ7UQf8noOTO5bSTmpmZxR6DaX6c27tlRuK+7W4xaR0U
vR4mTXIPpMnHmXSek79f37612wXzhBiPcsCqh3LguXDTWUqwELK3B7psJHoYq5/XBaxuFcaPUIYG
sQQqaOcC0MzbUFlD+ICJHPBR4exLaHePbYFFMId8YREnYjiHLWu5XVksDgOdlDuoqjsU4Jt70hP/
ujoiOdxhViplGgcbz4wIMWwK0OGseG+U3jNEuDSr5+pEIc47p3ZkDvWCdatU9LQ473rt6vlTr98N
ll9W6bazBY2HqxsFdiQTlwcQE3mcgnoaHLltcD2CsnNe3mQToEWCbtE1EQ6mK8E5h5lSlfeXICBA
plpCDtQhxLNoUIKIpheVwNYs+lQI52TAO0D0pISQwrTvZXN4cMrH6zYgksBdDJpWFtVc4PZpjNFV
6J2RC7Zi9TGLrg1whepIQ6LzhTs08pzGU4tT2dmvcnXrDPtZfZKGbyR5UEovOUpHZMEX0Rt6zbZP
pPIvtQSxdm6w/M2ULWAXeekx61HbwFzaXF8/Zrr8WT2Vw114cStPtJQhR2nMcpOq88NIX9vFAQrj
Z4GBTdfKPq5LXDW8P+tp8DZRZlqVVThMmSF7Zge89+Exa4LrQkTLx5lFoXZq3EZQa3Q24LB1FxNj
0q6WCF7sIjHMOk/CicrqJo1aEFPjxZnT2S3Mj37a1rKoNZg9zK9tE1vUE0H6rOSWinYEz0BOP57f
lwgbdozqx5YObpzVnmqoiOT+QzMHyk0YP0I1CH2EfMbDITHpVOYO81G+6Uvrdhyer2/U2vFiFS0H
3YpA6QGO67lmkQEeYSdiIqzmtmFpAcwxpsngFkRz5wlTsvKNpZX+ZLzR+E2tY0EgvLKF6CVB6yaw
uXTMNXMrixl3pUhVOBEZ1fKp2hD9LZF/GKngnK1Y/ZkY9hknG4gKR6xnFsT0/bCNelDE6c3vvpT9
68u5cpzPxHCr2Q9LM6Y9xOQdOeogebXASvJALefYVpHrID1wXd6KZ7Tw7kf/BKCkLrsoiAJie4Kh
To+YzYuuVkEy/E6ieCNNT2w+nlYfTirqVF/V8UQm+/nJUqJxdTKaXmVXlt8uT2324LpanbqkFzRL
re4Z3gmIa0G0cMFSWHdtEadMELhCNoOdhONS3DRLLHiTiMRw+mi0ja1JhhjabxrzHuiy+d+j+CHU
wnABA4HDYeY7mfqoqcvMBtXAODlumQZOi6yVOyJkwhz5dYtY1QZz/JhaxHgTShznuwN8DhwpJoom
kz+YW40OXi7Kl6wLAbQp4hdoxuPHd4WGmX7DRtZpKr1c/TaD4NOIBZ5/zc4UGWg4CMWxbPzUcxxT
VYoHDAvqRNlECSobRAeUuT77zuh4fU6ROE1FLANrmjHMUZsNh2EAk/38xLjJZOJhXMfA6+tt2XPa
ovEtZ8RglrYI1Fu7+E4lcTfSslgAWs6gXuLoXj3oh3J0dnGZ+PA0u7+3CYB5fEGYaAD04JQacynK
nQxJ4JqawSSTTUvMYG4dgTdmlxvnJAEug3cobJ0hC3FOH2A2Tl6BWBZz1aWbzhsAzSX23rTcmYTX
FVpbu1NJnN9PpGKJZgqFSilcqOqa1sfoBKMIOoH9NdcU4tZNkVQ5hroQYyx31uRsqqoWXODrmjC+
dhwlA9il5/YGcgQLJVFktIry90yRvH21hmAS0UqsWTXqav9K4a64NAMleMKyxEN9Xw27OQkoFdw7
6pomGL9AZscCugjgf841qelYZDIxoImLG+dnfUgf55tnycv3dGuE7T7dWTeo596pbnmL7uX9g+wj
Xnu9bhhrip5+BPvIk+ObFoUzTOwj+vmWGi/SkHqyCMROJIPbspZOLTwuZNh6qMdvE8DOMPhwXY+1
uw8FecdSAZSt6/yJpbmaUXQqIxFJlo+6SA6jVuwzjYQ5OAmMxnZtJekEMtdiCQ3oMCw7B+pLPhIz
KrBl9TH0SsfaV+RbArfRFBWmn2LPrINBRUFMYP1sqfgDdiqS264RYO5xLePGaArrFh1xnjoVn2Ot
BIVjh6NVbK+vqkhDbud0IAhokYlVBWBA5fU6fY9qkFXkY/dWjfJ32YmrIEqd2wL9yILFXStdYQQB
Q0oyKkeAPuRKf2RMSFPPWF20kIVamu4UU/WUEbzIVr+Fs0E2kviMQ2MctRD9o4Edv8tSfJ8nAmdw
eU41QwfJoyFj2hzYlWyRTo7IlCdFnVIkmfPBcUd9l9Y/iP1mWuH1tV634D/WxF05kjxkNK+h72Ip
dCPXyBcatjz6hSW90yr6LlfKMTFEFZVL5VClAdE9a13DICNPEhEvhTrXEnNB0x6vNY1mLibP2uj3
deXW8pSQY1qAiNBUZCa4y06nGPEyK2hXqOZRzkxvzk0fOKibRiL7Ivve28XOoDEmZ+ZtbAyf18Wv
HhuWP0Ti2kR+inO05jiOLbAE8GaqPvuswElJgZA/IpJ4L6S/xSREyIqGjD/COF+LH6VR11nIhanR
Y22+ZEu2czoAXkv/5TFzKolbVKNqemK2UGsGbSzijL1VWgjHre1AqzvSy36b9K69CGdRVo3mREP2
85MTUeJHtj1BbkLqrZq3HgFYv9Fg+sTJj3SePfSn38dj6alE3kZD/1TU5p2VTpgE7fNNkw2uMopI
3la3+M91wVeaGdByC/AkHB8UDPIkBDiNqfsRqnfzx3VjWj2oJ5I47SerdSolgfY6/aFrgFTZ5ih+
oUkkAvCBOQpMd9V5nkjjruBqlnUF2HJwMhqGA2dgq6iuAnzL6zqJpHCXTzJlBsDmmSUBWmEKdKMF
rLiIOmPVm5yowl2kwDMbEoXd6MvQv4Fn5JCAbG2MXqI2CXQzDdLkvcRwzP9LM552tW8kM6IFhEay
6uuA5LC7dFNLvcAxr0W+4ArCK0gDVgLQjc+PhJV3teFkeODFlhFOxNySJd/8F03+iFDPRWCwB9Sc
Eu6VboxviJWgmz95iZZFIGb1cJ9owt2VldaDgmOGJvoc79quPirjo1La6PERgdyslXTRLauD6wyT
hmgq4xZNd/oOIEEOgs94cAE9thiPeeca2oulg0U1HKI7QNOW+ugOQwD42OvLKZTOrWeCsLzTWyiq
IpFW6Q9mcpPYQPLfq22QDx8mvgQIr8AbV9EiOAXXpa9eIieqc6vcWVMztCwhUKUtXpfeYm7idPDj
4lvpuLoksM61AdWzleZ8UhwndVLgSesly60xBjV6/o1xs6QtwjfAVj/mqk+JoPdg1ZBYLzQ7EBpY
wc7tFTwFEyhJILOOkl3ZgvgDBevSljYDVLy+mquXPybewD8PihxMkJ+LGmejABYFUgNA/0ZLohJI
gw5Qj85b9DfEln8dEDJsA2awgJwC7zcnba4A3ibpAMnGUwR0Sln+s28coObFQNYCfNK367qtJpwR
fmKCEIxnqsznwuLKsQF3BHFofNQ3XVYf+q6pfKOP6W4ks7kZTO2zT5sOyIlD5WvUjt06Wp4KszYE
d8PlOiMUNkFHhCAKtWb+Mp2qVhvQUZh7uj0FKs13pgOExE4HBuf3mOoCq710SufSuAO6jECZIy2k
9YviN6oa5NZ9Q/86mcmEOBqaD1g+mO9gUZOMxpaTYnS1mD4natJ72xq/VaSvBMmeFW1gLKjUAyIN
gM18/dLQgQmLMBjQ6tKPDnxaQxoIMTEuPSyoSBDHs/KHhRFBtn8ngZky0AmwPeyYmx95tFtyH2Qr
gL/wabavqlf6ct0011RC3w+IWZFxQcaRc+hyLyMNFwPoN5sDyd4a9tPy911SGmst+j8RfB9WrU7A
paohom2Oefy9MQOpFDgCXgvkS8/gMPjYRx06AJ0CosA0GEXwd9bgPIrKvl/be/py56Vwa6WbZjNG
M6QQQPGMWbdJ55dqXoDK42v2O7AJFAyQA0sVRFTAnkAUm/hLSQDO+VST3s/SsOrfVAeIqiCOXN6u
7+PF6+yfjwM0MHDEkPPib7SuLOuinhVggQ7f6LzPtZ2Wh6PW+nTZxvPPLtoXupeJOLEu6GN5sdwB
z5ZFk5wSgHMTuz6zIAP+SJqnQS9JGE7zbcX2qugdpM1K0rpVDtRoy5Oa0p3jTS49FiqoEzEX7hHA
lfb2vhN9H++jvz4PjcCAbMI9jxHu89NUERAKJhJWxdQnn8woTPWj6wz3kbXrsu/z8ijYBZE8zhCl
KkY2uMNykJRugfWopJObKGFd73LpJq2/jfaTYRxRrk1QQ5X042wB0CD+RaifKg9m3Qic6oXj4fXn
TBbZ9kIZCdse460cll2bgxQW0ChD+k2VvGx4mXW0yuTPzYwvCgSLwReQOeE8EwUiRoOCcdgA+moP
7KVDHtWhGR0jAGQXgFmrfzrJJ/nrHIwCdj2V1YLQb4SOBS4qG+XJnhrJBt+FvDMIqK3BXWAcNOWl
HR+rSlDPuMxwob38q5KMEAm9jXzphM1MjouE7tW38CPc/br/DG6fYl8El305fwwxKM0AAB59VMDN
48KVWKq1AbReqfdiuMcwdN2Du9m4XrAV1Pydi4APgkDrAihAeDcLaBjn50WN1LxS4zr1/KN/DN+O
//wKw2N4dCEWv/Er+N9/8R8bd+fid/j17z8/DNygdA8Hz98+PGx/P2z9/cPLw8vPl63Aui4cJfDs
UERHghG/QY/KmXbR9IYeVUh2T17nhWGYel+/tiJunUtIBiYIGVsFzCYgi+SbceSpKrJixuL7e98P
/RBKB64gTlrbYQ11P3TGamhJAIHK+cK3mlMUTdqkGJPf71/2/vFHuHn91N3XQLDFF44CPv5MEndF
yWWsRE4CSfvjEdvmBSJV1jYGo0zgxQUTNtLqnCpp5VSkS5GC3B99/+0Y/nI3MAdvK8gKfOUbT90x
U+RUDqeIMhZVklWQc/zx4+MZPJru4j5T93EBa/mC/8b/g+jgEHjbp9+19/T7CTMg+Of37AIInP3P
w3WT/MJ0v/wi1kSNghBGC1mYchK7tUDiKZNOgaWw47K722F5Xc+H7lvPE6j/9ZddE8aO8omwyUIL
ldEwYT6s3w0fNziZkORvfYGorzfBhSg0FGN8EHccCCrPRcm0i+fe6ZioIzsB4Y4de3YRQD3o57Pf
/2UtT2RygUUM3tyha3rIBKaJiz8yF2Cl7gu0RSLN+7V53dwf7g+HQLCJl1P9zKxOBHMOZGhGNZEz
CMYNWLlh+Lz57t2KLpXV834qRT9fUitWVBBsMPX8I1BAcYPeb2Cp30RmchEBfJ2SE3U4mzTTvFXk
L0FvfrjbuLciCV+Z9wvrAHAW4k6whRg86LZGqlLKQJ/BdmpvuW9jOAR+uLn/rIPPr6vS27IzIHC9
68f/RCx3/DMtKopFgVhmH5n7NnhvL10wwR3MXu93wej7Fk6FC0+puz3+yfGfr2AC8PoAiPKu6Zb4
B+svcEwOH/Z8rfjJh3GOyS4T0Nro/2wtc6P+8esPHBx2eJhHhRtlh5X9gT/x64D//TpMOE745bNj
fP08mey8XNklvrlTaqJmkM++6uvbQv8f782+gn0LfsMjsF+iL9CYSfNfoKKzCSkezF6jt+nc5KsK
ILh6C+YJJhgRxdcvXJGP7iu0v/Vu2DXpP4SioOYipkHfluGgYoXsABoL+SI9WvgTbbQhdxzm1h2A
7qU6g+tkRqDlIlK5L+ryMyU5Ydyt3JNSIomtwflV7l3sxi7eo97o/sJ/LS7FnzGL3ALo60LtzeHe
e9w9bnZBAPV//374iWXZhewgvTzstw/+w8vL/mE7uL9jf3J/iiruzBNzH8v6s2QEBKhDXjRiGNlU
lBhJYOlTOWo9NMhWTQByS5B8NzQarM1iLekubstccMmubAm62wwVz1VgXKHUdm4KdiQ186KjAZMq
tu7i+Tb44Lp6M2bMvGVlK5rkWBVnYsABiRVMH/F5m3bAaMC4UOQEpB96k7iSE6hO5CoiloPLkTqg
CcC0ZUCFo3cbSPbnesVTKmsRE6S0YKMzvQHIammJVmCwf7AK91scfevKkJavqrUBfwa6unMpsM3N
9cN++SzhvoO3wow68sBakU0C4kkVaDROCMZ4vIH1+ohOiqg8WLg4laABCI+dHhxJkCljly9nWWcL
wcWA3SLV+aziA3Qlib0J6UwUHN3SSCtkRrKgiKOgVY3gutor5nwmlPMIkVYPBmENyz1NAlLftOg1
RBlRGrcS/f4fRKHhC8RBBnpW+MR4FzmD2jg4OQ6QSKR4UyOz2aa+OvpRJHB0zGYultLB6xIlFtTe
eeO1s8rCCC1r1XTuln5XjK+LCMV7XQRGPliiX5b5Ig6R9bFsWD9ygtGjmfqz8juP366v2GUgwmzS
+SOEC+iSNokW8JGigN9ZcgcSELkDN2o8vBUoOQemTfRtnC3yU0lztPzU9XToa6C7BnSQ0l2Wp4bo
IXThj7gP4gK9JlGXOtXRR5yoviV7bQJcGds3or01PkXJg5PuGidMB8c3rWNqeK0i+gAm4HJnLaRA
UEEDFAMXVgPVS18sNntvYbKrV7xCCjR9Z8pHo/MqAwUtyXdazwLUc/Opi9rjLutJX+r/kc7thzTr
szE3MOFK3iT97WJFrpp+2LM/Ta+yHeZt2LUCjdft7I9IbsWdKWvGkg1padGPPHuc62Oh/75uZqt3
gPNHBBdXV428KDUTAcYduf0Ej2Fh340LiKtE3QoiZdjPT95felHJds5QBjQy31bDD8mRQzUR1b5X
L9ITfbib3MnQJ9mOTEoP7JYaDVybyfYspLmtNrBE3awXT3fOJrhru3LK7B80A7rcg7hbd25N80Ax
owPysP4GDCLXN0sR7RZ3Y6Owb5BBwm6hnLi8Rb87V9suH/lHvKt25LF22032DIP8MATR8NreAVUY
femotDhotz/fO1Nr8jb6qmvWD+n0HhMwb4iwwgUyeJDfQc2UYhpRyGmyCLRHmasO2wlUF9eXcC20
OdHkK9tzYoUquGsmDHCiKSvXnsE7HQy9L49T5iqa4PCuWSIQ7jFcjPYv0MpzhxcsW3rrJCjQgsgK
kA4FyDLmtyEd3MHYT9Hmulqri3cijDvGSm6YdFQgbIqmwIwfCDrg2/HjupDVtTsRwj7iZO0i3ICI
CiHEgttTx2NhhjmIAuVod13OZUoBx0rDRBMKrgYaW/mXj92X8TJ3cOFgkXerTzpOLsrdvqEEbaMG
dvKUgyJIqfBEKL2h9WftLqHv7SD4jFV1/3zFV57zRF0w9Y2pVOMrSsCGTO/UuNHyp0gSHK01KUjI
4j2B5msVHHzni+o48OFmhlJ3v9xidMGxbyXqY6zg+pKu2QfCa1bSAVfVBYCXWY9JNxVAK+5iipa1
7x0guiYimMW5TLFh3wDUijosm8W5eDnOkwJadSZFAXazN+RNroPBqbK3mdoAqgP3fwYKkCVvgcZr
D0fbXupAJpjcOVLT6lpPs3O7+TVJyJWCZ7GKHdVbSDL4dpyrv+QuNwDbGGHkI6iMUm7CbkaPbqDb
Rd8f0BFL5Q1AySkik1avdV/Xylg0urW2WTYwk/EqRmoPdefzzcpLVUG7OEh/G0X1yygoFFCM2e4w
Cyr07LjykQ6qcIhxAHOFSJ/zK3WNXnzJwkI2bTyEGN7/jTZZ3b1uE6tCAAmAoUEGZ8rz/UaDnkgg
z8Wjp+r2KVhFMVgiuANX18sBexijiGUcaefrZY7J0CwLOg3YiJZP6Y9WaV2TGrMPRDLBQVpTB9gs
IMlyWOeyxq1ZhLpDM8+4nbK5cO3qYczv/369sFZonmHAPhetW7YzAvA4hzIGYykddqT//C8CwA4k
s9YXPF7OV8uJCY0dPQEn/GQB2U72bHDbCDb9y8HxpoU5QAxTAj/BAAXzuZCqVYumJQTNH120UTBm
puJFW/iS6WvGS0wmv5EOpS27jqgVcnV/TgSzn59cp2Mdj3ObZ7lnNeX7OFqeHquCY7Nmbqe6ccdT
AXIWyKWhW6x+N1QNfUHo0TDCWdQTtBb2gR4XNCzo7sZDk9soMIlYNllA/NVamEdImk+MB3p4BrQj
uXco8En1Mj9g/ENg4avqgQAOA2/gXMBE+PkKFig/9tEIscDqTTBZqfkZsT7ySnsppZ/XTXHdTOAn
kKAGBj/asM5lyUgWlybjsh9rzTOjg1XdzeZtku5U7VfVbA3jQVKfrXF7XSz7Wy+ME64fLgqVPbzf
z6XqaTUjKICGZpvcq0ARLX82ICS1s40+hddFrXrEL74HDGromEc7F9UkmISdO1zlUuPcTinmLCbt
0MdZcF3M2p4h0Y9mz3/EcBF73ulD1Zu4yedIG11tol5hVW4KGjMyiICpRbK4KF3PwBgkjZA1lt/t
fF9mx7y+HUTE16sPYXgmwICieQbYq5yYuEjnToM39vAY+TV0xGvkwbUAvDWYulsk7X1W5n7VfKSt
qPl/9QoxwZcDEDMd8xvcAaj0MbEaFebR9HjedUq7jWIiwhoVCeHe+US2gCE4Q0g6ZS9TJD9bhUjE
qpnDVwEjh8WX/ASKNFsOXSR4klkafjVxuqun2QMB79aefjTtKLD0tYcIRvf/lcYppMl45E8VbsVB
WRBIy0OAlKsbT+92Ir1Go3OrGK/XjX41n+o4ADDFEQZOtMwdLnSSSkUqQWSV1A/TUnhKnX6z7Oql
lGd3Aom5USp+XwJIM9LeNGf21UH3B7sOAA8mcHjra/3nU7gDGKFdNM8buB3HmLxGwtG77ZtgMPog
pwJRKwuNwX4FSXN4BryUOfPsWnVpii8+SAoS+A7g0WCk2JpW4cf2D0lEwyKSxm1rOtg9Zt1LHEO8
l83lWxMDfEFFnQZPJufGLLfX93TlcsEQN1ot0EKCtlwe7qarW2NRpwHu27A2yPsN0k+jf7SXRuDk
VnwrRoNRGsWliaYAHupXp62UtsWIBkt0YLXPgDM3pJtS3ypok29VvJ5rQb54bR0V1o7PCO/BIsJd
Z3YxgAU5gqfLl3sKJKmS7tVgN5Bg7DtBe/iKLWLYHhlwjFk7KlQ89zmyZLaxXMPndIO9p4grAPuN
ZmLghbhRZt2b+t9yMKKhCwItdEFhUANUY5xuS1zRKJNwVZNJ3QyS7fYoaUw4Z39vGydiviq8J6Fd
26m10TMxEZ5FpDvWnRfVakhVwU22FpUA8QstZGByA+TD189PBDWOMfT1MiFCrlswzcZSngGBUW32
c64/SLRLH+x01j6jBpi5c1llYULMAYiQiVkK4fEuytZsbVG0QkIEkKloqjrfTCmx1aK3FXwLOdQ2
JiemHghuLHZ3NS2UZFxoqKc4zfv1tV411xOxzH2dLAG48Qo6Jiridyo9NBUOYmK+VIm9kZzlvrEI
2NWE9KFMFS4sO1OVi6uNiEZaV2q5V6u/aB3QcaPqu9g5WM7O0u+c/hvAwxojdw2ymyLBE3LtPjhd
Zu5SlaVCseYJ+qb0Ryr/mNQwXxjn8g2QiWKnc1NRklW0wNy9unRRk1ZgA0N5V0Kr52uzfCui2FUr
4k3FD+WvYT+YGWG4AA2LmKsG1Nf5fg5Tv1RxBTPq5diVum1vaeFoezII7qdOUGW8nP9hwpBTAD0c
sBcAS3AuLItpNEopdNPMWkZuPEUDyDSj+7jQMZGvRJ96TOogSyb1RpWVJylSNH+yetNDAtiBE0+K
3XVrXrsR0WQAHBIG6G3zmT5nqhtilACBqCM7sIx6r5MNwFVsKds0hWjM66L5ml2HJ9L4jB66m+O+
Tg3kp8q7QQF+X9M2oBh+wOXlJZXuTwXxy1Y9NklYK77qWTszfa7JAZe0VDzKlkvuKWPnEeGxrISc
+C5WB0f6jPHLnm+LpHUSUmpYBYq6aNbUd3ANgoVec9/gJ2WgL6phWyZ3hJ0sSlqpZ7dVllqZP48Z
+stna9qp7dKkYUqd/un61q5JRPMtmhqByoeUDGdrY4OKmV2iVx0jV+RuiDvkyeQlOzajkmJutBdB
EzAN+EsKrxE2boI2Ygx4ny8iHh+GhE5mPMo7yY8GTIKAsf3XdZ1WHdCpEO721enSyVMCIaPkOC6t
iYf5xCA3NL8nk1uNdLMgk1IS5wF4ThiNSn9e/4AvEz3TEqOvCCHQqw2YTTQcc/so4+lPpAU5InLQ
fLIrgilwAn12JTTKaBvyO362jrg+Ztfy6efgDb0gxr3s2eQ+gG37if9JHbPQIgsfgDayUNouqasc
7N/94e2nHc431I/3dK//VgPdHdC7sM+e0TBPPPnmtl+8JnJBPyD4ogs74z6Iu0AtFZviEDymmjkw
uwp1vjDF9E8sGii8uKogRwN2DfhEAZt/wezT5csQDUOEZkp6B2ANr2vCqb4f1C6sJ4GPv/B5TBSG
801GN4g2Us6Us8YAJKMOUXY1OA8ZGlcfprzbA92y3VYj+krVefrQupnus5R+Xrewi7sIsoEY4LDR
O8zF8BfFFGtUam2W5YSVR1YZdIpAuwsHyyQg4gaRCAaZLpAJYoBa5qXJHofGEFiS4TpWv8/q9LW3
Zm9ces/CcOp/UAoPbR0Qe2igkrlTQ7QhTRB3I4ho7gkAd3trc13AxeUDnQyMG2AI4Ksfnb/sCtI6
doPJ2ai8XxY/ax4GUf38yxfyRx/crijgYBIRtVhOCQtz3fX4lXf5Qe8ImJM3YxgCgGAbbyzH6/wl
CCbA5RCv8EVnbF22CW4bbJ0F4GJmsSen3jZbqqQ2Xi7ZlmBu+akMcbl6U9ABA8uTvMZ3fi2mtxzj
kC5utxcOdKyu7x/5/GiMTNJa0ynkD+CbhVsGbrhn+4tXbaZgt3hT4iuewH9dFtvZnp7I5PY0pSMZ
Eh2vmqRyyQ6jUDfWm1S5H6hQf1Io7wMhKYhe66MI8eay9Qd2iuca4MwcwPpcTGHVajUA8Ttmk9Kv
YDmV0VkzbmkMcJQYTS73I+KRBiNzpuxiqO66IV/epuei2eE92ei6p2gR1iBateiOKsGkmIj3H5fe
vy7nMhTldOQsqk9VJSoXCKoP2s82XN6KGx1kcC3xjEAP09IdttclrrjOM9V4GyJ9p5NchkR59vQf
1Ra47XfzMX4ct7lbHEHp6hle+QDutG8K3OdNLVjZFXs6l8/ZU0mUSE7B9+AlO+nOeYpf8l3zQnzg
XT3PcbCAK8ctveZZvV1EpZfL03MumXvSKHk/0V5J0ORjo487e03KOuxFKLWXTutcCOe02iidSDdB
vUUBfNcA9lG1fuwc6la9/BIrvVu0k9tNjnd9Wy97SM8NyeJCMgq9sohZrLwZDzLZOm7jpb9mxx0m
V72bfHqj7u3Q8bXn64JXF1VxEIqBBRltHpy+9dRl8qJjURlNrwq8vOolEhWaVk8jEL6QS0XO2+Gv
XbWJR2lkMhrHHLeT4fzKlv/h7LuWG9eZbp+IVQxgugWDgmVbzuGG5QkGwUww8+n/xanz7ZEoHrH2
vh3XqAmg0QC6V6+l3EPGttjioef/hwH9NTbfHy00E5D3g7FQ+63L3ohTmJG1TXCRNZlW68TIbBOY
kOhFoz2MEOkQELc1DhEwi1mq+ULdV4o3Fj9V6f36wFZm0Zy5P7Su7EEJYNPmauaKJLrV24HQ2M4l
L9eAQb1ubtExToY4c4xUDrLezCM4pPYQBseydZq1Pso1EzOfD+0oHE3GsVTWDwDCNWREzDXS3eWN
NQFckTyHDMQc7AA1Gp10Osah27eS4ozlbY7GEJz+2jZIdjp/NiXwHMtUY0j+3JPEjQwIJa6lLCaH
OL/1wGFOvmJa3JMDyc60As9UfEUvdrJG1bCnICsx46+wv08bNOoGrhF69iq50qLTnNg1z+2GAu2l
RQW7Q/SkGmjV3gL96iIfcN1ZLqtp2BAwY4MeAfnMC7mgamyQAAlgRyINpwTjUAzUtYLcVUFfScMh
RX1NcaVK26O0dt345CbzuUX/5JT0BiobtYvzMZZaxJE2hr5IyIY7TSq9OFljp56m6cIEhIeAZrDQ
CnehHMgDfVBUDC8urT0xJTeRa6frtU8jN3ds7Yy/fJ//mc3/mSPyFH5OvAV8iGU+qDG4lfFCM38X
veKygJLqEbqEVGRQqs79NOt2uDBen8oldyH/jBMLem7Y4HI1qNByAlisckvN2DEufBNsaC2ANddN
LV4PCZq1DdCRTIydM9dMQN7QZBy2rAqVg1YbqdWMaBZI3MFoqV703vTvotLuYiXZ4lvd0VqpZCxP
9Mk3zO6JJfKWWdLhGyQzCp6FKXU3qZFJbjTmEBCTkT7rJDZuWG8N+4Kr4j7txaYGhdoK5OP/Mxmo
R/1pw4ZkxvnEK2GSQiMEHyIbkRPUbttsI/OnVPux7jNCc6MHIQhtof3br0XIxTWHkAuEVYBHB5rm
3LQ62HYKMCnmgH8CohBrv+wpF7RywVmK9UhooecI0DodIKpzK5HUa1JeiOmeoe8bI9+GoAzvhh8r
TrUUC5BWRBAC9wjY3mcObCYFV6wI1yi1RYjtIWeQmVJK9RqJ4qABf3OAqkZUpwGUDroffZG/g/Dv
oSQB8sKp9hLURFuJTouhEZgWSMwDAafac0QX2NhwMIkUsaNKvUALHrk5bmvoXkkd6EEC/kCa1NP7
1GPJyo1h8a6OHAiaNOFXsD9f2hhQZA3VJScujsLoN1yQH8kQ07R+RA+lq7DwNxpNoDPy0nYNbYsP
sBKGXifUXaXHuKiBbtj+uL5C046aR1KsC5SKkArGVXC2QINZlWU9IFjzHk1fLZTzhg0SjzQI+rs8
a/0A+vXXLS7596nF2b2pQJ/JMIywCEXKkmq4rlVy8sF1qLdIazWmJS8/tTXzckWqx17tYCvGbdru
ODWL16LbXh/Q0mF0amTaAyeng9AldJvbMDIgPkZRSTlY8O19gId86103tfQaOjU1c6A8qZsQ4Acw
19WqU2UeOGxM/hnEzFXxzhtA/lY0KzF52STA5uhPRDSa63VFXcHjdlILk4MSliJHxOpusCHvY9h3
wcTtlt7H0rgC+tWWbvQQO0RqFCI1oIudjTQJGkMCISZu9Bv+RpB5xjP2kN9qNHFuJG9wgp196F2C
HuP0tnBHGjy/lw7Z9Xv+HLyXv8jKGi/FMRNkU7o6kXah1n6+xlIq9CFUEJSRL6Kyad1xtnpnW3RW
ZEhtwLpU3J9mB3CepaOuJ1C6Ch4gP+7ne+a1tts7qq9vmB+7RUedZGUzLvnutKhQoZgy/3PsQF4g
d5BX0A3LDHMojunQdqkbI2rqLk+KzolYrT9WFTo3V64bS4NF3x4A6uB9Q1JqNlhRpDjroWbtpMN9
rPk12jO7tVviUqRB7RPnKAQ+QBk2ufbJxpTrvsu43oF7vPmSxjsWvnD7xbD863tycSSQecOSoU32
on9sNPshwXGKDWLxp6ZpXyMRUqsbvetmFq8k6JudJMrgIXg9nY+mtoOAyT069xL7Vg89I77pMn8A
52FzlHUvVzzQYanGQWmfrxteHN+J3Vm8DnulCbtwnGIo8rNxtNPKxzyVVmZx6Rw6Hd1sg0WMjyyd
ukZDkxSO0Mzfk9GtzQnIb4vM9HnRgLsuyz6vj27ZLvRpdVTLcSbPfETvslKrJtmUkacOT62b1oTA
6yjdBxKICRTIBBrf1y0uhZKJYfH/WSSzx0RQp7zV0H7raDlzrAiyUmvaW4tXnFMTM1fBC4+UBoMJ
C7pARYOd5YXsyLq3AtK06lZFZ3mwVsJbOidsXPCAzkN2+eKcCPRCr8aJ/z5uc8/SPwAYcfq4c7W2
vuMC+gIkPcjdsLs+mStW55NJcL7HbQurVn8/FkC/HtXwVUjHimxF6ZRkxVuW9sLJIOcULLZmN7Gk
wVwXPeXJTaihHrlGp7rkkac2Zvst70VuMBU2SFyBnIzqJKTqVIAe3KEGL8DKxlsb0mzjDakVD6UM
c2b4lYAnL+u91Z6npbQ8uo5xjsPtAW+flx61mNVlhYuE0wA2yX1FbdkHKByMn3yMbR8s0NlTn1vx
ndnXYnQGwaT7NJMBR+9i1h3CMkluat0CnPW69yyMfYIDgjYXzyxQbc/GbmU2L2q8r5GF2gVsX5k9
tdpg5aRb2o0QlyITzBHXB1BKngdukL2JXGuRKOy6Uj9IVqkeWarfJH2HR6WwN0Ordi7ucLcoDYES
KcrH/zBMwHI03N/AngWNlNkHmGZVpAkes4H1ZJEjOqeUNdjoJZMOQVX5xMYs5GhtMWY2cuZOzSMn
jkeP1DntRtk1A+HVXDqotUnD1gCyqnRizXbitKVyptAYArcDoN29ptJa/jSRE7y+yAZGN3vhnH3Z
bD9ZZlwG1ZQ4FcyztdeuwR7as7UK10JUh3NbBtCeQF5fUBEYbVKBcQWvSlV8x+I5FC/XR7H0+9oE
UgRCHXeAeeQB4z/IV038/oh5GqB9hAP/uoVFPwUfDKQi8PlA1syuZAwSELXO8LjIjRu73vaVZ+XQ
ZvsgIdT69E3fIeWyAsO7hHTDbU5tTsHw5Iomwom6D/3OjvZkK3TYgK+Dko98Y9+NqDm/VgfbJSu5
36VND1YwQJ8mcO6FzlJiaJBzzafnmnRIjI2ER1u2VodcOJaMUxuTT54OS5EDua6nYZXQM0GOyB3T
24C/AOwVg+lx7Qq6uPumdmDoOuNiiNTGub0oCE2l6vE8aZzWlV96TluKMogDWV6fQ/lmEryRbmo/
2fwHPa5JBgKJfHQU4oU4c5qqGpjRaHincWVPwn3Rf1p85S24eHqc2pg5SZ7FpMkYHkbyxqR8yzz1
Izg0vr0JqfHIXGUlQ7ToIOidRYoIhwNYAM8nMy0JD8NJvNlScCr87NLboV4xAXAXfmQelab39ISi
xnNvjpmso14MMZoZnETi5ctEZfNDl+P2FX2nxbYpAvUzqTJ7F/BIujOzqN5HqZJ6EXqctkEuhzsW
ifqD9IH8VUZ5sJUVNvqRpDNkH4xc2+QtC3wA95u9bIwtoaOZjR+gB4O6BesTuEdP5AJIRUu46RA1
tzVP4COVUTi8atTbajCle1EGfY322mHclErJvtRISW6NtCkegqLqDyTi9TGRRIOsFIS0gWRI7R5M
HRVzmaz+gDov0O4ZqQIVjBZF/dw0nONUaPmdbgq9crkOhSGnAFBJ0Cw0AeQb0Tr1Whsx2WDiukcc
KWyngFzPg0pkOIK73iLbsOjzAqWpUhy4pk1fFkS7Fs2brlo2GRhtSQi0pZ13fmnowpezzk43DSub
LUoF3c4IUs4ceQy1F5aM1r4zKqjFy32mcS8gyQB531QmB7WQgy3r7D6iRSVXFW0wiX6H7n5XF6P0
0StGKm3bJuFOY+qt7UdGyzfpaBvvaR0CcyDL0nOEI+5zDKzgvio64klKqDUOB2o1oRygJOKC+Iq0
3iDHyps2qnjqs964SdJG+WoSof4mOZePnZlEXi4UjjdlgCYlV8ry5C2Nja4EUDlPfmWB3u8jdMa8
Rkrb7vJMGR3RDekt/ntzG1pWBsE6U7sNpEFBAVYLd1avRrcq16GhCN7GgpYoC73ZpWo8dBmzIxDz
Cq2gBbGSzg9SxpJNU4TqLler+iGOtNIH4NSunUjThj1U+LpPsw1lQK4EikoWuHc3HQg2AaUBJPZo
Jay6S4IyKtA+Ml1z0Mj4xOI0e8yz0cjdqAiLXZOX5QcjRogiuyK6L9JGkqCJMoz6Xg2T+j2KTcmH
DkSxDxpZe86aQgt2IK7i2yZWxwf02GV+Gg+6IwWS+aCbZbCrlUpH6Z6ghu+VTRko1MhQPIGiHwRO
NklV9Q9J0Q4t7RM7OHS6lG6NQIJAJy8khZpQ2fmRAajzrGFeQloC5vrEFL3KXMgPJs95RPonldXK
p13YkcMSW64p5NCz50xryy89QeaRqplRWxDoCsu3vEvsh8BmFejuCk1D0wRJb6wOMj1j0/Z+klfd
s1oOqqBMEvk3qAl6TwHi4Vk1eFo5iYWiMk3VHDD5lNvhkxYHYA/gethRhvfrszqokp8HjRZSOZcT
yCwEffeqCdbtgiQVUH7sDOOmK9Tgjmk1NnAu6z120UB20GRqb7oulj+GXFOoGpcEn65bQQo4b27e
pQKJL6rAy3ZlwCWEDkPEA7hIRrEnQoqPQzQCk4kO43JXQv3Rz/QaeXV9DAWylHp/kHD3+gW5ge6l
MO1ml1qJDUAbigX3GdIYGRvK0C1ELr6YFYR3iIaNK4l0+GGmaumPRJPwhMz6kFZmAXjaOAzshrcc
rzt7MIJNSaL0qUe49uWoUlsKQ6AtsYvSB94yviVFHj1KwRBujVDTsR3iAhvJCGuPaWjJSYax9XOI
IX6kdiVRMoSNlw6xue1ks+2pwfTWFWIwURxQVEAzzQZlaTKYILMhZefxKCNe3sZ6tykMQ9iOlRJ9
pGC2rGwoyvKydtWwSkLkLQTgK3phmqAgAIWA15i81hyTmbFnKHHybIHMvKJZ1UsgModozOCMFRkL
x5ar+Bt9JjaDompZv5a5HXiDJooPkwT1tg2T2B9IUn1oTKq3JVjeHCE1tSdMUbgg2Oxewkwa34jS
yN8diS1qmnH+AJiYeWDgEr1Bn924U+CIaLaQgEi7fqVcvHpPibGJeAPvrPnlQJerYKhwkqa2B1Gj
WiR0KF0rWwPRLp3YuobeJ/glyGTm3V2dGuFtGePmqgV7VfpdthsrWUmDr5mY7ucnNzoZJE0gNYOJ
xnqyW05BECKv8TOs2Zj+fmIjj0WLnmLcTK38u5xI3O/74vG/rMjfmbq4mFoNDiMMo0CoKPU3K/8M
UqcTa+ndpefK6YrMVp4rasgMHXYytNRoL1H77xMxIBn4O47ZlVAqcTgHBFNVpl4J2HilvyrW6/W5
WluO2T0wilWtBQManrTVPmrehP0UBw/XTaxM058n2cmKQ5UZ+sMCJlRoTyfoGhErbYiLYyD2BE5G
OgXb/9yl0JYbD3KKh0Gq7Dl4C1IOYp21R9z0upjfZUHI/Y+R2WK0GuQE5BpGjIf0q7xjd+NWcgy3
8TsIDjnFl7y9PmuLr8ZTg7OViRNAVkE4gYyKo+BsO47bY3sD6NVR27zYrnxYe+QsXdYBmZfBkAAV
HnteLJctCTSDNeLYkALv0R0t6aHRb5l1D3Ty9aGpSyHz9F0wy1ZoJOlFF+NdoFNAWH3xXu/uO49Z
jrGJjoZrOiEodt7rvUHtTfGdOTgiXohCtx0SK971b1lCY0C+6u8bZfaqDLk0oPk/iJxWexy5LwMO
opgfqv0mAzWIoUsFjQefrHWWL20KQJTBRGGgOnTxmBVNFubKhBiUqk05kUcKsTLLi8/zEwuzYM6a
QmX2BBe0m+GzUH5NvX+2jH5nDRUv/tNOkiOp1/q4F/MrREajlA1EhI7O1vO9WEWVVinRn6VVnQSQ
GiQetlaD5hV2z3+srN2U05vvyVNjsz1ZVmbU9BKMxRZya3yngw8amx+8JTzc9vwtIL+i8nvF6OSc
14zO9iVkXJH8hw6kE3JQyIlf6R5pZYf8lN3I6zfZy4q5aQyX5vDYAM0r0Hzz3AORy5IF0gQueRDo
W0p2P7jDbmtqphTNLMfAr3YoQlh37H6tWrXkQMBl/WN5Nru2GEMWTC4qEh+iIt/sIP8Ur9HGXMEh
XYjdIN0HNtC/hmYzmtkxh6gfDBE0tDzlr/644TRFVxahxq/0Vn8Mf+C5dzfpJd6JF2tlnyxmKYB9
Q1cnpHkB5ptldSs86lRSYEFv88f63jqSglqbEtcsx3aYE33mx+EGj2rbXVNTXsxonVqexUHdDnM7
nFypfrd0eo9rsbIBmZAJ4jYrpIMvKHfBL/Uj2kAdc62tcanWCuH3v+OeRT4uaVKGizNISF47vMm2
94pJk9fOLfbShvtrfShLx8sk5gpiAlR2kUU7Dwy8ChPVmJDEeXDHOe0Mvy42XXUbrJWWlm4Dp4Zm
cQ9MSYPdTgBfSTw34l1ju2aNEm4peJ+amD7h5EYTlXBXPoXW0dxBLXLDFO0/XGkmeQ5kqtHafKEi
nKOJkagTThFCu92AJiXP1ldSxEuH8EkxYw6QV6q0kiHYg3karUNnJfuax2AG5CAZVd3rQexy7QnO
2ImPEHJweLnMDoUkkSytSdCCRAbQ4WseOEVoAFiPlLyq/5psAygInOeTdgSIG3A6nK+NnGpNa9sg
2+AgSR6jzMObsaRwPlogwtLrA7v0tXNj0xyfOMKYZ0nQl2DckIsjcl119xKvpb0X584GWZCNxj/l
whMkFpoJ4KJovC4ziOFK1LS+CAQ2dSOncaivDOgy5mNAf63N6ShKo6zxwsWABk6eQutjFO/MHh9Q
p7yRM8tLCiCUcBO7PosL7UXnVmcRWGRWSZI/3BT3cuiwx6x1yoTGd7Y33nEHtPDP9gaC5eDfQONY
cJfv1pr0Ljf0+QfMAnHCSkllCiY5BURHRe61jVa2wEIb4LmJWfwzJTmV+ggz2/uKrz+Fz2Hoti7Z
l5vipozoGDrm3mEf8rugtiv86zO87ES4QKAlFhn/eWEtTQukXkIYJ9G3hh4pkBlpOGuzF71YWcs1
S7OZRIamD6tpRzTyHhEGWE5H4w9ty53647+MCZVmtBqa1gX5TB3qyPIZPdiJYpma9R2SZa31LItt
G6w99Je2+SS6BaVu4MZxUTjf5kZsDVxLJ+4UqKHGRYdkK/qW1NfrA1o4kMkfba//mZlFEx5KUa4K
mJG2wW3+JUGi85EILz50rn60epqudUtOP3h+t5wMQmpKA0wXrH6zuIz8aAbM3ICGZfMr0r77IUef
+X1lrBxmSz4B0D3wdOhHgVLbbHs3VdMxEWKlmHRo2E5W75LuRs0fGmMlYbLwmMOATizNvE9O9bwJ
68knlGIzCvsmqu2aapkG8fiicRUUiZK83KjQIe2r6lehv19fwsUJxQj/cGVYF7nARljjWNvThKJh
z5aIy0qvRqxm39ftLDrkiZ3Z1dySpEQjkYwZtW4iHcwfvlStBazlVfs7ltmtPEVloquUEWfbg/Gg
7EKknR+q3ykynFvjqTZd6QXULqPDweqxJm6xdAqRv8P7g5s9OVbj3kDmjmMa+/ZtsAUt+23UD5Rp
30PAfXW4k7Xt9QldXDiQJ+qKjJI52FTOd7hpDWqHHlMcAPkvQgbHUL7DwWVQcrluZ3FSIUwAETlA
nGHu3E468EaNdDhoPG5F9FXwZwmd4MW9voZ4WhzQxBGA8aDIO4/4CUhDchaBrsZOJPR8f4OCFU9+
7siiXNnda5Zme04kAR8CAUud+mBbPknftMp0slU6yMUTFOSd/wxpdoLKZQJShAA8LHZp3Y5tTjVD
gK8xeikq8iji5sDlwunDZ7V4zXh4BLyESnz0OuuDJDkdCuGNBnfMMtqBDHF3fV3XJmG6YJx4bJPo
pUFKfJtSupXtFeRWDl0hPV63Mm3ri3gNFo3pfguM1fylykq7U5UWJDxW/5k0320LAq2dXO6Hwul+
XTf1B3t+zdZsWcMU56BBYAsq3O/qJrsPW78CcQCrXVzHXBkdQ5GT/1h7Jk4TdWnWtCeqEACn59Rg
ZIiUzoqnDdLf58o9imv0+sAWVwo8mP8zMFupWJOKIS5hAFQabqQdhtpNSvBGraFjFkP0iZ3ZncFU
8zY1GtjR+SdPR6orD0r84/pYFqPJiY1prCdeJxEJcsqTjaFJaRS/9wVzYiV0oubRWhPUWJw3YOcJ
8pUgA5mTbXWsLVNzgC1RoNz73ldUlp1eXkmzL3r4iZXZwRaKqpM1GZE/xJY1Iq8OqJl7jXy0Ap9Y
z9enb/GYOTE2O+FklnSaArAm8Aq3E4dW5YnOt5VnyAhVYlvyj+vmVmZwLouGnjBg0oY/l4P3Jt/0
xSbUnld51hfSWbgD4Vo8MeAApjx/15Ni0ID8mM7t9Mb023fZYxQyuHlEh2NGq6O+MZ4a92uga4m0
RY//a3iOwFSKPG4yUNQ7lWRtRgVEG0Z9G9TmSqhdjBAnZmZHqM77pAiAk3BAkE45ZLDVt+vrtJDD
PpvBedN7qWkpwFiwMKrfBGQ0pdh29ishj2r5Fqo4VZS9lXsrRhf38smwZqdbH7YozMQwqhc4zbKS
4jYOIe+Q4vGDlOCvhut+mD02Bl4g9kfPQ0dq3nI5e257oFsAGohQB7/+TYsOe/JJs1ApNTLTC4ZP
akHQZVpPReGL5FGssV8sLaiuAS8tg55LUy+gaEWdtiB6Bo2f6vKhddJxDRu8+LI6MXGx9XTOrByJ
FIfdxR4wISANBVfJuGn8+BdSq2j4uj5zqwZnTmrkTGZyBoNgwPvOdsG+vamBbhB0/JapCrZC/7rB
paU6HeDstLZZbIiUW5jD9q2X3d58UMx3fa1EuGZl5qNBBHfQSoxqSH73FsYBCtH+s7a/rw9mKZCg
WRfFXGSn7QvqDqPLq6gvMZi0dEw8OHTij9Fa/8hS8D8xMo9WFtBvoSpgpETFKGVPNoiYogdL0Cq6
AZLaLdpqxSmWzrZTizOfkFGO6xIVFo3SJwyCfdjjgDlnh+5XvMqxujKH8xhm2U0LpjMYk/LnuHH7
9kVbOc4WSC4IiMwVMNyjVwtcuTNvqGuJiKFBVlcX1bNplNW2H1TfLMd39DrENIY6+qav0NHBWavu
LSN5h8wE+lWggMR/giH9oKedr/VjvXKHWIqkBlDPUOyeqG7nPWQ2CLFDOUcKymolZCtRLjMCpJq/
wLFRmythe2maT23N9p1gOVhWK9gqyg51Y4iuiJ9krVF/adudGplNNK5EzBoaGMkGNBAyxc2T9i6V
YgqYvH996y3FYgP00aAUnWq48+w5rn1WCJ0bHH2Kq/cxDbOv6wYWF+fEwDTWkyurHFnMNlMYYApa
J1TNAb8cDdrXnHhKlq7c9ZdGY/7hUTeB3EZnwbkxQGkHmfcEdHn9Z9H9LP+1EAKuV6e/PxtMGTbE
ZAHIfW2kb5lWuaH5XPfpStxYmrJTK9PfT6YsA2o8SKNpFAAB65tA9ojSAi6JF+7T9cVZ8mYUmZEy
mE7jC62ypEtzy8pxEg8EVcHK15rAV82VuLG4KH+NzOFAmR60aiXDSFBm1DI3Ybt2+i7tF3PSZ0Hb
BV6p5hT6TydMgLO/j3BMaeV2rKCEgX6vx+i/bJUTK9as4SgzdVQMVIxDZVAo++6DVbKS5ZnCAQi+
HLQt67NxNI2O+DLAAkQwEMh2yC0YzT3vN7HsWsGuEG/YoXG9KRjqqdiveGVe94flifznA4zZECNA
KwRaMKd0augIaLkaL3n13re762aW3e6vmdnByGSu5EqFcSoKcKs4G5Ine+3qsriJAGpCtz0B5dhc
RTUYNABnge1Ha+irLp50vpOzXV550VrucumURyv2P4bmMQECGCyaSMaRRVS72657GaQtqd9FuiVr
tc5LVuYpAJ0Ym4UGkgPGDlA7rn0NHX3zyaacDhFaFejxQN/eRod6B88z6BZY9+trtuibJ5ZnD3WI
YmTJYMJyhDrumObOatuUumZi5v5R2kU2FMuwje+b1K0eJUe6A1/mht2aXumWu8LxaO+xp87NXsiB
uWvv2cWX9Mnszt0/s4QRjhJ8xvpUnthd/qq4BRDwT7+lz+qoPOwbV1Bxa3jXZ3bFgYzZbsjVnlTD
RI6vpsCDg8wbLIfNAShrEn8mxkqPzpIx8GZPglYg4rkAFY/MJkkzBeM+zn2uqlOnx64ZxbZSbHQ7
9YAzF2udTkvrCiYBIBig0quiUH8enrU64DxIcDUF1iDQZIqasqZxWqMdvdzpFuXBb9yVaVTexeoB
hNt1v7k+w4sP/NMvmL7w5ICQLMic8hZfwPI7tXdH5uqdXyS3IbsV8K/oMcCD97/YRN5sKoChL2+e
2ATWp66h8ItHDfSoO4JK85EXR0nchAYa1Y2UlnlMoYW1YnaazHk+1Z5o6HQCOSr7gvAKrTFQo4JZ
sMFJv4p4rFBKAagEuLl0l1VR6VjmmGxKs+ihDRxNfZdqh0eqNcr4stratE0Xr1zQl+L9VAyUAQcC
2mBeBGlAdBULlaVOIB4r7S0RGtb838Pykfo6MaKer7GajQMYl8IUbImQvdwb1j2uS9FaS/CSL59a
mfkyWivMVpIxFLwzqFlq1Ay211dw6Qw+tTDz1UBWUnQQw4IeP3QpsoawQWx0ULvX7SwdkOgUldG+
PW3M+WUjtqB1VIgohcQ4QH6mfRSKdKcZ/Y1lNJtKrVeGtegDk94PJF4n/rxZcC+Rds3sER3/hgyu
8/q9tL6hZ7Cy6RZX56+R+VWzRwmRAEKPAF41jiAy4A9r+2spgIISBfwu6H3H7M2jNesClgUYB9Cg
ZUrTb+meg8a98LMbPG74wfQ6HBWjBwG4/aqu9vTjF5sbVD2gIMT2vpCAUJAoscoKvpGHTmtTHFAH
iAR0T/EudiM0BK5M56KL/N1S80SdHoObnNWgEBmgWJazn41Uggn0V1Ycy7Vqw6J7/DU1T9gpZLA6
zjGyniUuWigPvA9dFd3Z151+0UH+Ov38hI9THuljgBG1erPplf5hxPF33cTiSECqpChghbDBPX4e
hww0lbXQfUudqvipgekiBtcZ+7huYwlAZVpIEYDUUEGj7bwDIjUS0QIojCYXZ/TtA3HYnv0W2/CN
PRQ/kHjUHsHcrv5SUbT7o/ybZ7v47fo3LIzz7BOmjXJypjZGxXSwrKcO2BwDQodAlo8Ag0LIi2RZ
wr3r1pYSrBDlBZgJz4apxX02rbKWQBSQYMQE3QpgJoK21iEAeKsxAdBxijEGsWMI5aujJmpw760x
yi9s+zPzs9NFbsHLacQCq0p8CaWpHskm106AGpbvZWnlvFy6r5xZm50yVZXmcQxpL0fTHmukG0b0
vlWMmuFro+FgRwLuENT/4Wg7Mzo7ePQBfFO1ihkOi/uCdbjkrz0vl54vZyYmnzrxGaZZANInGJck
PQS6X1meFjKXyLd68B5LHs8kKn5poGGKQi/kb2GEzv/BQ1bHMaGYxG8646fMPobyGYQmaw522VsA
ZUsDYhWKPfnYXMVT43Fa8h7f1hSvafxdtV/6CNUKa5OKZzKiXZO4Vt6vHMJLVXcLMFlUQqbiOthM
zmdE43qehBYmfdjLv8kH+gnbbenqTvysO82Nsiu9TqarY10I7HjGy3hLgtcD4XC2DmEk1ZmkYu/2
/uCpX8Gn6o0/bZrmPvud3Rl+em/Ds3fRw9rxOf3w7ACDYbROaqCjVPX56SkPJCgVo8JNsKeR9mrk
t1HtX48Ui2PD02aiCdZx8Z7NaCLJWq+ZDXaqqm3M/qea+AOrnD7b9GtaRAtXNQsQ539MzXYMWvTw
0sphKlTcRHLlZmtnm8FcGdDCmXVmZbZYRV/WdlnBCnhTe/W+srKVY35xUU6GMQ3zZFd2kZ6rBYeB
SAWRwgtv/ZCvYM+XgHo2uFxQDpnQxro9rdqJjRCt5oK3UBUxuey1YAe1FC+Nf8SBy5UDGpSgP5dw
lQIMsDK4pVh6Znl2TklaUmi6BsshhEZQFk8BZfmB5OCIOkXhChTp1tJbiyZB7gj8KFA7SK7OBqvY
UZBoLQolyNIk1XPObpVGQuKO1kNDo7Sh0oD3w0ooWVhFtA/8NTofp2xFQzwJJmbjMTeOsvJtrOnd
LByCZyZmd3joyY9aOSmLoHMP4qTCpOBuPlh0sFYW7U8P9SxOnFqaF+uqttY7RYYlreie9abcRwGY
c7qIVgVIM2tISGnfInk3lCe8JkrjkPahp1jA3YAbJo7QEBbueGv4QypcZryogeyk6k+umhQgStrq
2bHv9PsIff/XY89CQDj77Pklhbch6BTw2S3yGWrud8qrDbxk5l03s7gOoDMCphBN6EAVnm8mRkJw
lQxQWxmMkbxyUCt/MrihoCnRQjxDdET2OjOgDyvH4L9fGeRlPNKhbYA9rBgTw9ic+atLyjSrGQdi
K3nK5ZssWRndpSPj900cTjChQ6NsNrq0LbgIJpGqCoVau0RHlhz7tvx+fQ4X0IUwA+AuMiWo08HW
+SROgA891yF2m/BHAZ712Je1DTiNDMZoFdzro1u21LQPtVM+6yDzd5yJ68Af10Lj0nDRloXOHwxZ
vQBL12GhRIOK4Zb57zw2DvUgbYZGXUNKXx6LOuSQIAiNvjsUxuZZxjrJlDKpSyThBqo/g0TElV/T
PcTKb3XhoLvwNv2VOelNsjdX4tIfcY/zvQzLIMyXDUjV2qgcn0/0KMuNVMgIwGDrGEMqAej4rQBu
eDPkahtTOamB5a/LsXV4rlUPeZ9keLOkitBchfP8qCA1dQ/sFrS88sKu0C/XBarXVQJcFkDcpdAm
VBOWU/Rqh8+B2VTP3Zhj7TQ5trZqEK2dx5NjXIwHWG8LgwLv3Dy6l02aGCQSqLQThtxMYTYeyD8U
x5Qsi0Jy+zCIBFf0JAq2uGetwRkXmicxnXj/gNoTzR0XbRBKkABnLrD5o536GXxp6KiWkKO2wRMc
uPl7ixT1tutoRvfpPbkLf/975MmZ/T+H38lJLim9LWQb9nN0iBo3Ad+0wZuebq5vz8Vd8XeU/0fa
dzTHzUPL/iJWMYEgtwyTlS3J0oZlyTYDmDP562/T7z6bg+EdlP2tvFCVewAeHByc0P0rnligEFZ0
MemAYtaPDGNqINnQlefrGGtHgkKOFs1fmANFFH5umC2miesCbAhIzRb3KmbfQ0vbGv6EKzq3TckX
HISLJaGVmUDGHKJqJhJgPF0kLbsMEuxIQkOzjmE4Tf9pNekBuWMRF/mFg56BEAhAOxmD2ZDbPV8X
OFjQlTcgRZW241teWqGtCYPSi5vuF4YBPV/Uo2Sko84xMIad9lkDjIxCpRzDdnkM5UJdxYkUpGwu
oylAIZICrTIGPeYmx3MoM5cwmDAhsWs00BA+NJYWJDdtxYrB1pHtM+aCMni2jF5lt3pDwkc1VNuj
2VahwIderhk9xAhi8UsMFXyI3A8hWk/AG55mDrQAvd5AyiNHdzSxs+zxLw0TUwno+IY4J9gZKOGB
tK4nrWaVmePXp8x4H0Dml2Q71tpZqQsu80ujPIfiYn/c7oUGXl1MG4/ohMLUaQ7HUj5fX48IhDPI
jpAajGYAQSkkqD8sqbPZX6fd5kkOBPqWhfQoom7u2ReZXSUPASgkWVG5RtLtUppsQCC2++ulzFw8
CmhVkXi7aLYdlZH4hSJnTlbTb7jRt9SnuR0UgSAFtLJlSxw+AEbTeo5m5Qm2loI9tZA2tQQBPaJs
/2E5GCzAtkFQGRnl87MlWd0o1aWBXRv9DlzfuWlbRp5Busj/+2OsYJRupssFMy0CLs4IghL0AmmC
5FVkFHZqeiZFG+aNmUeuWb0bRbgxwaGKUcXrC7wIlWdKCnQ3IbyaJSd5NgUDY+ixHwHVTJIvRVW9
qEWwiWUJXTUZWP4lcMgElncdc8VPYKAIMtVYpYFeDi6y7LQgTtopyiEJKm86DWIY/XZqfHdE0fE6
0kUogtUtkHgr8aM8qIcBSI35jKY9tD15kk+8aXgnKsiwvfKvCaNmXwz1TtDtgtULRnNuLwR85aYl
wRezqnke/KSwfRXMhHilCS7LVa8/F6ih8gxeQcqPYMYEajXm3HqqqdZBg9qKzTBb59fhu9/13ydL
fQlTzVHz7F7RS4HRiLaVOxVJk/uBX2FbMdlq036j09u43xjqa0RNr5a+UhFBzqrF4A2C0Bc+n/Db
2lK9JUPNckcxRnsMHwZ1dMHc0omYN9ZOA9T3/hfHkLn+ngrKCIVvYGExxMrZ8Kpb0zzVI5GvqfUK
lkPBPl4GInhozHLWOHpYFz++RCew3QcVnGVpHFWwUGp4Wl0/ACtuEhVFc2a5hk0irDq3x6FMchq2
8F+Fqcr2KPexx5oUjIu0ED261xaDupsho5QPb8KLJyEWT6REpZmTBIVNyL0wpLos6uCmB4vOnIaG
Lwat+Pli2kpmrPLhqwZQMtqFT440Jc1GGuO7UAZ3eK2Tg6/2J0WSDqZZ7SU1fy7L6aZQgwBJBvia
OrzPNDCNJqQ75Cjh+hIiskDWRGRGl9WY+adCgQIPERxS7Mn5T+2rziQmC3Pw8hmbQkl3cjhnI2R0
UaONBIqvZQwt1uEzmIgbK4FjdSK2o5UvD4FdFdLeGmRf8RA7/wV14YM+YZRmyuhD0FE7qB5RKvv7
6xEgFrJq4PvTIC15DpImaZkWYwBHACfk1/LWQF5H2NV1KQsDUihlZmYxIYV4GbDXiT7FqoVjOWzI
Rrr9GNz0W21XaHAqa3s7flavj2A9vsuOJ3YHCtGXJ+kLSInfqTsK1rvidedfAq5sNNEql2F9G5eZ
Al77HDcJ87L2mY7VhFn7YQdqWnBGti4mPx+VAq2BpBa5/NUvCh6yGR0xHF+UQNhdohwCbD22vo1D
4wyFckzCScA+tHKOscQ/MHzEm1Wo/rSAifLGrhPjtglFg18r9wceLIgOYZ862qo5rwRx64mlEr6n
UT3q/m2XfdXmwYlHs/6q67tWSFU32/pZRgL2s8Sb3f7isdyMjemPUZw7U+nm1S0bbaSTIOfXTwdd
erc0u+mfpU4QCV/y1c2oCLQRDsBoIbt6jsq6wkIDSZI71k5qtuaD7OWO+ob3kOHqbrrvtuzz+197
+zNEbp0aYqq0CHBNFql8N2r5YQjIXSSSQF2zQ1B/o00JhGZgLuI8i1FakSUl6HAkyehVzbgvq9pV
skhgh2s+FAYCVn0T7PQYcubcfWP1bDCHHF/tLjwNm25fO8xR3vOT/hnbsqgAo67YyBKNM3uk53xl
zIDWbBpX2hnbaKscq+N0m9h4SP81vwpsA2xGSE/hrgQxMreHfWyGJeJ5HLIxs7X6B96u103hsnDK
IczrXdg8pQVpwQGZO5piJ/vmKyYxbFmyG9tQIBPdHSbnG+Y8/7p+CVQdNw7ErPBCV/hyLcjCJ7Mz
avgo+YtCDhrykInILlaCNANdg5CRnR+0CH3PV+aTSvWroc+dbB/fmTdfjO/qHsoBB/mJueC+r10H
z0Ipcq9v6JrV63BZcL8gPYHr4lDZGOa+1sJnoWaSVQbIF5DhEOVOL2eI5g1cwMzeefHZxiygYVV0
cBp3SER3LiJCkNl9UVubbelNfqpejF15tPaTwHX8ksXifeQSmDttpACpN+S54KK27wOApzvMYcFr
bbQn8Cr9KE7gjHK7AGQX6l1sl6/SwWtbJ/kGfRqb7EuR81y7IpY/hzuOhhRDysjAz2lqj+zoU+10
R8MtPPWpyN16M3iQiNiVp+iOvTooHF7/1qvgyCDPbWxwcvyrPzDM3GI5LCwyjm2yTevEVfoHFrqZ
/6Pq3VQkwbxi0RRMhqhOYmgMBGfc3iddVekWawowA8kObaFK3D80+X1kRnYSo41O1D+zYssQGUVJ
xQTtHEHS4dzIpLEjJbJBucOybrIb8xPCsnAUqqjHdzZWzqYQeyJq+/UsgPrlOU6mKYUfRvL8/K6k
w9SrjZN2ZHCuf63LShUu2JmzB/wPOD3owT+HiUMaGGk/4mg+m+/01LjURgfxPcQJNgaU9Fp3OsxD
yjfmBoyJAuy1rVxic+e1jKsRRPPAhjLjz/SlOqHB6ogRTRNGahXOhJEbu3iWX6/Drm3sEpUzGJOV
MJgEqHV6HDArpgq2dOUAgIIYmSiM2UADUuc+nNqCL9wM8f9LlVfIdmYyOza/KPUpZJ4abEfRJOha
rHQGyN1WBWNWUxQz4NHYNiflRI/T0fKkH7WLNgTFlo+1wMOsLhEXFUpuCNMu6BuS3ieQIoRt0nw4
tNaw9VFVM6yfGv3AO9P2FbpFf6ug1X/1u6GZGMUxiH3hvJ9bat9lJWh+1TmEb3Y06DG0KGpzWLv4
kXrCYUApALz3/MNPhxxAjsJt7gRIi0v6SxLtQefQIIuBlt/uWQXPwXSPSn8QfUvabYfgShT5rq1y
+Qu4j8nI0A1lpuNM+JN0QK+ReqeX5PP6Ebj0mWguxpQGxuPxhoD7PN/KVCJ+AMqqwmnZkwwi1PjQ
DMdGv5Pkg67/uI41RxTnfuwci/tsrI+lPJ3989h+o/o28+14OCnRjSXqOZ//o3MgKPksvh3nySqN
KbAOfLuYyZ6Ef9HosYdogMBrraTTKMYAUQQDcwnYljn/Dx3XMRqs2S/jFdkUpqMMKCFGd2Web67v
3NqCFkh8MRSyKVEUpgoUpbRpl+r+hlmxN/XG43WYtQWBRFWHwNOvATBu3xKmlHGLcpMTVOkdtYKP
oYpuZKRe0GsnKDysRWgmxqjBHEipgWCX2zyIMUEQJgAW9AeObRvcT6OxpRXkrU1zw1izk7V7Bbq8
Sana1nCrKk8QiTgFNbFL7aNiTLD0y86xOUz583v4LW6gz5HXLX7PRPzXvFM8vVIOpMgOMQvvaxQS
IKniUqQrCIWm4JD99TkEPJl5c+k8y8MXiXtM1bO+CQoUfNAgqewHBWw7TgKisHkgW8RxuGJPJm56
pIEMirkhPqKYjAB6M0UEtAmjWGQ7Jt+mTuCkRRic+yJ+zqAOE0KPNMrsyd9mY+CWGCL8a5M9Wwln
skFZDLJSYyU625rNmxTdhokbxt5/Q+G8JBSa2kZvsRYDHXXBKdH2yD+qIt6g9R3DG12be3Thkc99
salMMdR3sJYE86qKvgOvmj1aAleycsaxYb9B+AmIcGh7earmTy/dZPpdSnfx6Awi4evLawXmjAQ2
msYsVP340L/MqB8PFBsm1Roi1mZfaOWp1YvE7hLVASXeVu1FVYe17ZsrAJj9Q6YYQwvn25fElFUW
eiwc0wRz+2id5DTbWo2onWPlWoZQHApucPkA4gcvSlbGyliUsAVDvcGc1jb3P65b2+U9Oae55iYm
ZG0whsO9zMO+btVKw7uCmlHq9h24iFjYp55SZ+89BMfgF4NU4P8uP9j53TybzeLBPBdNWz3H3dwE
bmrexv6z5UOoFUpTp0H9+xqtOouyzQVaC2l1ff4xCzCoBegpK/Glwsjc5+GrrBEnTsGOSDGMk8Ed
Dei/T558SxTVXe4shFGBq8xyFCD84rzFhHCnsXTEx03kdtabrnl+e+j1dyGT9yoQ0uzIuKE55qJw
EfmK1tY5ItSi/ToYb361D9qXSj1MmeA4X1ojVvQHiL+26pxRkvSIDJTqK2W4mERDrZcBPuYpMcc7
J9jQiMnXo2q9m/KmMRBLDcepuTeyrRS+VsGu7I+FeoRA2d/a/jkcZ4d5AOGwqgVcUozOKO8niHT7
0bs07Jo4Edwdax8J2UPUXDDJCl1QzmF0EyZb4U9w5csvjRnvID/1kGuVB1k+G+0qgojn0j2p8Lvo
ZNJAa4N/uVNNpCYO8vk+7PsUSlKb3nz2i7++p2YMkARYqOuh2Yy7QfK4M8e8x6BSm/8g42MZn8A2
Gosc7ZrNgZ/EQOSG2txFj6eioDNXozOK8mD4mLDuH64bwaozwtWBl90v/8dtVSuXRYapzcLJM9co
0Ff9Geh3WryHuhgkb53rYGtWgDP6G4xzRsjthi20CHFtTLodsT2hD4QUNpX3teh9vmYCFPkijMMg
8EVX9bnfa8BcBNk2bFyJkdSk2loQqSahKCRaRQHzso6bV0PWjdu9sMoJqrQJxG2kh9HCfJ71KFHR
oNplGIH7YgHC7ZpZ9jPrIEAmHM58X0efEAaWQc/0Dx8HJX1ExUgZY6TjfMeyoqgpiwBjMnJMZUna
IatQ23owvNPWuFEDPxUcoVVzwMQQeq/QuKDxtdiQhBnYYHE3+en3OZAA52wp7aW+cJt8e31xq3v4
GwrtJ+eL6/SsqeM8hzmMu5rty76wIcUZisaHVu1hAcO5OcMnZdv2gPETz+je2vCxiF6ur2R101CJ
oShoodP9V1Z8eaHHoV5FSVo4qvrQxZuGHGTLR6+mY0QC17C6GDgfGWQr8A76/PcFUqj7Ra+lWExf
RxtQUjpxkn4dMLl3fUGrn2YBM/99AZOkvWmgPbdwGBhQk9gZIm9UwPOVC6owa64Ub7Dfy+HOamTQ
RFUYcCqMkmit+ZJNgcDKRDvGnVQkj4MMBZfC6YJHEt1F1t00CAK69c//ZxWcX6t1qy3JbMi1wjZh
cGzBLoIZ61DP7U6YOJjN9Ty5A8/zZ8v4B0xlJX1d6gCD1BWzSV8jpzptJfJutKbb0NTrJh0UoW3s
xHm3Y5P13/aTjxoMGvtdGQAf7rVVv3T61q9FGX/BNyPqufmpSRcxswBGUlkuDe/kxgI7g8C3Cmyc
cL61NHLMPkGUwlEC12q8ztwQ9UBFqatV28A0CHrsZpUIvktck8cwVCA77PTFp5/Z5eh1yUPiBw6F
WMv1Q7uSs4VpLLA4Uw+VPhpoByx1q2zaQ3Sb3+bPqHLt6ATNp5nU6r7d0S/XUVe/FXjUTGwWLij+
igp1WuORU8C9yhC89ZL0BxV58Pl3X5j8AmL2IgtvFAdJAyk5rMvIXszsY1C+McvpzCezV230Bl9f
z0ombN7FPwviXKwfNomSlFhQkdtKZKtv2bHC4A7Em1xrq32/jrZuHn/AOEcLlpMk73W8pitJs7Wo
dcNhcBB/9+QjJy/XsS5nWvD0W65s/jGLfWTNUJM6BJg87lJPdqIXMBp49LY7VDu2t54l2/I6r4FO
lbatHiO3EIVmog/JGWgdBKBTyLG1YUV2aCrohleCrl1Fe1OLm079hxfHcrmcW0b7H6sCHWhqpn8k
dIxsND9txkqo+LXqkv9YDK+rQLWgQEMh9rUJvMr/QjKXohNpindD6+bGLo9wh4Y7X6aCAz8v4Mq5
4Bs/J2UISWEA16/YS2fFe2v4QvwZE7OvkJZWUK4pK0EEIviGGuebc3+qw4ABtO2rTao+gKETEr1b
tX4DzaGd9p/XjVbgXvhWEHliJZNn95K1kG6jqVM1xWMCpe7rMKKt5FyMigmyqUsBI+efJHaK5kBb
H9nHXdg7o2XXoveDaFmckwmSIpQGDXj+eAORnTz/opZP15c0/+Rr1sG5lq5MitKaIab+aRg/ILh+
/f9f6WI8cycXXcGmHxhxBwBzaF6mUXrERLZdKOFDgI6u0SDHKLsrksCNU2P/H6E5R1KZainHEaAN
PX/R0vYUJ8GR0vGQ6NGhsmRnKjIbQqAeGWTB/bBu/4jyITSiofg6O4OFE838Nm21BpdRLOlOIn/K
cbgN02mjTL6bVvHNlBuCnNCqrSCAwKgSHs0gAzpH1CamD0k8nzjSewakwzNFt3smasdfvYoWMNzB
1luzsuIRe9qAmiA1Tafqo7suUt1U+xFatWAbVwpgsJ5F5ZVblYGXX6SnyLj671JoR+/pg7Evb6pd
AEGcPW6gQzzYylu8F1XsV7/fApdbplE1WieHwFUaxW7SWcd12+RuJU8YJX9lncBHr+/qnwIzF2Xq
JJ5qVUKB2c9fJPTzmq917k7ggBXdrWvh7JyRB1+WQcnF/C8xatJOaL5yokjeD5J1xOF/iCvjpgtD
kamsecslFnf8FCnLQJGPMzCobAtqmR6iU9MOWR3PkuwgRKyJScHrR35tH5eQ809aHDs9DYoyibC8
OvmZmkep/Tk0zyz0nVDS3OtQaxYyP64VNGdjvpNnT6naDlJX7ew42Yb6dhi9q+bJH/ONqrpmQARo
q250CccZZJpTrWhrwJWIiKi+T0LVlswHE11Gk3WCIkKR/mgNQwC7ai6LRfJ2GSYNLbT5E6Kjadh2
YElkaFgx1N31zVxzXsvVzbfU4rtpOY1ZgzyWk/fvTHbk8J6Ngjhv/i/4i27Oz6ugnwXppsndpSgS
tYFRwj/mZn7bFf4j4gXBhSOC4O7SLJcKMwdnJwQp/RMqO15Zix6Kqxs1T6JCbR2MDHziDUmlMspM
OAoNY8tK+FbL4O4hzvWvsXpwf4NcTCYhERaZ9QDnR8fxfWq+RBYYPJDwHT5q6SmOlAeTZQLI1a1D
wyuKuqDnBOPTuQFkaKkw/Rpfh43vlXWvF+71Ja0a8uL/5z7NIGdjJ80BYmQYO9OK7kKGjoEglzx/
/Jfch4lyLnoU0IsIjp3ztUDqMeojBWtB5TexAypBLLptDmUoUsJdN4bfQDqXGm3pkKiMAEgu8KQo
Xv/fvLDApa7v3B8Q7gaWETfRCC9ddOB3GNGwzdjGLEoUCo7nSmMlyp0QgEYSZNYp5rvUUfFWzQ7t
yM74QELbf3CHz/xgxNAKAVXqa7AdDqBzctnet5ODqAN41ZcvsDnnmkl1M5oa1gidMtMOktAJ0wiD
ZUPkTNYAjtxk1+O1dN0kV+4qsBJiOpqYoCdEHeLcTJKMxCHm29BxnXgRxEi7B/QeVrkrWS/XgdZy
Fehgh8g32m8xIsK3/LIxy4zUsNAJSFpPH9OtlEwbn2GQvZp2jf4DTQG3BAm0eDROMRF1OaytE+1S
6DWGKD0mD/njMMl91sfoGdLbsnW1RM08pWeW3bK8Af+tmrlyWA6Czb04GiAnRI5LgbvH7AgE2843
Vy9VowuUqHaU/KGXSsfoQciTTQKvcrmzHMy89sW9pTepBLmiEMMi074yN3V9mvoXQzKcKPlax89y
viPlvpwer3/QiyPJoXKBlVQMaWOkWJxeSgc20WOf/ART9ms9St+vI4m2kft2VSfnWQZRCtwE90R5
Hrunxv/5nyB40eO4TdqMBliMyiZHjTAqrU2bKcn+46fiG18m0wpJ28+bBtLI8uAnqd2a+0q964jX
K99j5Zgrrmyk+/+2PM61BOHQKXII2IB8rcCZ1SkPRH29jnHhvs7tgfckxAR1SlrgK0V97RQd2AJ7
6atp9seKqB+x+VSbkSBe02HXZ8EUhzj/fWH3o8WqRPeBWJU3vtwgowMFJMERXsUA7wK4deEkocV+
jpHVZq30ZDaMNrzNrR7yK5aet5//sHfwvmhUQn4VfVjnKHKCuWg0EAKlNNxRwtjyjZ+Mror3Qmnc
BSAY+W943M6lwTQycKfBY5SPlX7nsw0bT7H5lvoPg/HX0snzZ1osjouqqByht9cA2IjRi1DfV6gK
h0yQeFj1RgsQztWyoOtZXAPE70sPDDWOHFmOnJh3dT4JzG7V0BdQnLs10PeiMhlQoFzWrI3ve830
MQ5PmnqUmpvrH2rV9UGMlvzi1MGc2blh0KYeC1Rg4PpAUD/2B8V0ozIXLOgy2T5/oQUKZw6ZrhZS
Ml8g5k14V+2mHbqu9ukN8lJqbKu2kduRq+0xYnaTbmQkiG9MTxV8v1+1l4vDvPgNnJU0rQ4OK4Yj
0H3eQZwteLFs8/vXLyqB4Gjpdg7ZUsyWjK+m1zroUySYWtQFv+GyKMXtA2dE08CGtA6wD+1oZ27a
O+RxONbbbhd/lJ/hgwZeYS+0S8W7/pGVVYtarJ2zqCRTR6MugQsNP1Oycxt9/Tv1u/+91WzZsuWN
apcfyV67Q5VDo14qinpXD88Cf/59C0fq6zqmUSLgk6cbK7XDV/8E2gR8e3mD2YnH9ug/qrdgwQo+
ri9chMtd7LFRF8TI8M2htRCNnqLfTJIn1B4XoPB9d5SBuGnQsLqo+oj9I7RsWNzZU/l+fTHzj71i
wHyyVSW1r8XWvImopych/aE1mg3VHFvWfk6h7OI57UKeWPDtBKbza6R48en0bKrCbgRqW3yXfN1N
2M4PE/BvfjEsG4HG5voiBf7o1wlawOVIaXThvJdllUELqHSI9towUZgkWtT8RRcoSZXpMhuAIsef
teLVrVuGn4R5UO21Y9EEynr4/Mf6+SYsIoHiGZ1LtSN1Nco2DmnuZepGXeu2kPPK3RYcj7R5iQJR
C6BoM7ljp7alLJEUy2zarRofBygqhiKyW9FWckes0cZcSWfXYoFKd/rap/t02pp+5lUUhLeGoEdG
cAZ+8ZksPhwZq6jt5g+HIQyp9VAjljOYZbyf1A61qeMgEg4VXV2//r5ALMxCiqIKHy/Zg0BaPaQY
Xj81GKRL7Oim3oAeVnMex81zsu0OvU1sEZflanz4x3h+8Zsv8Ik1oU90vjol1ngBpWBZFRy52flf
+hWChgXwgYM9igsBulYimq4i3DDzlzbcU+vYlC9h4lFRLlkExEUBZJDKPPUBVIybMvw+yYdscJLe
bYVJh3WP/GdJ3F1vdH0aDjqQUMHMexvRWlJSOxcNGa9/GzzeoSEOsh9+bH6MNVlJDIbrpVbAL8Yc
U99fd4frp+sPAneCR+iHTiYYxaCVCG3lqITHnTm+9FOXS3aC/HvdU8E186vX59Ie/mByJxpExqFV
ysCMsvKVqeCaS5Os9GQrSXe0LnTNLnVJm+wET43PqNXBEi5BnCNNE1DHZJGkfajtVH+2Qy6dKt0c
TnI/FO96EyaPnRTrN1EEJUXbtLpol05148aFUbll25g/k172X9pRHj/AaRlC73LQ3RFq6pYzNmgJ
YeDJ3QUNRa6sIRoimcJiN7QLuhtkcAOMZBrDS9w0N3UTEWgM5frgou4TfaIRutibzCK7idb6j1Au
Y8imgXvfMSTixdrwJBc03YIj80lDsWin5yrxKim6z61IEnzQ1TMwk9GDa8lCSYW7eaRMpVWrZngo
K28gERvBB001W2enQSQbellLmYPNBRQX9BlVb5kSlEMdK1b3mP63Q3NXWG8SBGoUemRhgX4hLxHx
iq15aDwwVfAo62hjVTmLLVtMdmY6zsQ4pDY4Yzdjxpw+b/cVyVAei3djWrt1IxrfXttXqJOg6RTF
aCycc2JZ19F2NBM8z9Ckm9CHjsQgfC9qBGTWjbgXee1mXcJxrswPKZHkAXBMfuiT2qvN57jx/+ER
vQThvBitTGuCxixsJf+R4YnEXLTLlRXIR/Kj6ouKYJfkMNg2E1cABCcV9IrzJNhRMvXFYBW1Y2B2
JPG/9aZdoOVQ8yGz+6XF+asb28pG2xobzHILIvXVDYUWxYyODC6foEgkvYhRVcI7VP0O+jUnml4b
UQC95kwxvPIbg/toZUq0ig0VPhqqitG07QPVpTEiiDe1/a7XgsB5fUUGGOJwfYKYkXejGssD0uOk
Q1zVlkPq6R8D+eue4fmboZHyf0F4gVDW67IusRzhcl6/oFt9A6op7/oVJFgHP75nFJOUtRLWUReR
F+L1WI6NY3Tfr6P8H0Hy71uHX8noT7Qyatw6WeBJxVYfJjvF1CvRvpaybUmnKQczmGd1okO2trz5
Av/fO5xfHuSOFbXNESpkeH8qg2T7cIlM1J0mQuHyoxJNMgjSwSui55WQ1vEheOH/+JctBPkI5tlA
hUf52m9QWjrLRoC08VMwbeX+eSJbhgeiH2zTaCPVH1X4HIn6k9dOFaScf6NyN5qO6fq6GoDq19+i
8iVSYhR5jlK319gTI6J06epGLtC4Sy2h0az3ATRJeou0Tx0Vlkl4c87FvosIaAHC3WHjkMeBbwEk
Lh789k61bgdoPrT5YQzdOmjsLHf6wGWFJHD4a5fY8saeF7+I9YvQSpKpwY1NK387ofk1jcLbtg9u
Kzp+o3X6D4E/SDNUyNbMNUne4VtaY0VRDH/YKS8Nc1QjhtuNXbPAK6ZL3OvWuWYmSzDOTJCrmFRI
MiIa6Z58414xCxd9vWaSu4Tuw+ZvB87hFxFkYaAPoQB8PlfO9dusoL7S1mDgKbYBrcAuQbyMCS6t
+TfzdrJE4U51LEPGBtobSNRatz4okwy6Zep9nAhg1kKqJQwX27T9MI36BJhgynZJo2/rrrUrzdwU
TIUY2Sw9fScrjeCDrZ20JSp3W1rMD6y+nVHVN6v9qTYH1fpy3SZE+8fZe4SJ4FpVANGiyQgNpqh9
gFT1bcj0Y608XsdaXQ4mFFFomWdkZc5xZDRJm07vaqeHJaCCi1Ff8lZFfy3HMhse0v+/rnyd8n2g
RZPHo9IChuDp5gymdd8W+k8tyLepcBx3xV2ASR0C5Ljk0X/BF7yrOAKLOqsqh5i7OxU9BX13q0Wi
SYr5O3NGfobCHdxs1PMQCjMV5k92xdTYlSgsWzFvAIADTpZnVRQ+dB+NMRqZDwDCajeNqT0p+iZv
v0wVsWVf+gzr1K5NX1D4WPFHIFycVf0sA2rd/CwK2CgMLaiayikpoiYwHw+G/kCL0I6zU3MqSPxw
3f5WbP0Mj79TAtTvfQl4UrfRIMlU57sk3U81E6zrkvfJBAvtYmFc3JmFhpHUIYAUyFfre7ByN8aW
1R6zXsArrZaZjRQudMnI1IJzHeJF+mRfX+rKUVv+Ap4iHA8jiBao+AXjeJOMo62aOyaSJV973Z6B
cB4+DcAKPs3fj0mj5w8QaYyhTD7Up9oCVTiNvRbeBFNATzmePIIF/h/goJcAUS/INGXuTKAZYRp7
ta0cDUEjQbugZEJL7DXTn2owWvt0j0lcKEYKYFcPCkjz/z8q58KkIlF7mYLWmLYbzGllqoPH4UaG
mnRuFylKrKJx6PUP+QeQs9ne17JUmrDMqr4pzTtrcMpBkNBd3UqIASjguICwzIUiyqhTvwiKHuYq
R83tYIWDK5ej74E1IXUHKwOFt6G2thWiWkT0ybA7PdcEcdfaOhWcGkioYlge4dB53JUaEEBi/VQ5
AZ63fqA66nQb5t+un4o1b70E4WxGStDHM3Vj5WTQlxrY10Tdyr5rUaevtteRfhUUeJe9hOIMpZGt
qvITrMeAdr0BUuOHiLyGxdPQbC1MvvWFl7CbMPnQ5O3U7nqIfUIdO3JV+nb9h6z5vOXv4OynidDE
jOYr+Lw0cArtJZNHF7G1HaPb7DrS6hckCp7aGOtCeygXIrG5EzYsVawY9CHoTh5VCSNrm+sgl236
cK3gQ/yNwoVEoVWEiZ4AJSapq9QuJklM+dBBxbzcgjq9o+nGV08Ru1EoaHTeCPvpTx91KPgZazfX
8ldw1joWstw3rQLnE3kULAgg1cTIrd2E0MarkLds/uV0zNSFiq6DYpentjRM6mPGCHjTZBVuUhPU
d6j6jTRE9Er+xTB3Ybh4vKJ7D9wYF7PjGOwAI0KIDSY2tNC8wSU2KmYO2rFvQZe4n2xok3rRAZqK
yc9qN26iU/z6o/DSO/U2cpUtLrNXiC6e5J2osXbVvv78MH6qDbnUsh16/LDSfGI+1I2mPdMEb5Y1
B6GiFRJ+kM6vMe67Tlo/JkmmVU5avZQyfES8a8YDmTxFFc0srMV0SyjOF0WjpQyThuWAClZG3YKp
orKgCIFzQWnZJD2bgJBDTKZWIOItqiat3hzLRXDeJR6GNNI7QETxnlTHUPf69Fso72LdayVQ558U
0Wz7mhWAnRutLAjxMV3CLaqtsnSMldkK9I1semV0skQQl4oM8DGgesaL3KIIiXmOHV8P8XKIYQUQ
mTzUm3prWW79GW1fR7fdQMXG9R3fRiUyBSPrLvckwX285rKX8JxlgJQRFOTzEqOicmT4aUTGVD9E
Ikr8VRzE+qDLhZAG7P38yjWNHg1OEZY5DncR2NvjDyO/I+rTdY+9+sEWKJzDllWptyC0AIcNDU4D
FOQg1avbzXUQZf6tvNcCiYuGYSNDJfqvvy/SNr2atJg0R57eMtNbSd5Ww2CbL37w0k62RvIjs+5T
4Ovmxko8S3TS1uDBk4QUsI55dxlUl+dbmYxGECr5iN6+4a7We3egDzR8JZAhzr5IoJieXHS8mDgU
2p3613IrqPEhXpqn8VDQUnjZgZri/alYOjokZem7WZRuUBPR1NiKK0FjNRgDQIEOXhF+5K9lHfrW
LQO506IrbKhhbQhlgtfZyp0Koktk0RE6oPrACwvIvQKl9S5sHBKa9hR5E/h/KvNnG3n1UNmRKTCZ
Fes/g+NclxGOqRxNgJP6eONL5o0mDXbVIaYnw+66df66mjjrBCMvgkuwOc/SRtx7MDT1DgPZCeRG
D7kdbnoHko1gGrKZ2x7ybReDxD73PtADZxNIfoQ2dWI7cD9TUNprjmzTt0qw+LW9Xvwg/i6VrETv
Jx0/aGrRCf1jBNEbXHYIucUuuCmq8R8exNgAsGlitGIWzuZcTReQXKcZ8BTFtmzpf0j7st7IeWTZ
XyRAEqntldpqc3lf2i9C293Wvu/69Tfki3u6iqVbgr/TmJmXAZxFKplMZkZGmCm1sOrP+i3YGDHD
pDbLNRavscZ8D2Nf7vs/s1zskasO5ckaZl9SexCZX7LWBQc987b0LjxMG8Pp9gkbQDNgvKNEn7Lf
xvZ3vfF8Rpjv1B/HfLIaZzRXldiXnA9cdOBxw9OVYCzjPF74TSiiV4kf5j0LTnHwreazndm1vYNv
SxUrGGSWzXS7NpO5dIxPzcrnZj0/EaSJwKxfEyaRjumv1z19CeGJD/1vYdyHJmKvdJDvgorLZ2eR
DbVn0o/orX4OTe9RQQ2Y+Y/0DcNXDHAEaxfYMfv6X/4E7qOnRaz4iZ825mjWrLWbD+lArfz5Lr35
/FXcKG7/6pn40oKF6Vdr3Ovmiv3521063b8t4HJIA7JM6K1iC4TNzXCbfukmZjMwCrb9fMtdEWNG
UK59p4/6o+Fq9yP7c9380sPz7AvMrndyEw4VcEQ0xPKV21vdVN3uQ7IGwE39+0/JxDC1TcxqYCuN
1iVUrUw0DMEAFYLbiI9wRgz22nSKG7P17LoAc02I6jjUaFQLjVGxuRH8HVqHYmTqjSm+h4E9rDUC
Fu9g8i1LBdI9cL9w+z4WWqFqPfZ9avC4Jg3mRylDUMbsikvINjdu9Zr5LVBC2XHSj5A/ub7zi2da
l8D2J80SrPwdKQzylNMW9ntlr0eWH20zw0c9+OV/Z4Y7w71KRLkW8X09ASGszA9QlvoUquBBatbE
Gy/12JFaEMwrgP1ZBi8oPykXZEEjKbMvGbee2ViB692DeHk7PIE13yWbbj88gLX261H5g6zDwVXi
gNieDWb9unaqlt79Zz+FW3YV1VrvC9hdyBwpVoc3MJ6mkZNCcgwGh8qUWeeKzrTTttf3e+mNM+c8
EoBkBojn+RL/MGKqRgKzvWk0ozlpgyvIhtlU+LRDilmHcLxFgfV30xBbrvuVYLIUsFEap0Av4yV+
0cpIhIqU5YhjJfuYfvnbeQ/XF7eQnENZd85KcGTwmOJeU+KoGL0/X5ByMI4DBE1zzXcGyQfFWp1C
ePG6tfmvcZER053I71A1BmUvTxYHPbcg08AXaEJ6hDWC8VhWuhkqmPQM37tirQq/UKo9s8YFwsqT
KtUPZ+xV5ptZcpNWpudpIKN5iEFSFtc3lKy4yrJFFF4gTDc347kIBMwOzeIaAQ9jrHZd4Z1IX6MU
018peezbr5llq4vXmmpLzQYDeQRySzRbgffirtyIRl2jKgCHSI1ZK0e59pksZ4xWtthv5cQWpsSk
Aprmv5U2ZxWIDclKfrvwXc+8iEulI7+sx3KAF0HTfQsRIaepiT3qnRmHFLqWv6570eKZgMsC7Snq
BJDP8wuu1iS/B38iJjrBGgyoxWEQV8WYFm3gTWwAwfFdGT+34Uf5CLaVojFzyBWFXQ7CdOD8K92O
vXzfZdnO62cVinCjVZRNdQs5QgjdV8SUFWWF1kZeuleAbQVJKa4WCIZx31fuUp90bdWAIVy3C0gb
UMPbp2PiDt6wkRLZybLE0fpHKVfNVCRu0o7bTJZYqResUqIDWOBASpFvQTqJ2/k9yn7HaFYqLSiM
4uRmDPWeCU2Cxrm2ErwWI6eGxh66JVBARxp+vosxlQPBF/HLpfJNg4ClweTmV6G7bXAHRtch26vi
mgbEEoIOQ93/bHKnHuyalSjWsOnXMQuBOsiIYPq9nRLBEfPbwbiRkoQZLdCJTvsfysJnxjnXDBJP
HqIRxtteeAaZ6E7Vn2qpsUGKyQavZHT8uH4WFrO90+XyRy/TFfAnzMstgLVEjS/IfsUoSKvUUn2V
9aVFqo3oY6SIouzSsER0QwHR8G8/7jXj78qvmV2RC/Bn658D5Enuib5Y4osDfo0W1ZYxHL4Rw4ol
D/bkxbbm3ZXZmwiSgix+LZO/gv64Yn+mIbiwj+ItxG8oxtz5ipYSS1UJFXjsv/xUIculwQuqL7K8
VVRWaY4RA2u41ptfekpDMuN/bM6h5GTNNJSkYqAdYm/yGHSOHu5GQWUGcbqhYLm/UhtcCExnwZ6z
Fow9EXwDlxrR8rcMLC1bo5GrlZCzEM/PjHDnloa94OczbDLs/K3vh6aq3FdqCKHwxGnofwCvwRra
fhi9RYDjZRa0CCShw4Rb0whFW5MnUw9fpTB8anLdGSMkCNIae8r8+zk3ObWocGwWSNukqGtnxCbw
vIWcbLzaN+PkP1T4YQb4nZmhA8QLXDQQQN/e5xHAvJDjBRGZML2L4u/rHr/gfGcmuOPvyZDglmfs
qRhlGxRGmTo4M+wg860hCE15TSRz0TOgTKSJUCw2LpgkyBACQJaXWFLGOoE4tXdbha4Oue5stK4v
bTmvObHFuXqXGWNV97ClTbl4NzbFjRGq4HUy3KIDOprIwqNMw5pJqCiD4CkZ7zzUe+xSCXZtkka3
jZ6mzyu/aSHAQZ7l3/q5k2F0Rd8ZIX6Tl0YvJK/fU7E4Jkn86fUvKRqAsedZveC5ShyxiWZ47Puf
suqvxZyFlMAwUI7FaxeKtmCxP485hU8AEy8Brcslty9/t41lxK8p6JJWlruU0J7a4ctUilF6Yo1R
f2iHJqDmDDee1aKZDfZWxf0t3IxWfTvZqeU/CgfVvm586ZCe2uYefJ3RRaOWz7bB6aUkkYOO0DYl
a1t5maQgg0QheJbbQi0O7YPzvaRtE8t5KSZmC4bKvPzdtc/qBJ4GJxBeB/kmDUZT+GkGO5tEqwCo
J6B2IXJ0bhK86X4cVcgYkx61yLQ+QLVtJYRfeMhsgup4s89iEQDDnZuQPCmeMKaBpLQ+iMlew0Nd
do3+/vo3uggHsxVctooqg2AGkg3nVnSoM4C2mCYmOK3vMCQE5qHycdRD22/bIzTgV0LCfOLP4vZs
ToPHo7+DcTgeXC02fg+Vd8z2kras97WaGwd10l+ur+nC7zgjnD9gBAJzTx2MKMqAY1UyIYqtUl4J
3MtuN4MgIcE7k+lzHyiBLEEWxWpidjS9r3rISxnFNuyDjeDNRG/Qiy6Mfa/81Yzyx2n5vEK0NjVZ
hPMRfQ5yJxkL3oqB4YVGAgwTsZrwl4R8JahkpwN73dCmbqq89/ng+lAFur61lwMGsIzpIBkQH8jH
E74AkOM1B4nlOZQIqUMzV5t++d6Rjm5T+3Zb3cvik06+DNG5bnfJb07Ncp8UrwGip8TDJ41yRyCu
rg4rnnlxD88LQxiZ3zloGPPlz8qXfFLXIzyzzyBNbEvdcyS4VNi0AIQl4Vq/cf7B/EGgCiZaoPeB
YorCxWVl8nD2A5xuScKrqjejhpp19J4Lof3znTs1xAVhjO5nfq0hONIie2yn7IlkP0YqYuuoJmFW
AhpOs7D4uTeG1EuI3snAjDRveruNyrtsrYq29HVOTcz+ceLwitgkZYoWMVhrnhHYNQigSVQxW99s
yrtSWjnaix/nZEFcUDRiQywhOJSYY7yTqs4EGRzrwWUGvOf1j7NmiHPrQYjktouxrMgDZ8hzl9xU
9YMWbK9bWYqH6M9T1Fs0BchqLlAN0aRPqocUz0906AcIv4qi3PR+tnKVLJ1RpJQ4prhLIJrKubQX
iMpENYQGPY7oHqrlLfMbKXq+vpjLpBLehqI2hhLwv5iz5j6O2ERa1vYZXKEV3tuSuKDfYUIomiNY
DvshOPT1B+nRiR0rx2h928eR0gvfTIDSXfkp84r4Q6yjnjyjSYE34onqSaH2mE9NE7OaGoqh3W5g
8RCxCioNOSSxeozc5pg2NoqQ1dFk5sBdXv8FF9nd9178+wHcsVCNMkk1FI9MFTdc1jqxts86J8Fb
2U9Fu81zhuzruskllz1dM7f9itdHfuHniWlUgxM2H3Xo5j2xpubjup3LMhC3Nu5sKHg8hJqEtY2g
1sNwRsaKXrNUrdr5DaoheIVaWvMBKmO37zM7QrsqIasqymtfmDs6NO5kKAzhR9QpuARll6LPTfW/
k/JZqh9jcNMMrRljlKRdSf6W4t1MCwmZHsRTIHvO451OxiCmBHYDKdr4msGM3DvI0WOjW5H6EXUr
l9+8jEtH/meO2+syRwIhUJjzg+k1G0u7o+quaGtUH6HVKxlf17/tog8pqBTMLQTknPyF0YSRAV5S
MLxAYGQsrbw4TqILpuj/siw8CCC/DQjYBaQoCKe8pSHslOnjfCi60kVnxNLLG/3HKmuztxqQ5EBK
hFkw/j4vqjRQq6hEKBAlU/Q3RIAauzN6v0Nyd33zllwDaC8gG0EkPOcs564RjuBGb8cKmUNjN4ql
SvddfCuqvalJh/rHqFUs69TY/GNO7l0pjAs/0GAs6+oMMBdJBEifNlu5JT+elOJMzbHuxFQcTyVN
JZgi/VEbPxPhDkz9Kw6x5HgGPEEGjRaF0jx3RUm1noqo5+C1A6xG3EKYXZZZIUOl4j+t5sQSl3ZF
kDGejByW/KZh4H1kknfsupVX6FL4P10Od46isqPgXIQRhYYQ8X2oy5BJiitJT+lYsnq4Ldf6f4sb
CPAYShYo0CKfOP9IuGz8NhsbwAKCI82dQtyGyZO8NjGxZoXzujHtjHYA9tUsssxgki+8T8m0CyX5
Ngm8lSt06Z4Blzp6bxTrQUDiQm1AoEMT6YDvg/PZrlDw6aHwppYJa+mXlghbSjAfmA3Kzm+7rSdL
mBNbo95bONL4CQAsY3YCvKf8kR6KchyL+Sdo9EvW7K6yCmXb5RUTtc/OE1YOwUKwh7IOoi7YVgAc
VbmDJtdDXk/ziyBVwPYTCg7qk09UHTaGkO9TX5VWdpjCJ7jLZd5YcCaiPqxrlPPSSaqGlhB8zUlU
7V7VbYCzrofE+RNdWABrLCr4wB1SHneY1SgdVqTDbSm8F/4xRR88SlbwMWs2OJ+kSShqaQkbU4+O
lP4ea8JB0gfn+koWPF+f+W//30q4b9OHsQLpF3hCBY45ArqkchuSR6lZmxG4bkfhhfImv0M5aMJq
RNqxXLwNwm0LdUhfWskWv69y/tOgJjDrcIODHNjQ84AhY1yoJBWe1VMFeAprqxFdrgDjhJYnDWFg
QSw0yO20LQ3bE0W6Dfqh30a9ZhwGvcDvS/ogtiaII7pTEEQObLR/MzEWAU4KyuxObwzoFcZVhApZ
OEy+xqBo6fV2g7OmbdqMJCIImdDLjpNCZoowDa9eP4m/Ir/2D0ZYjO+Dn2jefdzK5BdtR4ALAiGo
GCbEfBTFJfWPF8bTHTTlUtkS9C5zi6LIwIU0+D0wn0PVem7lNVp3MKpYKB1SgynAlXwfiq5K178K
VUmImeV58KsYdWg/CdBXzND3lruNV8iZ00dVZKwc8KVwoqInDEJxwH7oBXttgcsvlVDT87LGghZ5
haS1oJuhPBTUTvWH6y67dDBOrcnnX9iP2nCMZFjTyp61GP0UmgC8RGsVgCWPPTXDOVIdT3CaEWYk
8kdK72PvoWs/y3xl65bqW7oKjDQKrvh7F/QtlacEBglUJPzlZ0EsOXUJvY2DyCTFXohcLb81yjtV
vb++h6tm59WfJD99E/gJXgGoJZI/XaewPH1I0P1WO/BcdBguva0FuwlNod2uGF74egYkviGNjsAM
d5n//xPDejkBxQNqahPE7Z80f5+6wVGUe797buN6p/qjreMZ4MfKdmiOU6zc4wLdTgFIHIjmXv8t
C/fS2U/h9qCp9ERoJPwUChw5I7liCUphUdL4EN+Nt3KernzshfQJC8e9BGFSaKvz3DKe6mXQi+lB
A5mrj3mS27pexKaSesdWyL9QAN/UY/1YUP3P9YV+oya4oHhqmGdpUVIp7gWpS80un7YeeP8lX0/B
SSfQ5kZUu6FH4hNHe+i8aPkuDgRvL2pJGJpdUQdf3khEwWxiVUL1N+3uRHmMNlGqSzkDiU0Cyq7W
a34FsTK8dD7ma1lEg3IX9J2yAyImuRMjXMOZn688S5ZcGLkoOhIE032QfuY8KfKnugk6jBBLQteZ
nt7eiHqtICrQX+B5j+2qip9Qh7lTEncqY4CXh/br+r5eErTK6CoAuIkxeHxOkefg03xFqwejTU11
fFYK0Qmk9MXo0eeMkkejDpivi2YidKZUV9DDGO7QHGeNEj428iNtoxtPehq0whSIsnbKLssI87gj
5J1xzkSZ8nujZx6hlVimGI01fGTqjWyG2nSLihLz8sAuJpFF48fQpU5Sf3ql8nh9Y5YOOeBdFPA8
CcA9/hKmgTYJJBShHyqkr4QErlFrL6q01ohbCNGADc+1MBRf8ELgXldTHw2qUsKtx36C7IvTKeCk
CNwUMmvX17Pwoec6I0ZUKZ7AaINwlmqpRy9LHwEdBc8F3tv0rYPekmSlE+ZIn2nreC0Lgg2BVEDi
Y/qK3CbhNvA3IuBdP5cPQBLzf5V9ADSbZRPOQ6iYRJOAg4UinJKCbHrTjpmZDCuJ1ELMwJdDcNVw
K6GQq9JzK0JiIK0NAAS0nJvbp/nfg8uYuTMfR7YJ2Gazku9efkzAZTHnMdNJ4FzzyK826DQylLiR
QJcC0UprUN5l+WVo3q9/yvlnn4fCczNc0EfSSCB8AzPpAIlKegRb/IqzXF4rswW8dqB9DsGQC5X4
ZAylVIGFnLT2KD5D2CHOEjeZbC9bOedLi4EoySyfgQgEzfjzb6SqkwdXQPyJjai5a0CZfEC7c428
aaHxeB5NuD2LfEHp1KZK0fvA+EvZgUtMGBmRguPkfVVQcR4F6rMJr4hhrXK3tJnoWuG6xKWJIM+t
MM9BKDBlNSIsHsphdyNjwAnJkTfsp3itrbTkgSe2vmc8T1KTsMeoAMQQUpNMgINJGMIY9iTc62tv
lMU1zaPC6P0ZgDhymWUcqKhoq8g7UpRqJFBUaYnTjsekec/WeHAXLkl8uhNb3CkeOlq3sQZbeLIi
J/8rSsjJN+oseKJ9TChrhyBtmYFnT9eP2cIa8QAz0PgGzwOWyF3OsqGHtUbzzOzTLz8TmJzhZqZM
jHaaEdn/wRaKC3AP1A7x7/wUCH2VZlFbZOAyBrSHujIoGgrFDGowpfy8jSphvgEdaeQcYKHh09ei
GUvZH0vYql1VuplAZFYPEpvalf1b6DqdG+LOXEHGSk0GGGpTkH7eTIU7kD+ybg8ojWot67I9Oi2i
/JLnW72227XJyvlccWES8Ft08L5x/ljx+Z5mipH4SEYz01N6a2YjbULV7OcuqPYIDKEpkz+x4l7/
jgvn78wmd68RRDM5pbCJMUPHiBwp9TYa2SnNWh9tbXFcUCnKRomKoULbHRKG0PfAokYo/nxKimc1
tDND0Qn1X9cXd/lGxvf8t6GUw19Bxm4EIh+LyzRU2nZNbU30faopHvmgDKi2P7eGtBTofqQHCoAb
559vHMSuQvEcD/88tMlYmnF1EFDfi8vBAdcrG4ofC0bNBe4Ti9zHU5Q2zHpNhBiEVLj18FuALGWv
q04YpExYzU6WwgvezCp4wfCWQmJ2vj6AsqIAI8yZ2Qy5NWYaU1QBUgG5JfsvmbD2SL/4dvMoD4Yu
kQQhyUTSdW7N6+W+a1sJCgwAdmFoIshYoMpmJN7o0T1ebNe/3cWlPlvDVDYAL0jvLq6HIMRgRuLB
mmD8xkSN2dOVFOiSrICzwF0KXkCbMo/QhVDd6TPcJFtn2vwlrrArXkLzo2OxqTLRwuY6wcpU78XJ
g2VVw+gQ5jCQHMlc7abLay0sE01gmYiXEKoPzbHOX6IxQh8b5Aj1pujXZIrXTHIfL0l7PEVluIc/
vifobYpQ1YVKXOIU0u9OV0zDWzl7F48fbo3c7oJFu+kyVGvZMBx12SGY3pfCn4ZKzgZ3vXqTP6Va
ABsBQrLnO6D8YwJ4s9eIzJd8EY8rVGpQ6IQ3cnEE4zR1IIewUxVPCYFydbHii8ub9c8AFzbUuBkn
yIfCwPCIioQk3QfDSnqwtobZQU7SukYZCfQ7YUIPfEeBJPZE13xsxQQvE5ZLEao68zbVgcqo/yIa
/8mnNMyJzVm+RrlswBugGAdyE6whqhn44KrqQVYfrsedy2nY2al0tCmJAW60i9ymVwOIw3VYhfos
u2+dFb8k2x7S9m68zdx6s6ZreDmfydnjFlVmSivKBex1jvQovXVvsvkQg4/Wku8O/UE+aJboruky
XHbfOKOcR9NmigPAyrCTfmz5pWJWlTUZ+641IwomJu02ECpWtiGm/cBotnJsF/1EB4ucYSioA15A
bP1YjbUKK9a8mzLFcPFP39Dfi/v397nT5HddF7Up/r4wqiYlHSbqmDjdJGuCv2vr4I5UCQ5GZZxD
XA76h1TaQGXNXHHGi2TwfCk8G2FFWyHqIU/KUOeAyNV7eD8dus1njZ7bVwYGBtVJneK5XNnA/49P
/s8O8oWe0DPCaehh1pDN8eE+/RLNkKXICPf9L3D5pNtnw0qVlYrBpbzovFj8RwIDP9IM/gXTiq0g
opckQC0Z9EHKp+yOrn5TfjXWE3hp2Xgb4Cz4FrgQnsX9Gmr+8nnPWecu5dKogYTwcCRG8HcFdv7S
sKbC8JktuPJrsHIELsfPvq1BIBilHuBWeKRRnoZSPs0pQHQov8oX2UQ5fK9uJXd4yN+GXcWAntnH
Iia2VzxqzrDPnjQwPOOIQVWPf5cay9E0TP2AZQ5xzlTFKtBmiI4YwCTjtlCsyDuWa13PxcVqaOhT
wBNxifLP4Dr2urYQsNg0tVtbtLOWlW62Vx4S1h9GB9RC9/1mcCP7x4iGebEnhrnYqtZlU3YiDMfG
sRHZKD1RoBVLZXN9U5cCwakZLpriW6JPIMOMKP/S+rl/9Pe6gcVc9dQCF9IEzfNkDyhPhkok5vJ2
hUPvGsb8Q+1bKtPZc73J3HuyVe7WzsVCBMIgBPrFmHFHIYMfdJeHIlCmCqqLZf0soVdTWiPdDmv6
twsJEKzgMpgBEjMZ03l2QqJ5OqGaEOeonaF5ElQxmtbBSjhd+E4oWoDiArMdUNvlIRiiV2mkzUCT
HxnPhnYvBisSed9MFWeHCxVIBe8xDIyBFfhiyquTSqUO8jQw94Olm/7GuCVMdyPLc0rWOOE+tpt9
ek8xEDSYoNt4uetd5ajipZGx9K6+RazZezY9Hic3M/OtDCqj52RlDy52mvuJ8x6d5IGBHjYCYLwB
JtuPcb+PVZt4Pz0OMIFviAe3AR5zDLudm4Cor2RUfQYNnAgjNA/0x1Pz899HT0f9Vn4E+OT87wud
CHaCHvqSDfmSqse+2fWBk/VWsCaheuH7nCFur3zDw7nwi8CU84n13i7U3mlii9XKJ/mWleHd5jsX
AhG2BpQcFz+SCWVJkrdYkKW+DEyzi0Nsk+N7YQFYYfpucwh3HViNwO98VO6TB4xzWcgAXOEpt9ea
ZhdnBED1byI2CH/AifnZS5JmYlplfWBK8hdoAtpuDZe0sKlnBrhQljaRBNJsGFC028lzgnRbAIe6
hluYt4zbUnTd4HsKKjKzaOy5j8ReKnlKM1spbxIP0k7ypulmHW90VKzrwXnhRJ2a4mcKpcHIiTTA
1DDd0dxt612nryRkS6tBNQTUDQQjlOh2na8myQMKNnuoSkn0kxZMz/ZejfkqtFTjn59dtJL/WeJu
zExWJ6CKYClX0L/N0MVe5Z+eEyn+05ya4LzdyHRRzAuK/cJkIsMcqmx7VmHXvjvKDORS5vTn+ge6
fNLBp08tci7nG0MtJQMsVoITvggGo2ZpZnv/UCLVop+Kbq5BoC8L15xJzv8aYcIVQWGy3WXCTYGW
qfnXMAdTfAtTUxmZlFqCNbrXF7rgiahUw9+BZQS4hG8eNn3fxbRWAjNFhS5+pqodVSt4g+9mGvf1
YAPzRgSuiNFzzhWJoE5dNqiB2Vnl0Wca03fabfowsNDsnehLtXwGfVwWH7LjF7F7dgTYjelH8Ib1
qwqply8GCAid/hjOW/UqrZUm1wIwlkWg3TUCi46ssaYDNYOPxvacjA2lmYN29Fun11u57xdC2Zl5
zpMxleXpjYe9SMhfnYIESGFl9JCDR+b6d73sQnPr5Bw4inO5rCcYGm3CIChwrBzZTp5yM31oNtJm
cp87kzoJIza1mqPhGrt2g+bMCoXC4nLBbQwOIhDVIbE+j0JQKzdyrTACyNdYETEjpJ767VSvLHbh
AkK3GChnBcxNBJOB51bakMihOrWhqYD+RHgKV0fRF4LpmYH5B5xkQJWPel7YwEDzWSPIGSzZhnvf
1rfBx3QUbxXXN9PAto2ttL3+GS+53ma9q5OlXZydsJTLDpZrOwdh5Bv9at3pFnrfQDffCO/loQ5x
r69l8Gsbyh2STm6zIJVgtYidOr1riq/ry7p0C2CP0PPA4lDMvkj3wqA3SF35wJpGcrMxvOao06ne
Njngs+UQrMHHLt9CaAjMPYGZnXLG1nDrgcpQEbcdCiIBMXsbGH/MvjVW/3sCDWST2hUbIWz6Ej+h
ZOCbf0R0eVY8dI7d5yEQPwBjE4jfmFyl/DAuVCGFGKBB1O1DBJs52tFb/65nq0WCyy93bohbaUmj
BLr3MKQ8JgcNG8yAjy/24TY1X+VP2dExBL+Siy746LlNLqbFaTYptQqbAK8+iTvRpL9a7Odf/TY0
AdBl6Ue2YnJpO5FpisBCGjh6PPlXp8nQTZknzhTwQNDIzgJIJ9wBAilGVt70zFsD6l5ck4AcYHAQ
k6Y69FMuyvkT4IbRME0FiAvi+wnvlNDX9snw08uBs8LFbDkeQI7SwoqauDqBYs9dKh6VbiVfu/xe
nBk+0QCIIcbQC/RzJjDwArouVkwNjmVhD/nLnPGG+zR8Dr19Vz+MwNMqjrEGr1jcz7mmBA5pYAL4
QdeeRkhPVbEwITzDyHBQxnd1DX1z4STzMk9scLtJhgaDx75UmGL9EBArTT+05ncDennvT0ntMl/Z
1ouYxpnjdrUW/EasPCyJ0jdl/JTkJ9XYF4pzPXJenO9vK6hHoLmEtI0vhOtjouTZ/O3qcTC78iNY
S1CWv8w/A9yu9TTAHJ4GA1XjxukuJX/9tVnN+U+cBUOsAUg8MjPKG0hpuesa/NpCoPt9gfphnj0U
QbMzlFGypzZS0N430qMv0tiVaZ3+h0+ERHee2wDK7AL4Kg8YDjKyoTAT9UHT7oUIpCP7eI0ffWkH
MUgBeCtGKcC/yDlCLzdCUQZkPl6y5YXi1lcmS8jISua+4AmQbsHIEyahAH/nU6sa0Hgh1IGWEztk
VmLgiSwpSmpd97eLzAezi6dW5l9xkvl0RqkNrQorgjLeFXiUBCUI8PTwsdYxkwcttuvmFvYOI+m4
KpEsQqGSX1TQJAnuStxbWot6elV/kmaAarG4kpYumvmWEYMEjg6Y5vmq0GeXxHTAnH0XFW9ZJ7Be
qu6MYOUJfvmiw+bh8Y3uI5wNPjf/jJPN00I1VWiAXMPTMwV10Dh6ENXgbYr9yA5Je0i94hhH6mtO
yoJ1k3rj+Sm0U5upnBnsjG1cK8rKzbn0PQmwZfhNKOcrCpcfpEohhVMZANBOAtYHgA9Mxzlrjnfp
j9XusHoYgrrDN3CBf1pmUVgEdRylZtG30k3U+lByyJrelOa5H3QrBYD4rnvP0pHAqCjE4eD8QNVw
J0/yUnC4SsAhtt2AWYxIrd2myOuVie/L3gQWBtXN+egB2IwPe/5Zxan2qnwENLAIXBl6OJUdGDcZ
iNahTJVgZjlxK3GnFhWr6aen2wH9FVRbr70L17rnl49Z7pdwDhZHfuhHoJEx4xdMgE9W9VFapTmZ
f1sIMzJhGxyUu8DW7XajHscV717yJIzNgjYBmEREOS6Kdx3el93sSQaucDzzJpY1mEjUskqasW8o
PGL7r3/fRZOY9NEJJgZQauSObTBofplJaWoOAwgjdqCfxH/fR0i+FWt8H5e9vfnsntiSzz8yDdUu
UilsjWCSTYNN1kWsBi3fdGwmi5D7ESpolWBfX+Al/yhnldtU1QMbaj0kKdCfcdIBIalFN7IE7jPP
08cbkLCSW8lTlb9ej6E7x2/aGvJ2quhtfVHq7iGok1nTJM/UlMIgbg2pAydKXdV6yQrSAvWVCIYE
gUEf452hjyuq6WdtqkQmxcaLQ/85yOiYWCUGw5zQ65QVzMpCioSDg2iAkT5FBEvM+Z4q5YT5fx3u
KkSFKSmbIrdC/8WYVswsRXcU+oH5ABget9fsRidh1+iTcpRyFM3UVII4ieTodWCPHln5WIsuAj44
FPTReJ7xbed2fEXt6r7CndiPRtLZwEspX0JXtTEbPTnyHCMEQTuqrs1DghComV2GVzEmtNJgbYb9
ux3KpVQzFzn4XAyA7QjfpprGqFNI6wOB7QjU9LYS3piUDfanZEHkwGnvfZuAFB7vXqgTsmgXQe6g
tNNNh0rGsB/tzG1B3/8oH8pHAGdXwvJCvnf643hEApHyXhBK/LhJmYffH1tjix8ZULfXbrJuBSi3
9PFPdoL3sd5HwBLmnYDcECgDeqES/0p9qT+0Qpj8un5cL+4b6LkhCUcMBPcCeG44R5PyoghTP4cD
iORVG+v7GpnLz02g7GugVAIWDmiPnfuYOPTtYMSYnwkKkAGSUobUgb9WP1tMVE43jQt2UBPQ1HT+
Qup9FdjSXrZ1qzOB5QExhpMdPVu0vq6va+0zcYEOw+ygtoxnh/UfGrotJNeLV7busuqDYHq6Ku6e
pkquFnUPG9rjGyRutgBmvctmcHuQzLtpc+exNGD0EDrE9ldeaasbyoUGZTKqGnh3ZCJf2tP01t1+
DGzWa1N2d6k7mPFafWl5OxHrUGrFq4q/GeWCYDKoxWWcKF9Ddie3+3AtuVo0MZMnoUaNtj7f5WuN
PAr7CsmsqIxuDLQpgP52XKwy5s2+dhHKJFBugvJAwgAV5xkQl4rl9tszwpyNI/3ws8+0TQ5yjRA1
Jn8qiA1CIgDTn/FmKlCwi8OVhsVl82d2nJMkmft6cSI2UkVm52x63dbi6lU0hN4Bf39nlgnI5jyF
PoqYgmUoC+8HJRR+gev4ARVT1ZZGYU0mfenaBB85tgS32lxG52KAnvUxmRPpiPxtJLsnGEycNmq7
cl7WzHBBwGujspcKmInzoxdZhXfTgtpgVFZk/y6BhPPuQu8N/X6Qgl1wQLR9Eod1GaNLDdlapyty
YCuiQzSOT0b7GkA8oEpasxTD11YVnCyZtor8dj34XE4lcj9hvrFOMgRJigI/pfgJAMgFmHVlUQCF
xdEu7VuAu197kKxKkPHb/h/SvqvXblxp9hcJoLL0qrTyzvlF8A6mcs6//isZ5x5rcekuYubY8Axg
A7tFskk2u6urzF3XWxHnhlqLYgEmAc+GMhPxsSR8Ha3TTlERWTbKt2G8wNmsId9U4Xfac565qxfv
whJzAMpSX4fFHMNWoB8y47cgaAEXJ1aA5FfY9rvC7zmLe3EjzhM7lysgYGaiv5fZvAIdu0qe41dk
RgBLj4fRqVqFl3FeO4rAKwfJTPT+q+bFhhhDpSEkm9vqnCh+Bh8xwJoOx0cuUG8YChQeIK9qQCMX
IJ1zH0G7va6UAqI7SFP2+X4YX1rDq6ajQaDwE9mi7ug8hZBVv1zanLfowi9p6OeqYMKmBNLlPHZE
HDXFr06+kQEHkpxJuw1K9Ox6qvBWSmDcaMEIggLGTst3Zs7Lxazen6hXgLnKwDse+gznX2Nm9Zy9
nePb/EBNS1V+/OG+iCzBt3rpUQMeHLFl5mjVrRofZJRMDXjWvm3don9PQjePOLfq2gEFDgD0FaFB
emY1Zb5nyJFHSfB8UMnPVL9BgcgGGY8N3jJOwPoHFc7eQWDjQIoVgCzAs5gTVzd9GlQaLNVu4uRb
ZYPwwROd5NhB+Warem+9BWrL29AybwBd37Sdhd4I+z1wZYAyDWs4iC6g3zeG0+fWtnkbEWR0L9PG
t+4Lxz8F7st1X13bD+AyQzkEDetAojMLBf6HelBBeGdrePPBc6bwziCc22HdBvi4gYoALFNipqQO
jbwNSzhDNqpbHRAZPRe3glhzDsc5RcPOPDbenFhBDhWHyfka93GS08REbqWvMzNEa6xIbrusj/Zz
Uz70FRpy37VSu0/Hhmj2mAbZ6/W5XH/Vga8X9JsI7y+SdrhohQppMjxSt/6H0FrDJ4S11MoTPPCw
8yji1mYVTQloQYbco4rE9PlwxahpdT9GI/7Ue6b8kaUWgaD69RGt3QJLG8yUxqRFOnqatw11Jij/
SVsJEhlg50WPpMaT5fnzxewCLq0xdw44v7MgohhRiG4AF+ZKAD66d8ixpRa1tO98A+0TsO8ho3yc
7L36PW55RfO1SwjKR2hrBVgaGQDmnGgjP0eOEJ9QoWXBaqEHELURx01WF25hgz2pUwEdwips+MZU
bQhyhTupDj71tOYlvS4sgfkLnOloYEFRBvuOmdCACIrWhR2aO319E4rUlnS0ctcT53C9MINdp6J/
BWk1CN9ckBWmmRxOWouNJ5Q72r0TfwPF3X/uiEsTTNRVojUXSXKYKPHwEvzjpLnh5NCO2NFgWFXu
Xje3OqJFmpY5sWRQl9RGNZvrJFtJzVMwqO4YTg/Xzaxtr2U2mNnCbVlqgIxje03Rrzp39AqkY8Kr
Vj+Zwq7QOWNaDZ6X1pjNLNFQmgDsQ+QKBEPyNvNoBekzYuegeG0MN8+BnPoh5S6JeKt3MZ0AcKlg
zsSFiGDgogVHDhOl6U2twlTe9fFNoj8RwpnKy8w6Y4PxECzZUHcZbOiSPRzKvfgg2KGr7XooPNy3
u24P2pXN8C5+/+Oq52wY8SRBO/FKJqczEmrEKYST1an2/C5G5qOG+LTvc6631RFCVwo1O8QxkIFj
zo18EklsCsADk039YACM0h1ENHFAQmzrH5FycYhDDvpO4szs2uJhTxOETyiuAYF2fs/01O/SHsw2
dlgar6GfbiFgdTICHq718uWMeVzaYTaDqOZGWSWwEwBBUJfPIXJ9GjLKtTSi2vs6TOiM6drHOuxd
CmG4AkxZKGk/X9+RFzEE8xHMHlH0VAyRkcNijvJt6wOsodSQhVKOgkZRajZctYdIKcxfN8ubY+ag
Bju4OswUemgZl60aBAqFqLuptrtuhTe4+SsWTwQ5zBvambAC/lUDwxieZWSw5DcQ2CbxwR94pCyz
Q57d58xkMg5Lci0uA322B81i3wGgMDNfycjxz1UrYHuFa4KXF2XD81GhuYAgooOyZCYfybBBpNK3
J1l8uz53l8iXeTALM8wSjROgdulsRjlNb3pryZ8RaHJvwn3zqu2a++JBA4fyD4/G80/27WIO8SpG
tviP/AQTnwMrVENrA3MY5i+VAgDzvvqta44u3ULtTge+vPs18uAo88+8ZpM5SilkAfWxgE1x8OLo
96CCtGd8NaObJuBlBi9uQMzqHKQA0YHXmcrKa+QBRKWqGpteNU5VdmqDU6XcNsWLPN13PDzCmqMs
bTHDaiVhGtsctpQkAJeAW/iOkheW0HO2GW9M8zZcbLNQVMJcC+aDrE3cHOFJmX+HYMqKssbSMtnW
WsO97pyckalzPmJhceppW1Z0nsXiNqc/evccTpFlEue6mTW/AO8XCnBoDEDMx/hilSWkF3QVZnSI
2CU3Wr+fQFzoNwep2Fw3tXYgLk0xazUoyZADO4IDMdr5+S+i71T687+ZYJYpQ1NAaaow0YsDxNXv
hOKrHHhY6tWV+TtlbP3KrJEp9MXZ58JWcSOSVY5Yq6IV+oZ2K5o+76m96ntoaZsx0+DpYIt5WlMY
FfQUYG+QXqYoovYEEZUKKoIkyayxll+B5LevT+TqGCE6jBrTH5kaJkAwlUCkVe9DCD2vnHi+SKDp
HTiJ8vhv7IA1F1mEWbyaWTCaixXaPfUKQrH9LontCOoLpkDtgtfYMP8g9vzDaY5uWQB/wYDN3JMh
IIY18O8Vov9fdXEAdz+IKjdDPHM2y5krDhxnX91XC3vzBC+2b1pktJcG2JOmbd5bsuTQ5l0XTxmP
+OES9DEft/AN9LPN5MMqu4OlsMfJjinsT+YNJHDE13hbbMNTtU+eRbsGX8eO3qHw/GO22/hT8K4v
4OpltjTP7Gq5DmpizuY7L79pE7QvWNlnchA2oVNvg/wf+yUqeOKMsgEjln7R9CylgphAhOCP+lqt
u31z8idnlHbXB3Xp/bAyd4UgJof2KpvvQylAlcYpgUhhtB3Uo0afq8EReB2rf/oQzn1SBhsb0nR4
aKBSzyIDx16chrQDWfS4B+mOK+G/9UY8yDfS3vQadMFsasC/vAjwDUhrh45S24fQ4bXqX3oqvgJ1
B2BvZTTusbgsEF9GqFThZyeVEwCZCJH2wgvyu6L6pzgMBHNLQ8yW6A0aQKIXwx3kL4pO7s7R68/r
C3fZ5sLYYDaD1hGjEdDBZJP75lja2s7w5A2AMxv0amxbj27QUurGG0iSoE8sQusj2RiucuK9r1Yi
S1AXIgMLWIuGiWVjIGWc/J4MRm3Tl+oLVcDWmm61DXSLf3Q320av6kncj5zyzspr69wosxVD1YRG
5Gy0+RrRj6Zb07Y6hpayqz3ho7oZt9cn+/I+PzfHnN2iEZNA6GAuGo+1+FvrvvKEE53w5pGNgtpC
mtuWYOOl2Bkn9LLeC2D6s/zjq7kH/etJPN3/T4Ni28hBQhs30mxQGneRupPJBsrP101cXkVn86Yy
j+IRND2+n8CE/ii/Inx0Cit8giAbxx0u6zXYCwsfZOkRBzI1UTvO67OrQJ107GJb9BJPecJecPPd
6LXbZ8PNLLpJLD/0DM5RfdmTzNhnXldUo75Sz+7Yu74dHJWbxoveUxevq8Pw0G0b7EEdexFKFLub
38OddIuKlht++nBUXi2bOxfM9Z+TLJL9Bt9CX1pXdoJj5GXQJvJMNz5GnygevQib6OYxOEHQbcN7
e61kec5Xgjn5AGdX1XheiXGvuT7o6S0TICtxK1o/R8kyvuJ34d7Y8ppU5vllrxcddFO4XWY6AbYn
vBDKEcAFA9mzkGySJj1UNOfkr9aOgKUJ5sShckSGaYSJXui2RUG3IXZL2WYciO3aFYXLCQwSgE4D
RyKfB1O6DHH7vEE0mvfqrzgAKLpO9eGUB+pD3zeGl6kS5yJZ26Pgb9KBGgSpBC7nc4vK6BtS6c/v
PRFQAHozmdqm69xg2gWBPLO6pDHn4FmLORYWZea9B+5oMrbd/DrKX2heukMZfnTZnBXveCQW86pc
OAbkSU2wt5igC2AuSak14tCfHxQQFz3EtHnQUmQ4hVJ7Gnr/oSWdk4OH+/qht7oHkGv5r1HGVWpS
llVKECfqdLrrit7RUuPLgLiaqX+MqAHFFPS3M4YmH4V7La9voK+1IfozSXzHVLp9pupeEVNOomnF
s9B5grYJgOpQxWSfv7lKK2OKQghgC/dgxY3Abq4XjoYHPZRUOTMwv5mYacf7A5HlrKGqQz/43Keq
HDFYXiB2DSLfjqYvsxAcsSusIhy9EA97Xc5Fi/Qj0kLTQ6by2F1X9+piARiXLkFq7PspFkBsJtBs
VzcDWm7yoOQs9KpzYSSagboA4BiMcylG2LbGgCMhHT60RrGUkUIhG6Xou2nY1uCfuT6rKwsIxvj5
nYpMPR7lzEO1IdVEIgOjStL3Rs48Qyzv0+l31slotuJdaatjWxhjbu7S1KhedjDm16lrZPE2rnfE
tLXgUDc70Qg40c/qii3MMcdeRatQrSpM5eQDYtH1bqQSewgFDnKfNyrmnm4FjQidj+NgaEwoXv0K
Qkcgv8ToFSQUuvB9fb1Wj7nFmJhN0A1mZYLRGEc5BA8Qrjpl802HbAeVUI5n8Cwxl24tZFVI5he/
lv3OY7cVJFDRPWXGwLGzvkoAWYJhFCT6bPsaBEkUPQJdjV3KigWU8U0zJBY6XbbXJ271Np/VWv9j
hlklUMXhOVzgDiyamDh+Horbsac8EPu6L/y1wiwPZDVIbbQYjFYD2aR7sv7WARjWbDTBLnlUvusr
hAYdY0aRogp2fiCqQzaZvgD/bgwBCil4D2q1JZcoYWYSJ1BZHZeBboKZIGp+1J+bKrVBlCEbgnRM
CJlP7UEuX3WwOE35Q5yJtsjD366dSkhLk1ndHAAZtiE5kyewCQc46rMKwvTVTQUlhby4H7u3Svmn
TcKYODQhy0DH4hqDqML5yDJoHxlRhlxFTtFC0YGb4FaSonCTFepdQqPm6Z+7IboLQSFvEsDcWaxd
B0UkJW1obctV5KYSvRkpT0pL+hPrXNyU0EyABj3ItsC/cz6mKDdSaMLGtW0gubVXoyh41+kYu2LT
kwntKXH8lPlC7xKZ5jshlNOvJjc09LD5+WOhDuQpBIT9ho5Z7caZ0HhGFKpI5BjCsZer7qZtxB4E
3CoQzJtCjsuvwUjrtzgZZFutxeIN2gYGuGXEQgCcIx8+iSCokOgz9JsqMX30daH/R+zo8BO2Wirf
DL4S7Kg+x2kJlNJ+a0OT146cBNKumAbB7emU7CYSAKfRmLHqHxQw7x/VAvUEKx1SFRR9XSONzjiM
GugJIefZWzEE1iEaj3bCwvKnVAncSCygkgoIXo1nBKh43QSCMy5ekt3vDj0BoIAAlXNom1Fryjak
srLdKMrDIRKF9FiDvPfJiKfipRbKZyCd72Cq2w55pgfWSKapsxrdBBdIIKWJVfmS7IVdn3y0egMu
HbFIHlrUR7e0NsXQHqUugKweKsYzKXZVuIoWAwg9pkTbKGoiu1pEop2YZOAXEZGj0+RB38OTBDfr
qnonVB2YGbvO2I3AuXSoOQyB23RC23zFfivSvZKAoQ5fXRj7qtHC3C0VkK6BoGuQIJ6TpyYaxM1e
s9OkAm6+kcfiUanC6EHKAIqRp7p7SosKHC6CaXpDh952q9S11jKUmnwMY4QyX5vko+YoJh3AQR35
kafLCjqQyqKjENquG+MxSYZ2tDs1k16zvkm3hTIUoq1Naez1ojh+Q2QsdtJKLAo3FeLueTSxXI6Y
+VoOjRwFNqVKDV4h61Mae4WW5hOC7nQ7okFLQp9B6cunCdh60zIA8zG2mdg2xwEUrtm+RmVBcUb8
vZuVJIAesWn4qiVnzQi9t8zUJ6sNCyR35D7vvDbLlBf0nMS+XSdZthdSQrYlZsprEGZ/V0mh4K0U
S3pmxdR/UjtZdLqBNKcWjbRegONrXwdZufWFxjzKPSgIYZXGkaOThm6bpI8eKsOfdnKPKqo1DaHo
5n4TbhQotoHK2OxGi6pqT50i0btdByW1DAHKIDpza9dvGTI96JLrQsQUnTT4lkYH/ygLQvJI9Lz/
McHR4o7mFN+Pfd5swb8u/qBRrQCtemRMhziLfCelqnxf1iKAHymS35aM0XrQqgGx5STQ6oOmZihZ
elrQdymKUMAqQggy3vlZlu4rPxFQ1IIE+b3S1+ZjI5X0LpWz8b0f61H3SCybm6mX/Gw76UJ9hKq7
jltPDambQqbpvisS0jq9ISTisSFJ8aAKTXaQBC36nauImKx+MlH7U5S6dw2ataalxUbXPzazyHUU
lc1em/TRAbY7cmNoLozu9bP4kmQVyA38wjsVYpDgvWACxN7UU9WoISowthlxhClHJyQ6FHXTQXOS
i6vuWS1/lKQCzTqOTIC9958jzZ0sP6lk+OR8zBz8sof28mOYAKUmpKhpPF9ECbUU7MIsdSL9Yxig
Md3S33n5VVL1GPiIwZoGpF28V+1KJeJ8NpjYJRGFxMiGOWsPfGiUtU5bZuCzkOwqVYAvE7eK0rha
EjhoH3EN2XzlTMDa+w6LgRTF3KwCSZLzWws9bRE6ZXBradVnHChOUAeenNUfbfKao3HLqrrcbbSc
Ogm09syCpxSyEk2h7RCABsSBeAyxeXwFaspDopcw35S3qt9+Yqvsu2yfoUzNGekFFn72u4UpJrTO
hXbSm7aqbTAbOKEJmpXSRVLTqqDl3r1o4WYI9q3ECYBXQjgRlDl4UkoymBTYUmFMEsVHDQ8xFS4/
depfVEnfThMxLDPT7aKKH4Tx1/WBroRxc58+IPhQKEFvChOHBFQQpqSFyRCtvr1SWlSaqat2PsB2
vA7jlfgeRAcGErYiQvkLSpkuC2oFiEhkB+SvhvaWzmsKXfOPpYF5fhcVSRyDUpkbMNA2ZWhTQUlv
st5/S6J4xBMpKZ3rc7fyLILWA8g7NCQ7UKhjdoOiRri3AZ+DAPVj1b8E0SvVOGnB1Sn7a4KlTQwg
nlQIPUwM8uBoQ+3U1eZ/GgQb7WY+wJWaBAtt9Wl021Z//heFafmPshCQ9Dg80AZ0vizyBCaNOBYR
UM8KHwZ6B/KytgRRfMuk4tgFzT30U62i7HkwhrX9BDGOWUoYXqcYzALFcjKSgki13dWi5aefJHUR
qAnB5NbJ00A4SYZLpCrODNxTUCiYs20au32FdBgFqUFlTvvInEayktvqVbxB/LTLv8vG4tERrHk7
uFchNgeSJlA0MdOatWVby/PVGItPZe4m06egHxAXXfePNStQjgeHjInzAQ/988VrA7zyCGJOO8pu
6wrcAAMamhFC/HPUHTrhF3aYvasWZgOFYYLRACpNcn1bT8kxR4iaZIRTpV3bVOjqBK032pxmEsjz
IQ1C1atRALdAuHFMjOk4okPg+qytHQ0gz8KpML+R8Yo8NzF2REGoAFcQWp1anZbpTjmEvp1JqLdf
N/XnqchGJYC/YF8BiDYLwzK2TKkU1NREVOIOb3jtaKl7aDalq9jTofBCW3v0Pd3Vn1F0t8bcqvYZ
J/OwOtjFBzDz2UNeOEn0+QOS2gqHfZb9xNzmtHnG/v+jBAXa+SjNvpSHeIIRYYuGrNI9pW7zWdv+
JvG0Xf7lP9V3/Wv1wSNHX6s4gwNbnYXRAMlAz8q5XVVX2ioTUNiqK+tj2uqpFX6AipDuHktiSVtI
F3HxJutD/WuSWVCZTlMf+xgqsbuduKWto911jWW6oi28a1vlIdpLN8Id2fLKtqvRNqiV8BucwMRk
q1CSWoyB3Pi1rWyGo/SMvFHkhBt/CzDBBmKtpRU+Vpv+8HLdg1f348Lq/O+La3sUE0hsR1BLEoa7
mKiWL3F6NGcHvPSdv8NiwubJ6PAqpjBQHbPA6g7R7+wl9MzCEr+vj2T1ClhO4HyaLoaSZVodhwom
MIWA1k3zlh1DVwCa0lNBNwp6sdfr9tZ33t+BMc5JAxp2zQhzFAg90HVYCnSuk/7pupXL3n5cbMtR
MQ6J93Ghix3MNE56o1rELt23Do1bO/+ReL/qbcgZ1mVHGmOQOVEUbQi7TodB+Qso3vQ0EVuCgPdb
/URBRcMb3lqsj6wi3hUKMGaARZ0vGlgTxEgv4R6A7Tdv9UZ6B4blZNyq6NXizOTabapDvAO3NgJ8
PGLOTdVRXZpTShsb6bQH+bFzAG9sjtEbeFUfFMVtD4bX/Io2JueOWN3YS7uMX4aZJscUdVBb/Ird
4CVzQnARozrxAFC2aks3ykcEYYZNcEp5QZGysvd0WUbXO5Ju6PtjXFQLwzLIYw3xZUTKbZ3FyFCr
zTg6QhCBrinvMfypRPWnkKE9bVNDiR6nktTPea+LDhjKh20OWc9TURWE1y/F+zbGr5vJqDL0rONc
yDpbosMuB+cBZ8VXnQv4zvnZo88wxvMVL0kUyr2hI66ZFCT+5EexfO+lYBunHZS0ASlIf4oCLZ5q
wMlWrA/uv4ZZoamZw6oOR0y8H4ler4P8X0w2nMGtuvPfwZns61FDzm9MMLh+XxzF7xrpF1yT5NmA
nvXPUThNv5LfxJJ5FdG18xxZ8/83p+acp1mcss2UB2KhQcF5yshLU0hb6tebCQzXha5Q9F9S2yi1
u7pQ3q+Pd+24XdplDopErgD3IZjSVLgrk89S2OvF83UTqzOKHnyEcyDaQRP6+dCychwM3ceMpoAR
IH+p3moAkZO361ZWfWNhhXH8NhSUOB/ndQu/jWLX8nDwq1ETKnmzErZkoBzFeH0GYg0SUkRN8i0G
YZdoib0hd6WjfZWeuWu3XLrh1RGh1XImJkKj2Z/M2cIlJi1DGJ7jxuikF6E/xoSzj1eXXgOROuCj
aDlnS6AVGgj0QcKA2ioH4niwxvK+m3j0dutWIA8PGU5gc1k6v74PcBL2GMVYP+S9W453Vcw5kFdN
AJmBdwkyF4R1MCoaTdf0uOzK8c9bHMQnEHjv63/jxwszjIcZU4qfO9/gZbRTlRiNhVtFeyEp5+mx
ul0WZhg/MxOC1Px8n47jNoUgiL5rBSfmPQLmj2XjxxnN8p85U5i3R2+G2ZRQWJF09LweSfWR6I4p
7ozBBWnK9a25GmwBkI0cGboz5QsZCyFRO6UvA8hK/zJat+zcYW+gDX+T7EPHcMHJZ3TOXAbinG3r
W3Zhd57qxQ4SswqaI9Vsd99v9FvhAe+5U97azalxG7t5b7fXB7q6dOiewi8gxNGxcG5PIa02yHXY
2JF4DCfVVqN4F1XfsVBwyserQbn+1xK7fCrKOwbuYSzfaLeFZ2gHtXgVRzDv7OIsR7Jh10T3aWHV
lAdvWY+7FqaZC1KuRAjdthik+TUCOvEaPIoP6SmmVrYdbJQUY8EOTuSQO4TXvLzqswvLzB3ZoTZB
myxu7BgyJf1D2hzl9mVob9LoOJS8Fqs1EPMsqK0jvgN3DEgkzxeTRAF4AUuMs9ad+kT2Popk+8kd
7/RNsUWx8SSjt/iWi0Gfp+9iY4JQGbUewD8l1ofkPCtjdYLPNk73irPf8h/p7j04mdvp7rq3XhLV
4Ekyczf/xxTrRFFvmNSfMMLirXW1TXmjfsY/+Wm8HWYufcVT72KPfNB39Plzrp71nbkwzTrR2EP3
aB5l54iWaaWb5KDfZNv3Z9/OD1zHWffZhTnGc8RuaqAyNk+qB7nr7R1Erk+dpdsylOiorR+TU/rJ
Qy/PYc2VhWSv14TgVs/QVolW29tKgKbfXdVbggYQkHt9HVevvzmTie5TcHKxyix4H0dp5GMZQxM9
2opo9eZnF+yuG1kNRhZGmKM01qqmNSMcOILqW+LwgCrldQNr0zVDfUQJwBv0yzEeERddmkKUFOpo
qNY0Y2BPNDnlg2nTot5kesWpQqwd1UtzjEfQRkZ/XgFzIBqB+Bz12uokFF7K64leQ9Ai7P07LibA
lqoB/L4SJm7w5B2o2Mqtag3OcOhFqzoAUad+tAdh21vZ/cDb37wpndd0cf0Vg5kgow7Tygaimi7u
hcmJXdNVbqvCNu8hHLOhu8n13Yz3muFZZs9OMHbIbYrZNY1fabAHzcSYAPawbXlsUmu+v5xdxi3N
tlf7poEhFZjEEvxNIHMGz8R111y9CkwwiOEPkB3gAj+fyLBOW6OZY9gycymofYzkQJPXStklvtVG
BxI8COBpLUBRcIykpziz/YCT7lub0OUXMLEn8ftA7+csZpPeJuMjEAQWUCwoulpmFHKGuzanAPHg
OJkLP9B2OR+tTuJ0MgaEhuEIIr3vMvVkXtmUZ4LxTKGqO0mYTYy5eJ9FSIBpvtd0hc1ZuLXLdDkU
xg/jLkuLNoOdBtpIya9WcCvJpflvWT0BduwEo52atwNPm2MlToGbzMxXIDCfL9jzCYSCboK4G1bF
qrRE8bNrayigWor4OPjAifOkClaOsjNzzFHW5VCKAWAMD1Na3ZVZ5igNGBnRIYvHHWdCV26BM1OM
a0x4LRq9Nr+0OgjuNPGe1jzVIt5oGNeoOkGXxwYmuvR2El9H8dGYHrN/8WTEQMBcOfPQYamYSL3s
FVPL54Bg6B8BwlHDXdZ4HOdbSZMtbbC9IaLQgCm/wL08Qn0Q7dGOSVMLDaXvjZ5bEi3dBsRJUzhs
y3C859ie1/w8+AA4F+jSmQJNnmUyzl0wSiDRWfddYxOZvAlJZscjOP4GZR9qKC+lqLi0TWRJIXHL
5GfsIfadtzxGiZWU9x+sKb4BIAwQ8DHHZuKLQNX9eQ7FM8875Is00FZXrddKozUAb9SNdxF0osTg
+/rwL4+Xc8PMaVmXYgkJIMz8QDMA77aZABnWgRMRXToqjKC1H5AaZFAQs5xPMSlQI9S0OSLSN5O/
IdHG0D7V6e36UFYiZZhB2zQ+GC1NOE3OzcRtryjt/NIT6Z0WT3Y+QpM7TradWO+6uNmG6vioFe+x
iIYDij7yUtxLWfCPoyV8BCg6caZBpBE4gPOPEARJmkE1jd03IKyBvGBOrbRyUbW8PtrLk/PMDkvS
MGTAsWdxhgd0Fj3IYeSWYvEx+cTpJAo0xfcY8siO5i9nN4qBTQBqbtQuTBbgoExp0olD0dh+KEeO
Ik/ptsr9xIoG/06W89PQAyAs5QKUBEUp50zr5a2Okj0CCgUoQPTHsUIp45DWUTXmjS2rn1F/16U/
0EMdag+ws38+r6D/NOcrHTc7CzcPxUGgsdQ0aJB6LepdFL3X4VdcvLfki0t/ennnYlCKIoHTAEgE
/P/cV6I+a0e1rzCjcm61nTfmePh4YnArqujz8QyE94X0KqWcq2klyXRul7k4hjiWBdLVOPIU73uw
74VtXXnGx4PwYlRuWLvVC+eUWV09FYyq5tyGj7aB84FqU2IItdQ2EJedbEM9KigLiL9I9BwMHD9Z
O2oA3/+vJeY8S9Q+N8LZEuphlilZBfnVx7bC5TWbl+ZiMyzsMNucDro8GLOdrHHVB3EWFrCyvXwP
VoPaKe9K31afrjsmZ2R/rpDFE8Xvo//MYQj638a/rfLXHCBhM324bmflGQbvgAo9qOHAvAEmx/PF
mmo975R8mN9Cmo0e3icP2goQ6b4VP+jjhPbh8q6wAeGf3q8bXruKlnbni3oxwCYBSDs3enhl/UkB
tqYnanICjUu2TnTiLG0wO64jEJGOBdjoPLRnSS/l3neGnbGrHf8xfxJ7B6lViLGqDv2V2IfKggAe
53xZ3QqL2WX2HngKBVlIMLuTJN3FE/HQyWFr0T3KkXddWe2uz+kKX8T5gJk7cVT1ZtQGDFh/1Da5
K34Jt34McV96E4TW2Dsg+QXGg+wMEDiMlvJGN9Pe+CJfwYvhhQ7nY+YVvNg0oNMHUylattG3zaxw
qFNtCnCIk43q5Rt/A5XGWULHE29Ku44sCm3W+ij/iDuK3bSJNtqzxkkHrzvZ309gpn+Y/BFNh7g2
22hvSq4EAg0epnJ1o6KBCMc6GrpRqDwfZYq8UknyeZTFd1v9Rm+vFU6PWvf7+myuOtLCDHPSxUNZ
BKSEmcS06u6T9OCcOuVgIUdTPMdn148EHQJyQACiMMXGyPEUD1PgwxYdok3Sfk+KdmikXw1Vba0H
kEbrbbCjg4Mh/kFHi6OP3clUa2eqlJMQGZ6Q3A005pyHqzEzPOm/HzWvw+K8gFweeoNIiUtF1l1w
QrsCRFDG3Rjiifw2lVuD3Mgtx+jsHhcejMyGDAVpTAarMk4qc8xlCTdnapD7ONUe+byja4EdQKv/
NcEMSw5iYRhLBAVSJrtVBKavDYkdoaC7UdgHGe88Wt0QC3OMt9at2QhBDXNySNCDW9gBYHwToOD/
wlsXZhhv7bVCHFofE6fFwLTVXh4RR5QJQF9O0XEOvdUhgbsVpwwiTZTRzh2DIg6NugKOIdalpZaa
hbaIgctMe/lmBUYOHMWz3jwgxmwpVcuqpEFU2tiV+Btym3UCbWkFKlJI+3ZWGtmBZkk8YOma+6Fw
iy0IRC7q0MzVrE+DVhoqFqtIoWVVyTdJX3EOyLXTa2liPsMXu0ooJd0oQwxLCCNbCG4T0F1RzZJ5
UIe142tph1mksIwxqwXsZDMvX32LVsZpQB8PWkgEjj/wTM2zuhhSKeViXCswFUtIZBlWUUloD7Cr
5piEX9fd/I8WHntALIfF3LdVFmtoFMTzQdi26NED+cmp2SmuaUu3xWGwUyexwFLjTpu9cRs8PEf2
M3V4D7W1E2T5DcwJklZt35Jm9sw2c9PM7afc69G8pYoHpFYEXsf72nZbmmNOkLIbwjE3YA4IqCdB
QoAfKSGaDaHWcH1yV10TyVZtboMywVxyvo5QtZpkoUXMrZTeJB8L5WTQXxPPW1Znb2GFOalMM0xS
qUU+KEw3vdFt0RsL5sPDAEaEwrijvJTkCr0dzpGFPfN8VFlZFrrfYVT5aBm/gRdP32SH3MuvKgjk
O6ugtvAyOmQr3ZRe4/kn+nh9VleXb1aQBE8IcHrsldbJqjAEI8YrRB2aKEOk5tEcz8GdrB5cCyOM
S9JRC4Q/k4q+fodIr2HLu2BW6vyYR9Bv6srMFIgeo/N5nGKULQd/fpEJt2V+l9H3im704StUvqvu
VougUHmiwiYmT/9i/hZ2mdPFl0Sw7s87voa6tFgHFlgMLJH3Kpu94OJcWVhhzhU0Fafd5MNKmd0o
+Y8yHqU2tTTFogVaX2twtmof18e1utsWFpklG/KiNLNi9ot6b0bvII+h9bvKu6tXrEDXHLLBIK4E
9patoHTo0JkaCVYKX7AjXfYSSIjExm0nhpxbYKU0NUuo/zXFLBRaN6VeR7czGt+t/yPtupZb14Hk
F7GKJBhfQVJZlrN9/MLyCQZzzl+/Te/WPRLEEurefbZLQ6TBYKan235SOrDHhcdpLR21e3DYp1vm
jHv7hyIoLS64k1krcaYhQgIdSJfLbVnUUktYj6RkUxwttM8YFbpFocOm5E7PvFaUJ1s4zRfmuEE2
6HE2+xjmCvWQSo9KtFGkx9sbYwEMgUzu2ZC4vTgYRf+/iJoK9FTA7Vdu2h3bBLgklPNCT+m+Gm1V
WXvZeqi6vZ7d1+GpZm4LxxYIZnfpQY9vAeoEvCTg4uFTy0ot6xL6JTBel92B/Rwrm39qzmN46A7N
JnhsV6lE/U18yO4MugteahE6bCG4uPgA7piApqFIQOWAXeWv/GFVBG5g/+jsuyIwndvzLhwrd/9V
0AhLQh2mCHPRSIReCfQh/w5Wf+LDr2gVveWKG4IKFQXyQwvGvWL9KUqOigbL3Y0WyCJMNGvg9Zy6
4JTXGFR4QXjHPkj0enuwIkvcrZiYEBzODIxVA02Bvy+T3Zg81uOTH4oujvlEcJ71fAH5JksI4oAc
oYKlSj1U2kcTCwLqhbZttL5rUM1EGyKaNfgCGrpeVV/TUBEYB7Qtn8BkMSSrkqymbD8OLgZHGCAc
mi6IlrQFzwPCYRwKoqGBA0Ssl54nYHVdJIMGZEFD3Ar+bRhAVLWOQIKkgl3D8mkUO8w2AJ3cs+4o
BfsSyQN9b5C7Xn83+ocQDIIq2K16to59N8o7b6ppL+/jadVD+GPCy4fQUdtGlr9v/ZGGQER2te40
0Iauh9cuKLym+VTbuYrmmOlIi3g/ViezkVdD4Nh4MDFww4s84MLOAX4abGdI4YPYjr9RkJDJc2nS
EQfAAzLwMNnHOHZslO/0yr29SZdm+NwU52zzXgNYSp1NhYfQcNHxT4CoCCXXYq5RCDLbi8ZUlEkh
MI5LjK9usalvk5TAWNLZdEinlSwZtFHegXfO27uoEBVlF27m2dA/9jjH1tZjFuINileT9CqbpUvU
Z5SwV1Pr/YdJPLPDeTXF8klRG/O4AJdK6xRlj1+5viZTsC5Ma2tNieBgLEwkgUgyBOGBWUSrG3cj
S2pg+aphtcAceDIrtuH0MTZHKStPYP8QSfctzCKBygMAvbo+I9M5Y2lmlpPN7NZRdR/qbS+jPyEz
sOpFDJIL9/6FHW4rFgoJ0JxgtjOEboiPifIcdgKXvOAoL0xw1z6ZiB2SEvPW+Jqjkt4xNEGItjgI
cKUjwQh3ZajcVlAnYrAswGRpQfvWZJPbFcFjFglihsVxnFmZ98dZOqBTLMkIZViJ4d9Ik9JcxIcq
Ggd3eUVSYKvFBAsl2ntKj4zIdSFNevvcCIzwmAn0rRGGA9I6gx7TRt/2lgbPK+DYFcwVr6NjpWVn
ajlGIrf6CRw3LlGE6OEFhw3x2X9WnaiX61FVcdmg0tY6YzYdQ+MAugAoMKIzbiRuEWaHtEExIOjx
GJdpM5kodANeHChu0GVU7+W1D0KaWFQnmJeIiwouPoo7t1kH4Qtbwuym7YuVP5XjHWP7pN6jKqWA
U799uL2Yi27ibA644xv5cpdF6rwnw37dhaApDN8SFRrRAnCcaD25M9x2aAsr7PkMx9F9W5X7NHu+
PRKRBe7ayEtmW4MMC7327mdrtVEE+34p73+xNJyXMMJkyuIKc5Xo8rMVReiJmHqLtvZ4P3SSZ8fW
aoCUclM/2kzEUyA0zjmPgE0AsPY+DoT8nPoVDXDI21M63dfGbohs8ATvMxAx3p7Txc2IrBeuftQc
rqoOdWUZTJOCzknhsfzMC7WI9iU6xFqafBqPcvPntr2l3YjeE2gKmuDcA4rz8kRag1YDEQt7rd19
pVX+PCAX1kL6VCbCCZ1PN3/Qzm1xEwp2YzUt47BzlEOduhUa+A7Fp3n0n17Ux+pXLshDLcDbAfE6
Gxrnmi1fAwAwg7nul3wXvppP8d34p7RpsTeh2OW5+vZVf2Du7flc3DVnVnmW98JUE1YnsIrXqdd/
oXtaP2rbADSatIgExgSLx0MqLaUAGTg6qB0UOl204qFNEoI0j5a2vj2opfvnfEyc2w70KImbCHZS
As2zRNsHPTiERlGCSGSGc8StElQkbWYz4Ia1+l2E7Jooa7+EHDvfFfrs1M5CgtEazbGdjUgbFCPW
1Xv0nB0UN9vn79pTZNBQ4IaXCqoXBjk/bIFSs4vnRaqzV/ZpUuOjcUGK44Xrzml0qCgUe/W5q6j9
kLz+/5aN88/wm0kVVrBMyK/eelVJTUv55bYN4fA4B9KNsSKh9blzjCMBuulDoc0+3OmZ2/YYUv4+
7cD14OoFVdeW6LktcCg651BwaxsBuMW7uS4Ozl3lpKEQT42C5sz7IQNWINIhWIBTfQtng2pIgxYg
tJovd48/pqFdNGA40ooQb/tTmuziyEuIq6a1G0ZPY3nM/E3brkv0vZd3USw4iQsZhvkDbGQYZr1U
VDwvP2ACWSH6F9DJbvcgnugSNy10ZwTGqqYjmLij7QjlsMn30sITLfQ8m5fu+9I0d3JyiwFuZULz
JDb2zERNEkqd1ibut2F8lOxTmh+q8j0n68p8tXXaqaBhzz0i/1GUTwNvFNBJDPED4KHUZrJHGi/s
j1bpbyZoOZjFM7IkqvQ+SzTZAFDWBWg8q48hkJ2mObEJIpLFhqgg62TbTqtXFdIX9aGeYhRqPqxJ
8qRGc4ZxpaibaPKKdKuXu1zKvLLfZhAaj7ZGNlGoiU/W2hjXVfcUD0efnHQgYVnE3DT7zcI9S0MK
ak87zV17uk+iU6a6IJwbwVNcbIbsFKXbaFzJDeLV7DW1HNnfRObGsl9Bh0saZASyfTI+JCM1ldi1
qo1ZPlnNKo0hl9gddGMXMZDBH6TuJTDfbBT8p0Nc7XOSOGW8NfPHFFou9affP6NuktlPZrfJDWqO
65icMpwfuYPGcPir1pygOfXTqjNVL/Splr7L9Y/cDB2URCiCotg4BrNy+EsWPUn5J2jYXNvvKQKW
xmCYrhE1NW1XS64d/lJz3dHYD3lEt+BJKkI0PTOoWEab1Fph+zlR/uKXm9RfTc1XUzqRfZD9E9JY
Xf1ixT97tG4F5aFDhwm4JPXJy+zBibsV07xaBjtqWx4aNq519ZSQnsq5tbbid6CFVmnogcZIdN9f
h05AU+sQnAYxPMpCPFFxqjMfRKXtDMZxlK25rVaN23ohTQ41bWQq35Oj+VJ52GFPMqPCdt4F8yBe
gaq6DamBuaX38mSWiZ631QwTjA6Jqzq9EzvZqYK+C317Mg7MzXa/UDh6qz2R6NE3dpQ7mBeWuYNp
gAHWrHCpfcODfGgvlXR6YyVNEbo6j2CEOhZefRg3wdZ0Czdao6lddpkrugkW/MPFZ3C+Mehq6Hf2
+AzVaZ0cpiGpuYYz7lf5+0tGccO55iGm7/bv257pOgpCheJs4rlrritia5RN1MsG5gbpR6F6dVHQ
lojGN3//rWnmbjo0APWlqaN+ldL0TnPIPljFGGfpduvG8/f1pnVEKaWFQtbl2LgbLg3QpNFYmNP0
FcpZ22xVarTykH90P5vjXbLWnV5wjESj5KJmUF8k4BmFRdPeEX3tD3dE2txesKVb9GzFwPZ6eVSC
sbCMuIKNyGA/ZX0zydkWYhK07j9RcXLtZPhsejDhxkFMfXCqj0pP+7B7ALeg4Lml3t48KNpdfopt
Jyqof/EpCAYf7ICSVbaN3PjOd3/G68GdHnGrUZRZaL2yaOf0K6D9XdB406fbc3L1HTYBOhyAVYJu
AoDfucPTS8GYyKqPMGqsVqpVOiWca20eVVHr5dX6whDYIACtmKnkwP7FDRiM1IWhhT0Sbyoab0H4
JXlExCV4vcKcFe5Mqh2ZkgFSyE4VUquiE+IzmkfrbAPs7ZY42UBzFK9EHESisXEnNCv61GRl1DtS
/tBEz4UOhmvn9jrNP3HhBLiBcQcSGUupRp8/TESyDJXHMn1TJWJE3pCP+dFso+RLaiNR0+rS7kDr
EnrfDTBpW/xDL44Ak+mmpEc5cC3XYDJQX/tqr5L324O7fjJ/j+6vHe6hN2lqFxYjJtBGXOdCXhc6
bzuwZKHf+GA9ZY/FXj/GWx3N/4JzeP0smy2jrx9YSzCtmnzbADMnG+wbce8kW5y6rSnTt4p2Hlmj
L8Ob+5UE6yg0yC1ky8o2rFoYNI7NIURmeG07+oP50a+GdbCz7oTpiNmpXe2csxFyjhXUqBnImWCw
1FeDmzsdVdHsjEhtlTk1E83n/Pk3rH2nKc6euW2W5N0ow9rgKidrPevZ0Xr0VGd+n01r41QjMEJL
+Sd207gR3VuLBxFvARA3ATh51QU2KnmeqVPaA1gFSGu3gWIp7XVDNMjFYzFLRqAhV4XkEXfejcYy
CxvTimCr/WrXsmN40qHcFT/9e9OrkA65S+/Zqun/096B2DxKF3Oox18arQUScMOCXRSWfmkPANav
fDf5qT5Pju6Up/an4FiqS4t5Zm/++9li6pKaNAEY1BwTxPUbMI4Df+qEa/Qnur1MW7z+BDN7jT+Y
j+OZRXJp0Wz9xEgljND6YCMtkadeZSupo9HKcMGEU59G11xLWzSIbL4Gx/wodtIhElD+zGHr1RaG
9BI4Y8BfBC7yy28A4X9t5WR2RslBU76s9s/taV0e5JkBzgUAWdaDOgW+vBkgwWCBhUCLnEi2HrMW
8NS2sIF3QSm/Qt/bqCEFHVBIB3+qfbBhReSACZmqhk/tqTz1Rb+NLQhu9dWTpUNTopBC0QPjOsyf
1+TsczkH0sVWXMrqfLsZW+Oj/5xobqyCp2LzCEabjfUrXU29G+3IbnAUwx2c0X361wiYy0/gqeaI
pA1VomPG0mlbyh9S+2BBpsN6y9Bhc3txFhcfCRZrznLgMcctftTpJaRx4b8m1LqyqbgbBnl928Ty
bWfO/AVggEcHFLfJh8zE83T2yFMLwCyC+vZupe9JSscfDWXPOng8K2AkV9XqtuFFt3Vml3uvRX4V
k7CBXcg9bLViOqBK7bB89ILg121Ly7P4d4RcsNdFoz41DJYs+y0MXzWRDtzSLQOUCyAvc0+3xscl
Zl0ErGcltiTT1zWSHv69PTz22VrJkrtUBPdYGs25Nc4NpkYxBXUCa6P91rJV3ogwTyID3IYwzFAf
lNmAYT1pyu9GRIEwb1reoyHfC1bQmVgOJAiXHk1RR0KMruqdzvxZ627erOtwhW4Wmzm3130x/j6z
ZHEvrHxAW60Zw1JI5A4qAwEyznF0TNlv5scrphKAS5PGzTr7rQ+h+yFnzavcoZtBt/I7P6kFO/4a
sQvHATUHzVZwWyOK5WZ2ZFpJugzfE38pVLHdBqCimuaHO4CUkBBpRBTtS0fMtgAAgkQhCDBtzn1o
IdQDgrLuHea37mgeCpKiu8aDltHtib4KdOCckIrVEIFAO/SKLVBNGzL4dQ2JlMTeaW2J3Jp5TPBs
vW3muqoEyCM8hgzsNl6IGNPlzmki1oHSYFa9DR+t7LPoHvLBRQUGnt4JMq+WJCgDCYxezeFs01Yh
oIa9MveIXtqU0JMc5j5sRqmj1E8h3nE5GLh7//9pZ/6Os+jGVNuIyRlad0ckldunMVuZ06nS3m5P
oWg03I4oIsSfgYXR6ElHAxDtpcqTJj+O0fNtO9c7Yp41KIpByVHGlud2ehmi6VFu5tEkT333kMmn
UlSOu3Ij3wvz18Tsxs4mLNABOAGJfuwM5k9mbpXKZbkTa19TuL49lit/CEMWGADQyw0GfZAQXBpC
X4kujd0AQ8UDq+xH1PoF1bFFC7NkAwHbANiDuX1NlCjwQ1+OkXiGDMmbRgQx5NKqg3cQDBHgMtCv
npVtUIz10Kg4N+ZLTVYQVaOxf8pCUdukyA4XSqpDBth7r8SOkbpsRjuaLywpEVAKxrM0X+iq/8YG
QIeEZz9tm1SPC1A8O5V9UvM/Sa8Kbo7v/s6LO0oDIouA00wBxxG0ILj9a0hmIQ+dETsFdKWN7Qco
JiBp4Pkf9Xr0QAVOX4/qjqx0z9+Sib6lrvq72zG3oRaV8MiL6KfvMXAdjmshCfHCvtdlLKKGhlto
QH9/+tm+r2Q7ysZMx2ZBOaQenuXWp1CigxSXTqv8aNtf2txdTdpVHD2A9GAjadJzq6LFBjQgBoP+
mFGKuDkWvwlyGVBGnAlj+eNetYlfm6oZO76R7P2p3VehsiZ44o84luMkSM5eV1uxOgAyzsKP873D
Y+DzPIlj0GVj/eup+DGafmxR8FKZKiQZEpAFRKOiQfa7LXXQu6Sgn9S0zoTYmdnvWMk6z27BzwBF
vnEGXUHbFhzOEYo5fqEm9zq4AET9aQveEKUYZBp1EPupVyE2Ominhkh94oTTZtTe5OhQZY+3ndSi
CbgP0E1Y8Li8bgOQakoFabLE6YYnU92O8cHuBIdi6foFUvGvDe54j7pSAmING3b1Pn1oWF30Quh/
1PCj7R4SVlG9FTF3LA/rWw1NB3CV3+xl0bRaPnaJo1dbxr5C3dPI5+2Zu4reER/B58K7298muIvX
R6yWYtETp/a9HnCIL8SkUQZ9cE+tBaV60Wi4m8QeWRJoLUzZUMVmyqYPP/RJcJcsHMWL4XCLFLdg
bFJk2ABzFA0Tqpmvo5VSW9kTkZdccPcXprhrSzHLylcKmOrzX4q0S+qvAiyvbH17fRYGBCkSdCyg
oqkDBz5P6pm/8ycoPoYafMuoAP/oQypXmsARHOaHQWp+Z6EwJ3qVooR3UWe/r4LEH8EmVwwZzcAc
mGXFjiohbw+QsduT9mCjj8mcRrcqbaAO0pVU9utKE3GPXSMbZuNwpBooeXSEnZzxYYrRPzVJCDY6
2616eSPJ9sqUcwf6KSt0Vr1MyDuERUUVwGUKdn97rhcuVh23qjJ/gQkuc26uM8QQYLK2ER6ynz0a
h9ValK1c2DM60vTwIqZloPmSG18CkVW8gfzYsXwPIqulsh8yr83eb49jyVVdmFEvN41ttJIsVZhG
+RWVUPZCfso/Rlc1jhpq3oINunCqL2xxscKQBUqjM9jqUG0fGA3Lky2Uqpl/hA9IwMEAJULceEBS
cStTV1M4VTVLnEwfVnHSFpQxW3HMRhnX0KCNaab3sZvkMXOHqBnuQEZS0k7p9R0IKh+6ZhJKVc5T
yH0Rbl/w3UOFScdjlvuiKepBoNfiNhhLEIcaBp1MqI613d4sDcdXAfywizvTIutR94+ByR6CUtCw
ueQZcFpQKtFwqxI+c0VCHxn1IkrQyPSVmCZNrTtflu5bu1/neBgKttS8M7nxwtIsYIw0D2gWuGUm
XZ3UkQ63UCg+oUA6HWwfPBxBmZc/utCIkImRTw2bzDuQbB3BXWS60RQLDuj3Ol99hY1UICTK4B14
rhUfOsaQwA0SPEYMdHZaXQpOCWak2rNkR6rbxMCuUHuIs2BflSUOWRjFPajfMgXlJDOqngcStwAB
Sab2aXWMuLFEkPgrtTTeyeWYBV484Zdo3Rj1c26Hilv4RVABtteMHpuM9EU1GtzCTa48y40mfZVZ
Xa4hZ6S+6j5QMkkzQiQ00JDOC7X0VWp9H+IYqZXct6wSyiBcHz0kkJCix0ygcCxr3JrIoSl3oxLi
6KmTK+FNPgwfYK0WPM1FVmaveX4D2VmqFwmshEA7RE9tH1IoLN7eXtd+ESPBtQO+MJCGQEvi0kZR
pbk/ofSHuhjNJiC8LUZbhQaB6NK+PjSXhvj4wM4aXzFhaACOTJN+sfIIFNZU0bJb3R7SfP1fblUw
NUO2lKCEgJwQ/yiQ/DaxJxMuK4S6Z3bqQrcxn7r8DkclRuIrFXRuLMRx4AcBKBAvEBP5IW4G42Gm
re2g02up7CFVzftM/wXaWBfsh7S1yGrIf98e3+JdrWH3za8Q8B9+P1PO9kXUGVrfmnnitKNnWw9o
Us3at8x8DrrP1n4IVVfDfSMsal7vRvg77BT0c4ET5aqq2CcqOK6SAlFX0GwGBdi3Oj4ZlSaYzuXR
WXMbtwbabZSfLndk1DRt1WsYXQ7cXJz+rEdq+3tgGNjgWJqnmrsurWmh/Otdg+EhTwpyBhu5S55O
0tIa0zfSMnGM5mVqn4Zix6JDI9FYepGrjSJK7lznZBFwATYF4sqZ1cbg62tt3hYQva8SR2te0s4d
kAWOXTR1NzE1o3fAEhmsGneWSDNmKdQ6t8udw0gNMgld5diudbMOzWHTjyJYz/VRx9CQVMJkGrOi
NLeCVdM3apJhBVm0AbNj2W/GMnV0w8mN6V+7yEtTXLwV5wzyRXiXOxYDNIgZkP5OqJwmgs0hGhHn
71k0llMVwAw01Wkx3A/xO3Cqjj/+DtpcMKQlf4JyGKTLbDgUjY9v9DZQapAn4KYlCGUe7cimtv5Q
+U+tjDxKJggvrnl0sA8NeBIbJE4GHCfnvpRSAhkemQO8gE7oIbKLJzDLsMiTyofaf7WttaQdW/Y5
5ijSbgieqcVdgNYABdyy3V4G5weIbNPiKZk2meGGmYiPY2nqz7+P269GWZNYZwg8QmUHCZ1uXFXm
A6l/NqEgxLkW+JxnApkkMBxAKgW0T5eOh1RWrQQ6ZqKakc7hOhnvk4CWQUWb+KE0RjdQCI2bzEty
ePbkoyD73HeS8pdOdvHwmlngnEDjt/EwCAtK8/66vNIuP43b5q0K1bZhnoQy3Y8ysPaRh1x6FbnE
fo7SlRG5XbzJJTdhqZuJ4GRLjt/4JtoFvheNyvPfz66bskSWGKn7xJmAB8+ZRtGV2oskma4vbYzw
zMgcp5wZievCzlgMIz24qBuqN2sTHO/Bc68DAH1SRaX0+eeuJvTMHLfry3LUWTjCnKFHIA+mGrkb
QA1ri56dS7sXCUgZQBVEVzp/mbWjhC2Xw9uSuAMnwLaaHgM8WzTlM0kEJ3nBb+C6RFJagzyXdUXK
bPpalIYaTKERwkBSLDUryvITU2hMnDwWxI0L63VhjVuvPlJZIg2wFkfbqcyh7xHQMNCoodJU+yBs
1YOg9Xbcs7APL0xyaxbpmprpHUyqFfHkpnX7/CiLNsbCgl0Y4dzN1EcACFQwwvqUggwDcTCmFShK
tysFkY66uGI4T7M8mIwGQG5AaRZpiTbOc5g8hcO2D+8aFINRnNXBz5k9hxGaDbrfdfYbvbo+NHFJ
BS4QMMTJK3R9huG2YavKT1yl9SpUIoakpUG3QkQRa9CcOPUiTtfFqTn7XG5q4B/bTA3x+xV0seyK
oa1/bZY/e8nyTFGIK5oaLsVXWaBRg5oULtzyZ667tfQWon5kNzQOtvLoVeGqIAdb8dT8vjF26Zg5
pfpo6+9JCjID0RV0jVZEqhZ8Rv+3UEAIXzqnWk78XpbxNTamGSTH7Kh3jg5O4LpDawujfv/eVsNa
1+8z0LWgEeT2xl9wVjAP5KmBxyaCRm4yJOQE6mEOTf3yfrCfVfQZgvZ7EFH8LJ6vv2ZUbpTS5Et2
HcJMVr+HVe+yYpOhueT2WJb8xnn2hvMbxQBcWQcxS4dY2278Y3TPQEOM5q5kP3MQ4QpRRgvZk5kI
f+aqBzcE4QtqnT0FQ6/oeCsBTAQ6qCR8MSHi7u8GbaKD/UaQUmkQ4giGeU02h8AXPOoWEo6KiooR
d2maqTRWfm4kaFeoX9vP1CM/iRv8BhcVuiq3aMNivwOavzVHay+Cqi2sI0xD3VCd30+gaLncrXHV
lL5Zmd9VH8ty02bdDd6/XkUT1IBAiEEwyoZe36WJIjULdP5JuD7L0GmslQFNWxBXywbVQxe+KMoF
FYyFI3Bu8DvvehYeGGpWKcXgY9sAy5pEBZ3C7dQeIiIo8S3N3dnAvh+nZ3Y6mTFLS228JySom5pI
Jg20Fp0BkRH1cvbMotWzDJ7bCXrE9r5DAAMSaUktOGsTeR2g1ZGSwE7g7pbYkKaUxNh/qGceaugL
kjLaN33o5SlzWBcJ5m3BX1+Y4+6GUMITQpKx5xL1d1yGED1WaCJ5pbWzMJcigLPIGrf9Kr0FJ3QG
a6rhVtFnBMinVm0GNLqqD3H7dXuvL1zTyFwh7QE403yo+dSnqSd22QDH5+xRlF+Dz/w5X4+7alt7
1hYg1ZfQ0U7skNHoTvoASMcr1tHBhcOhtSfqb7/eOZefwk2zLPtG1ppS5Jgg3DWGXaN1NMtXtwd8
fdZgBMV0JARRWL/CV+tTikoQaKQdFSVtrXVLKUQw+WiK+D+vrwLYIdacUwJEBDjGy2MQTSyXixB2
FOUrNj2ksabyTc0i2hkPqdk7gS544X0TnFxG/ZcWuenDuzpSfB8WyekjdMh77T1F23Ddes+/bDq9
h4+/0toLHej8hLRoqOaGh4Imu/yJrSaPeEjtrUUFlutzevlJ3FZO5D5XxnSebN+rsk1n7+rmh627
WSN4HiyUps4tQV3kcrqB0Sn6bN7G4BQnSPL6frgyGx80KySKVqGd6oicqvy3FhjsMVCsYG20tpBL
fHFz/bPohH8QyaPC+t7AV6A5Ca8GD/RkXvMzken96Ba0dEMcG2jPmYLRL06zpiAGAEGbDrjx5eD9
yga5gYzsc1Mea8hRJeqDZf4YdLesBJ5wcVefWZon4OwGSfVIhto5LMU9eukAVCgNtF6j40rbBP1b
pz1ozb++G7GwZxa5c2RpvjYqBBaJuYaa8aSaKEec/OI/VKJmQ/9UPXi4mDYE2TDO9QjZdELD0ZWa
dmiLRi6gar987VEOnwf7ThHxbCyv3T9meUlQn8kRM7J5fIoLoCetpHvDRrezJ/eCF9mie/07QL4I
rrDKqNMcliTN05NjP90r4/tt57p8DM9scJe/IkmF2QZB7NTA+yq5lyKZ3UxAIfsh1bsXCA9L47YT
IXIXRgbcMyCyOhJcyG9xeyQKCOusOERsHx1M5T7R39N/H3Ege3hmgnOuoYE+vH5EjirO7hv1vupe
ytyZINfXCtz4Qsry0hLnM4cSSCSUCPEQfY9BQVpl6MjpXkGfuGIHckeBINdo8LlDzHOqdySiX1/y
RyLIf1z3BoNnEkg4oOGgLAS5Lc6jjBbeawMaDnF7UdJSbW3t5M8SpOOvOYRjMxBN7oYv6CaJWjMW
TsOFXc6/lC2SlGYHu0D7J/ITaGcsdLHBoUfj5t9v1QtT3KYBdg0dXmCBgpjQVyO9G3+C3skL9B+1
R6V8VaIj4N2Cd9PC9XBhkttEiaRpGZim8NIOaK+8T/K6sg+ZqNYz/woXB1xY4TYQWFPqabQwMFv5
PXafRHJ9+7EMHpNw46sCn7I4IugIzBg8ZJf58r3c9nXQ98g0akgUdKjKhbXDEqhEC1Zr8YSf2dEu
752471QSN7DDppOqu37x3Ililfkn+GnDhocHmfPkOh+wZY0V5KoPuL2vAs0pfwkbl5cNQM3tu3Hx
ShKMWMgOmFOCMSjEM2L1adL/dRcLju2MhJwrUwB28SCrOFD0HoOevdTvvHg02H/ZwecGOP8eNIo6
TFkK5GD6IKOYrsYnM3kMROHc0nKfm+EqUlUEtctZZNMJ6u2UvZoljXzBjlryNOcmuB0FWlsWDDFG
YuWvUvjDzj1LQgJujGlSCrzp4sIboJKFggx6zvgGFSvWehBMo76mhwetKZw6/dfkw/O6n1ngBhMj
WMnzuarc4EpAHqjQBVHY4oKcGeDug6opkMOzAQOQgpdQeybj4ES9YEUWbYDbGOxDMxCILw1CGB1C
7ANK8PlwkkB+mx9I+nXb6S+Er4Z6ZoK7XpKK1bFWwEQx3jUz158LhZquOJaQ2ShKNzNtgcdf8sUq
KIS17z7TK1g50A2gSSDIOgbjqjRqV83x5AJ9k3GAf4aMuMDc4qY+M8eNr9FtiBbPqVyrOvTKJjRf
TeKO1QaMybcncnmt/o6Luzz7ziq7cIKhdvgw0KkLyK0m2HKLY0ERS/nu0ryGLJR2ikYYJORJ8dwX
L2Gw1RigeE+RiMhVYIiXwCwhc5KmJRy/PG669BlRa1I4HXBZhqDBYnHS/o7I5FKXDIJmjQLAm2ME
b1KS06oKPVvUXr10I8+0ziAJRrwKKdrLm1IG2h6MafMWJ1SzGVgAXLl99av/4tPOzHA7TWmiSAkY
zKjygyS9l5J7e4MtvSTQjQaUAPr8wSTyXbU4e2nmkRFl/gwUKKfUK8EqbkWxS0J1owT9Xu7vhiwD
lkTNSprZtQDtvVASQZYAMg/IM88gOB73H2UkNK1mgiu6U/bpGilfV5YoCrdrMlDfA5JsEJj8rj/w
4ce5ydmTnI0XngLC8TVMqutsGz4+Z1uw4itvNjiAii9kD9bBnfKgfBBHciuJisR3lnYNQdgDaWbA
TvGAu7TekNQmE6SonME65XFC9WjTS8B8bW+v6tIJAA5jDlCQmbU0LjQNGnC31BZOQK6sVf9PN55G
U5R/XoBYYfH+GuFZMqt0bMvUhJG2cAChcVXr6Js/NHNt646Cem72GNnrOhEc7qVL/twqf7hHgqLt
bLXO9mGT0+LfNxliWNCpwxqBpA/4mcslqtRuKqYCB6IZJAPc1mZUr8noq6DzMWOjcfRWtlPBKVy6
LwmQkyi7A6QO8e5LmwOZFJRIYNNvtAy6jlYPcZ+6kEAaGzbWWu9V1S3qIjxCeRu5vRGMHP9hw/wd
NJ8dQQG5jq150GX+mZrb0vrRCpWT5tTg1ck7s8GtXNl3flmAgR/9rtugVmhf6QCf3CfN/YQUce27
ueTJqnd7YFfbxUIfHFqWcQzw1oD42+XMJmiJLXq9qJzeng5DbD7GWSuYu6vFm00g3JndKJ5mfJGu
H9Sh1rqqcjJLAQ1BENG8YGhPLSCkmP/M0f3gR9YWgZ0gjru6T2e7czsxrm5gunnQrW33UkfqEnaV
gxo6uYRnAlh2omRTyKKu+iu/xdnivGYKOqTU7DCNhVm2tIW0wUoy5OcmKavH2paIwEsvmUMPh4Xe
RQWPXv65y9JyrBOzrhzd9n+CTBmwzaaidYW+tz43H29vEZGxeQud3Qgj1AfKusf6SXbsprjJDTBS
qs9+IJrE67uWm0XOtYRygPaYHLMYgFkL7U0N0hOjdLDC8E8cJEf07iDZK8uZh1ZqaMaYffV1e6hX
9wI+AD8A/imgzdEaygUt+TioRdLgA5QSKVf8c+75Y//Tl+pOcO6uAvJvS7NwLLgU0QA1b96zSdWG
Mo8aDZvT1nxQi3TgUi4jCIwQjc4E+JpclbTSzVHgSJfOBEKZf8xy+zTKi9wnCsyWlUm1zgv/h7Tv
2pFbB7b9IgFUpPRKSZ0m5xm/CJ6xrUCJyvHr75Jx7nY3W6cF+xiGH8bAlIosFosV1qKegWs2EgHI
2TaXF3PJtRzLknZTVFVtJgoWMwaUVgo4tLhYOeHL2/WfNnIvRVEVSp1Ajhvbt1bUsL6/qvjnZS0W
rf/Pisl1fhu3GYjKsGKh+BUj4okjDVmZ8K4pu5WHxpKfPD7UsvFp6JRrDWjDgcxDW5DPoLeMOK+T
Prp1zO+zqgAgbLnCw7Imddb/yBCJFUdmYMCVlMmhT4lXWNdlwtmoojM2A0/mJmqyFcNYNMIj7yXZ
Pol6StIOIg0wMBS5ymK1feKi9EB+hcastZnqxR08EifZfNxWnW07EJeaI9ODvdU9lDXQ0deGdBfl
IGMAZjQACWBq6XQle8wbq+PYon3Yya+igLpml/lKwZkl1jI5iyt4JEpSKbO40wGlE36qxq363Rp2
MR9cYxBuZUX/slu4PfEKwWwaZiZP1Wo1uy8ygQNg6q3Nxvw7jdJDqWmRl+FAV8awcqjP4+bZNf4R
KDOBmFRpBYj0KldTyZ4UxsGK66s6JHvRvjdReYe8KVMjmGlGcEzS/eXzvuhTAA+g2tRWgZUp7WI5
pHmQltjFVAGObKmzYPoMzGDFDy/aypEUaQPzTMvbJoEUEsWe0nZ7EiWblucMCLsrB3zxVnXmYrAB
Pjl6hnEChoy+CjPIUhpfA5o2B2p1Avje0Csqg4HbaQjxRM9XLrjFdQRJkI6MICZt5SeW1lpllvY9
/MoYbIbftNp64llKs5L5X/Rff+TIr6wxwmBYpnQgxuKOm+rfahDEglW6s7cJkEbN6gtDfyuqzZtz
EqjPBnokUgrUBxsdsooOkSk2zIk83Ndd5tblN1AxMGKt7N+aNClCn+wCpBY2FtLomRY8hcqj5dxE
xhMgccI16I21xZTeWb0lLEMQyLK60p8UDzg1zYRg5FV0bjmoHl/NFK5JlIJLXihALkMg56pjsmnM
zkucEAy/qhfiZAdD9pLGw53VFj8un/LF2ORoC2frPbr1MDAZd3YOsfNsEJo+vWiVsG6BVxJmglAS
GIoG6iAyb7cmKLxLDGT1WLmOuteqfG9qkON5M347km5ilxmbCXRgQfJgk4hZxB3MK9ru9cKtwFt7
WeHF43j0MdI6V3FWdyPotd3Oesww0YZMLNB9VoQsruqREGlVgYCemH0JjTk/6NXgl+NaQWbRb1Jt
RsPEIDsC9dN9o9iqtOkm+DIsoYq2bSNgRDAb7R//sF5HguYPOTIQbuhBkWAcCZ2kDcu7xA31V9Va
8V3nm2IQ/Jk7B0GDg7HjUyFVqmopdWZHAkATpYu3eWtscgx+X9blfFtOxUgeRKFxqHMde29rWucL
mwT+GDdrkxHnW3MqRfIdikm1pmugjD1pXpa8VmnMyuCzN1fmwpflALDLwMQnptMlOfZQgKrFQuxj
NNZWtY1d5WBQSu+bbW9pa6go5+4JSmHIbp49RRpbHrLTbD4VAwAhkcNrWDQ+6ZhjoV6ETmYz8fH2
wKldMbzFzTqSKG0W0NAtHqYE95k13eKJzxonfLhsD4tmZzvI4v2G13Ek2+7okNNqhFKKnn4K0Rtv
3KAB2Lmcv57zsFFwmls4dCBuYHZXCqbSAmAe6mhUbsLzgxbtuka/NWqNlR+AXLqs1DnS5SwLM5dA
jgbC4FlDdlvnGrczC2Hj6KrvG/I0MO0hd4sry3M4et7699BtP9U13rrf+c7TaOBUrrRhKp5m9miZ
lUvZs31Ir8Gd5U933eZBdVP8rAVFS4sfgwndYc+mP7jdW71VfNsz/cpvdsmr6qJ3zXPc/Dr3Gr9/
039cXplzDFhpZeQTk+dVi9E2fOFdtI2eizfgGri25/j4gqvC7wFsNR0AB/IoQCm81Vlnrjig8xDm
dIlmmz9yphMp67Yd8AGYLqyqN9V6Rv7byO5HHTfFinEvhLunwqQrIiZaOBOmwg4wtGPc6KYforWW
2Juu2gTFU4WySbHiks6fY6cipQM19qDXi2OY3oy7p7cxwDLQWJGzLtjRtRtwaS1RISEYPcP5RSn8
dC1DYgddrlAcqZwNio7pioCNHXCgw85rq6vs7bLxLLzGDGBC/ZEnmbeIqVEkFPIEf2kMlpLbrPiG
15/r5DfKiB7IeUyqdrzLYpf8LrK3M2cbYGQsuQlmKAYl4imqhYj+wGyjgEIwDX01chgvdhp5sf+e
qxMAE2Bsn3PFQIKUp3+cGDw7YwmBDd/01Teavw7Byjk8r+bhHB7JkNNVpakVWlMpuLmq6mkCH2jb
fu94/M2Yk6qjeq8WxlVhph6x+20JHhs+vVGir5zF85F46SskA0rSOMJnQNO+L9zC/CwD8ZAN+UYN
hBtrr1Mf4ilzrSgxKIRawKqlK7nrpcNyvAqSQfFcNTNHYBWszvHLAkMmxtukXpvJPV2jFFiyomNR
kuPLRVeUtIaqBNnOqsCkJvX09odeY5TG5fWOdv/ifI4lSp4uN/WE1hMk8vE5KbdDBszjjAFv0Gu6
l5qGPoZ7K/L3mdZTw5Jc3lAhIJlmqQN9yVEMMNZirrWFlBycnakm2LchoBYTAF8MIO32KMCBJ7rT
wX+lB69CEWwS5uNlN7Dk7I6XU4oflDooCgzhwg3ogO0dngzeMNpQt4h+ggYs/vuszLyOyJHMY6Km
IYeWU4PKdwpkKTfMfvVNh2QMivpepr5c1mop/joWIxmJVgadSucT0EzJLqjHG6MxUNlbm3xdCpSP
xUhWYcZNSGodYkj9KIBqM1EQvxQuTazdZX3+F5fyZ90k89DLYExCBZKqqMCEbOOb8Zs1eRrd6gAe
NzfzE97EYLuHEiRbkT27Kzn8Qh1aRS3/N2KK5M7soVbzyQhrt0/N/mfGjWFr8SnZi5lMmLVZ0D0q
hVG/TZ0BFqOqzQ8GKp5+lWTK5vKnLDo2VUNHAdr3UXGcjfkoytFTq41pFdVu1hleBGoWDqqExDcM
n8YrpYLfaABnWh/Jmg/skaxgMLuY19CaVq0X9xNkQtiUvJTcAm7qR6aPHtS8aky+LTXrgxYRIwQj
N0N/Tbpfip1tYP77lHw5KkjdVAcNJco2iYPHssIEW52DZ2ut6WJtfSRvrEQFB7w/vlkhPwex76tN
oVzlSOKCqez/thPSAXNQ606iDJJsoI7n1BfFc07ewzLy8+KvR/Tn6/RoJ6RTFiKBZbQFdl2km6Z6
UkCga4yuACdYZsau0r6p8etl7RYj3GOR0nFD9KLQycJxM+k2McFB5xMDwLTAZcP8fPvgjMgvrTXc
LgcvR3pKrtgpg7htKNZULx4wWsGICf7ot3RS/VoNN6JqWDunDB9Gm1XOgY8rh+t8EuD3OmOsCOV8
h4AE79TiS7SY0LpBW7epXuPCc3sL4wDRbkpuccyL6puNNqVueFQH1+qfe+dgkTe6ihqjLdvwn6+Q
lt7gY1v0Gr6C3t1ZH6MbbSsv2desIgx05YjeWO+Rfe5+FSxiv1AuJBvuKZvUd7zp47IZLN6N85zV
/yyItCFqOXUVPE7tog2HM63/hiQGCODF6LWk3JtG7Q2tSVdO1uJbEoBD/0mVnFwKXEL0pkAq8DKZ
2EQR+/nNuQWN848Iz0gBrefnpMUAXBBuYJu7v0eFkwxBcn2xlvE8jfAFvGJ6CUOIvLwYVvQ8H2I8
lSKzgORIgCdgAaldsq0zv91pW/Bm7j8rL/s0mf5jdEEz+RYozPbivTh0fsMAjvqhP36pINPI90BY
8bi3fghXNl3OR7V1o9vd/FlFy2kNADkDY1RKXO8C9NwDNqYaXpTOVh/RnAhiGwoQsUPdxmBGALxG
+9NQE8MAOPjofBLDSUBxqTo3pMlsUIEIxxgfQK/ZfOQdL6/RHxqgJZma9SPADNrNGCV1tNF67ng5
cN/8Jh6UljVF4QAPIyqD0AcKYAk0L7PZoRMGoD20RGq2VNSHgbTWE1IQIDFXQZ+wC6LCfsvqPjjw
KhxDBrR98Be0BdLeej/dovk53SbKgN44UedouQT/eA9QjOssqamHDDMwp7OqeUnzsT8ElhMB664E
81Pg2OImRa/TXW5U9LuDnOtN1k4FRh3RDY/Gybyj1iYwDXHQ0XG/MQNKPAGcezbECrB2ilr/AGNJ
e5/DvjPPGcICxehJeFOTRc8K8OBAJpXZ903ajZTpRtXWzJomddcUtgmsiGa0vggW8CoqQwHsRtoS
DEs5BdFZ6UQDOFRRezaVlPbw1WVzaB2nerWnbnwGE295bw9DdFeTkB+AAqSCeYaqftp35FdcamBC
yCvy0TWas+9EhN8IxsBsU4y0HDH8pTb7ChWpQ8gN8kCCHriPKFHZLx3pmpuoHEE3WJZE/AgmqmyC
yGrBxIKmip1qZwXQzsO0Mg4tULUtpkWNIzbIZxktq4LAzFBx4u3AUBPSRmYnmvo4DnX4YAQaUCPz
Ig1ua8fS7vFaBzKBVdrZN1qFAVgvkhDkwTWtFCBxl9TZEUMY9yTgzSHKdOXGQTNf4xbETvzKCsZf
Vm0Zbj4lotle9pK/c+jnkdJ/DsvRTu8NY0K6kBOcGO0mfkRA+C3x7vkh8L4Ei7faXb6Pvbf+iu7H
TcSUteTgeTet5EakmCeL6tzpZndpbz9bZNZ20RPwOqcHwbSPybf95AEoL/Sa3gW3aECN2BqpxuLD
zcEYjoUpHPRtSvLHFMfaCDm0b3KDNaButozJ9oO2/54l9hcIKq+pwKaZ+bi/vPCLiSPkbjBuMrcX
6vKFHZc6zYohq91UrTeBXoNH1Ha+86g0NpXe4XqwFESe6CljJAWWgaIimwRKtZVsw3whn23/0VdI
FzZtqtwmKH65KEzdBsqwNZT9lG1BoOhd1ncxMjgSJF3HHVAkFVTYarctW+R8W96xIgmuTaJ8tDFo
Nac121oMA8EVgNZ0A7grZxCOSsodczCS2m36Kx3Xzmh7FX1S4ZubEO8brxtuEur/vZYmsW3NmgNQ
vJOl09SMWpuOkEmqT0Fx2ZtvVmUyu30z19pplvVDOg5jnwCTBtHNqawwoqRBS2PtopESqJT6cIVp
Ydw6no2ONWpsYsyxq+qKgnMYKdsLsH8AODsDK5pyxaJz4rDoGlHDGQkg3idXURP7Bd7ol9dxUQyg
LkD8BbxnVLIk3doxK7sA0XQ+7SrugJL7Rmt+XZYxv3LOVDmSIb2C8AAGUI8GGSEtyo1aNd2+5GGw
smBLBwyYhv9pMmt6/BIdR70tVUjp+ooVvGQ9MPN6zQNWtntZn2WDAEQ2mnNAPHOGvRZbokgUBaLM
vvKnHrE27hC7nNyyzkGG3lhA6chYhEkTo9DXjtvSjmEWA9wLxlzQ+v0+OdITT+QQxAwNSOnRDRFX
fgwYHox77y7reOZF0DuGtDcGPsCPO0NRna6m1TZGXXIAKeVjSgemq+CU4H2sftN4AHdZGmWQbrOh
zVYqGGe2YqBTGtMKFHVotPSbUlAN+HnBrR5gOSIy93l7Q4Ny5SI+Wz/8YrSQ4RLCpBl65CTNlBQI
ZkYbZwBg5ZlvTiTyrKrGFEtMf15ew0VJGHZDIgZBniN3Hk2FY3GiOOCrAhVWrz20dFtopX9ZyHkG
BvqYGhjhgPEBcgn5BFstkCIzMAADpNsbfeMm8rS97omrcZN6tjehvhaBn5DlAvwJnth63w+u7a+0
Bi3gX51+hHTEY1qYlUFGoLRvk9YdNuqncxV49U28z/fOjc3KH/zntcb4XeHZj5cXYMlijvWfd+Ho
PKiTHVW8gv6mhSoQQlJ9bQ7z9xKeODBpiaW7Wy8rG28ZaIeZCLh849s3sPV8fJkH+27aIfh+AKnt
t+whf25up08rRl7aVf3g+2U9F07kyT5L9zqdMJ5LdHxElaFF9j4hG1XfZdl1Pq4NTZ4T2kn6Sm9r
VP0FCtsQhXbpjxJ9owMrPrOX6+5V+WXvjMeGAxznsnaLu4irnNogqELiSNpFLgYxglkec6EqOJBa
B5n1r8sSzlMms1ZHIuRdjGMilAkictRj70oWZ9vGUxi9e04o+yIs+mU9v1UM/MuVj8DMA3SbHbF2
E39at+1Voqy87M/uK3wOIgp0j2joHkET0andooON4nLQgRSgHrT+IAx/tH/leOn8tdpoHsW1iH+R
mEZB4VSOmaLLKiYOjDeJ843T4qoQnVNNjArTCj3qRPZNTLLoFgmVNveqPCtv+z4FRuWkx4c007J8
G1Qq+KbKsgUgtxWkT5pil9daMgwj0zBBsMMAnRl/q/u+DliSJ0rsW3E8akjRxeZT6igJOotqzdon
NcZgmJKqyhqw8dn7wphbZMF7CNQ/wGvLXjAYEVBUFbQEfDDxx14ErlHXyr5HxzxTSrAKaFpvbM2x
BZ9KV9orIcG5q4d4MD8ZKjDFMfgtHU7gV/UxL8IMhUut3DSUh+/2iP45EVRic3lDF0XhjgRRHEZB
z0fQnERNBLLKbtp2I6OqiPdRYSHZiZT6iu0sicLOwTxxF2OGVjKdpNCVvE/rDMPaRX2V21bxoCWN
/WkXOoDyLqt1ntAzwN4BbFSEHOinhhM4tdMhbtq+LkpcU654Ru5kN3im6rUpw/M9Yfy68YMNvw63
c79K6sMRvQm0iFz+iAWFT75Bcnwqb5s+7PENXXJtmq8R/eDiHxb1RIa0qCMnYZvbkDGJu6C9q6JN
Ej9dVuPcmZ4spdy4Xg1T3SgTRBjTuFHVdDdGa1ycSyKcGUIf3dwOyArnlTy6dWlviNIIIEJJ6Ca2
6H0v+IoW55l+WMSxDMlhY6wgFY0CGaWfRn5yn73Y12Svof3i4Gwjhg6qaW1z1tSSjLCOaYTIGyLT
qWIOkIC7lfj2d9v+aSxxqpRkYiExrFyZJVTX9CkCuDHy9eaj4Vks2/Re7XWufUcPwiUrlbrzLmBp
NSW7Q74vdoaoEq79kN53noqA8cO80u5j195TP4V451V97W4Cd42XblbpTGU8LUFa7OAGkhMwFgZE
mriEZCsH0ZV4Tt5zylFF98APQIbPy7a/cBEAWBxImBocMQJvyTDhXpy0rRqBieq7sQPm1hB6yH8O
FviSt2NgbdHReFniktPAnmIqH3gFNjjeTo9Cm0S5U+RInwmEfmQ4ZMn3tl6RcR4sQMKRjNluj45b
pVcK3jKQge6G+FdXv5EQ9DdrB+588Neh4H6fUfNASan9PpBHUmqzsdFCjuGd4IUciidrNgttU9oM
cf0KXsbCNp2IkhSKei0YKgUpyMy8UqyEZdGTVaGM5TDVusK8cTmttDgvrCCOFt6PJnq2z5NUqdk5
Vt2BObAo7kodVCNAlu3GrVEof79VBAMueDJTZCM0GSw31KySCo45DCPAmFwMioUpBoVC79dG+XjZ
8ha81bGo33mKo/0KCiMnUwNRo1WyoRZ3KF58XBaxYNywCA1ALdY8bCK/YUHYhJiugIi+C70s0O85
sMcivkZutuTrUenRkUGcM+TQ6tTA29hR+jAdM3fqN+30GKdXSvIaaigfenYMkLzyakJdK7kt0vsy
fb6s43lqHsEjiPA0goSOOTMKnwoH0xTlUWBkrvbQI/fLhmt77/Mt36KwNbJx4zwoeMf2DAxWL8p2
Dd52aReRnZ+hlWfsXvnpQxSFoofCBO8zsHqzFkci/oeQEWlLU9Uc3QLaj+QTzdbMAwtPCzD6vWKs
a9IeVkPFhTcj1hCgNHjVYBwC+CSna2jE3WhlqoW3qXnFe89BTbZjw0N8Mz00KSuVzXdtV+5WNm7p
UAM8DDNlNsbKMNV/KnQqzLwxSygG2G3WHoDw2gAvOkavM7YqY3edp22d22Kn3wa7agSAb+Zyl5ps
rgmvfczSBUuOP0Y7/Rg+YS42rfExZgvWdZZ0DOUtj7PmPtngOUne6WMMinSWxO7tj5WFmH+3dMWe
yJbvIFvEKheQ3b3zX+PBU0O/ZMZ9+/Fl/5i2ww65+V1/bVGWPAA1FPVPt/Auf8JvM730CbOZHzmj
tgRJXjXvRe47T/p7x0pXvzG3MDp38JWbB+2hWMldn+dhUdCBS8I7GqYNSmvp3La47PuwAsqX2mzH
yB39+gZ5r7u69vn9sCJswRHOr3RUHOYyEhAPTtUbQ55XU1XAEfIdyRQ2TbtYW4OZXHAFc8MW2oIw
EIGUgCTENvMyLmwVJoSx55b7urHWAb+0TaCRnDnmkd8F06DkC4JARLXIKcYEb+tt9IZZvuBaaxl5
uufvkQ8KJyQkarZiGwsR4InQ+Rwf2YamRJmwMwjt3Xob7lRmI/7d1R+YALjRdtqdmbBqE91kVyq8
30qksZCbRIc6fDvSAhgBRfx3Kpw601AEmZ25jRdsy5tkbx9CgBt8avcICx/Ea+yZ+/iDv8VPybZZ
uT4XHJQFNgKUCSzktfH3VHZWqpUeBRFiQ3ETRLdxeUOdX7224gcXzGbmrUUpDJiTQCmV3CCQXkXD
BcfTGTidxru1BuWzYPvIMwAlHMk5gHfLxQBRt83IDSHQ7IGyCvc0cQeq2ss2Mu+C5D7wPkC1C4kN
0CTLhGxaGhhW382PPXWrZs+9vc3pm2HtifkYgORLsao1o1yMdnFhoY4D5HMMR57uTZx1o2J14BJp
MLHlh0z57nQeYFmYWH0BLZ06FFL+yJIOgDJxMLFVkCUArn6b3dg/oo3ltRtto925EYtuyCdZe2ku
WMWJTCmkAg/RqPUqZOZ+9Ey2Oa7IyAO7JNxydNuwA9AqL2/hqpazGzg65gpRhy5pwVdCcQF/kVce
ug0b94CQxYxP8IQ5pEO7/3usbzxajpZWOt59rQHocZzVdJ4m5coo0JHn6k3GxLg2RbYUpR7LkhMr
edaZVjNAFp5htU+gmEtd40lcoZeDPtRPoXd5RRcOHqiCUA7DyJqFd4t8sI1OwKsROMsW/TW4bhLj
uRzW9u1MCor3OHBgttUQ48NXnW4baAbIhEcKGETARqgCWg3T43SNAXFNiGQbJYbHm2CAEDNoWBPk
aBD8B8wxaAIyN5D0IhU8Z4QlTdR+sIYBqLiJBmPXvR6tU5d35Myh/5YAGQRJZrSzSBIadIfFnQYg
1qF0PCCF2M6jmjou+bwsZmG1EAGAkmFm4MTc5/z/RycpyKsC70igCdZlA/zVAfBDb+FfPwtM1HbR
xDpzYIKaUl4tpc4js6IgVheR/qC3nWcKoNCFK35oSZVjKdqpKpj1DlogIECKzvcWIVs1bu90Wm//
fsUMHeuFmoqBNLzkBroBSXkLQ0Jul5rXzaDfUNqBPnkNQ2xJG7C74cYACicQhSUx46Ro6DNBXbyu
dIaAhpY6U/jKsT8Ll7AxwCnDLYjytIob93TJtLwUyOiDzQX5jE3vgMVlGregu/TqNHkclN6bm9wu
L9/Z9SuJlHxAYhclHRpwrIBUzs2JHxffw6Dx+ICMXboxqq0Zr8Rl8288ufCRNUYBA2EoGInpWVsW
nXKrMBtUVG0bMxMcT5O+8E1ebK3JfuyCbCVGOm8Dm+Uh4kViC1ggyG6dLmoU6G3QZj0aYtFS0KZ+
ASIxZ5sn6Mt/4fxVVR+i6N0JVyrjS1oC53hmjUbiEyiPp1IRVfVxViHZqleHMAKSb8Pq+KoeHMzy
r2R4F1wTqnuIs8Ewa6l4FJ2K0gRPQc0HUQiC95keXLcpb5E5+dU6zcNla1kSpSEgJDb66XRcTqei
DJHXvdnBWkyrAy2aWrQ3djQ210VdAhU0HP/BU4HiB0S9wAqf2UEleb0Grs5Aw4GoNMsHCRazKcqR
a4mYpb0CbjuiXCRjzLMnnuPwEdaDGmKucupxGlI2peIhVlMw7IF3ZxTi/fI6LksEczVGTHG7y4F1
SasurcqZM6kzf6bjsNUAvzyFFdqkbb6prTUo0DV5c8h4dK3UQ93kNIK8Iot/kajBGN1wmHm2atC/
WtVavLTgLAGE/0c96RYb8c4s0RwI9USPGZtnABts8ti/vIaLQvD6Qa+QNj+xpDezyEfHzmcdBq7t
S/2h6UzfUtemaxYt/kiKtHIzbBFP5l6eIdI2pAreW1DL6NNXGFcrnRBL+qDYCqeI+8VG7fV0j/Rp
TJIpGeGJu8e0d1zMs7Fozfku3DDITqPPAn9QMZevfiMxwFenzAElUb2IvJH4LUCVVQT1QxkDWHTF
XyyKQ5cf+PEsE6PCkk7jEBFiYKLYrafiQPl1qv+o+tK3fhZ9uO/0p8sWMe+FfLPoaOBHy8NvbFjJ
51akb0ndIeLgjvOlpLavi3glG7RkDgjP0DAJdHZ0wEuWjUME0PYavhZpnD1phdf24zfUNBha81bu
ySV7QPxEUVqaS/5yQStWS7zhgFPnJnTn6DoG33e1lq5c/+fpW9yOx1Kky8My4kw4JRRqUiP7AdgC
6xAMenWfa934oioTReO8VWzRtZIiOU/rq6RArZyJKnHuNKfvnqzM1/pu//c7iSV2kLsBQZkjP9Hb
tJhEGhkzrV1wr8fF/VC+XJawuJE6YMHhQPDGknGetdAUzljNEuKSx4eOZGC6HnS1jFhSmMH3JurW
MqVLIpF4MxDzIM0HEzo94EGDMeXahBOO0+y9J28T1x8K1NNdlFk2l7U7z5BK2yodPCceTcxZwHiU
chekPTi+fAt03yZQnhIvL3XXiLb12j26dNrR1YSr2kLFCJiipwqqSljRyURnU1E1+9jS91PcXgfp
sBvhyoKqPXCj+vuIeW6k+k+ktKZdbo2BCCESZL6sMSw22F9NAILswEfXpYj/wZ/hfTm34M5tVTIU
YTeOnREq8GcNiMNbSt4FKQ4AE/YSqt00I5D0srWG9yWrmecmMF+MSjOYPk8XNSqnwUwchFwUBThj
IpsxE1dGjjqLba6k4hZDZZy32X9C4DlgGE24mbew0AClG533zMD1SsNNwr8GyhT9tgyeqLYx6IoX
WnR1sBjYjIFuI7lVLUK77ATAqzkDTZkqsvsKIBgBYEwun4qlKAjZ9f8vRoa/qO0x1NrZPkkV+mHz
qqBoUeabaJzYKlPm0raZgJxGdxjYTkz5WRqaippo6RxTDgGACgL7h1P2FAiIQ8RGh28va7Z43o99
i2QlodPZaNjCblmtfhtXj7lNc8bzfpua4Uab0o9hMt+r7C6xopUb8fzSRb8AaD1QYJzfrPKNqIlW
jIGaFG4aoGfLmT77EaROK+otCgFSMXrE5uY3OS3STWZtZS0vXGs07rOuyhikNVe2aouDAshTpgzK
fRKm9EqNFN3VJrCFaqm1pVbHWRyiuTL5+wce9Eba2sDtgfKCfEUVo0ayQYfenflllk885B4aAT09
HRlmAleyT+cH5FTYbG1H8Xub6xUpLAgbwiHYCsUcwYmKsRclGj8vL/V5PmCWhKCD4JoyzLOousxB
B1kDpaEaMUaRRiFAKOJY8dRR2ZdjbIJ43FEZHhQ/myF/vix7SUvc9SjIY7Jn7tc41VJEgd2EUV5g
rDzaixB3h2g99KauWNOaGO1UjKWKccopVEyaXaVl4D4FueFac9D5+T9dx9mij3asEWOLNz/4U5TJ
cpHIpQAabnR/FeX03KedypmVPZIzJpWi10VWuOFY39IcOGPojgR0LQAW0Pe/u7xBS8YBBFd0hCCB
SEAHciosaqZKS0He5bZ1DTxOHTiuBrGG11w0JsOA5Y84RYdIXnXJC6na7K/zHOiRALYxmrxwO6F6
cyq9GVDuagclB/VZUbFkqpp7jMNgBsvEtNQ0De2KvKWlxbMfUOU4BnOXxqm8qQm6ENjkhVtmI+va
V6c+tMFODW/iZuV4L7hv5JT/iKJSuXDKM8OMDfg3YzADpoJ2fsyjd7OxXK4Fb7yt9kSxvsZC249k
tet/Sc/jYyc9pCfuTGGoz8fuLrtN75qNw2L/XmyQsprQk88Zv68/uxsEWOZa9vE8YtSAHfvnxEun
RHRWacXGLHq8VzUXc8YNxr35dTbusrXBujVZkvmkXalOQw1ZISBIRAuEAEwRGl3td0l0n3QOZnTW
wBuXRB5vq+zQajME1TgsKMmS+07NWWiqd0oOcKYuZcVEKZDulJU0wpLjmdsgES0CBcaWByTtpLSL
nsxnFH+BMqUEL2rMvTFcuSgWdTuSI3nRwCzrLtEhxw5670Z4uQjBIHCv8I29RhGyKAq3AqJuZFRR
VT89iIDj5q1uwmFj3tsNMb6BBF3ZeE2l7kzjyk5XwuBFcXMYjDXETSg38gVmkZnqAEPB/Hy8KydL
xSsqSdmY5eMtuLhUL42DmyLt/74eBy+AlDjy1OiDB+rwqZ56qQVVPJYARcvu5hc/GrjJ2hTconJH
Mub/P7ovEi70gPSQMST0s+n4VRDHbmujSOtYexoB0UJZK9QuiaToy0V+FnUavC1ORXZZX9pgXUF9
Vn1WFNcJP+i0r/vnrNfwpvD+/oo6FiZ5lLzVgogmMVCmeOJG3Q8jQY+pCrQY/XuqRCzor2JzZcJ7
dhynaScwm6OFkOKNRrB3knkWUdyRZBapqNNmUJvD1MSbtrc2lzU7B7maGdQ19GM6gAlEN5IkZ2rB
uVLOQaDWt8zSnwDR3Nl4vWwME1jqXzpnRfZTwZhENqzcT0v3PorEpkVQcsfrVzLMhCQAdi9w1sFw
jcgi9rP4hdDX1jqE9BEUYUBbeL6s7JIX+/1sQgV8br+S7l6rDcOkVrCmaqQ9tbl6aDPNj8wBLMBr
81iLl++RLFO6fO0h6gzBsa4G/xGhxp+hV8oFdPcLQLD9WOR7rRlKRgrnzibh62U9l+7euZCCxC/K
fWe0saKNuroluPidFAMAwaODkEoQvKOU0BXFimNbEyadjWnqzCFRIazTv5xwqwGBOU3eytIf9L/m
4Zxt9Ugv6bKtpprzis6i1Fct/R6uTb/On3p25pAhtDCtrBmW3AEYkia0Cwe/v3ayJzXqPrVsjXhv
WYRDke5FrIuk8qnbKkgF9p0SRo/GpxQVGVJEK8fqHJxjXiX0If2PCDkhIQqSkZQjeKd3eewW18Oe
b8f78t3YWE8W+178wjSpn/u1b2+Vnun7y7a36LdQ056HL0E1IZcoQSrT9UkzA/IRkKYJULugs2Ft
nnzJ+dtHQqQwAXUu3a56CNGdl5LuM9A+TLaLg+Bmw132dVmjxS07EibdNEi1jKUpIEwbFJCuzyOW
/mUJi2tGdeqAZBZJThn+SBGAo9UqIAWNoWqxMgnQ2Zu+qEn9T3JArAWngHKDvDdovsdhBRMViuRR
vyV44fi8i4SnqvUaptPiDjlIqsDRImiUnzkKSTi6l+H+HAI4aOuQoC+y+WmCNoaIZz14vLyAS1sE
V/f/SPuyHbl1WNsvMmDLk/xqu8aunqd0Xoyks+N5lsevP0u5F7tdKp8Ssg+QPBXQNCWKIilyLRQy
QX2Iao5wqpwZLQwFcFlAPPvOwCqndJJ61NoOfQnAi+75sZ3qmeYZcIWAwvbDhhK1fYxkV4ZMhnAT
R5ZRtkUCGZO1dZJH3bxDoH19ndYuwKUawrmp1E6tuhYihv4UJSiMHqrOlzboyhQRDoyJLjPS6ZDS
AJI2r9PtxBw3Z43EmtcunkWaJ2butkIcNnAnwGdkqRs5rymGrFPrs3B+X1+2VYW+EkqbL+syvHW6
CaE1JFXoNrPQKZBbu0zKirpqxAspQjxUgyhrqgYsG6h/H02quAPwg4pI8y0jfe015kcOw8ZNHjC5
fQOTOsAFibdZltw1tYwv9XKwEJfIcnGFiD5Ts7YwePreHZV753l6xIwfppxczXadnXoI9pNfbJJX
+i6bfV4NnJaShbM8GWZLpgSLPVLnbUB1OZ7LbYZWXruMjiOA3uC8djOgWKI82V3f5zWntRBNhVMO
7sahM8AhjXTwdhx/1uizGTYjRgF6f9aer8v6X/SkqHsBCAgthoKeTc1KIHNDmK4CQS2bdGCXduE3
Ow8PCeiaXAweml5qJs+l4xzVeqq21z9gRVkkT8iecEejnUhMSHsaRHrZMChbRjidn0NJYV2eOeyM
/ijFJ1hTF+IMy8Iwm4Hbh5+xxRnKwMbtWAnKBzRS7gwNcbHJUPOKPYbu17Qffk2RtZnU1gXux/66
pivH90y0cHwzo+GAS9A0125BRpjVb8Vf093zQQtQ+oCWk08Eik8JwEUNgBzYoiZTPyadrxibxNkG
/Q3TJR1gq7qgYolWBFQrMWZ2voz9lGpmbGMZe2tPpmNUviXDy/XlWvGr4BX9EsH91HKnFCtMgYoK
uIF4k3S3NZqIlHEzj3tH9iDPF16It88kCTYxN4MzphU2Bg9zeXycqu9j+NgnP6/rww/ShRTADiAR
4qM9YiadgUarJSA8AZQyuHVcxyt+6JsO+DGyl+q1XBrsdcjaDRtjNwDpOV+5NLasrIy4bd9Ox/Bp
uot306dyCA85pHWSTo6VJguwgXxJE9vHbcwJq5Gi4o3sFO2SU3WKtvEtZtq34W7embtGOn6yckHh
WQCPqbxB3r54fbTToolmG+o5mLDp09BlMmycNev+koD2XWEBCYbKtQ4SVOWhx9xke8hlYOjrm/Sv
FhdP3xTdJwOQyhFmPc7+dJeB7OZXs5m2wXv0Xdn+h3wPiCxovYYgAx2bgklgvAbE0noNL5uro5/k
eLtFGC6DZVk7SAspYqXfrjC8Vg1IIDrjGzO8nNwUyTub//56XOoiFoGNIO+UKIYuCWgrCnQxjjdZ
slWSd0e/K+bH66d2zRQAZYPeUwCH6eiQPjcF2tlNntZNBbSQhqDmZrXuMFfRxp6p6f69KPD4YFaB
z3KjnfdcVKVrMxpT4YbKdI/n3Sn53sla1tY2iDqAd+OP94AuELSpxqE3WvA2eHH0qwGOabGNwZYD
btfrmqz0WiC5+5IjGkLIkowMGXx3PG20bQguJxdFtQcz4CAnp6qQ5BNrm7QUJ6QsVRrnZpNCLbVN
3bkqvXHwchlpikyIkLQ4zOlJ3PD7aHiuh33WPiXh4fq6yUQIt6pSZiHmwqGHZkIB9OaCCAbjrdeF
rLlPhHoq+jDxAnA5INEhsUfUx5/bAc0xs5tJdf7DCcUjO8pXNlpe4KnPLdmkUZ+TANWlCM1YVTAC
b6/cEVRuk9J5NKKfVM8lK7cWLFDMuWPMHg2zuvi6zpDoDUCgwXMm2H1ZX7tEeTKz0DUncAqbkixc
JkywhFoHBmmm8Yyv2JRd503jsZ2T7aShLWt7fbP4SolBw1IvwSJKpaI0DSCqH+/UqXIxFwZGw02e
+23AvKh5UJByXhe5aoSLpRTcUDOk/dQz5H9FUR7TwvnGLHKrG5Gs72Ut8IeN4BEKPcGY8BSMpJ+R
iocKLouRaS5J32r7zTHcwT5oMUCsJc8Y6+v4rzCxGFmyfCptAmFVGO2HrDhFU7fH7NYhNgoQyMz/
EGvsXKr8PXU9IvKFlhcDGmoyWEmKy6o0KTD8X8eQuHN8WwSy97XLSX1BkmCVXQCn23MVB1L9iDQD
7NatibtkOtnVuMlV3U/U6H6kH6oV+CV9Rci2S1riMmu4JxUwYA08qQLrBSNT/8Gg0JGNlgqkJIAr
OfcGha5kemXjbI5WuG9bxAUx+w3yR4nTWT2VeGfgjYRozxSrl1qL1n/wsaA2pr60wTPT75tiN/8K
p/f/oA4PeTWATzimWL0cnLpX6hn+M00Mb0L5w7ETr5W1Kq1qswgGhCutBkAZsJwhRbXSR3wLIBqT
p2BM/Twrj0yTxR7rN/ZCnmA9cznPcGW43VDEISBc+DVH30sQLKngzMSr5+2sTS+B+grKRM/KZITb
q2HJQrjg5dJR6bM0xL1H1OyGms+5Gjyn0by1sbJ/v3lAdEbuj0MJiA3B6YR52gV6CUllfUI3a1Of
IllP62qJgcMaoZNIUwH3yrVdJK5xhWcPe1Rx+9HPbnoB0rKLLlcvMu46GMyYuCR5pvl/eJRCXvkl
lRvUQioS3MlBAz88HNoymQqadFlheGWXoBBKRGgNxmyt2CBVo30Bm4QDZozkNdWRfMV6+BPMg2hX
YrI+thX7R8OlARxinDREEoL9D5M1W6yF/SvaL9Dn+daUHhSwb1CzdfXk86+t4kyYYPz2GGokGiAs
xyz32OAScodB8j65unoLhQQbR9P/rIP2ofJmNHnN5JVkT2k7uJHy67ouKzfdmS7C9T20itpW+AfQ
xvG1q82tzdBv5NR+Q53bqdNfw6HYWInM/FaihjOxgpO3ZuL0Q873C4+8FhpK8vJ+kj3q8W8XoqEz
IcLJorQLtaqBbqFSHnIK2AYm64uT6SEcow4NW2MWQo9k1G96NgKByoEiMkyUleDnTBP+++K0RpjP
KDGaCmuwdxY7UbYdG8LPk2sygM1IbGJ93WwLBK5IMImY9rFcy02nhXOvptLX25s6ltWcLtGEOSCI
9q8IMeMDFy2m7hSIMLf6fgBqjeGB2OJGeb1T74eP8IS+5Rf039xWu2CTNm76M/+dyj5i7RI7+wjB
aZhtQ4uaF3fRpN0NrgMuI9OjpQfyh2pM3U7z8DRrycSuu6ov1QXvETm9wrQSUrPadFv9Mc8/qvHU
R6MbjhInItlIW3Ai+ghaspqXXS0wYA3Tjiqy1H3dfXwpw79gYZil0pdV63AJyDTo4I7gi092IAVy
w8pPtN1QSKristUTHAdAttNxziFwrv058Of5IR5Sr4v9Qf/rmf1zExW8x1A4eZOrkNSqu6lDVU9z
C01WDeWlwUsX9bV+gv+ojaJlXYwAQ53QHe1b8XtTfGea4fbq9yLxJ+L24+66x5cZheBLMD6ECQaw
pHm69tYF36WlynWX+KWSEDNpdQ/ogBF/nznRD2UagBRVvLPK3F5XYy1uWp5e8dmLWVXUz9y4KyAZ
KXRLk30bepmu4vXx1ir8ghxNGe7wWvX6TKjgMuLGGvPOgiOGodNDvFErV9sXN/EB/sMgXn2vvMCH
FDKe4dVogCMCY6YEzd5ip4CdIvIJCMQC68uPc/Wgo1BhK592JuvDWbWOfyVd1LIbDTDYXQdJUwPM
86Z0q/a/nKuFBGEJS9vuOpXfZQ1NXbv/xFAOWCSuG8fqfbmQIfpYWrdJo8M2zOzDAiROeIfWBHBh
+raODnKJsFWXRNCPC8pLpHjiG6GmDHZt1eDvVcmjruG1hvpje+ri+0qRHN3Vo7WQJLgk1Um6LjW4
t2ifVNMHyLdTyTzSugF8aSN4JD0kcTlzNuJB4fQhG0Vnm4JstIq5NUjNmsHNqRvqaLd8S3PQk3lD
JznZsi8QHNRU1YitGbRsy1+W/om5l+vGsXpnLVZRcFBz5sxBPnINi7dweHJAmqg8BB0Orp+3yQZP
e/83AxEB0My5CIwCM7QekOXwpO0FszeEn6ERgablv1yPX7qJVQ1raMjcadwWUThS+H59i6dvfXo0
ZahuEqsXqbz0tGSD3XJJg4JG6ZsYjCgaeCDGz1HWXLHq/TCDiX5pigY9sWWmnicGphWcZpW+K4y4
ofWTmQ+trB189XQtxIini8RZG/JKzWz/wNRaD6zIQFJXXDXthQjhcDHaa53NM8eBPkfs9/TXxOk8
rF78feHomElt6WGAlSJF4qopUJ+7nR78vn5+ZOsknJ/JqOnQ83UiveUXOjAF450efvs/CRFv97xp
EoY6AfJS3EMJAZmpCTwuGSObRBWxbND0emK0vIyl2a+R8T0Od9koaX24xPQ/3xMq3EWA0QT+B9fE
Bgzyfshd8/47eUju6YN2V/vJu3po/Yy5ht+eXkOwdtZuffPXbMjCNwiJQE3RgQzCH4QtYPYw+7e4
r72mPKXxSXNG9/rOrbrXLxuk/AwsUgIlJlFq15AVVj8CMvlznb2piQ50CHXDHMev63xrWvnHdanS
ZeZbvRAbBWWh4XpE2LnVTto2wMvelmyG37kHdjnrMO/KU3DTbIo3dfsY/myPb9fl85N1EcgvtBac
B2Oalc08Zw6H70b1qujzHoyw20wDjhwDM0WRprIRbv4nr4kUnEkZ9cFAeZDDKmALR64TbICh7Cqy
yS3ZIRGcim0VjTZy1ch0oKOfD++KIbmSZSIEl8Ka2VBx58M+na09PhXZT+lowyX1zfkZEG/hSbcr
kKVCjeQEpred9hS7aJN7QBDazH4IlN4CgMDvZBs8Je/Wu+oOe3LXeY7/qu9yoH5LYgKJxuJFXRdU
mbrwz+a9ZN2D0z4ZseSyWReBiRH+zIncQbAPlulDrfITMQEIOkr2afCKCd/rZr8aBXC08P8vQ7CN
zgKEvUYhI86m1zhnbjwa23QM3KoqPwpD1peyesrQkMLZZdCsLwJs142JIWUdQYeNMabaKl2Q4fZN
7NfVMUoOquwNf71ChIdvA+3ZGPoSx4xyq2jzMZ9Q6X1q39ChDROJTxjsM938wbhrZY9yqyd6IU64
KpoA86eTDfVi9cOYjrQ+RKWX08P1PdNkYoTbAPhwBR1KaKXs6eO0UW/jo1762Xv1vXG1Q7JLjumD
6cm4CVfNcaGccC+YaYYukwJSmX5CP6M6vkeKRDPuJi48IqYGgTOB3bqA0xuajFh5iEeNDOPJ6l5L
N20H1tzRb8OdAQa/OX2/vpSrOi0ECl6/6YiS6gp0yuhEThZCYi/oTDTjqFMvOWkXm4bhGD7fg5ZX
jJ6Bx+T8fitL8F9Sp2oBV3bXO+ZRaw03GN/sbn9dpXU5CLUBhgq4PhGObQYwdjxxOXHoUXVnh+mh
ZDdOK4XluXAdfxT6EiTYg2H2Y6x3Nbgq6acadTtrYrNbBvZrGBV7neftFKTIoF2cGPKy95b0D53p
vFeIbLUivUsm1Y8dWWPIhYMRPopv+CKKKJsmGNUIH6WaLrFPBhAzWrrL7bdYy3cpqL6uL/aF/Qji
hE1VFKVTGoLF7qbNPDN/7P0SbWrXhazvKHaTQ8OhuCfcA4M6Fs2YgCwTbQWRXW0RKbnA1CxSTRLq
ri/elyD++3LxEivoQUcLMvjil2HOD3b82NGtCWCw6VMPBslhl6nFncFCWjNEbawBfMFrdd1Db6Lq
oDdNa+4cVRKcXHiVP5v0r1riTGSZ27hf86b1ovijtSM/U/0cry7MfK8j36bpzTjsru/YJYg0RGKy
FdAjwNoHSaewZWmgh2WncCiHfNyPgL7VwPdexJWbGeVdqmPw1Kq21PzVdb/N4h8Cotc+DzGj5PhW
l0s+Zs1Gl98i7Opskjot8hLrPCSF2wC0zx9qPfKNOEr31/Ve29KlKGFLwWSR0QTzRF4KSLys19ww
7g7JDEKUkfxt/HW+wmKHD0hiRjISiDI15bas2XbSyd6SNVBe1osFMUKxE1aTlXYAMYGS7fBa+K6U
qUdMtlFCoNgx4qXa7JqDtRvtBgMbycaOZ7/FuEg80M31xV07nfDq6EPBYBu5ICehQARUahNm3IaD
l5WNazEbI6PmaWA/Y20EFfosQ9TjZnp2H//RHu3r6NsCRIrYwz6kZdtEqMV6+qS/Og1ArNoyAQCi
A9BoIKZMfhhqksO6bq1fIoUQKqiCJAwyiETabePhF/zqTTyMbtTL2voug0OuHUAKCM4p2hfFmzLX
BiW2dSxozqzbOPyF0ZcjQcFFjdJNkv620cShGI5rk+5QqrIhBH47XiwtmHIsjKYAJlNEk6RaAlTd
GsKrKdnGifmU9rOkFLy6lAsRwsEHtWWiljMcbGelWzvQ9mqW+WVUSezy8iGHr+NCjnDq9QK7lHFH
nmQnPXod0Do4Wo8t8dP6aGHeL1O/KSiMXD8Nq64G4E5YQRD2XKCkFzXAK9oWl6LVxZ6VB9si6XZ2
iaIplTUTykQJJol4cJpCA6Iiam04XWgyDWCqdO7REf1wXavVMw5eE9B/8u598SkizUanD00spYKG
/eSNFduib13EVE3+05RyHawr9iWN/768gcO0NTIeWATarUVBOJ4cnCh2U1MSV6y6kYVWwm2IkRXV
ziZoNYX5bowGN65+O2p7HKP3HjXu60soU0qw+jIqa5KVUEphmzhzblNAgwTDfSsz+7WowlkoJVg9
KUA0QGKQ5PVTjKJYiIJVkLNHZg/fQjLcddOAcerJmG8yKzFkieaqcEDr2kA1w3CbyDDeEzAJaTmE
mzHGvip/HD+V9sC5Hsv2Oat+h8n2+qquRzRfEkVnOZtanxcgN/XSH8bGOpKNQTfmU4UJluKprlx0
P0Q79UbGuniZ6nLfshArJBnhwHFVKy72rQSBpq/sA9CDD2/GP/mu2ANgeOq85nfSuqbkJK46Tw6G
h6KBxitP52cD2WlcBgEEU3LraMwNan+yZYifl1NBXL2FFMG1KITFutZCSgJw+vbeDCcvt71hbn21
8auw3ITTrkZCAS/q9C/Xt3T1oCxkC1WEIgdjW6VAdsiMmymDELU+VUq8a2Jrf13UqgNYiBJ2Mc8K
NalCiCqUYafk8w6jtm6dU6+0Mhc2/npdnGzv+O8LvwampKrLCojTnI9Keyyn1JXiG8lWj/++kGFm
QNyNJr56TQx/9pizfWgf6Sy55lZVAYo78KZB1mGJaDUt01lEUxWus7jJFL+pPtFXen211u9vMJYD
e9YEE65YZ6zxVJtTglDEZO+oBR7xeNz4w/wxK+0t2ss2/Vx9K7SXtCifr0teve0WggVXHbegeyr5
bRfr29apvXKGI2GBO6BbHthAm8SSocKuGuJCouC0c5PGk0X5/apWpjsSe5vQD4CaPmq14uWGjK92
Ncj7EmcJg4VRoUZRzy/YhCngnQp/9LyUe30RZTIER1U0ALHMedJuYNcQzgK+G9UriZBVa18oIvip
KWOm0bUQgnK0D4goVBcJ3WAqEzFDKbvBLxmKuFeksHaKYQr9gmu3boEWTiYsW53sy3kXlw9J8BG0
JyN8YTqqZtM7MQ9d8lBFhzb6uL6c61nBQrhwsIeBlUXcQbiRbVLzxiC3ofVuJvtpdMEnH9UnNOPT
XnLbrN7naH0Gg5fKhx0FjzXXld2WMYQWSv4+RtqOArlkIGRTmYbbtpZboTUejH3b/6LsQq6g7NhG
dETVE3WK+DRPeHyyrNAN6LQZyzcbnOna9FZEnVfSNzOVlWXWV3ohXAgLuzbT7ZmH8CztXcW4LYs7
2/wEc4Af20cgXteBHzb7QJbTr9ryQqzgdZRwDp2oh1iFYFCRPtaATzSDeqvZb9dXd9V3LwQJzgYo
a0PDIgiKAAE7IQOiSrE10v9SHnS+xPxx74ubKGFmMoKEBmJGJ3DrAXV5fXaVoHY1DKtdV0m2Z39+
XwiLUiOs0hrCEvJbqwC25QXhIQhxm+Nhehq2arcdW7fHGZEIXt81MB+r6DrGqLvg5so8D5kdIuJl
6GAK+8BLwYltJMoOw4Wu3pR7ArBijCscDDXZGFhoDFw/Z+gCzpy3Sf+nyruD5Iu4xIsM3vn6IsEn
Vk2uzFPTIwGoHjFVMvT3nB+qjo4mBvdsfaegwG+xjRNKgqk/E/bXBAuBW5tVBsBusBRz/dGE+g4D
e+44WvfAk/ZQ7NxUSuhqySNm4I49HT01UQ9mlB909VnPoqNjBi+19XOgH0VLMO9DYCbRsQfEoDuQ
aMdK7Z82azZhCLihUlPdHuhALrA5vaG2n64v4eptvFhBISxE43pqTiYUyfqHnh3C5LMmGlB4/XCc
JLu17mC/NktwsA3onx0MkuNKITeMPLfBuFOrR43dG8gpFBtvBS/XdVs//F8CBc8aNmpmGQOsozIC
F4d+36qaB163zXUx/8uB/JIjOtHCKPW+5+civ6f2pqYAVsndUPWG5pCmoGLu/H52B01a4uZWdm6F
psqHik0KIEUUJIUVrZwW5U8VAXAVn9og3gXG0YLFI33pkp8pajFj4vXFacz9pgOL8CBxrisJKeQD
RAakocD4t8VXEbBe6q3OM8OwZq4DsqFpm6o3Rkz8oKZ+DlRxu3xoVK/JCm9un0ygc2bRvTrJWoov
jfj8O4TrhCis6aIa3wFE6WqLisDgJqCK8Y2iuQ/KBFhKxJ6213f90rggEyNZKDDxlmJD8ADDTADR
buoIx5y7zNiH9Usqg8fmn32xvZySGvRw2GIq2FU/t3i7myzUhiw0IPThTjXLTUcN9EtHxHeCUxtN
smaENbU4NBBQYylqziKcjUKAbzIYUGuc7qymcPNpG47/XF+6y3AZN8hChnAuR8sJSRgaSKgijyow
G8wuXZcg00JYOYDeZsHINydHfygKy9NdnX27LoJ/pLg5SyUEm+tQGXAUYKVj0uVeAU9pFmys8MRk
2GAyMUIAM2A/NH7MwBN5q4+/yuE9yB+pLhmvX98RvIyjyoI2eHFaKZ+sIZwy7EhHBvCubVMm2fJ1
Nf4VIM4qBfFEJzWFgGp6bhr+GBwFz6QPJPt+ecXAsgAcAjwPcDWA0B2btgiNQju2DIevFqDWdVCD
UgOOd64C8xcAqIp3sGikv2ajYi9zkESYHMrSQJJFkNWl/EODCQILGyi+558wJyBknOaQec22vKt3
wSH8boYuxsLzwyZ7w1yDZ93dzL/0Z9sfvlEXlWyvOQFe8rp1rjyaYSVAMw7EEX4/iF2Zeq3PVlgB
Wd4AQuZx9OPv1ke3rfaBm58wWVRsnBelkghdV/1LJjlXnSq9EdUO2OBwHVn9C/n798ZznYTdbZiS
aEmAvx/pp6baW86rk/jX123VcSyWjau4MKA8dgbFoBBh0TvFPITobDNayZvQ6lkAfrUNbGde8BGO
dE/jWbUSyMjrxguLH0gvxzJxW7q9rsuaHECTgawSVIf8UJzroqbdCCtPmdf1Vrajc9o/ZwHgPwHP
3ZGfYxqVfz1BjCOHUi1g61RMLSNDOJeIjD7VWaO0QB8uEdL+Di3VTUpYPShUTWN8v67fmrmBbRt8
YZiNBryXsI54D6sHvYNPMcZyl1MLWc9f8xxyhQCNjWcggEYDXOVcIXtG021u4QbW0ABVAKXORKej
5ub6p8Ger2vzZ9vFCwVg3yg8YAKGXm5XWyVZ1jJY98HZs28AAPHH0h2/DXepF0Qu+aSHYTvfWe5r
cWvdTw/T/Qeeu/fO3nZ1l4Gc+/r3rK3u8nOEw1wPszpHFT6Hb+IInmV1ersu4Q8QxzWNhfMcl7lO
AgYR+ta8C27LnfqA6aK9fZcfuw/F74/VreVmO5BX7PNTsWEy6L61A7JUUTBXRtoabziQb4DnJMtO
NL4LSgVAHbZ3XdM1QZpuwVhxLMDVJphRkRiDWhqwVALq1q4+5OA6BQ9G/tejCzBXvGOD8dkBX6Yh
wnSNNphF2tlGFTn6TvvepQFYBqzH68rwC0zctaUQwTCsyFZqxoUYcCrxwzw8Zz24TDK369r/cqEs
9BEMpAwDLZsNiKLByXKyTdHlkp3hK39NGcEEAjJaldJDwmB8y+P9GN8jVtSq19baG8m3cpC4/rWI
Hg6ZsxUjzAJq0rk/YWPblAnmwtE78gIaa1chuttEv6Lq07C/x8Xh+k6tHeGlNFG5wMkG1ITwPj/t
6+ynIsN/X108kDrBOeJxxBYfLVI9DYewh7s3+3eGeXP1Lq1Qb3E+bONbMnn18Hldn/XLmTOM/7/Q
iv++uJyLXp1yykOrpDc2NQrfcJmbXJdlkzIx/DQvxDR27uRDBTGZeTCc0IW7dqW4fWt7s7ychVM0
13qohHnCAG323ldH1Xm9vlZrLmf59wVLm1OtynuCv6+1+6r/PYBUwZl2fS57+ljzBhzhELIsdEWJ
b9KTpiWqpcIGgHGoDZFrkn2vHujQIiHaX1dpbV+WogRzVqIiM4Ia+1LpKG/Oqa9H7zWN/f+bFMHI
lN5iYcIgharHXOs9J323FFmgtK4KEGMtTOSBnkxMEjrgyjCHq0J+BbUHSkqPRTIiplUTsL6ECBkq
2CZA8RhBSAz2xVmPfQs4IWmquVH3cn3NViXZto5iFJ5ILUdQh1SodoMIgkERDGEF98m4D9RNL8Mc
XHklRUqHvE5HfsdJhwWjHtMpJjHeK7zeNrzatN8SUEca+ty4DkAiwbHtTbm5w9Pl1mqVb9d1XDuw
S9mC9dGJ6eUQ4BWYFLPXmc3D7GiSLHzNnwLvkiJ7RI3dFqPNMJqjAvbCe3RCuJyu6H2jDYmfdA7a
4ErTPrAmSH1Cm/fCGP4ahoXny2iFg0HyoFc8yb1NAnuOcVvYCSKHsPSGip7AoCdJkNdsRUeFARQl
GAcB88G5d+0yBYyaI0JqK9iQLMN7Qemz0Kucent9w9bO2EKQOP1YT+UQVTx219VWG1ytCdhzkYPL
CkWOHCfiurR12/zSS0y4UaIvQeiESMKKRzeNVTdL1D0dcclndu0mccGxHHx7vO+qWRYnrYUVKEQC
iBGFSPDpCOdCL7RAG2OKsgfqsIbzVFXRVu8AtJUS39B+sUA2n7jm9ZeJniDQdrrRYAX3+uYA0DsW
heACjos9qTGV2eP1tJacvpUaOyCnLIS2IO1EoVmkrTXj3grH1C68sghwIw+7WHuuHXcsvpvTfZze
V8a9Ze1mNCFf39dLK+Jy0foBZhgktiKSnkbtzggHC7un/FAMoOuOP0AQLAkLV6o1GrDRABWMtmJb
N8S40GqCnJh5DNgcErkNKA/LhzF5BBV2b+4ia6+2J0K2c2x4Q7zVtY9c+g7MN+w8DtY0wBTj2Dvc
jsRmtjIhXZbndekV03Y07gfT7Z3Orefe68Hb0d06JqoGv2nTuAgDfc38aywrCvkoOKNTH0C8RATn
CBRAFg6sx6QWOQ7xp1E/RuGv6zu50ui1lIHL6tzzTLYZmFYDGa1jPBLSuXkHxCT1MzHTk5OQvR4D
NiacPpJOcUmnHSpcaNc/4fKcnn+BUJHBGwqzMoovKMEl42DCr23vqojdWGz0zSFxpzjZXJe40scB
Dl0USIC/xwHX/4BILYLZOtPTbtaM0lOqcLZ2Cs7rt24OA462P7CnyMTLaa2CuXhLTBCEuIFph+FJ
A1HlHrOevb7tMkM9Jg4dZHgslxcqLnAdbgs8YAY6TAQfYo19OZY66MrNxNyhx3xbxTLS1FURwATU
kcYT+wIGs7fydLInOI1hDg81oR7pW//6Al9eZ9DCRskc9TyYr4jKr3ZTjYFYE6TreQ73FwIw/9TE
xHUi2ezfmiSwRvEhSj67ebFe6PpPSQhPFCcD5rFDv3SOZvkYytgRV+WggAfWO05AJwZzNKNGC1+F
fcnVG039VOt6347gEEtMRWadPMsR3Q4uLAN85BiUu3jhIopeGZGd8gHNu2B4Hc3ZVaO9luHRtASx
5avV3XTmMe9fI0vScbd2FJeS+e+Lc9EXpImjJisBGnVr17dacSCa4pn6nR29avP+upGs3V6cahb4
+XhXuwQwTYwozCe1LBHmGCejJE9T/+L0FV74y22VMJfpw62qpieq0GOrBR/Xxa/pCpI9oNDZKqjN
/jjGha7opDI7gDTz2wWNGCZqiaUOniEKMGP1G4z1hoWyYfR1jXFjovCMsQ60kJ2vrzJOehSE0HhM
zZeRqKDV1nyQGaZeimcyCwHZlILcpNI9M/iVG5bMstaOPqd9QCsXLu4LXig9iDS7ZzgtZXuilcta
npN6NcV7y7CnzoY6OyfYZrqfJ95obqVvtyvxIPwu+sIxecZB7MVaXOPEQduBaMsbkgPaxF1mgtxY
+R3BN1jKPpsORnALzPS/32kHi43xVgByg4DrfNXnuAnriF8wqGknp5SB2Hw0WXWLQY3nuYvv7CT4
0acOkwwXrLkMB82rmHVF4oJr5lyspjdFFhNWekatg/66cG0LQdk4uKoWSuD4LiNPXmpArolECNzt
f1oSFrYcVEaj2qVacpp04CvuMMXhs7J1HdYcbEBtXV/PtV0kMF+dT7dgQOlPb/xCXAda+C518tJD
6PP8h4KIACtSTTcarXdD+9A7qtd3wTbU/j57h6ILycJWKiUAQwcFktvgYQgSjxWNq2ThFhmV5Apb
C4wgCpcXWj5RxREnXpQJkwVODv/AZv1oxImLm/8UKSCfr5pNmqOhBPlESZ9mK7qZMWfXqjIMmRUD
wvwJgXsCeC8OreAtijmuSYQBSSC1fmfmbYumgIo9tYmsgrDiCSEHhSrQY+KpRURB6mgetDiTCHO1
7tjQfoMCjWfV2qdSsL2Sjwe0DewkJrRqsXx2D9UxBPli0cKobBtAFZCZxgez3McYOw93TbY31E1B
99Hs5/a7qZwKZ0uSV+Dtcm4V077v/hr3AXG1SnlPL25vAywB54e0050xUiZ8RxL5eboz9BfbvKUN
uviiGyeTQQuu7uiXNHHgtx+nOk5q+P8C8GZMfa/bCBMyhlvJXN7a8hIQaWFhDUQRIpxFkJFp6Lq5
BN0gymlKDIqS7qnQqptIT59Gp5G8fqweFjgf9OkjMUR/tODrWnVUY8PQSgw2oNlRqwDut0071TWq
2wI4OdUmiJ+C4i2msafGL9dtaeVSwxTMl2yhaAyuLE1tcgLZIMdGC8NJi5jEXFfyXUBXAh3R4iSl
Fxw5QEuuIhoAwDVT6IYmnWeqE6LA+HBdk7WMF0+3aLNGyQnvquKTmNkBu8BgE9xb45S7OIwMdzby
8DGnoeODVzbbRV15m9gWhOuh305G4kbhhMAwNF+Bj8QOfZlPEk+4YktYXBX/iYrNFY9qVrVGPtlI
lsq07SwPSVBwolE6F75DMsT2dqOnN6YSJJVEMD97QhyMV2yEaGBDRrlcbI+x4tQCKTGY7ppwQ5q7
wapBa2p5NnCXM/ojb30mm31ds+MzkYIdx13hDP3IyfWAR1RXGC1WUcP/H9KubDluXUl+ESMIghte
ufSmltTaZb8wbMsmuIPgzq+fpCPmuJviNMOeiPPme1UNsFAoVGVlZsDtJieMMDgFr7mDzAaQe03d
poy5XaCt1D0WOsAE5wj/gZJTRV9n8saz6zUbkKTFDQ6TRH+iTYnTQVuqND5aWt/oauYGCS48/RuL
gL435FZvpAsyqF2UnaRt7hIDM2FR4cRmdBPY5pZritOLNQzAsqtiOniqWJookcwuJwgqx+HAcOry
Fjp58aFJ3uMA6GIvqMKXWBd7PXonFXU0s3vWsnQTxxJs/n8PfgGwCUJz+Gio1BjzqwsHgETJiMQn
ogpK+jrpd9LIcpdWcuVptBQCcFNNDDAGnuW/U/uzj0KsqkybqWQQ69rOJnxXtalvptZKpFm6ITDy
bRCIkTC8TGb3Ua9SJTYkRE9sriGI7qLkIyqKjb6GaFzydEzx4pWpQ7sMUk8zJ8uHyAAP3qQHUgYB
VL/BzroxVFkjcVPal9YerDfSELLLuCWOlVWRo21KcqPnonVLwsKVG2Rh3VP9UkOpDRnzpxwdb7FW
xqPM3RSsklEa+UyRt7WCphlmTFai7FTSmsUVZDqorKGhADzAHM0JLRuNGhOXYSWdNjoGxUej/NJq
Hw1aQ9uW+TZdC6G/SR+umZyWf+Y9UdwUALLD5OAST76hIPL4HdwaeNtCB487uXM68J/KqXEtL1sJ
Jws7e7HaKbyfmR44iOrZpOUU519K1U21FLXU+46uzb0vXBMXdma1gyAL1KJqYEfR0o2CqbWEgU2k
r/ZQQwKNJ1+5HJaS1vOPODsoHeVRH3XY0bR+HyUYmMRTFz2qAKoAlVOwzYrP/E7NPn3BadwWPDeg
B5vfgmOcxVZOkbqhsmY1bib7Xm6rsrIrH5HBPMhaK6kfMottBggKvapCaqDzYgM91FbWghJOkH4D
KBhYJxvU38KNPg7DgzYUquXSkdL0hCBbbkWX69YuCpL+W0L6wnSNIaQ+H0NE+9AOk5uqhMyvp0kO
YZ3SbAvu94YiD6laKH40nU6aawFmBhuVfLBarXZa1SWDp2ZMibyWxzm4OfrAvjOUMjYcyOWIEw11
9RkTDum7oWa2CqkLG90YVqmh6uoRCTSHF3W8b7KO4jk0sMQjFpf4DXZz11oBkACpqoTfiIyEh2K6
fKIlqNS8oSk7v4lr9atuTPLHuhqZaGtlITc3Bi+1Q9hB2cWpRVeDVKDqDL6tMiXbC4SX0dFJqntJ
Nao7Vmqd6tRpo40OEz1D0a3HOAsGF4b20CWcNW4ZxvZHAaZEjF1b7FcSCrLPKIu2KD4NHksDbgJN
QAoPIhQt9q3AJjthFQ+xBxr7xlWTGnT8BtcQALtMM5PbKGh444As1PiVsaD+RqJ6sN0krOSPpiL5
UwEy48AxysH2althv1IDm/poFVZ4B1JDNcaIfVpQp9PHo16Ppd/KBDxyBDlk3jF72+ZA2biAku2z
uokPI4Sb96iaanu17u1vZS+6yNFyDu01WcGvFNnT/GAYUMW9zY3C9jWljUJPpk1+AxmZ4FbVhCJ3
Q06s0Es0VbnNGnisMxRa8a7JIcidAKItuiuHsSy9DkzgxYPoY35jyoGibSzGcnTyviwn5uyiMnwg
IcNNzLsKiE+I/eqyj0anLKGW5Wi00MhJGG0u/KYjTXiLUQN67Dut8ileVN9bNpRbZpq54Qj4wxo8
afHuQoWcUTzd4DpzEiMpa/hMBnk9oCww77nl5a3WfUmiO/QV83hHi18gXhzo0Vydel4yPaERMQHK
cHmSeS2paGtWVgnSnjoyjlXb3hnhRwLyQyMRWw3mhq7dFFp3U4LxAAw9Tq0XK6FoIfCBloWYqN1P
dPrzplSuqGPGkRi7jQK5MndrHJtOx1lUwSK1BvpZiOmUghYOidWEwJzXK4mSGhWpoRMDTTLTvBOZ
6UbVbgieAxr9fZFuYoVT0Y8BvR5C7OU1JYYOwbIMhRtUOmqjpV4ciNo3qRONpZFh9gp8EmNIktwZ
G7PrVnKChUvyIv2YXV6p0mpUwWQHZPvKnV0anoINrvvEDelKp3/h8wGCCCgiGKdxGcyTe9oPTNpD
lwOulftBZghPU4onpe/82Mp8O1VA5FKs5K4LL+QLm9Pqz1IAK4xNTHvDZooZoFxSpOlP1+/HhewY
Gr/Iw/EYQEtpPioRCBbp1VCh4WNgqCxPnQTqRYH99bqVxb37Y2X+IMx53LRj12BsqmG4SpXXKGF3
UW66ipVurFDftuFfE+NP1XoVswI4bDpFDeBy62o6VNHYwS11kC5VaoP0AuLk0Zpcx4L/YbiIEWOC
boNkZ24GfQdbcIEkjdS+NHYx15FHPVtrdaGltyXmO/BYwhFDujaPHoPZCyrCCKKKOETvJcADqLwP
Y264dZti9qHDfATI/OJkGB2z0wPTwdhG9DVoG2hZppi9POYhsW541bIdD03uB4EIb3jUKT7RU1AC
icpMAi+pOzTrUxPSSJpsebISLJYqA2fuNi83FbUgJpD7mBrhb2Z6soNfWr+PKn9MTzx7Mtuf1/1u
4euce7c1qzDFdaSp0WSOB7c2dL8Lf5Sv+hpx7+IpPfPu2Ys6MlDYppN3SwtFtC5GbSfhdOU1sPBu
x605AZpsEy23T8xpg6b1zOgwAqMCjir8LjmkYldEr0hRKv4SGruaPg3lHumbrj7QtbfX5wvl0vps
JxPKdb3spymPUHe5+iEhkIREwwkK9bUQrX/9u61Zm+3oyFKeJhXW2rAToT/1NnbtvHXU7Kb/h6Yt
VgYV29/RT//Eh0JjobX2NIZjDOWdUSpHNeNOV4enMuZukgVfihw93Jo8dklwb+uRYyfv11c7xYjL
F8rlL5jdYUWGNJQkWG0MEIFv2x3BbKkkrkVwn103tbixZ4udPb5MCikXNcdim8i4QU9kI3TjQFnr
JFrq8uzjurXlhaGIrQISQdX5UKkajjzNkX+7RrnXe28s/CLYXjexvKA/JqazeXZDpqCtD5QeJkiy
6XrLEcnojvkxabdx8nrd1PIJhGrh/y5nWu6ZrUnhT+sJQMjDIcMleUs21a39UW21E+5N46Dv0od4
ZXkL83eTbyDBB7c1so9PpFGkT0gbwWb93Pixh7x0J4iLcfzIHXeWPxGRQ5p1A5abg3mHfzjCd2/o
aZWH+vf40Wcn/fNDZgGgTOCWHajdXOM+dV+Tm5Q7SCq12rOPaBpgpuVb4onSUZ7zF7rnKx3Zz/nD
5S7M4oHaERJJA195SHeyc1V6UweuruHZ/CjMNfDWwhz4pbWZTxW9TFhXTHu+ER7eI9v3qnfbXeyx
R/JY+9yxhu3aHbLsXJOgqIbaMfLLWQEbu1t2EC+toXFrOlXb+QWmpPG6wxR6e4ts3jGK6k4zQ98E
C3NKNKfQEq8xfkCwb3/dzxeP1NkvmX1pzkHtP7ZAizX9V7O71Vnu2gBCm2Bw4pvrppa96szW7MNG
tkgEAReQqx/y4+1U1jvFp3pnPssbTBSZDnWjTfOheA/xYQ1TsbbM2VdWtY7VJodpxcK0PxqnQHN4
UjZO3P7kne6srPRz7RJOdbbSWfAQcR7ZhoC5QQGg1ICS815auwy8VER/ZuYpAuNcVPrXrX7Ofyaj
wE4AiAkg4rxgqowa3psSRoMmcYaherRNMIsUJwK+5+uWFkP9maXpl5zFRsMoK13qsBQCohyJDW8V
R7VWwsCykWkWDE9asKzObi9AgusEhS5Uemrp9bbYxJgy5erfg+CmXfvPzG+2lLO1JFWvjIkFMz26
H4qXB6ek8jq2ktAtf5s/VuYH3uh13qc5dizZGcOvmp3i3AvZGt3bmpnZabaFlQ+E4MMgzan3ahX9
UNq8fMuT+CdpKf8nh/uzqNl5ztLaZglIK9Hq+mUOPouezeoAmMd1Z5uO5qe7aKKjR7tFg8ja5Cdn
H8iwKpvxAQE6DTn1dWGCt2eI1gLE4s6dWZn+/cxK1IPTSaSIg5j297LG3mq5m6FAa2TJynoWrzeG
dx0OKVBe88mzIs3A2ThFXNPCe1VzlcYNsm/TsCq7V3jkXd+9NWuzdHPUG46JPnhEL+sbGuDpV4oq
ckRL6g2AHwOej1Bxzxhbgx8tb+ifZc6OL3Tq8JIOsUw5PImMOFHDnHzcphp1r69w+kNz/yCA1jMb
aScQ4FPoP/tyutU2dR7haOV24IDT2i+KyBk0xU/I4Kigwsxs9H9purtudmljiTpVG3S02+l85KSM
9DAhEs5f93csAxzxKST7MPvOxeDIeG0KdwHMRaFn+Mfc7AIr8lpr1RbmINoNXrk7C6xKhboL6Mno
XqJokzVunvyD75zbnJ28VgBokaawGQIeZ+n7XKaA5N0hLVGtB1uuZL+/e7OfP6RlY2ABYDWElcsP
CYTNJOlR1C6LXgzVpfW2UvZJHjoxPRJA1xi4BmwPEO+V22wxL5kAMf9reH72uzIwFQHDbZAfVfk1
tr8V4qXEiIiSjp5d4nxQZT/UaAmZAhVz6UGMA/OIdFtxSNBAgyYQsafmdGMq+op3T4u+tikz767L
KsR4Abx7BG+ZFjzm5nvcr9hYSo6AtMeECAbujE+oaSmlGcgBNhReS2dg0F6qeNc6oF5o/KHJ74BR
X9M3J4vn58zoLDC1GQgK+hBai4NVvMSQULB444kc5M5RATy/4bYo3cTlF6FGN+ju0GS81ckLOlgO
tVovNwYPw3NHGeT/5IZnP2wWuFQzbPpWxW5QFEcr5U1rdm2LZvMPHSjYvPNDcWtlh3aND27xQ6NT
gfYhWiafWut5jIJLDJVNd+hzYOjqnWaHuyoXa8tbSk3RLoTsHKgukCrOLm0A/jOg/XCoWzmAaiZ1
R6P1a8tyjZohO9WedV546II/DCNfsb10k5+bnsUwvYOMFJtiWGO2h6gs9xjnW3Hl5V38s7pZDMk7
De37BB+P1T000nWEkATdLfJPIeNsF2chA0NVqhajg+yW0qm9ZFdtm1/RDv3co9zlu9x2T9qT7bDO
Sd1mNzxev3rWFjmd57MbT+R12KUBFhklkDZisZ+ald8Na5CExYv1bI2zE2oBA25V08VqA/w5buzi
keHqSY5x40l11yQr2JK1Vc3PXc1AwzhtaUq8qrs1zaPZf1zfuBUHnPPpxnHQMTGlx0rx3NP71SRy
8e+jNQBwICQvEEsvPwytwPdgj9MS8vtaYsZvd/33L8ZM3UBdWGXUhurE5d83s7aw0goxosa8RZfg
xUziJ0M8m7rYSTO9afvq+3WL01/8dP2cWZz5QJmZask0WDSHvVngOXsqlZ1RfAT1ygNp8eufGZp9
/Y6pYQJJMjDI2PcNGKf0BlJya7Omi6sxNLwnQfUD5NZs/5JuVGKdlghAHa63LO33Ktr/IC5/V4cS
CHJ15Xst5cCYoJjGKICMBF7s8nvpDdpQRQawArd3lf5mE89km1U45KJXABmN1BezImQ+eq0UQRbi
qT+9xlNP1uAPTKEHNBH/hLucA3m/1tte3MY/BudKirwuRASWCQS/Ymtrd1L6dfFTtZ+Juf8H7zsz
NHs1h4pdhn05rQxa1GbtDRIcAN814rJxRSvx96zb3NFBH4eOPVr2EzXi5afKAPUJh4lsV8kd7qoH
82C6AAINTrQDutNJ9sZtt7mLD19Ogcfc5v2pumm89MbYlpvcwZa70AhcORKfJU1tJFZ/fpM+XeXn
cR78v5KaFYha798VPzzQXX1TPKRv9FbcjHfxW7Qf/YdEdYxTeRN6Q4jkfOU6XSxUUhNcD+B8wdj7
vCKdSAGBXwZ6UNAd6ge67T3udcIBLN5H3+sE4OiWrzAJLKDwsOwzm9rlsoc0aKU58dN+D0eXHPs3
9TSc1PfS+wLArwdoniM9ftBvsOs7Y8XjFgQjLo3P0qOO0ZgxiKag7F/s9G3hB4ObbBW323QnY4tn
7DG9szdrCteLT5DzNc9SoxDP20AkMKvsRq/0Dac4JInD3OrHsXzW721H8cxby1M9IB9XgtRi1+Hc
9ixK1UPZqQPFftN7shmdV+u+33x/NJ1mY3rkoJ7Ue+bSre4NTvL21GyQocdrbrYUws5/wiydanOw
MpsBfgKYwwhcrPYfR6ffKO7vo5dvsnextQ7UZ971ALO87xNoAFh+C+322efuW32owhb7bjkxXKtC
vb9x2ne6AZnXJnLFTTwA9hmXbrYJIJy1kkYu5Qv0zPr8q1cpKy0b1gNNd/TW19BRvr7AJQs6Rm6B
jrCgsTQfzhdKGsGde5A2pbE7ihS825vrFha3UAf8AuSqAHl9GlQmedrFkQoTKOgTr9whSNff4Tk3
P/JX4fwM9+Hz4PB946av9toGLl2w57ZnfqNXhI4kgG2WtFBeBiOhx1E6UNaAR//HIuEhgD5BeHI+
Km22UiblCEO0ccYfzAFv1H32LXQS13hAO1C6kdu6xRcUSDAcul2NSkvZEUi3/jM/c5SujKIM5M/Y
48ExfvTvyS1w+hRi02iTO8A7foOYnJvdf6x82qW3IjgRsGIdHBIYwb2MxHHdxgF4CrG95NVK0Qv/
aVrHNnlOtNfY8HhyaNc6J4t33rnJKVKc3XlWRDuAoGASsijJQ7sjjnWfe/mN2Cc7MDuY1CF3IDJs
3diJnvrX2A9xX7+gY3V96dN1P0sHQD1Kgf5CjXYaJLj8GYGsMt6XQMP25gvQxCwDSccWNUXbRoAo
7+21zHThA6OybQLjDwYL8DXO7GnaYOcmAaemWmbtFuBZYOmCuMVDKF2TYloICTbYSNDZRr3L+KQc
l0YianW1ki5mGTe2GL5Be3slm1pczZmJ2UfMoxaptgETpCqduhi9urtvh+31T7Rw9m0kSCq4lHAo
QTx0+YnMsolpJGBkpCiFhonfYDnJBhiO63aWSq8wNLEa4c2AgZ/Z/RiSjFZKU0u3I4ce6SHAMK2+
pYETKhCE3tvpreBP120ufSP013DsMOgJrajZ2kLgVOKkxcRQZWebPBD71JJrcXv6GzMXx7L+2Jil
WaPBzTxNYCMR0s1UH89vENRg3JxuZO2NGBAcPV5vePj3fT0IaoOle5oFwoNlduUKlosIlBwSopB3
QfAz6p+K5tf17Vt0DbCGEHwzoKfmtXm1L4Z8aFvp1uK5ZJARpT+sNMYN+3rdzpKfA9r8n51ZWOZ5
ZGRZDTuFcBN6pzd3ZI12ZQHKTDHLBCYCSBVOKN+Z9ylWlPaBOnlfVjyMcQAa5KR4lSOdxhv1cDeE
47iVqsiPBeF7yegX1g2pl49h9nh9tb8byJ88BlPFoP1lgKfMt5XoOQ0IIKNum/Zh6lTMql67gocn
K+3Fj0HPodIad8LK0GE3Eg+0UvYdT7iJS1NJShcBLd/hjxfbPLH61CmRlxx7u+osqMqaYQEM8XgK
WYjWuCJ6yPbU0BMDB9yLAY5g6aQd+K8cFVxNp7zXjQ/wG7O3esA0pdoPEGhmHREe16PmAWMZBA4s
IdAEEQFea/F90Uwlq0AMtqOVbbQpkqH41WGmOHSgwKv6IXiNTiQv8XIuSaMdtKaxo5U7ZQHVOWFH
J1J8XKigG5i9MTulHgdbDhKoTsW1ixdssY/Ris3Ixl1lEyhd0wNyqe+h8Ust6ydIijtci99wYUCP
IHU4oGq5/AoiFfA6dztREHTT2hWOggWXhhYMeBBQHoa/zbutKXTV1dLAN4a03E0HZERR9Ifeervu
SgvX64WV6QCf3fLRaOeNocIKq0R3p2NIhjvQKaNg9jGjca/mVfKYqGwbWkHmir47XTe/sEicKSiH
oGaifs7mNFUvQtXGuQUE85gSuVWV/BiE4T9cg/jUNqaEMS4HvrjLVRp9mJkC43Iub6x7obbeAKgj
yKT5SqFg6YbCkBU6ZgD72Zj1nIXUsSRdi+klxDs2mD5rUnSnBszhllZbPskQSeMYFpqrpaAugXxZ
7mtNHj5f39OFmIviE1Il3MSYeZjzaJRQ/i5rMcUp5Ett80uCl1jHgErw6/9nZ3ZtyQI8eNSSyC0w
wMbM8qgawWuc2oeOjdy9bmv6QLOAh8XgzscYCXQc5wBmHvQCTHhwU1mgXEifYpE4Mdu0YPsJ1zQ5
lvbv3NZsXXrA8RYdYEthBwY1R17fquExtZT99TUt2kF/CQn9RKszX1PcAj00QujIjbhmPwwaUmdD
qcgvZjbcGU0jf7lubyGVASckmouIowjU84mRvE+iMZsuDZaFaMN3j1m3VihbOM4XJqYln0WTttZL
NkBPERJDGDaiZMPIgKnz6h9C48RLg/+gKYpQfmkmjGxSDNNx1uV3ienlPniKlZ/Xd2uB8wx/+MzI
zA0wdWdg3g3bBfXqqe8CupI+ec/VPSEvNN0adg/sBiBRdw1IgNZ8Y6EMA+N486ggqQHp2GyFI1fS
PEmxwtGsHEvfdZBw68K7BMVQ7lUtX7kQl24BgrwaDEOaOs03X25o1pZKPcjJ5UW3D2J9S/r+KzAV
N0XYHnWwq6mjvjfomvTPkkdqYNwApznoVBAuL82KIFQSs8Iq477a1lpxB07Rv4/8uN/+mJglhmkb
Z9ScXMVQo4dWzR4xoodZtNG77i1Ljo+vRRCdkI9hJOVyJahdJaPV5IiFkgFwPW40MULFd1gxYy35
BV5AyAYMHSCB+Y6VFiqyml5It+GkLCCJhg/myMDoMK+aSGPTcsPc2G3ZP9mNaO9EmiZeqpUB/kcK
fqQTqRjLdCyVVxqGQuvScupeFp5qSGVwJcZYToaS0lsFBVA/HTWxFRWGeZxAVftj0FrjQY8D6BqO
WgyGBRaUb3XAMIXFSQb6MbOOjl0lxwemd+K5itl4aIF189pajLaDuonFnWKs8X+lQsSxi+dCZjjg
SW5/UCMNWx/Dl8VOyQmDbhgPTnYHJlAXvMfdJtV7UMkJvd3Ssmexo1U22rucn2RLo41KymCv5ME+
KRRtbymGT8RIN7mAXtPYCQaYGhvumaaOW91Q9KNR4rXl8LQpMp/mCeY2ehOUNlmv090wVuPrIE2S
OZ0VY9YXrEKY5MEMRuAMcZ76tsHb5z7tybYps+SLEkYEQ7SRCcyREgD4dN2xFjOKaQBpKvobE5ne
pWdpTKny1MLDcCI0PUZBKe6aTtZ7DODor4C2BbEj86b3hNLbdxB9jXOnB3Z55Rgt3VWgnUMdBqkF
CCBnwRAsrrGaK/gVdaw6xdC6evdEbX+oVvLBpXv+3M4sImAD6dBPiiY2OEyscVNgdnpEHb57alt7
ZWvX1jQLDTlQhm2dIH9RMXvaMOheYzg+88u/V2oBGI5gKtTEYwvAsdkXbEJWU4hE4Jldc6/IPWnc
Ct12LLL7a1chuLLwMNUAagSWfbYg1ka5oTZSuALdspqP8PAcp/grpzm0vr52GfJOL9PJSlD6HPsu
zU7/fnbpJ1WeaTKG2cbofJE902HYps2Kkem3XyaAYOyfwrgNenBA4WZG6pRWQ6uCfqM1OKoI/D4J
mxXfWzMxS15IITHWG8JElqGhPwT8AS+vlcnShb3CTCQBzSeeIxOn4OVeyVK1WsizgK5EFY95pXwL
gxSFMvFw3RU+3+fYrTMzs+PaRKk0axtm0GcQ6X1RAxYZ3UJ+PGU+bd8yc3vd3udjO9nDkhjwggDt
z75OVqLvnhngGaoHuHhR38ej5de9ftDqwLOg/vYP5iBug+ophnRQHr7cxXg0S7MhoM4IwJ9HxtQ3
StPTBNodlN+Kv8/FsLgzazO/KNu+VxBRhSuV+xGSBJr2USW3tbHh4NzM1yZOlz4dgUD4hP5jFvCX
l2vTk0gbeTfCmvlTt3xmbfvuVxo/sy7wyuaj19fmbpa+HZ6rJti6UGL/FJ502oMJMURVKIp63ygC
AQp8vXeaJEar2RoAEWu+X/98S4cAIHIGpmJQ0AJ4fblE1PMLVlgCrJoFxjCgdwqi+q0GYoqVAL+0
sqlhMuFLTAxzzezYw2BFOGu5m1eQPr+pAjD89z6XYGhYg6Etm/qPems+z41qHDHGFPPwlnwvVFyR
0ctgckcEu2GNgW/J1Pks7xTGzsJtAVI80jGMvep17Wj9jjQfUn8woh+m4V//Tp8vSKAgAXYGmRjI
1dCpuLTUxE1tkQJjvC0Y02K19mi0M4nDgtfrdj4ntZd2ZiuKK9ZYlGBFdBpLb5IftoDqKYk3Scq+
GJAjFUmyEuvXTM5cw8o7Ix5HmJw4/GXgcf5YDaELztPE+MHbv4fgTytElQuAMc0GwvlyJ4ewslOk
sSAxQKciRV4Omu42ejCSNX6vRefAKw56fZRMteFLQ2PQDpqawVCVvhnZrZJuJPTGc+aX4Ef5h692
Zmp2x+QglrF6ClMDZncTzdGyxk/TQwiuD0ATjTXSzaXbGawa/61s5ow0olxlctpCtdwkPLgJu24t
gVr0ijMbM0eEbl8W6c20e8PX3HwciFvw3rGHQx0f5LhJOshNOBj/ruOdAllaM3rp2KNZnwYzAT75
+fr+LvQb4DRnv2bmoyDTLwpVx6+RrdvIG1AdOpBMcFqAH4R5wxDNNHWDbJXnfrM6ITg5yjzfQukB
c5F4a06qPJeOpJhlEtrVkOOK1b4kFMwpZXenoDBlk2Q7YEZlzDELJr/mLMUMS5CtfYpF++gmGuDL
Q8tl3ptqQRjZRcqYuw2wbJS2eL+mTt68qGbr6BndKTp6f1nwTTflu66uRIcFsNVUfEEhFySnUwV1
tvqCTmKHNlbfdm9dbnqBJr3Bzlykh68BwxOzgDg3JMntofdDI3kHG5EfmPVRZqsTfktB+PynzI4Z
1AZon9bYiJw5IuS+yn4iyVHLNTHyhaGPyzXPDlhtZ6qIOhgqMQ2VJq8Uk1eqcKri2WwbT8m3JUaW
pgcxX2vxL7xxJ9MAZ6KmAejPHA3K1DppUTjMwR4DuVUBPt0Pqj5kxI97w0/iez7cZf9AUH9hc4oF
Z9foqONkNSVsliCmKn0tGmjqmXHWgVU36r+0THSP1w/0Umz+s0oUYC8ttqOECgKBxaFv3CIocXNb
t3n0lDGUNsa1UtFi+JgKiKDSpjqay7OaXgrF36JRVfxtbjt8dFX1wdBTR1jPtvkd5P9pAUil/l4E
902+cnqXffY/03PaXgxyGgmUeiF3UvabTsNIVONlFMPzyVqMVBfClK3BeyDpAv24ObOVJTEzKjVY
ygpoAW8wSKGFt9Cedgg9pLFngZWgXVnc8kE5sznzHGuERBQpYNNExppYm1QF9wwoXuONYtyY5XaE
hrPiReTbdfdZKEhjnWd2Zx80am2lSQns5lnrSraX9Z1hIhC6dXcENbyq1B4ek7zYNJoTmH8/0Arr
gFsBrkKR59LZbURQCweFOUrBaSFfmi5+iLrO7fhrqqzdPdNfml8955Ym7zo7mXXfpmrfwVIRpJ7g
3KNoEwsl96/v55KTolqCHaWTNuu85l2QtgcDMMGCFOioWDHKknaImJPr+teErOliLVoDEfs0LwBl
zbmj2qXMiILmJliKpn4FBdU8dzOlfAj0xr2+sKX9Y2emZv5JhZaG0AUE+46SSQ9auqAbtGPTE6ax
vW5pgbIBzFxnpmYuaRk5b9sMpor8ptK+auxkojwJySjxIxk9On5VySsJdlr7ViSPBOOZa0QdSzH1
7Af8RjCf+QoI+MwKdIJIE4qPLDuo9pHoIK3RTlm0hjyctm3uluem5uG7DPSKQWrDhTbqr4S/Jnnk
FGaLwiscB9T2LZRMr2/vksU/Fwbe55cHgY8R1BenC8PQP2LlJhGOAq5O3kOL7DZO1w74ktv8sYZ4
emktIOUQo2uBJ2xeHKICgo8V+InZz+trWrICpBFOHDrkBhBjl1aU2FSSCtOdLs+NPaQXXhrBvbL9
B5kbyBD8MTPLmqjNwTmmwwyyyJu60DcjTES9sQPx+QpKfuErQfJOx7wCyBEAyZmvKMLM128XtFiH
pkmgM69TM3SqQ+sUg5HXM2QP7pK2kiv5xMKLCB07NIkBi0FldF7eyEVj8izjhWsUkfJIm8xyM2CY
V5xwcrKZ24NkDZVrQFAwnz4fxxhLisEZiodxVr6ajadGRzCdVcFXGwhpjCRDEW+l1bCAgkcrkpoo
gmG+CrPAkwudnemyaMEsWE4c1ZBcoW3opE3rNKOFLovhss7YMW30I+C0E0PZ0wa4VCv0jTra1iN6
IWEHhrvOC8zOH03rWS0IcEUpqMeTTYxmgsiZm4DC5bpXL/gAtFJ0MMVNmiK4oy9/8pignpAqYCBX
LKTJAFTZPoQJy+ZLSEswnq9YW8qXTZR3gYRA5xQET7PAAD7EsNImc1Z2L8PvHS2dTns1jQdr3JHO
7xoodK1cKguBFuk55ppQtENZcg7PB4UquAtG0HmnRu1FIahbMN4P6lb7WOrRyvoW7ko4AOBN+tTk
RP3pcjeHvktB6Irl5VXliQD5agwdxI+sfvjrr4Z5Gkw7YNoazbP5s8NqcwUsdVhTX28NrXcCvg+7
Zy3BC7PeWYj0/z9zkxOd+XVB5Kha0xb24UsB6Cphd3F7z4OXfBqB+5dHFVYHVBXAY5ApmWsOZqLE
2J6KUcGw81IbwL7aiYHGqzSoSjiVsR+L22KtW7n05Sx8NpwBHIVP7Y1Qa4yepx1gR9Kraerm6c98
eO7UNUm2BW9EyfqPnVl4DzMGcQOCoGTYu5YdQN2Etq5DRjcVq8Tv07t3HgBxT6H7hHlwvFHn3hj2
UuoRbFnk1OsnpXc1lCO0yG3q1jHYxiJeITbSxow83dprVIpLZx3OCdNorkz9lWkrzrwGTfPYzIb+
t5PW6o+k/GoZG63dCQbZzMwZm23ar5yLKVp9WvGZyZmjotPd55WJr2hOmO6RPYF0YeXuWvyAZyZm
EYybdOiMFiaUkh9LQ26UsNy0Mro1kvSt5cMK0nnpzXa+i/NBSc3EsK5dYxetsvuQ/N5KIa3Kw3tU
FA+CNk9KaG8Yyr61/o65Yef6wV96il9Yn6UIrGD1IMBt5vJqn5R+GfdgN39Umo8gfLX5sRBPxPYl
fRb6Srtx6c14YXl2UCJF0/LBhmVZxp4i/4e0L9uRW1eW/SIBmodXDaWq6q6eR78IdretWaIkavz6
E+qDu61i8xaxfR4WYKCBlUUqmUxmRkaY7kKTa8PMbluzfu5IsZvHB2ishVI8+Hn2OGsvylAIwrlw
89cTtnHhXDOhokuw+XnzWUT3YDn3qeOV2e3QeMVwqBa81l87EbUbNxaZaIUjFKFlzCYu8xzLU6XD
aqL4FX20urto3GWVwJE5N79h/bXCTobmWdTXkgErho4MqUeusluUvWr8UDu3HZ8uOxInF0PZSIYS
JXBGYC1iTk1qzRVGzBCKHBsaT3lokpfZkR5bucJosXmdGapbGCJMq8AoW8zBpLjyv6KqkFiuh2cj
uspQcgCVmipfW3HqmpXAXzhPhJWsGxxTwCkir2ZOiwmUVQx6bmScyj2hKghxD7MQ8cbxjjMjzMEw
SrOMqAYjy3RHUccpHK+ZkdGK8ibRYhjfTyVAFS2y2rF/JeBQ7ObIFc4scaIp0k8A91DF+BLuOz9g
VQM4c45WnWcUnl68gG/XXoLZyFCuFX0c7r5tMl1mPY4KSH8twxSJbpfhdzM+WvGjQQVvKp7PWTi3
IIxHEoFZn/MF2WDzUSMbqVINpH2dHxzlOanf7GlyDfqxaEGLmHH5aPHWhdTdBmjbROPsa+xwE6Pm
xizibIRFDOG5EmguJR0CtkvkA6r9fzPF1izQc8gBQFtNSaOXT/leUl81aJYutS3qY/BXhSeUo6/4
I5bhDLLvEZliA3QRtC0+K0hp/rKJIr2NakceO2i1G8FcF/EVpCSK62JZrGtzhqx5CDRacsh7q65d
e0p1ejdUpdIH6ZI0gy9r5SDIODhRFDToKuCT4MxHu4kJbMTARCVEPsDRj3YsCsZmd2cA6F1Ax0mr
Qa3avl/+2rwDAwjlKhOILFV3mNMfmwBHkg72EgpRmTrQnPcJCaQp39npPwivAHwAFRRAazHmx74y
JL2te21d29K0yuukJnOgWuTUxmTxgfO4yYs63WPxPy4vkfeMtiAqvMoW43Hz7cWWFBq087KYeAZI
pV7sSp4fQPmuPC7ppCqeNhT0fTS1fK/qpfGnMXrnJ6T9hqAbekzxTej5HPSqM97wYInBTUdL+8HO
cgMT+LU+jr7ZDEkStIOZvxqJNPmlqXV+BvrkP/Giod6hKJjWExwcXi5sYRgGVK2YNAR4hEnFI4KB
zTFfYU31u6qfVKfwDfOeqPeqCjqE6djpAVqSl/eR45pnNtcjtgkMurW0g24D2iSBn2QBC1k5/1zr
qkZRQGIFODu08y9b5HUfz0wyKf80j/Fk6avJNpDrXa2H5RKuPVjFAgsxdVNycGIQxPoUlBfknjgv
l38Af8mrtiWmbpA+MqcRly2QkQWkgmT5RGq/ow82RV9uCdCLruAMl63xclQs9z/m2AQjT5ucRAq+
aiYnnqbua+dmHg5940klOJsgeBOZL0TeozJZmp9gkhLZ5/SQzuwzl00NuUvoBWK58XLIcgj4vBKo
0cjenD4n2n4y3kicCWxysoIzk+q5U40p8lV13WFVvU+G3/KCicU/l7eVc4WemWAuajIMxTLJ2NUE
oog18BmysjPQXnXKfbmANgpfNrhskRNUbWAOEVWh+IbJI2YfpVFxxkUDcm1xjqDulAHYddpfaRRa
wm/GM4X3P7gOIH0GqgPGQ5221KM5HjEULv0AotZYgNLIAw26MoCme5eXxblDoWKHQTwIIkM4/Rsg
jxqYp+kmYBtLdDGra+SmQZZ9DCL2D150wyAQ3hKIbUh7WE4pZZBNsMApoCLtDQu1E0uHmote6OB5
6TC67c6drCbu5MjVtSnZ0LQqs34sfBDzlIISLM89ITuNujLKRpjNYALQECeRXc0ZfKepbuq4vi4q
DeokIipNzleE5j0AowBYINZ8BYZNaIWUo02VJSdopLoFxKFk9RGNUyf/pY2C/IJ3GBQUwkC98TU1
yxyGoaqSWk9XlcDGhawqmTNX7o7thA7cFJZ1csDFd9lreI9e1EoxhwfRZ0xYs4hAW2pb0igYRzbk
P3IeIqV1lT51i9IbpnyXO+91/RJrL1klmI366iQy1ZutYVb0ZSJ9LlMNhnUJyoMQAeokP3PujOin
WgxuM+7S6Og0obHsU7Da6Het9ZbG70t904n0SLkX2WYP2Igw0bkcehM/RZIwgAPnHRUAiUrfkH9m
Fhg82r1aXmO4HXLFMQh+geetpn+ItHgpY0QapWT0SJigZGkRxNo0gLojyLVnxm2SmK5cvws+Nu8K
Aa7PXMU9kYOwxF+qRdUyMld0OroRmFZRf0ZlaK+O3O6y+dhmAziGe8HSOMfnLF6s1/jm+HQF1eVB
kwnmB6f7bvmo0zcKtMOco9+7iL4lNwqCDRMHFpq+wJ+eGwNDR9xCYxXIoKWr3ciSdN9Uqrfasd4k
jKf89zEXpxWjVNC2gmY6q6Mlp1D5tmuQ/Ux2+WoTOuzV1G6h6kfARBLN7eHy9+PEOwf5ObS0EIYM
la2xJvGQ2o0DCLScYVCpb3KguRQV835UFw2ycvYRu7jqyRig/XDYF1mKMScnkdvGUzQSJm0VVMNw
mFJrT3vRlCSnjAuYBgSBV+wpKGXXVW/8A8x6aDp2MGVndF9aU5hYIsp23sYBXY3GJ65HMAUzXhEl
ktyYWtV4GcUzeYi7TyuReqgOW78vfyHe5Qh5V3OlSoGkNMaAzxfToExESDs2wPMA+Sz3VwCJBM4Q
HYhshSBluMnV5qjkZKdE9udl298vDzxMIbGGgUxQBnxrwzeOBmaHGgmA3Gs3UmEHSv3uTA+W+qKC
wtU1euQ4jYjYn3d/YCQeI64gOoK/sG8dNDf6LLGWxlOjOaDREtS0OCjlsDOb9jSaCZ4AnVtKml+W
RljNSSaownGiy+o56OQAg6ppbIrV9hXVGk1uPDKaUG8GsYOnjcMNuiFJoGdSCZmBXgku7zTPnTY2
2ZcAhHRxEgalQc7qAxP+Q0ZiUBVgWbhshncGLazoS88X0wFM4CwxgiNZkbpOPDihPE4fjWLsjaXd
g/5ld9kU9zNCfmKdW1pHa1ncT9o6hb4Y6ALXo+pVwHDqg+7HgJRCn8fPZeBp+8Yvh5ccD45hiMP/
o3lmqfYE2F3cwHzXT1ZQluj46SkY9IgOkE6KmU/cILdTLM1uk8W/LCO7juz2l+BHcG5HzAVpYHkA
JAMFbCZKYBhpATbCaDwI0t2ZRjaioDPtMD36U5nVYxZpYQ/EeJ84sYuYJXi/8z42phdW3WKAITEd
dx44KtB82K1jgfREN09jNz2QeHmQYrAYLs775YXy3Hdj6iuGbQLuPBMboCAbpiiB8N1clbfZYCae
2eoiCAAvttvoBqJPjn0F9dL5qtSZ2hqGCnBjoQ+P9OZ91I2Py6v5UiRnEkm0HPGWA07WVPGkO7dR
UiNd5lwl6DYcGt2Xm6tl/uzzfVFobtW9JdS8MuPnmRyi6bFRPjMHwjnFSSK7EhJJVajPQLUGJA4N
shu1w+Uf9/2rqpDgxrsM+uLGyoJz/tu6yYj1eoAsnwKNe2Vxe1AazOpH5jz8gx0wYIJKA00XpAfn
diZn0Aa0zqD6XUC8FrX7bESPRzvqEFH8B0tYEoI+NMYVFl+ZYLg2GtMCkk5L5dLlAeLac3Q7lT8v
m/nuOFDM+yqrr/156HafL8iZDH20I7y56FiYHsb+IQgbRSK9Qd7nwUlABV8BxPLbA7LrJXCOJSg+
DGQqrvBilU51q2JGD4DReB47Qbvg+8FbS8foRGHIay3pMl9JASvTtGAy2mutCElbHxq95Zm1SGue
t3dghUM6CngSnujM3iWEanlRoS43rQpCn2rxdvnbrMH4/MBhGRgMxVpWEQQWY2PlCbhiSgwaloav
Yei+BPVccgUeNDfTD3r/+7I1/mr+Wlv/volWihKlWpHDWjoawQKGE7Ow/Msm1lP4bUH/yZy+QQq1
wm5Mg6JMM0r7rt8lRjiDEnIqw9QEfAKvYSKaEuJ4gqoBoQTqADweoEVyvigbzP3OMGmoEHeN6yw7
aZH9XBfdqhwrgCdhPARUNGu7iPG3aBrrOe6R9hZG6Zv15Fm2hOph5qlz9jpn5tNQv4BHwc+je0y4
fMwyucKwCBjB/AZq8pf3mAMuwIo3P0Y9X3I3olgTrTm449xLCyIuDeI49XPcRi61X6u+vhoAOnAW
KSjG0zTNgojC2Qw8CFHmwD2ESUF2UgfEXnqS1ROIWWP7Ce+22FN7EKnmXSFKpr6npKoOtBsgdpZj
q0gpzldaEyVN0ZYDydusg+VTonCgRb5rrPjDMPvbvMktAZ8ThwQT70JdN4B81NFDY4+84rSVPVrg
Uqqu1R+La/tp8PGe+ajBB7mX7NpAdTF9tX8eXcO9F82vcpQ5QFYF2VnQK6A9Bn87X7BuS4mhjiv5
4Ox2rRvfVHcLzPpGEJ+gW/+iQQUmTG7Kp33uSqLMdfUb5vCCPR9jn2sBENybzG7HSPslrQYCSD2R
a821j/Yh917rt/qQ70RwXZ4TA0QLDkmcBzzxvnKRTTCatKjXU4p9lh5Bsr0HOiREcQ6s2oCW7zPB
dSG0xoS+pLDixXSwtCYwj/FRcpPbwk8BZbh9168q0UuK83bFwdgsbj1Bm8VZTtEoyoDFzfetT1CD
cyfXKnwrzFwR6IXTTDm3td7MG1umkuGoflFkHvvg13SVh/1b84aaFxxkuhWlYZwBgHNzjIcqeo8G
0ro0+gaBmp/WFbRqjjVe6C5x40cats/3Io4pDiv5uU3mTVMBhjsqNWza9+UebEggIZ+95Npxd1rp
NmCs1ndT+I5JuV0VvgiC7Voo/nYoACdCAQxvmW+MRSMId7q5hW3lw/nMf+6ik+pR8HOjOrAc64Pw
c3JCHihD/tpjPNVIezkn6+fUT3hy32Jqy8uw140Xh0vsqrdAUnnFyfZE2jucm/vMLuOydJwdDKfA
bu+RnZ25vx6MEGPt/7g+tPwhFINJczbCQVCTJIoDDrTuqIb97/KkgXNcciEx5bXB8DM9/EyO/dUs
7CSv+/b9O/61y/iQU2ka9KJBfdq+5T9RZYCi8jW4xALFmwKoyj7fi4ZyuAaBblAwAAQkANvrMKhm
VOrqOKO0XAO1e0Urkeqkxo3YGxuMswwLiKOrFNfF7Omec90Ft8ph9m4f3iI/2k1+7Fo36uGUPv8G
u8n76INHZRcmV6mv3zhPzyIifU5aAAoLDFZhfhhFM7ZgN6ZGameqipNSP5H5oajCWeQ9nFcGyn7I
9iBWBP4w9hG4GHbeRLnReuCr8Cdw3ECaTI9O8SC6CrmGADtAzXZl92IrqVKdKXVe6SDnTaBGkO4X
V33XXeMeDA/16HY+qA9dy1/uelnwKOReHUgx8dIF9ywancw5TPSmb7oZ+OlpN9h7chcj7QjMWylM
ZcEiuWvcWFr/vrk4UpAgKeUES00w6F7t2S4mJS5HT64JANVWdLiGUZk1uG5N9MUAuSR8r2Z4TuTC
jbR9kx5sUebCNQNCE7wEMSRhsblEW6FgDRqEFlol12b1oDb7JfVm0Ywr9xpCRQmnGSxbKyf7+Wpy
u9S7yDJx9X1M/gjZgjy0gtg1D/Z1UrhLQI+JezO69T46WQfR0BHvdOHdAQpsGdUZh5VkdeaETI0F
j7TsHvQD9r6nzi4dRZp3/EX+tcNqspaLAlDrBDvzEX27QfMI0HGeEiJGPoyhEyyGm0gBVhkkIJTz
HGCb/EGElvhqLrHRGvxn5lpLUFfKmPOt7qs0UfIajmOeup/2Q4xH13Ua2P78Ye3affJTW1ztRxvE
T/IefEcfKaDc/+K6eHGsKHyweFjML8hjvQRwC7+gXA7jdG9FUMExAhuAg384Ihs7TAify8ae6wR2
olLbJX2HTpv53GdlBdI1QaOYd8Wjr/GfJTGhJc0NLbN7mJql9mQq0W40HL9uak9VhpfW/ChasiOK
4EHFzU+3VplTI9FKW4YWVhfAiVsIq6i/Z8VtGrwXaxBdHuokQFuBUhVDnAe1Cy5vL+cWBr4T8huY
Hlkb08ybpkXOX2VVBEcCKwoAwBhk++8/IPgyoA8BplUUv1jOnBLtJ7yb0O6ulMSdgbe33rPiUcg3
ydtHVKKg87FeDOv44fmRIGoMSEWfdl5ZuMqO3OqHaGec5E8aDAFwG8DG+Ze3jncVnVlkvpylzr3T
VbCIIUcfXnI33jmd22MP960m2EXed9qujnlWDKt2YL3aShuKEXtvRF3v8nI4AfRsNUwCqA7dQssY
FohzMLrClToMCYi2bHUnJm6dGWGqUSWZzL51ks6TQ/M+8fsAMxhFMPqPc2h9Xl4P//NooJkC3nP1
CyZCLWVXyG2dQWvsA19FcpfSxUU0uW1onpZ3gTGVtzCkdrjK8WIH9du5900psA6xUUAlKHRu5WC5
inaOB/617Ccw56Fw3IvrDhtzjOs1GtFGo6ygnTNofgcwhWKLPhWn9oo89e+KGI/LI71agB+D/FDj
j/d6CDnZDNxJrhLaPvSSaaDdr08S4tbX6R/jSbCfogUy3jjFY2MuFayDGGQtLd38GnayBwZUX36s
P0Fb/vuyQc6z8my1jGNKUy9PDcGGjs5dWgSQ0lA1TAdGbqUJwKw8SyAIALzCwPAcamjnnqJNE6K9
XEPFq7xqKRrZKIF+1qlPo/3lJX1hxNnDtrXE+KQqqc0iqbBknjLJHY9maAS3d7cyccl+cuOwcI8A
QfZuFPSihjKnywtiqs0qGQdd2tZSqQPb9f3ggiHNi27zcAj+9JYrggnyHHVrinFU0DKpxZiQztN/
VNfJLd1LJ+m+E2ym6Ksx/kj7MknbGutxcIuNiluCJ7cBEBiAdRFAi5fcYe+slRVjfS6yiBgK7FSq
5M26oGXXeTRGrQqz3cF0aPfvya5+c07qU/IwX2UoEuS/8lmQ2vFqWGc/gFksMI5d64z4ATZokuP2
ralvTMmd6w8oG1clGmUfuv6xdDdo4moGhIjVl94W3EYq/6v+3QTmQLbl0gPYuW7CKTvM92aoXNnh
dGUe5M/yAPKrAPwS7hREO+XYuunOCkGgEE63jvtiHczg8kniBaPNBzHXdv7mmdaUbS/PM37LgpHh
wbzXawG89Kuq8+2ormBMyCytk62MD+dt2iyp3HbegLIEUpiwdPubBDlMnKAqqu9Tv98vd7JQYI9X
+AWN4V/DzKeuJMWwugmGF6gtH2S8dWVvwXFt1hifEleks7ye+0sLZT6rJNdV3pawRxXVHdG5aCNX
VVo8rQXfbP0fXTDEgj5tae763MY3k2fMKXtddKWnx7VXjT61oe+05OOyj3CgnYh4f3eSbbkC6pVl
Q42V/YiPXeP+xg2CU7t4SHp9Gcp9tihOiFa4piQbr6xrSRliEyvss31F/FZH32dXGp4iuaT8Y4nM
rbfFpQ1l0ikbdP+GQVdP6V0qg+nuV0zvBHv4HRdzvofM3WhA1qw3FNjIrmWv/x09FVfSj8w1b7R/
aIuefS3mbuyo1ulUweZRaBVNL6VyUwgBzwJft5g7sDB1Gv/vju2Ap/bUY+WXISA9FB6RH7pd6457
9VV/uLyJX9Wc7x9qHSUHgAeaPsyHMpoip6aFpTmP5tG60l4dVI87925ALUZ35R3xXhE5vQKlXXkv
+8r7P5SbsLd/fwDzFccmy9MqxVdUVpLE6z4OEqizZoIDzg3KaAHKYGDBjNyXWurG/TEAYEkLaoHe
BAJ2PF1cRzgHs+7Ut51caTCwGnC+svCDxJkKubexEDNEX8zLPhNA1m/SO8kvgiIcD7F/+dPxs6aN
QWbn+szOosSBQQMJhjuP7uu76naP877ei8ib+G6yscWegAalvBZigl4dyOBnC/ogd2VvcvUDRcfe
NV0Mmt5Fdx/kIQ4omlf5tebJojyR8xFBWQ3+V/QBMIzwVW3bfMQ8b6OiUSFwbaJ57aLt6g8GpCQv
bysnlcDwCMj3wHqMSgRbLNOtHBILjo4WUdP6khm2+RsguctQuqS/TUTzwLwlARyFhjxk0b6PijSF
bi5tAiCaWcjLo0mb5xmfVNSw5TykV40oMBCB1R7DlMw9OtKkWfCgWUmV/Gjyi670Y9Pt5BeVvlFI
MkzXmINbnD+Xd5JzB2ytspdqueSD2vUaGo31JymMV7VVA2g2vf3XVgCV+ruDTE4CFpGqrgsAFMcU
sq26eqSmjreYub9shuMW68SkskK1Vww1s4VNFilZNSTYQlQyd81gYTgkd4hbVfVt0zr2Q6Q3zVNa
NIbAMOfiBnAOSR5QG4BusKKNdEii3sbEpJfKh9gOeueuRXqbnZr8R0dBFXx/eZ2cp8uZOeYa0mMs
39JX/i0IcPVykEskyCC+kHe+Aje9bIzj/Q50yoE7g2cCccREFWjVkb5c25dLcxjKHNq+IngP51Y9
s8AsxyoKgyQUyjwtwfxnlXtd9qCXp7qb/MtL4e3bdilMTp6MuBPyDIZM+b4ba7eKSbA0V0pdYsT1
H8rcZ6tifJ6YLRhtIKru9YvU3JZJPgW91MT3ZHHu5YqqgrXxDjL6y6jvQJltvUHPc8e57HUyGzA3
OPdVeWjTT2GDgLd9qCwjBIKzGbgzZvuGJp/KWYXOUFffpYY79vsxx6jw4yAiHOHoogMQtLHE7N0U
JQrGe2BpDqOw/LPs6NWvBU0ZKzAe9Mf4joR6jKrfZe/gRY+tUWYHIzXCjHkOo3a2LxGe5Dtr8PXe
n5OHRKQ1wztUf22hwHj+tex+yDCuB1t0ekzHoy3qk/Me/Ijra4qzshBi+vDcQFxZC9QzEdeX29r2
5KA8jeGERNXAawkXP7SUXMfHA6YRND94bri1yzxh5jiZUBCG3TRuMT7xmoHfVJb+ych/rkr2YTbW
hUPKEVclnpthDv6PsqiPmi1SIeA5BJgHV3g4wOEYzDnfw8ipwEOuYy2W/Kcu9mP5sEBmcGjdBQ1x
+ddl7+P6/NYaEwXVRFdonsIahjrMH3OfG1e5VUgUSNloAWWHpgUTvPOOKrHhGVVXX1sYPjxgVqgL
ZCive1MxdIckK01/bKkd0Jx8Xv6JvE4pwPKY3F0VakBcyDhVWmvVXJqQvltyNRjoa4/Hd5+ofgaZ
wrH5UC3HbYbemwhGv+ThRLVZd8cGFa/+fbHviqQ9SIp+RNfo1pAjnzite/kHcvdw+wMZ74PM1zo2
ih9onqZddjeG8R5qQKFOvWivP5aH6ohB8SzERNNlw7zjvLXLPNDGxIL+WIaeQJ2/Uv1U/kNB9Gzj
V/ubpLrWMz3XdYQLFadKA2aQDr6VHLPsLhow7S7omvLO8HY1jN9XZJAyFbNCYAv6Mbdr3fzFEPEv
8O78rQ3G283eXsaGYMcg35DlTxrqN7mvzg+XvwuvY4RhAzCWYrzMwZAH82FiMpZT+aUxqL6MsQWK
sEMLdokaFUUjNLujDjhBIyp68Na2Ncp8rc7RGjsyVoXI4bnIn4wCr+WTkEKKG+IR2lc9Yui/YGrv
3Cl0YFnSeVGQNvk4eIt/24WpFeBrBeQUgR3JdUZXfxC1LXnOYSHTXbWX8HpjL5bU6odSteEcI8mD
tEEHrhtelsoU9FR4sXdrhjnJdmlHct7APxIaLrWPM+0OywLe/tmVZWi9aqJ6LadQ5WwNMp4C3rhu
lL8ccqbelGOIDYNieExcl1rmj7VseQUUuWoQpDiNiH9WtKeMw6gJBrg1GXsayfdp/573YTsJ2AF5
udt2eYyzSKpVL3IOZ0mn4mGwVXe2q7Cz2qcWtABAEgk+H692eradzPkGQIDaEcSOPe3R14+QvHnT
HD967HaLNx/QX9x1s3/5rK+bxJR2QNoKkXfMIWKWlL2t0Rgz0i6CRbOQfs/Z+KsqdIGJ7888eL22
lhwUkMSitH9+4hbFyftmRK87l651OvvanL8BFf2cScUPJVK8tAAmmGaCBxgniMEsAhhEOlQ0j766
gpvob+S93BATbW/S7sGqnivh4Ox01QMNiIleVYN5fNSWLu/md5eETQxWazImczVkP+dL1ftZqtS1
re9oD4bqtyX4kUTIaq4NYOXwtYB4AnHUuQ1oIC5OTbCuwoyvGjVUB7In5PflhXAqcFjJxgpzuDJq
twUdYSUFBb4yA84InvYmmm473faUCMIzZdv6+jAibTKeMAwhSiO/H73zH8AcvYgoJl6YgGHQfH4z
gaKelvRD0she7hu3BevQ5QV/v33OzTFOapTKMA4R1lslIR1e0umVpi9Dv79shTO3sZrRMG4KeeKV
/eP840VlUip1n6/Ng/xzke3PUp0Dw8pdrYuvB/1jaNDEg4aC22vpUQeIzC7z1K2abnQdM8lcMn0S
WzmlGEnQaSWI5t9vj7MfZzPPq8qCTGscYcvHxW3Sq8UOexBKGuhCyJkPBbPLe8H3Y3T5EBHA5c3i
oVSHdlG8bkVlzxj3UvxWqkEsJmI94UYf868ZxpEnXRmRBcBMNrxSctsvmT/rO7uwvRnzIwvkHURQ
MtHCGM+dqRI1yQCLcrl41I4LiAFBL4pOIn0+kSHGZ+PEJLrSrTtoPefGDbAiLslEmQt3/zBitMq7
QlqYLbDibU9SpQMAJYKcU5e/jtlNPGd+F/1c0tAACKsz/3tGEfgh8LPQqDGh8cTK4RSk781oxWuk
xs5u7HDsQt05zb1oaoy7fyiIr8B4UHmxdPI5RVmmzmHH6GYPMtbJoqDYlAeX/ZwbyDZWmK9U2jqE
1gDC8hqDXFfdXOxiKr1bFKmmqvb3dZyJ2vScNGKVgDbAIQISLAwAMiYn6uSjWWPUzpY+aO821nWi
O64dgThNATO15rbWo9n6chaoyY+4AXdmbQkyp9XEeV5x/hOYm3DSkqLIEvwEqyl9OTF2uf4w69Nd
2//XVd3VWf5+RMZQrUXqMK2AJbOPdnX/3hhAg8jpoerjo5rlh8sfkxsiN9bWv2+SClvVM7MHLMQb
GrzKn7P2aIzJ/dKO0DbNXM1Ow8v2RM7D3BdVuQxZ2sJe0U270tLuCFTfdbsIUprdTLVwZpT32Ta7
yV4BNlULy4LEB+iK8PqfntruT2N9TiKSb3568XcfbaYmgiw3BQMt7FBH/dHlWeK2WSVdKfF4rZYl
kFKohwWVDfZkmQBiRNXhj0SJSJxBtFrmudSlCMzKutpW2qm2TyzV6/FUmSwRRJb7GQGWR5BBYRGk
++dug9JUqULFrPMSgjLHbsrvFZK7ZvuaiMBuXAfdWGKuu1GynGoBSbvnqC9Uxj7uqn5V5INqq+3G
o4iikbuD69gSBJDXgh9z1+nSWFAw4OM7Qs+rShXQ4KFcuqgnsxgF5UuRqfXvm6OXtTmRCcZOPWIp
j7Y6vmcQWqxG89AajiAZ5F4Mm1UxMaXLpKpSKTZRj517yBxhLLP/BapPwYr4p2Bjh4kmmR5X0Rdi
r4oDDWRnYNFUE+JX8I2meKI2NEjvFtuDrsblqCLaSiaq5FYy9XWLrWw03aUqNBuLtnfzsfbHyhD1
qTgVF0RoXObmOsi3/vP8wzVlTUB/A2tGNv0uCNAWanxrT/GBlulbVJWYVuz6PxmUd3MHwEVbdpMM
jLFNBOrY4hUyjoLEc7XHXk2b38Oi2AbJqsjYAydZxZgMQ7HE1kEonJiQON5Jpg8hbNKN/7Dj4LfB
NBpKXJhVZzwKOmKGNlUAGVQy5sLkygr0evYX0vq4UkQ98e9FGdy9G2OMWxWDVNvDBERI2Vxpw5Vs
grn0eiz92npOTfCZvyapKGXjYGzPbTIfGY9SaoHyC0dGOVbpbUmxkcSn2WOuuRAH0utTLO/zLOha
N6Kn2YYazTGhD1YatOZVGpN/OMGbLWDJ9yUJ0gVagZ/TGfGPMe8+TTUPyRQJspw1mrKuBAIuDK6Z
qO2Dc+fctRUS11paw0xm9eFkVu+KvfxDfrM1wYQ9J9bMqFfXjc06t9OvoBccLNKdkr9E8s/LYYF3
S21NMU5qOtS2qIKD0XaKm5T3ndTsiHVlQEStqwU7xwuxW1uMj9IuiUqQgAC0V7eejBFUCcU1/b8u
ya9OaePRApEqtJWZBeWTY6edhFOXd8ANZwmIKKIrolWCT8S7c7dmmLW0aQHNzqXDo746Te2TKXVv
HdhRC7oz5clF6i0EZK3p0Xe/+7sw5rQtml7JGYXFvpq8pN47v7E47WYm7jGVvAXS7EO1+wfnUCEs
BTKPrzGSc1enyENpvwJk5ZheZwDKS9YYFPTGUZ6oaDSA/4DZGGOyGFLEVYy6JF6ABP07CFQnpeQ1
BKVeshtiwB2GQFdeaue+aVEPeoHSl5BShHs5g9zqPwtmznZcLcXktFiwaULY/MekPyQ5LuRAl3CD
kSAaW9fWbzvr/fI+C+0yB55YVmKNHey2C8hvC/Cw3det26g70oDLA4ALYhIXVHEKMoPLprlncrNi
5rhAPFTKqhmWCfS65eG4mFM4iF403JAJwqyV/AeFUjbzl8ZFrqW4x4AQCHg6CikKjfZvlxfCmYHD
wd8YYRL70Wmp5UwUyEvnNiJIcV4dJ2yl61K/GVII+746atjRG7v+gNzMZdvcYLAxzaT6EvQbpAG1
LU8rqNcbgGSmT1KiEbeVPdPZE8kyBHcdL59BncSAuBxoIS0Ww2KQKpPjBRYl8jSjf+y4VrqLyAg2
sgZTeHtbROfNLa1vLLK3KxohBQTAYXGwQqoGZn0354sbYW6zggS0htdGR1wZfJiXt5brnwC5giZV
AesOW4rKWpDoGRMmRGvpupvu8+hUxYfLJrje+dcEC+xbqZvqfh19bcA8nFjEh+Cc4HMJVsHCMDAH
OkrFugoDeN02r/14vkpEY1z8TwSBI4xEOyrY1hg3lGOlgMIMrBR58o5/h0pr71sLiLdoOVWGFo7m
fQUhaCS+taCLxT0BG9NM8F7aslzSAWl7obwQCD44IJce0/7QR+/a+KNrlv3lb8b1/429dcM3D8Mm
UUAcOawb6iyhtkyhOsoBqVUX+LvbuDHDtWOQFop/2axomUycLqdh0uTVrOpIL1L0ayiaxAV4Y1dr
P5ShDEaViN6LXNfRoe8EljmU9VgAb5/opUMX7GyqzjsoWzwrCzmlCglte7nJlOdUmfdTjJ9hzRhZ
iSgmphzpVUZb1u6isDZHQU7APS0AE4OgXVupNtYvs9l5fUrnPjPsFeQ4hYXaP0yJqNvFzUn/Y+Ib
UdxA8CBdEpjQenc0bvB4yUCZDtyDqNW7fq5vKdXG0JpybdYigVm/dCYLKYYZeWk0IXImLsmXfZWI
KsL8z/j/tg1tvHNTqg1dF3n9jAPdY4rKHl+pIroU/j8B4K8RJgBUJl3kmWI9FggwB0Vzxy528+KY
RtTLqoBagbo+fzFbf/lYCA0zx7+KJAj3KjA8yDSIotiFKhPR9wM4u9sJg+97rblpLEEKLtpSJgbY
Q53bmQSjleqDgdyN4tDqBsHSuEagYInJevwHoOD5d9Oqopzs9btVub2fUsApASSG0o4gg+C6/MYM
E1ga1Zwhyg0zjmy6PfnVAj4Xr3DEbBdFk8AY1+03xpicT3GoVQMPvaKWKncubggoXub4Z1f/D3Vf
th25jWz7K15+hw9nkHcd9wPJnKVUaiqV6oVLpaoCCJIgSIID+PV3Z9ndltJ5lKf7Pt0nL1mljMQU
CETs2Hu+4C4vGTq60zfnK2B2izcSDOXyIMYVaHNiihpcfqGGeWmNTlySr3ABFAIbwYKMQMWqe26Z
ZdV09x/v8vNmwGAGIWmULk8p8BpV86qb4ZZsN49H1yCPfQ/xpP9ow/1l5cRRyEK1DEl0cPxofw3h
rQfT5CshowvP5LM3GbiL/jmYE1fR57RkfRjBx+LdP/MV1LEXfr6GMmXcsHS+9Hq9NHcnDiIEm63X
1zDH6j13wBszxCIvLkzdpTGdnFUka3gUTJi6CpnJtAUoQ8T5XL3kJQTwtFUgmdJUo7twy7l/+Hhv
nD2/6JRCXzvoYEED9H6ntw30F4IIVCKVv0N0PNlt6urU5YkFmM3Hps6GPm9MnYyyK1HalgqmbLe/
cplJhHc3VZCft3r2dWjLjcugzaQy58Lsnl3CN3ZPXJRnFdMgCnCZONgdPTqyQffMpvFCIvPsGr6x
cuKb3CIaM/c4utBLdXmnQO1pmzrR/lK10YLx5ceTedZDvTF34qHmfugju8KgSrYYkAge1MrtvnjB
JXWOS3ZOXJRdjkPYWBiWg+r5dIwamxzJ5+K+r8WliPFsouhfY/obYl6ivSbLQ9iK+GM+bsBd4RZo
EO+TecwgonePzqjJeqihav3xXJ5p5MYL/I3hk3BqIkEZzBUM5x2oKsSPLovYMpysWMOVNQVZVep+
GEwcDWE6IlhVQwbt4hw4TB47A72bvOZgKutSZefjLQXSqPdnU2rqdeD4RweBeNTDzg9vdQ1EcPkp
CL4UEMH9eBbOH08AdkE4DI2IU6iWaxsoU5RwQi1EhUFJPtRTnLtdLO3NJF8MABXRv68ignmnoCMH
/TkoWqMTjzAVmeNAWuBIDCtjyhedfu7c701wIX17PsPyxs6JByC9EaKDIgDq+xslN1WedATEUGsI
QBp7ZTubSX1r+8emvDUXKe7Pp8jwFkCHxlF6/hTa5/WE63HE5gJviN/u5n5xVJ11672qt5FOBYVS
C0hxwaz88XoePfff3gh/2T3t0pRsbsxQYNCzDT1doLSy6dKBPVu7eWPi5NwYtH+WpQ0TocxTglEo
ug4QyTriKAiamH4ZmCUESf8fR3ZyLqiUyioHbBufUCxd/2luy9XHk3f+zvjXov3sw30TAPpB3ndW
d3RF9XVbSQALHyiu/4+NnD9xfxk5uXuBdAXhgcE4UOOLPbLpEGa2jht3WLBgutPFdiYXXN2lTXFy
4srRqmTvwKTMMpTYym1Wyy8fj+r8jfHXqE4OW+BmAGWECGqbtoxley2zetUH1zl40v8TQ3+FLieR
oAj4mHku3KNHx4NdCTB2y3AxgEGzDr2nj22ddcVvPMjJ7e6FjaOD45Zzm3UZ5HFWfEJ3YdqHy56l
Vj9e2Bln5/CNuePXebP9AtXZwtYwx6rvTb73IEkR3kg//XhQZzfDGysnd3sXiaBULqwMxbzx/f6b
3TsXovWPB4Ky4/uBlBbkNGQOEzm6uDmiEwI8FzmUzfLjoZw9ryHS6KBbA8W5c7Kvw2hwtKgYEvVT
fU089GJU1qegpXcfmznvzN/YOdncmquiz1z4BXd8QinLdhciX7o2mu7YwkKfer8Ospj31oWtfv4G
e2P3ZP85hnRdPx8vEUCq2qHZZrMb4/GYHqXmQM6y4NFLJ/mrEuj6b2gsIcNFKZDQH4//7HK++Ron
+9LNZumO+hiRlP1WeWrXAdRVTVPskEtK1scR/e36emPqZHNWka9GvL7QW1t9Ay0+IFd43KllNz6B
5f6CV7wwrFN60KIrMgkFNxy3dsl4nsBWBE0h74JnPOtEQoQ8R1mM41v8/WHwvCkQdMQmbczK674D
qaPqKs2t1NePrXVJ1Ozs7fLG2slaQXiq0HTCWlnjF6d9DIadE30aMw4A7k6qpdH9hTN4yeDJihVd
Rry6Pg5PipgFCdRS7NaJ23pfuQs/WLiX0kFn/ddfI4xOnIvPOWDADhoYUFKIDTINs9APH2/481CR
NzZOQpysA9xHThiUVVq3UT5GcVdC0ruunCG1y2nfjOLG0t1r646AZ3vzY5fNG3JEr7b5Td7aPGnb
Uizq0s0SOQDYOhq0oosoIxeuDNs5c2AoCMiPwD3wI5xqPJQZ0VZFAYgvXZT1O7ayUNPzy1qtHWEB
XVNs+aBXnioSdWTUEOMG0NtLSaAzShM/ZRVDiNhE6Gj56cje3FxMVRHpj2tikiahNPYS+hn/AVCM
7v0OBITP1ledWHfkSq70oyeS8pZcmdXHq3buNkDb2r++xHHjvPkSGtySjiKYCiiXxtNoQ3s6gdLK
BWd4zkrwZmscF+SNlQxd9D5vsDWENW8J6kal8vasKf6jGtwbOydxDjhShBIUBxlZ3LWb1YuGdmDY
uJSEP++d6LGqgOos+N3fDwfERzVgbRgOqHqHYI5BTgJSD1RnFvZ0awX/gTIgPOFR4wYMMqjGnNaH
2EinrPCwU0oQTqDnr+7RhwfwIn+Y+PUo1xEwygStM9K/cFLOuo03hk92B8sjaKADsJEY2qzINK7G
S+1AZ++TNxZOopGSVz5CKUzlFCIEnpcqyNKCrmvv0hY8e0lGHgBdmMCjntP7NaPoyp7qEVtD8ju/
WeQAXFiISr1FPly6+s/u9jemTmYtm5zBkvJoqrlFm0ocdFZcMXHhDrlk5WTmKoYW+eiYqyP5VQRg
QA60p7zU+Hb2ogK4GUyNoCr8Gw6Yj8CKoYXpSHWFYkV+ZURSgyTJ7W6iciGKMm7cCzf/ma51uEUI
foKwBsQa0MJ5v1AQoi+qgsKklnFx7d+ZQ/DQ7Z1DtrRS63MbGwR1G/YDQd3HnvDcoX5j9zSycdpC
CvvnG2nehKDWAHBWHBy26+3UiNuPbf3sCz4N2d4aO7krcxkUAwJh3JWrKGYLyqBH4SVzHByqbbVS
u2iOn6y4fGyWLC107GUJufDcOHce3n6DU5estZsHHrbPPC17sTPoJO4fwjYN7JePx3q2cPjW0snJ
86tIOiODJUfs4JJ706eutfN9IEvcdRssmwqydJeSvmc78t5aPTmEYTgwZyCY4S6ur2eE+feWiMH5
geIHf9KP2d1Ou3GZ5OlLtmCXqtvupc10cjiducitQRwbRmO+zB6Cg3jqUrrIF6jCrRgW9FakYeol
7ca/a1LyRUNFYNV9VtjdKunWCJvAR5KIzdp9bpfWLdnll95J51w7WKGOAnrQJvG8kwi7DMxciAqN
kXTaZ/mUmIvX1jkH9TbKOln3Vla6tAwuD3kUUgTGrVplFxsVzj733lo5Wee29HPIrcIKmn4tULjQ
8lpBFIR/c3tgKUqyjOxFYz3O1mqMlr6xFj9393+9Tv+Hfa8Pf5zZ7h//jZ9fa2XanHF98uM/btR3
+cuhfHn93v338Q//9Q/f/9k/Vt/r/Uv193/07m/w4X8aT1/0y7sfFlLn2tz231tz973rS/3z8/E1
j//yf/vLX77//JQHo77//utrDVHf46exvJa//vmrzbfffz1Cv/7r7cf/+bvj9//91+Sl+lp/y+EI
/viwf/7F95dO//4rnmy//SSIOYqJOUemjl9/Gb//8RvntyOiBCT5LiTTkYP49RdZt5rjj7zfwC2D
3x2VY0Bwf8T0djWwGMfP+w13AXjtwKQDxC94t3795zd7tz5/rdcvsq8OdQ6k2u+/Ou83PiQwbRC2
IAhAMIWEjnvaGe/QUsxiAkSjaAXbQG0BTzAOSCqtZn/XqGE8yNFnG1qM5Vr7+H9U1OFtp0V4P2Xg
mZ77sTw0hDkL0A11r6QpyRpEDFVc6A6dmnnZiUUTtf7t4DRFyqbhYUY737JvvXLzZtL/HNq7obz3
4T+HciQQdqGNBxnRv0mL90PUV3nDu3UTDfk3t+2CpbHreuOOvViM5agXZW6KRW0Zf+di1J9rPwsW
VhnQW99Fm+dkLHsPRH29Dyt3DZ29Zq2cTj1zoe1FnpF51bp5vvZaCX0vt26fx84aX8PJz1e1COpN
NEGH3urr/MLddHKo/xgYImss01H7AxDI9zFA39aNJRhtgWwTVZppiKJaBpRharLrtZkMdLccq11Z
WZXH+djxJVR3i61idrANgjFf9YL1l1oh/j7ZP9niIQAJWjELMuvvvxOYMoUzcbtb06OFNopEyjLV
XY/R6CznoCcJWEEv0QmfMQregRBgP4rdj2bd90a10/fov1BQc8dCP+dakRLlbtueEls3waEwsl8T
NEL/e9HycQFg1gXJUwRQ+BGP/t5uJiC3K2fYbWoEyoU/19uR1I9gi8PuALn7l5yUF2IiyOseo543
UREq61DRiPAYPBIH4nl+4ssDVXoymssRYsLTtkZzN8oljFlbk3P9rdfCfaVtZj+PWV0vtbSyFR8c
9dC2Hr+yoskL0kpbJnZt4BBWY98FjyT0nLjO+8zEs0BudaUUBAHSmcx5+DjwWiQ+y8E5FlrNtkJq
ogv4tJM8cNORt0XqAxS0biaalcsONY6nPhpiPaJFdGpLs8oFlw+ZB9yBK/T4pTS0XhUBoy9lQeNW
ob+/qDxItrudwz5pKrsm9qrBv3KkCh8sjfpwoVXox1FNwy4ms1KLjvjullfz8WeXoaro1qHJUyby
HikRf1rV8Gc79KuULzh13sJVKIs1bTvojQ64IevSDOMX4hSdnyKmb6GOV9HmTtqVfLE5mVSMCZw8
YHUCzuJaTvlNNGhIRvSTvol6ph+IctHYg428I2BIX3YCJISGFSiJVZOzEFVGtwYsZjuLz71JKnQr
T0muAzD808ZaZhKlwo6Pg1goR62hM9w+FVb72WsAfoyZanIZZ7mqbiF6w5+ypugfSqcLd3Xr1msp
3HICohEn1+Wo2aL6wm+HHm+QpKoNRayMWehs2yRjUwwyMVp+R1JVXXu8KVdmpC7YF7D+tOpARexJ
fdPlEoov6NTORKxroYtk9usMfDa2v2VcZN8aJbyHjADQEVXg9eiglQomqZYA5BwUV4J6bFxoVoK2
AXJED2jp7kUcdcGQOFkYAY4pAQnVuXM1eg5erbmziHxGFzPS9kNg6bUm/XydT2wlB+ofpK91LL0B
wkpeA975utuSiX81RXA1l823KCB8GbHyxnXheGdBC6AVANzpx6G+s/y6WoJs+RUALg+jptCocMZ7
95hVWSo8nSmugDYuTCEfUD9m9wK/Othu16ynNhyuZX9E7Kochblo1mGKZeZLWnk1uJrB1pnFgLeD
sLnIzK0nHG+fiX461K7ullgj/RBwQsMFxWL0INiqpxxriTM4e1GN1YhMtmF9oBeEo3eh6ZST6rZA
kcl3Gm/tTzO5p7Plfp1ERNaElvaBdWS8aUHbeB2pqU8p1D7inimzcltRB6uI2OIgM0WXjt3lN8HY
eiufy2/ZQHjqFDxbFPAQN8ZT5ItElL9EVWZAZXXI162ykB6ejPlOOzxWdV98yaMmiz150JneeF1t
JQ71nhqrueka8smZQpNC9LtPMxPwh6psm62Qjb6PWmjqwehrY4pobVW4kNZtSUMWKxPx70PJmpu+
p1aDvnvuXEv0lAQJ4JHIO/UUVS9ZoxAloKnW5VsDASIg/oplqQCSQzvlxg6JW8R5NU/3gQoBJmo6
nJ5uCFJiZh8YYFF+boYoN5CS76cuVkFV0ribbBnFbRVaObjPNIE81+iWQEFNEogT3E0LeL06qYzk
a1kX0x3PJGAXwIBBTAplRmr1JVIeMrsSeRjlcetF27bPAvcKL4T5abJFkHRe/nWYWusw+GEVrIfO
tfCp2t/qke8cByQ/UGAPeUxyZsXdXEb7wRb6tstLmVphxm5kr7t4YNN2kv6jdNh0cGdy5ZDWW3Ye
MTej1Uxbj8qvevjskSxMetvbFSYnAn03df6DFeShq1x3hdggWIUCkvLU832IN6kuZY26QZPnGM9N
7T+46PxbeL10UM6c9yGtsQJhyQE4sauVjVvr1dR1dRO4vYzB48eTAcLnyJFUfQlKZmjqSPGAjUuX
GYK/ddj6TCyM3eh9Ec4sjVrWkpVC7Xmbu57LEg9RWBXbdQNyNtO3OraiQNxNGOKjpbL6ygrqYu0R
qOiVdhc7Iac7+DUosfY5eHa4tNFZBGXouGjHMm7dii+wlPVTk1nBbRZ1UNzwq3kxS4fqOCRRe+e1
Fk39wu83fMCh78FjJia1hRZ1d2UPHtLCMzpf5jozq86xt7WenyrTP0R6cNeukVtd4B0KXaAeGvNT
ldepsGdAx5RYCr/JF6LL0bsiR43lIC0gJfX4jLuEpEFjyCYacHdqW5prIvNi4bbOQUXgUuvEp7zn
t5UmVC/CtuJ7tG+wVQXpujXvJdj6I/tOdFaTIM1eLk2DeyspcXvKjgK43hOs0oSCFY19MnQLRjL7
tSzKPsndvLsLLVLdIWB9bPXkpyQvshWbmX/rzFGxtGkHfQrdhqAQaEDa2Q5qUzsquhJDU604oPvA
nmbWwueBxj1jJaCJzLdT4XxildyMpIiFeY7EOKFzHm7TbX7kY+inwZwdIdNIE3tK75iZfvRZfltU
5LpvaBl7FERWYRaiYdsl/VegCxmKeoFemdAuIM8Md2T6r0DjkU0QkWHRg0gv0mPSlOFXpx5Y6g7N
uHFJHmx50Pg7uNtxp3q7XzT9uvF/ZFUQHOqgGR4q3Kap0KDQH22WXbGwAcpaAvbXOGMBImr31hpJ
8FlAjRxViQDvE+5bCQPJ1r4sGvDBgQtgIPhfgPG5sWv4HBvDyEqGtlznPAoTTqKDCsnnumWrgM8v
YTmIXePhDh+8ctWVVMYRkKm3edkj9TRFNOHC0WkQ1YBDC8rHL7ofnYVCG1I6u+g7LtoHXevUUe0L
dQZEJPP8TY3tvZxDdguOnAS8aP5109TdYvCdJKttlTZh3VyDZgpQvKplqDyU+IBiPtaB7Gg9M7qO
5iyIvaFwEubbkPxVmm4qqI6/WGWml5k1gbYmCsu0GYNPrl08Y3KTmorgU2mhn+AYI7VHaZeiKh0A
mQwA1t2or70sf2GIrpKuUn7CcuuuCPxHBxqYi8wuu5vAJ/XSWKCIClCZyBx+09ljmYxt0EK/Xv1A
h+IyUi2yNppvSaZ2liUS1g8xgRzBXRniFnU2HbRlO8vfijD/bFnytvWmcaFmKOpSOnoxM6xaumP0
rAEStAkPMQdgMJ2DOs2V+WqCeskDOi2phZhz1E/hYK7RI7P1cNJXveT0KitZsHaqQKd5ZA5U6+Iq
KtyhSII6+iK66L6LuubzVIJStKbPLVFPopN0zdsuunUitWoDRuLStz/ZAVeJS/ykHXLvsbYmJ0XZ
a17OER9xhDjefIXlpU1XtWntmGGDOinflVkQLOqQTZ+yptwVymMJ+nQeZjuLIfNnY2OjhlXaSK6N
KvoGPlQ0CVntombOVzTUWDviRsU+CyV0xOi0sUI2X4vWLtOiVJOJJZnYFtC6YR2Y4qbGc3w3mMm7
9bV9k7VarLjJ7yNE9FBEoN6dwuJv+pw0K0fPm6AaD3n2lRb5mOIELIu6yFJmc5pyK2NpGOIZ4IcS
W2zOzS1pFYqTXsFTC+pHSA1CdA4v5sgiW9m7euNYcomL9bqcwCJEbHfbh3m4stWrVzruA8sQEI1I
oB2KwRsSBRJoDlYTXCxJBc28lwYTk4IuN3YbE933eHAs5NDm69oX+RcIBuD8gmdNtXMnE9na2aox
P6aI71r+SePNwHy+Ksmx07ELm2gxBMN+5n2YAHeIsFAt5ai+S3mwx/kaKZN86RO/3faCl0nNtYgH
0Kxc1cHVVBcBajYIwBw0L2Jj2v2+AMY2mpAJtTzlxpoQzldWNdiJz222rKNyfEFLuodvpd0EO5vs
ORAiMTH2JpjMArRQCGpGGd0johgXXRGkvd3mdzJqCVp5VFE/S6dDDrtqRewA6iniua7njXCCLi6Z
fV+ggMV7qDHHzWR/QvYhmai1dEZdLfzOeu1Hd0unvPxst9Uuj8Zgnbs47h1iGGmV/bc26jcUanry
0Q75mmVf/d6kXjNbCW5eL7Vss1dsqo4BfZC0bmvH0nibpkAIR1aiLiGVKNTBNXU8RIHatvMuGLpH
cOWicw7vQTI8mijb2bOzHQBtW8DnPRCw5i1V1YMWq049KJKsMsvjqJaC+Vi4HB3urHEKNOGMZFnW
MhxjZ3QAZEYtKhGihcqlbKqbofLKxPBhDz73bITbY2M68CklgLI50dpE5SsI0lN0vOGN5N6PUfNp
dutYh4CxSnE9svwGxAqOUGk/vSgPAwHH1gQUD6DgoX3flROiNbNTdiMQbJjYVgJt1cXSZ9Yn+E5Q
lNrbQgRYDn+to2qDx2zqe4/NkS2RBwyhb3jI8sehaBVOsreBkOGdq+B5KhAVRwMI/B9wyJy0qZ7m
ltab3LgvzOP7wNvWjQNJBvUlmCx7HbrPSvg+mKGLVeAdJqteO9id37q+656GCtyoGcs2nrDDRM9F
Go5C3YNu5h7uzwclHgdhF81YWCxA9grFYHD54LGhex2znlZOHDoFHEOEnNU8ZDc9L9SPvAIwVBio
7kYdHj6ttfQpnR6PmhEzYBapRUVqTWPkx33Yq/goGweKLmidFIa4V36U0VsC1xYPVsCjxDQ13i92
ra5G8Hd/AxC/TIWxyYZnml0ZKdNsDlClAeiXJF3gzSmfGLqTdKgWpYPYd6omnYDiMIwFtW7BKDne
SM8K0bJYjGnOu2/+iFbzjGEp3FmOK0HdLNX9Y4c2mnVWOXistKTYeXhtPI8Wy3GcTajicLSHz2Xp
krWdkei+mj5DDjh6tmo+PjQBIoWst5GD8lp9q9xBIS7memmJoEhIp0sUsyYrTGjhuZsjUfpulARt
BX124/IRQSKwEvSuRTV2U9XdlYOn4S2OPjocHHQZOhYRifG53ozo8b5uZlUuXcq/CKea76tohIDZ
nM+3VYgXe8x933nxMxPW2EYNBzutHMGF2BLnNUcCwg80cmY6XxHTkBRqMMwDuewIrhpHyXFTZQ0q
NVYfbB1i6gULCoMrA+RDHeBAaxwfltCsu64mw9LWtdsDnQOTgNsdJUrHhccABGDPci/aOZlTrO1g
2oxZY195PlXrns7qNif4kujlBvuAtsCMiK7qaXjR4F1Z5dLD6yZA6yMgurLYNHh/L4uu+WJPhRfX
A292mWvYleuzYJH7qv9uwi56ddQwJaMZSsR82iu9hNvSu2pChuZpewBPU0vMeEDrrnicPCcPoLdr
EAo4tR1+zmtb4gYt/OIg3KkFRt5WTw7YaR9MZU88FS0v965DqkMOsqmXSMo5tfIBDMcu8Q55YZVb
ViPY8ytKs30hXeIuo7nKcRtnIwpJOblXshh3tIscPDzqKVpnRg3Wsm78rEhr+OY0rw3eTH3loJU3
C9Oyyr9SNNqn2I/DXrjOE3Vb+lLhnR+HbuF9tyzonMYBL4c9MokZlKzIIDeIOuzhmAMdce8dNb9H
y6teSiSWunwel3QAY51yi9pJLEzHF6ciTpTUrs2Q0MQzoVLjfVuPn/0KiA3to5nBlSiLhn2Lpgao
BVZxraanPJTs2g2FuwR05oFz4y5r3pZPmau3JfKSC0z/J+aydlFNQUwzoIhMNvS7yprFulR4vSNe
9ze9abJyUw26WVJvFCsfZPHrwJlvg6mz0Nlc2bez6D4B/hvtEdGa29aORL/gpLgb8P5bDhSrMgs3
WjURp9clWr0L2Xqgbxjl5vgcT30zezfYpGbBg5yALYTM7BDxItrbuJ8tQ02iuOd/xSrWaLcvvuAF
zu0jEHiAeJVNiz0Bvnllt0zsaYMIFZlO48f2yBsnZdyForoprrnW3drNe3lo0f1wR0jpPeEeaO5H
6WTQA8iRpDady9hqGJ2ax4EloB5cE8G/mcjqQvSJeuOViqLiBm/3IsEjx/s+jdZ477Vut2Ug4Y+9
iNCkaLIabENNuIbSsXVlAbZ1B6Q+vbKLwl2CO9fHQzmrHmp4WZ0wZPuWZVdcVzPkxGNrQrwmQ4qk
JG6bsll1nTAb4c3Tt9nz9QLvhgIhjxirL+hipZtBMntLZl58KgamH39m9Acz6MdmHslm5FH7pBlX
YM3pkNiw637vT1bPU9mIOkVOwN8RzyJLSBoOz9lU5DvPM/MS76VrHVbquZ+1vQ/UgN6GcvCzpJwr
/ymsS9DejoQcsolUC4sN6jmgWXiNB7USqd1G+sompWkXWGj0oKtKz6+tVyAfnzm9QSZkCndjEfqH
ZjKo3va5XDS2Qu5HZ/Z1kzO546DSQr5JeF+6yJTXA0e7rtW5HihgmRxfq0JA7LHS9iM41tRzYVh4
m5HQrAtbOVdH7jceZ5ke9tFMkU9AOz5Ss7NzpO/Uc60fI11UK1RDO0DHhDWuKgkF85T3PPpOCJ4Q
CL5KRJ5c7U3vja+GZXU8BkbOOGP0jjODsgkJ1MGE1Fs1knyd8rYEHUzt+jvkX919Y2xgPt2a+TFk
TwSU4Dn9YRfltBC2GmXaCKs+VJVdXCtoveByd4qvU4uTnHdVeAuctrMZu8D5ajcW25DR9hfGc+bl
5Et770tcwiaa1DOp8KMlJg/VHd3vjUaTGKuUftR9nl11tX8jqC4f3bLSV5WlDQVNuFWXce+X4W3J
nXyTNb1c+RQS8jESefWmCKJqgd7HapmrkXtxaQDsA0BWQ2bdL6HL0cwZqiq9x65H16sgl0SgjtDh
ul3pvptjJgesMrgx5pWfu/066so5GcRIX7WBX4h7qtWzMhmDDowW2geDTkWX1iDpbUYjDfozLdUz
MypcTK0bvlAgMQHewpNhlXEZhfDdQ7AE46e/lyjXPqL9XkHtqrPdmEDDb9NzNMcRyO0uuAciAPBH
m0fc6wjn3Qj19IAJ648GvX+rqP1Q47RWH9azr/NXkMnVP/SH/+r/o6r3kRbkf656HxNgeLm9LXof
/+CPorcT/uagDQ+83SBxsGhwbJz7o+jt2L9RBGJBhF+DY8n2UA7/s+jtRyh6H5mIwmNXF/4Gdc4/
i94+/c0H4A+/cnDJoFbzbxW9T4iXKBSwHJBTw77voHkPeNP39bzZUY5uc2GnsrecHZ0BNWFBtyL2
7F/p2UTbHCWiHcqQ0Sq0S4o8vKnQyE3LBnCZGbyZqJv0WymZeHwzhWdq2O/xfz+/GChfHHwx8HhF
zikxKUVFXYylZ6UNdFJ2Ei/xI23giC8K6Tx0LaG08bHBk/I/ZgIk7lCwsYAt831kjt/PhGeNbd5N
JQJ2lfWJ1YbttnWJ/vSxlff4H+AKAAzF4MCdGVIIvXgnBWyvzyoWqjZM4TCsqwktCDoum9zKUddz
kBV32CPrG2RUzXipU/C0eA7bR/QFUuJHVkaM9GSEWeg2Q02nI/VkUHxhVV1uO9QmYzZMeIK3pStX
oPEbl0heVzHpQtQOkFtwVhVAqPuSdsGNdmX4/PGEnLBFHmcExE0+cJeQXbQDiGe+n3eKfEjk4uUH
NT+XLBEw0DUgx8jnSgJKHhXN/A55zZu86budMmBO58bm/5e681iu3IjS9BNBAW+2AK6j92TVBlEs
A5fwJoF8ttnNi82HkqZbpKqLrUVHzIQUCkUZ5r0wmef87rDZzfpzWZc8gEZAl1YlGWW/V304K2e7
If9JPf/18Qhwh2g3LYPRAm8/nq88IP++TuIlDfz9WAYW7la7/7I003L01tJ4tiutyaFGG/1gwHhE
SDyyQ7K4zXk7pOMHfsH3rwVXC2E6ewbvquMj0Hr7cVwiutZs6LOdU5AUHxZZNe1api7uvFbXXjIn
WD/IV/jVU0POK5uQ7+G+5LB5u6LpdaLIM1iBAMp/r5bJo19oev2+71cZZZymEVWK/NFxC7Ygz5FU
OgdtiWm0YKGZ9qjL5d8ZW37eFB5l00Xews6ADuTtZ1qGwQFZAIVBpePd9mOy7HodN4GdJsuxzrcU
6r4KPrj07zcIaxvWCSjNrsT7w4b5dlFzaq0pIMZ41wBDHHxrmA8Kb8AH1/sXq3Cim2Sv+ySie+/V
JLWr9QHkBhZ7zCAU5iPUm5is6u73r907/YjOo+x42Ge2UYzIrt6PWq9ztomyKNy4dCk5G8ZqnWo3
EWhbpzE5qCl3D4VWuTe/X/WnPOTN28SynHd8NdQylmW/08qMyDicTs/tuKmUlhy1zNF+2LSz9b5Z
kXpW0hjSaLWEo8dS6ymqoUtJUu+VNGXk+1oPv8HZSF40iW/3pdaBUTaW9CJ/RXlP+KcpSZa21/au
92qvC3GTLHdF4aQXPErWdSEL47ZzrMHZwRzoftityXCRKgvdTDE5q6B815PLzE+a5TBxDQ+DXpjN
FZdxA65A5XZjbbX7TiODPOwXE319GgygxG5mjE9Zu7hX8FSy3s+Z2ZzxnBTpli6NUgGZvtXRBZfE
wZqTJ+4HP8ck7hsdGFFNPO18Eubs1rcLXc6xdRvhH/CTO3kEhS0+j8hik11greJpCcw8ifxS07DP
FJmRx4k+WhWIvfReNXODj7UNXSW3/DS0QXIv86R7EnbhRXlFtHj8+3v6qyeJ7Yg5xLwdBpvT29cC
VRu9BqbC2KNzj5tcJAdH992d201VbCmwgEz49e73i24v+D+eI6ZVmTYGXxdpzttFJTFDE3ylE1dW
7+6UWQW7rm7b2NSY2/f7pX7x/agJAlYy+AdXx9ulhiEtKZ0CluKtODdWUMQkIxmytVr7jOd83buu
JqJ/v6hhIOEz2euJmn1/UdN0ThYFhG40wXhZrst1knkCjDkhxd+jPnHH/i/FKrrTXwsgf3FNMdcT
YrLFOJA19m5TbWwQ63S1+aJ5bu8DbnjUAqvsrQ7i7fdf7x+nGKAhc0AYMmqxIoXQu2ta2FVjTI0T
D+5SxZxa/Umvc0B1PVCXRlUtH6z3TvTNgYGjy/B8lyPcpq5+b/IQHgj9VEL4QI9R4FR+8IPJauI1
z0hrnMrKfLH9epIHvekNFVckF91pGcMvHGJk3IgB8JYXqdZvDq4sST3kJdNvutRos9hmwsNpqDX/
o8zuX9wOnw0yoFJ0uVQ/5ap/t0YNQSvx7nigF9jypimvCEQFU8PY/NHA118tRVHK6GEDUS6Tht7e
jnmeh6CrUy82sqoOpa/lp0LT/EiwNX9wJ37xNvmes7223hajZL/rN9YMVVcxF148KCe5wI47hCiA
0D74A1HVchTFOZKK+YNVf/EFA6a9YidC2O7wn7dfsAmCfAFo82IMnfWuzAiW6c1hRVq0mId/+2jT
RljM0LMxTqJXfieQzBbliXXT6+CGtePCTsZdp6b+YBeCkfPlKD7IzPlnvWDpFIP4l4zNKvg+ciTJ
rLIKXKZZIhRw9oO2jhcBx+wHm/w/X1h+suXarMQW75r+2wvY5aPWBjY4Xe6uAaRnPh2QqUxXFgKA
CFLc/2A9fiQ/8e0OzwZD6CGcPHoeSt63K4oyYAi9WesxmQGaFRc5UqaoNmxmehnjEtRh3VhZEg9r
1p4NS6cQkMgRy10yGMBsvt8Wd6B0AeoVxmCLeHFdYI2cebIx3A6IphROFzE7mVpi7kYLZcGoHijd
O0i2tRVf86RZD1luyR8DApnrdBqFue+8ieObCXdy2jeSAzYcfCfFplOSMLCoqv+8FKSHxxpjp2+a
tkewUTuD+NQV8K6hrafEKDP/cvqeNQ0jvuc2BaSTlilfUa6aWRQkDRKfTBXdOZ2a/tXu22WJuPXV
4zBN3WPJ3f5RZkNylZgLOq15VkkZ+v2I2izvtLoCj/UYX+8Phl2Ejr40rw5ZP8lZ4JFHz0VM1htH
yz0YfFeIZD+UyMDDtcr6Kxw/iwgL+C6c+KVC3KuNuXduTZDlYbCky3dz7Dya/hS2wW3HrtotU2s+
0DHMz6JEThLBcxrpxSQsOORgXZfXZO5dQTQs8q2wcxVUySzr8TmbCevYj8hEypCRJpXYl3k3qMjI
sJ4c8sVzqJ8Wa7RgYwgOCRHVVl/VOmh3bRkURdx0CR9EOiWXcCLLzt4jfeBXqAudr1WfZD9cc5Z8
rzJPp32fy/ROrCJpyV+S7XXvau0T9RuaSy3JMRvls6p9rJqdyRSsSiM1UZaIbMO8MYslAuqeuS5q
GDUURotVM+Ct1r0LoZaEiFPXHx9FU7kZGUtuPW+sPvIqs4bFLpUf3AVW3UEGLK481w1R12Fl2BkQ
fxAMXFYwWXTqRZ2ccwcXI6IEZd72qqqSbL6UwO3t3vIHvdbIVVQk1nQ1+c04RYHWew+FXmstJE3p
+5fSr5qT5tTZN7MxgxJC20pOagTH3ZVFV59yq667aLb09BZjqvnAQrqIlqFvnuRSqzuea3yCSdbO
37sGKv1QNguf1qw45NBGJN212xMbt/v9Zrlthv94yQMdPT8Qgm+/3yzzxTGEAcMYd5nugC0jduEc
Ni8nV5M7ao8qtHQpY2/L3u6Fffr96v9sbano0JMzDGqLa6J6fbvHEIfbdWYFq9vWWobQq1Jd3AtT
xYyJaYn+dtr9ZLcpVYpWx+3QB9eB3XjXJjc89p0JgsTQPhqw8s+jiteZ8WVbqUI55rw7qkat8qVW
GS5iKFoM20ZJpqH0CLss+FBY/4uzg9pr+/IBkxq99yVGUDbWZHujxUwKFyt7M684Gpv6wrNd+3yF
8vqSAZfHczHbIVIObUcX0kTwAAiaXFIQPOiy8xkifP/7G/PPxwKzj/OzB9YpgX4a5P9W+uTClYS3
1B5Cvma8IBqGEa2W22r7xm/ZHgmFDud8GyTZCSPSxll+8Fi+ywHYykWbk4cWnN2LKID3x50qWj13
MolvIJnTqzZn6wcVbJkxBS3sJu60VxanjKuV3o2Xw0wRKjhUYaLnw2etVdXL76+H5bw1QPCBwI8x
2zJS82fQ1/t23eiXRbNmK6WWmKczOxNogUuXLhGfbdLmkb6suXnovWm6StOC7gTvfuWHCbXVWcrT
/G0mvpttQ9WkPZWGztMtspLXS2Fp2XU9lWaUOCg8TnTQ7Hp1kCxnaesHU9wbHZKSNrWcJyZs6kfT
LaXJSYwKOawGoycaIUvbkPOSSUpTYXCgJibbJcS34z5n2EUooNfVGBCsmiQ4VPA1VwKZBWJg02jS
sPJLnWkXleZ+beuF7WasOrmcLFeg9fecXj42dmeZ4aCRRxC1tkxPBvfhxWq3xHVLopeP+65CDuJB
clVfu7SxxQ56TvfPxLoITjiSsY1hwdFoiIYo4dwzrx2rHR5dJdW4N5SFZJsd2IqS0UXrZBerruJ8
cfuHwQNZ2E3mUhlH6RPREo+Oflk1vVvfzOwuyKsX0mNRV+niqZtSK8oWBq8exqUG/8raYYD/wm1i
4TYZuzRCgF45kTUxTXlpRucbFrIaLbFvi+p7Na/6+JArHodHtHaOeexWYkeRBvaFvrPq1pvOOMKH
E1l+3dUytO580XlFYEclqTJIj8XS2KdCjl1/WDOmpO89B+XdrVn6017LbKuLp97Xk3DJ/T6PnKnt
2qgRQ3adz13gbjNZ5YOeLo4PnAH/wN1M3W5TNGvMgs5bo4tNPdHNfW/pw9csSeQtR3b61eMhQk1c
5s4r5a9rhUFQr9hrbK19cRC1U6tl+vCJ9nICyyr6pGCERd4lJ3+VOQbXQc5AdxWKXicYUbXk5aDZ
O9ll48MwuNshsKziMK6Nj469rryHppMktQ+9WPZtniPOajxrmkLCxspyN2rLpO8ZtVziuRtKpGyZ
PXvXxZr7ZlQ6BSNa+2TMZMjEJ5j8fh3QsBVB6odNn1fM6NnGXu17kVePo9VA+SZSOhR62tx+l2vQ
ZEdCe0irgo400Sa7pRChmHrRHzqROReF6gMR6nnqmxdBva3jETx0rBcbi4TTrObKpj64hzYZ4SFH
JXEY8BAu7cUyJPojChEeQABz7dWVBYrJOqgGL0YO6JSEH5TZS+os8qiRcprixAsWPfYMYb2oenU/
TSPzaMMR4b4dmSXcAhx/T4E4LjmaZ/pXrYvWVV87Hql6+Sw1cMXYWsTygvHJ7KKU+dHgRrrdHLp+
2Wqc1H/RGg1bxzQwqynGmd9NlK2D/jgNyBGjnIfqbFF28d3xBu02HXQiHluRz6+ISBmAID2hfyq7
QHuYlxz3A/WlhkIcdwLiDrO651VPxli6s/hUFr77MpvB9OAYRflDIm287JGkm1AR8MZhZQ/qEZ1q
+ipGz9PCSZ+mKirKEZGy02dmGvKeTdVurWUjdqIzfI6KdunWiBZ7RGHvLpDPSbJ6TkhuhgjCjXfa
mXZaMlKdIcw5r6UwrgXltYi6vGuqQ00D8HmuspKx1mW3nvmzbHktsAOYJ03r5no3jXUJMYUC9OuA
NU7uZDmWy7knPHveK3pMZAOdfCGj1UXY49b+YzmlztnQdYYVm2JeUDtmKr00mEVrhUbp4WLqhETC
3MrBtBEA4dM6G+rVco4cLH0WyUaa9SkVCzMP0dR22q5EsXBV1X0nESDTC0YW004N5iylqoprw01u
W0w5T0aWkS+dB3audqY5D98sTWM/89NCu57ZJVMQ/nqao5ELOyE4KQpIqaXUn0irgoy2eCv7Q6DA
O4mjt7MnPTEtZNyqx9fQLHh0CDlvuljqJWxW6jfI8Txm1rqxH4zLelBBkP6w1q50j7KZtGfudN9B
E1gVqcMZ2vnQSQUOqmw28jKcfSN4megWiOJKi3JX+AUggahIrNsxXpp4laTmzEqnRnzLDaXXwJ9e
+TzqaXfb6fAOsTExWrZbc2VFbYKcJBwme0mi0bazPNbtEWODtBiBEvZ+s7yiTMFbjx6xfkmMTr32
mZbMx6ypOUVxTZR1zM2cLkgpbaCcPAfodmy01dsxjTKWHnbY0B+3Om1qJuOl6keGUGe15aaxblZz
EhdJLu1IExr56EsFl/AnYPivmPn/Hu2+mdLvx/779/HyS/ueoP9/0HGO85OA0y1U+b9m4M+/THmf
l39n4P/zr/3Jw3v+HwwdpoAyqZnpNjbO6E8ent8BE4RIh5XF2vPT0/oXD2+ZfwAyQ5H4Dmw7mXig
FH/x8JbxB0HgcHDMdySkyA/8f2M+B9Z40wpp0P9U1Q7V5tseJPGIM2uGFTeLkJeDqzAPacP2FojX
chaHFKvT5rfpZs6a3DvlRh1OqEyb8r7bmtTUuJUpm34xu5AlevIlRT149ISZx7VfYs90jPqgBK4j
WZnni0Blx//srKF+KV1zHwS34wz3m/kXntEfyk57UPb0aJTEPHfiRjHlMTR8Zk155bWEj91l0NK+
vbLF3JlO9m1xkzp0vIlfGx7LAlNcZZ3SwCjiJSuaCy7rlWsMF2PBuVL5fRcjjE9ZDg+J5Z0XEwI4
FZh6TKGBFJcp7UawYkYRYheMyJUJmPmOHP8O7fkhGf3Qb0tAmzY/R5D/PKfqGm/escu+eUEeabVu
7qii71WiEDq9AANQkx/o7V8ktRTFX/6cG9ed5WwS2Bkl6shcp+axt81vzBPhELHMW0NXO+yjWG+H
4qGsfPOyd0r9bHHW6xXT125IBROy6xbfzzp+NvJZP+VjY+xWUz7hHblSniVxmjvtiwcAEi1VgVYI
R8tnpmlFs4mLtBz73tttI1fb0HXcetP7gtUseP2KpM8O8K02867U4N8oaXRXk9vxB43hoSol/qHC
3ued7M4n9JnfVyyzj8gl80e3QcZoNPqFkMKLaeTm3dwnf7Zl/wN7DAIh/v3/YHMhsP13+8rD//5f
PRDY979vLD//yp97im3/AasAecoW8JNj+I89xXT+cKFWGWm9jbyyPZfX/a89xTb/MLbNJmAL+rkX
0ev93z3F4edxeLBN0YACIdv/Zk95u6PQzVvgp9a2OhlhLPkOaveCaWBeuEV30BafcEtfzCI4r3ia
qkUiZvqP3fbmT8Tm74ETSMnebF9/LkYXs+2ttDsmu+GbILdyGpif2jlUD5TMaL+xh4PL1gY17jQ2
gKpmy7iES6ie4kdPyeAfqsyS884YJv+oD5WG16Bif4QQnZL2Fshjck4lvexwY3Z4c2D1mzHbO6qs
tRPOI3c5Nykdu6PrSe/SykXXXJfZaF44Qz6mV3VW5GvMWLClO8+cNe2wJJsiw1Plp2uMXcEZ9oam
Ixcxil7tSrC/OgZn3P6SY1Lv2oljlcj8xhHtHvlX+60GwOrTEgIYCWwb1dGWNoVia85sDRM/iZZv
LqBnUJIGpU8yZVOixcb2zBsd9nPGpSimwbopmtQvoraUDvR+rwLKH35AJKkG032AwtuIZ73QSRTw
9Uy7lMuinzi0GlrxUUpoIKXbZXcALDOqi7nNHdwtYgI+AKV0sTKbQV3QZq+TQ1Jim09lBBxMxEGm
aEERCmv6Eg0pNzFEEh/gthym9Emuk6pPqpntZ4RXKO/nVHtNi2pnGNpti+MlBq9BWVuNK8MVW20H
qWwgyFJdKGyNLAO5/SQyQONWY8XZ9w65nHZYb4zN9DrGE2aI0B2dq6D17lIcZrGRjE/B5nYeF4o6
LTNfssl7cNfirjXzS3tl6p1jlt8cjcyrdSrnkzKLOC9VseeJP3Wr75zw8iRhnlYUdyoAgGZpRkt0
Z7k7nQUrZuh5Mffo38rQsMZDU3VVpMGokwR4PdNFAZ9jvJD2UQx1H5elvF264lzpVR5nhbYfqoa+
D832lC9JHGze+o77LCsgYn34bkiTMJWt4VmS4Vipyrw0F+fOrrH8rGb6JSNtYPXSS1z4bVwO7hyj
J8V+XA97u3Nu/Bn7CBA63lsNqzSQkt/frUZ6VaqevAbDPFMr3g0fyoDRJlvoWH/JSXG09IzTtcbp
JNejWutrzopj1WLqatz5xjGz70aAPTLr+4d+mu+Rme2ceiXNRWT4m5NHixh83UZ7YRdqN+FH5doB
FVtFcfIFGnfTy6l1AU10F8vfBhQ0o8RWPtI3p+qxCuxrUepBmHoLfq9RMYvC1yA3SiK+e16PWNTZ
s93jJdSC6XoGPok8iu0w0PU4wFtTa8E3Q8PWkQbLlZd3WPec4fuwkIKrJ7NHuGd2j4EJIFbtE2Us
zGQaLlujenBLhOpOF5xLU13UKr9pzHQL9fCiWelXS4IXpFodRNN6ae+ruuBobZtln1iEhaKkejLb
QMS5T6pFoIaDj9YFy8kLH/TC9Pkqwah/DbSSTKisuVF59kOl0/0kAXiBtA59557XYnpxreVIQBqJ
HUDGYe4Mr1kfUK6tybTHTU6KV5No8dpbl1qAnnLlS6tWLRG+dXuXobi5HNtOxatb3FhtYx+Ctr1R
2sDssqz7NkE8ENI7Y+xhaBqGaLquzPtOMbmvGr85p0e7a2G/wJhcuTO3pDT6kY0E6f2oqdWFnVpM
IcElElkQRfMK9AKy86rKNZpHje+aXJbL6pySYE6Q1uDwFO33JifCNDU1j9lhzt6xp52zEGdEU4nE
xQ9ikWc5LhvzelYWvzLm50Omt4dcc/dWhfpr9XD9y4p2t1CRn1VnmC9OaVKe4ykgqS8Yd/qc3A7l
ZGPO51XFQ3RbJAWIfu7IaHYA8UrAxRTTNL83Z9EobYYfKXuN8WrcQ4ndmE6JBw0seze2NYVS4z3Y
KO+PmW/tPW15GgAMozHtjkXW73zZYTtiNaQhKzgIZK+WGequ5JgOVTpcTr4KDnnZUj0vlTjIsf6x
ivqpcb1vOJIOtaFnsdKxUnjYESMLDVvMrvFVMVGurYHFbOTojISaxh32PvTZwXKhD50TwYQVJzTh
Z0RH8EnJCxsivF36U4Y07jh50z5JqT2tIWe2b3IrvPTKrfqvncOD3kAyNXnm7AK/21UDhrfNsA5w
mj8wFCNG+eqFrhyJwnV6ivkhvRo6f7eu1JJuhSyJQ6IGAyianYGQ1bhchAoiQw7atW5VQxxMGeGM
ouhCq+24tzORE+5w5gUayrkkcUjTnc+bTpx1LYapPvB+WAAZEkCCzhcXm4CNMYgHUXp3ArA864qa
pD6faNHcTsrj1CzZ0azz21T0n5B4XjbVNiUWV17VeGRF6a6MlPKe66Czvg9FpV3BvWBVkuLSE81l
neG+a8CiI+Gse3/oXoM2ezBlY39fK2hzx+2uPXdab8FgxGGx8j2H36vymk9jyxYdVB2uEU0/JqZY
Yidpt7gBMyyI09n1skHYpulh4iWv65IeJcb6ueHmmnPrH7GOtzdzVchzw2XybGn46HGNusLGy4k5
kc+Fc1dgPA24SbW+PNZeQfLKDAgxkBYg3JY2aLViOzcuVSN+VLUa9sHUtuGCMSIveanArabIyWHf
NFWNYV47HLP9dD0FQ4pBdO1rbAz1c02thot38K/6AqIUCu4pCZIacp2kgRqdXFhXyXrm9e35lG56
GQrXKKjy84JnI6xTnSnqXvGpHuvp1OrOi7+2wU5v1OeUVB2NfSpBPRBKJoVcmlukjZWX9oVulQqj
KGMFZhvTXcXxgrvmzG/yW6fpL32vvnf83NoZa+puB+Bm/zbtO0WwS2hVEIip0sW976pPzjIxz3m2
D9AAOLIsPT9qqdbFDEacbruhLc5tU7ts0aPF8PGf0k0smhv6dOEGxcq27nq7QFbaN2JLvk4AdVfG
kt85+Vhy4yh5Al8znpBU428mY8xuGy1qlPtJ1VW7pzv39iN6Owg8bnvHKPBrqx8POG8QEatS7mY9
OZWjtfOr7GSb0zVRU1+kvVzyhNsX7lzNMdLH/SRSSG8nuJoqEFILn2KEXGMKq9KgZAaKHcvNua3O
DaBQMpLmb41On2oZ5yJ3ejwX5Re3tK7Bf6+LMX9gsFps6OKyz9DipSgKyqCDcU4FAT+uHudKP6rc
uYEHvCWt47Ca9suiMA1tGmYKObZBv/PDRehfRh9qtpmcJ75tE/rd8opp61H3ADVzT55XvfGAY/mu
IvnszJ6A0HwMx0D9GIOrCnSNBJoZqUOH/ZZ+G82NedXwYZZT0acUZXa7iung90ub3eZ+UXG8+Jq3
RLMr6++5NL3ylGXdDHi+iuou1c1yuWRjlvBvpVMhu1aOc97mle5iGwCVC5vC8ryj7Xp6/aXsVfks
i6mZu3BFRjdHm9z7EixOpyRE2hIV/cAPsZlIMlzrvZV8NAHoneKINiiwoThZDaUr+t13hGpaA842
ItNx3qKyAigxm7jhobuo5yxBbJqvSx8VTjJ8IOT9KUL+G7nNwtgpAht3BZo6H7nr25ao7cd58ix3
imyj0Rh01GqwJLIYIV2E75eYeLrAK6JidQ0zKtyK+044lUlIxxoMMQKq8t6x7PlAkKD1wpifbC9t
o9aJsRoZ0laOYMT+qjU6lSFhhJnOcV1ZpUfi81pDl+m9oz8QmJe2UarNywdK3n9e1U2YuGn2HWub
7bzJd/5G0XY1Q6vFDPADuiGeBicQT7Mu4CVMTmFt1bwXl9CRjySK72ZHbG0mVhNgkc0vg17gvVKt
1NRopbpEBVfMIkd811qPVmdsEVXLUiWMfplXXO4OztGwqha6jGX1NWfbX0TEMx9oH6hDt7727U3G
w7E17Jhx4Izfq0PnNHBmzYTpmHiazyuv9s8XgPLLggb0Rmtb7bJDLj5HmiTG6IOm+/3SP0EHBJuG
hZ0E3ODtLSC2zZ8Cqx1J/pYMf8NWwnZRK4JTLLPgrvc4oD/SZQFovPm6DittuYsgCgjqAu/dmtJc
euzEJFhMQp1V3rFOpt3UfEB3//zkf7+oW8Ig2nQy+FH4W77z7s1xpKWGykNkYdwHexGr0zX6tsMQ
vn6ez1CKv6BGuOXQgI/UzSjyj2z6f0Jd/6UWdpPZvv+qgByoIQM/8NiDMc28vbxk4OaJl5IKN+Lu
RirxgM0/o22f5tjymuR+yWQfC805W7LyusUf36JUiyo/H46raFVImbedy+hKOjzkUJTBcLZ4aJO0
6YR6mcT2ClMgG7tV3pq9grAYyJOzekKIW4RRfmczb9QVscfIMAzXe3STkbM2941wzrzcvWkLGbuM
GnS15mrszeMo2gFFQn8ihqoJGWIS4WxcIS98zmvijkJ8/vWF75bmThEvR8UubyYreel1dOVOdY+h
76vCKO/PfhbTxVyhwnjuneUMrsNk5fk5meQnc1g+6XOLr9o8K6z6XGN3JZmowH9Cf7kY3WmuNEyM
WvCQSjOuUu5RoiPwcg+NTayL0REsaHvng+9/LUxtr8aeIB3Su0IkA5QhorhHhHrV2iSW5vIA/X5W
WX7sLjImH/IzxPd9NrpfYI8vZInvX1p3eRNE04wWzHGHT5VBcWj1z1yVh2aGFDZ1f48l4QD/e1Zp
zgsV2uWgpVcZVO9q8oe1dCSUcXpGlMZOCrxOg7ZPbe3gZNrXkvPVNPKKQ3L+3tjNA/t0gG9THWQu
zxhf4DCJkTiqJnms/dQCoB53inTnMsc5a5kvTglhN1VPKmjOJnI+IFdLPWyXYe/5XZS1blgk5anp
TYYPBp/qxTlhRjiviu7KXItnfNpbbXwsZ7nPk3lz2s/hZDV3Vi7vRYEKh6kg+mB8Jo3l6A8B9Ss3
dhbqehjEQ4ZZurI7EYPwY2udJceDTzhfqmp6maL+tPnPo7QAgnAp0wiBy+4pKB/lOHQxiFxHOBdP
kevoxi0G4ItGjpsBjGC0Ve67jvC5POnFV3SY3r7XjYukaA7KrM9dLEkEliB1s3QyWkmht5V3tgQK
YUjFPcb2otCxDJSa/gGTB+MJyvHQCnWB28GKJmvAz2WNV/WCu7Ymwsryh3Ma4mutG3jk18rfxAxn
hdsS5hScBYr3bFq9Yt8G2DGMWXkH6HhrRxJvfsyqcr0uyexgfOUhSSYFUlHMkCwS2/9M1OGm29Es
tZ7I1ni0QcdOUNzaLSjNj0LM+HlH7XkU42dklEjACeGL9KoaTxNv2y5v8k9jMD64VVKh7HCXeOBa
6J4i5Aa3+7o2TpixadRVc4ExIRqT8prrGtdNM4SZawSRq4gmM1eox65Z3Cjvqft0c9WBBHsiC/JL
b0iOolHm07ooojZWQtxaTjh8K3HlzM2z33IYdsBsF70MkqihTAyddhSxGKUPoTxO56hjfySmQ3hR
2oG+NBn+c4WmsLcvgyy4k8P0rA3yTmbM7hkyJrAkVkFAGlgZmb9L2CT2C3lz3Rlmm6Pya6RYmRPh
uLhsC+ZaWP4DemgCTgwv9hqlRQmf3p2da92dsd+nn4YSxtzoDqQfHI2KOICESnpwGFcO1qia9Sqf
iHAKyDbkSemb/EvTEtkA12JqUzyDUWgdMg/fiGqCn6Y1f0V4scsa/ZgL+2Zx9aj31fmwpmQgCLHX
A7QLvoGXn1xT43lSbXEWFKONALsSWvY89DqMjPSG0LNoDySGoqGetF0j+xaVk5ny4fJuN3nBwajc
7+gQUXPYQavvhbF6aDVzdUqc2hp27tRqX7zaJAG1TyVxjEV9L7zcuZtk0QMJc9ED9saUqfAGMRi3
3Zi3mIPy5bAGqgQWLp9sekMe/rV8CjyEIi0xo8yzNosH5jd0N4DI30bNOKlZS4BRjNiR2g8kNA6g
4EwGnmvlozypMkl2sh9vvJaR0cZi6T8WBUhylqGzQjIqAOIWX79syPpAaUUuQu5sVPuMvTxT6rLN
9UeHcJE7MsuGJKxy75HcrIkMQJuxIkKaN0w/EEFk8iXP/b6hnLW88TUtbfIwi/9D0pk1x4mkUfQX
EcG+vEJRq6QqrZb9QliyTQLJDgnkr59TPS8TPR1uSypB5rfce263PRqZibBD5hXhPMEGgyKcrgvz
FOQwI9y74tIok803kM24DbVOdEZ3tS2k2SnVA6M2HsIlvE0LYoeM9miHbWBMRMb9ns/lGeKDG1ML
WEw/KG1FNXxMo/PZr4iVYYlWLB9Hm0Sv3jg7Yf80rsszQIgHd2uATgXB1H7b2/THqScSqDPfSlRv
MA1GdcKEywIq8TMyVQtoqpHGlxQuGMdtYgiqUIPHW9v/NJeuO4NB01YsQtrzl9rSBaOOWhZXZlXu
X4utw360xl6kJZs7FaNY8hgtVqLXl82FTYzVYZtbKGOO/MC5dR1oGowTR6tALtxFVr0bZQjRSDXZ
WiR55q6/CuF+z7np1ccoWKwnqEzzfg1FQ9R5ne1zg4HFrlSjGPcFyLsxrqpOPDI/8dGmay/WhfO8
dcuwb7OMvmtYOgAovMtF2irNEFWGdnvd9Dh/5r3sn+oZqCB6U2PcldgtGZq34RemtgBliexe1q4G
41qUDx5Ugtgx16dQqMI4Kc9R94j3NXpR1Bdvk5FjmYaGgM5wKurnat54kLGWr8ytdmGXVQ88jAg6
hnXvjuK2qTU4hEb7oZhsr6FjxCFOMiRmDUYgppSJ2rpDCFolAVZDVJw3vFjR3CZi4QAs1OI/930t
k1EF0acxCZbhTpG5/xomrW8oZdwt3RyduGt5BZ2URGWQul1vpsOdfNT24UffwskweBwxizakAw5r
eYzsBmnRMLXylVLkTs/V4UksnnyJ6ka8m9u8bW9R6+ZYDFR+8gJzfVyK3v3RzKJPaEQJtYXtnEZM
ug5NGYGKdgaci3a2wnddvEOlo+XoRnM1HT13g2Xqqb5kHKg40C23KJDZZNlRRV2fZmzNoc+phyZc
l0/2Yv5u1fMru0R9GSaDEYQJtZQYxSh849y/DsHSn0PP7GCKUuAlQ9Uv7p4SuzwgxtlLx7xUXveb
j+bnKqKncrb37L5Og+4OpV4PxBYFuz5Yyn0/VyBcYSgFx4Lt5l8F7fYhyyGl3EM2qXnM9TTMA5IF
nsv77ak0okpbyctqc4g2BooozUbscjcegtAHslyUuKbcRZGgEnrPWeXfudaSeI/A624t2LYwK8bn
xkOTo1FaBipKcRJ2J3YjZry4sr3MEO14Q1BzWfOQGv0yxeNQ/eb2r4+zuaSb6MM9WvjfE965eIok
TBl7uUF03MFXua8Ggjhf5r+577349l2Rlw1nuykfFntZEqbetyqMvvsy0hD4ZjT4hbdTHlxS1jEb
OybrWPblbnAY/RoVD6CRL49mQzxnuUTn0mCYbIjpsQ/DW14ZSaFHiK8q6pNVrYfVLVS65qz0WGpw
GxbDMW8KgGOz1u+hlb27yI+QFfB1h2Z5k1nTg3xtuXcb2SAGiKghLCYNMQGG9q+FIqyK7xWls5T6
2Po5C8KysKBJ9q7ms4684jYv7FxH7UiqgQXIlxfeBpk5j8FsuAdDeeYn48rpnI0ycZFUxp1Nbs/U
3/XV7CdpoXsJn4rxMAlkevCCE58CsggXOd0dGrmsocaWrM3vYRCwt2IWSX+KcpQHg3HFFZPss5Tu
CncqdF7NO2C1X8NbN8p679Vu8wuB96NaEV+BTD4scK2f+4ZKNfeq9z4qPyavgMgIa5qZqXsNMpPI
JAs0duVs5xyt1T5fhl+hP40ppBd8MCsMoWs7b+pfU/XdjpPlZ1mqANYmlgw0iZ9NldEsIFF9qOH6
Ypjtt6PHPGDfD1uXZCMl65Kz+Brtoty5WRvua2fWca3y25ZFrDWM4Kk10ZqNXb0+23aFVy7oUue/
aUPWnrTXHyrOPKps1tD1tG9K4wOx9XOrBj7ubp9HeDbzzWL+OwL/W6zupcDy0kwyHc11Qjueiemw
GnP4NRHJwRQzQ1XX3ouSfPNPILXKYudx68Em8t381XGUfMWsuXz4CorMAbJZNgMXb3HrdFNj7NZJ
ZiCDKednqDBgIbjMMaDlGQtTLkt7yZ6spUyJijhQX3dH7RTP7DFj0Y5XX/fXFZBPZXQvM/lyaMlt
rJEOZpqAlcowRv+GKuzmeMLN4y6GSpY1AJ4qzMuwZgZZE2Rfl21nJPOWgyvF4JLYbdfgbAIRmy/1
IZ+M4uizL+Jo+a2sEbeMaWNDdy/YQs9Mlr5ZZbgpB2Ja5IGbhj739cJwMvaDDq7qAqlPrMONlLrL
PPIEtKp8lU374LD2RLajUfDgALpDhoCwgVjNh6d+sofbCgAuCobqxZWjjG0I0UMWyJPql5v04Wve
W6+eVURPyv06J3Vn/ig2EKIDUUCrMiHEZY21G2z7dy/td8/IvBc27xRU7rT8RLxpQ40bVj6YKue3
XP/Iahu56Tb9bEG6IozHxFIU+s1ASPwc5YJC33XghXpA8SZo4Hten5M3Yqor7LzbOyUjAZwWPctY
lL7MGa2ngMM9KYX4NFvKxUhBAQ688sHZsjqdPWrsZX7k4rPBOZIk4DeZf7F95ezhy/FCFzYi3egl
M/jY++DfAEc9QUL+HKw+euIeewdgC4jWBi261zzdhdwHGU5VKs0lwUNwEzq6eH5bnwpqm1hENESl
k+uz7IotLVVennl3MUmhRP3rFMatphKfNdQ3hGi/ndG/9HU53KC97WoVfExcwbQUzmlgJX2So3O2
CEg7W04O3TIcPvrNxg/A7ubFDSGqsmd6VHkdMkReWqT/84MyZu+QVwNrecaodjIDwbr0y8C8G2Pg
5nNBQgPQ3MobrNChkcd8trcjto5XthtG7E7M4SlC9lnnTzlYROO5GODAGar+hE2Tx6psVYJlkJ8X
CMgg2GR2/xEC1Ss6e7QV+fgk5Ri+KQCubBvhg6PLKNJOmhZ3g8ah4Y4f6wgtBMikf44qQU9FWPtx
8JQHPyM72m3x5epm/dMuGOWWxotAU+svcwDve+foS1H+7HuXMVDQ/cTwftNm1xA/4BunoF5kWi1i
3NVV94bq5m9WVDDAOGPTpnZ+e0XVJF2I0m1lRz6KJbiTwlnpjT168OIsxt6OIYXeZNGUMAX4NQF+
3fuu/xRsK9Q+Jg+2q17Ddb7yCRU75dfHVc1H7Ig2REf/4tjY2TwSGw49xzGD52upAIihM4quDGp/
mZseYu2G79ts/WPfSHwxQTSoNG8CUvnRropPyRzwQP9rpAWSYLZhqOJWbOqHhUCdDYTCLpc6PEa1
4J4qWIQ6Zv/VjUzNYRwbpJYaT6Pr3phU90nTVeD7O+JBXT5/6LdfXlDyJQJXnLSvoat23UulnDBB
MiQRCZsXNMCHSqLOF1SAZ7FYzR8pwRBP/CfKLz9nm5czX4IHHPLhIzTi10owawdWzTBm7J5s2I1A
zYp1J+zuve9NQLHBLa9XfBatwzdir7vMI+bMce03yyuuc8cLbZjymbX3L2+iFoq88tLhckgW/IPx
cOcMrHgNY8wFAy8MzlBvta5eV/3JXd6cwjN2onIg1jaUiCQQID4qHIbMKlrjbbi3OaFnJNuiQFJD
wt80N8oGqW7n8u9imW0P49a9k47xqgN0En0JWV/JH60rjnyKXmx6/MMmb2vXfFL8niKYtAm9B+PE
gcDkDT0Hz0i07noHDT5jNHYck5F6ffeqluFdbox5jLF/LoH/g2ccLmUPndFcjnOphmMmyzYW5nzL
MuuC+eoxjMaXppRdPIzeh4vGKBkMgbbfrH80psekVV5LLd4Dl/VVV6i9226nNZO/3XB9L0vz4EeI
sgqn/vTJif0wXR8nOSRLwQfzwLYA7l1Xt7HPrR3nU/mwzoCFLMaM/Mbd8oQk+BvIFKaUqdw7U3Mr
5oCvqz49CtSRLENuttKM86rFQOr/R1xjhsZEafUOrM2vfo4GYh7R0uQ5Yqj1txrIIjLANRKS0u4X
GSn+L8PZtjNfVSc+EPz/5eV2L24rS1C/mUzzrE+rsc2YkIXPlVSvAU8uMloLq4Kl9iGpVNZcXv2V
ihJmLrlpq0EfyE6B+ot9Po39XgzFjcawoCNC8x4a4W1z654Rk2z3bExT2E7VZ1TaC54x2e4WjiCx
soUPB8NJHb/u080IeZya8rfMxwfEe+pAm7vvbPQQdbPAUVzVrfchbsrRe2KE8AIk/7OP0PJJt4p5
u3ZTE+2A4O7lynwPPwCc0ogRnR06lM5+dGyJwDku7jD88tbhW4oI16cONacizFxX54xkpAOgdScI
RTkvHMU721nhUw/mLaT1jp3Mo2nLsuvmyYfNVOSdVo95z3jKGe6IMHMNXwJve1/WZUgdOf+sKxOW
MJ2W6WdnNH0wNslkiluLgj6bg9isQ/EkNGa2cvZ/hzP+i3bky5IqQarCjMXJ84g7CJBhebKfEvQK
5ypaPsw2f2tHmtaorx+I4ioIoa7e3M3NeCCao6z9YTeXmZewfWUsujzmZv/ULeFTlzkXs8XSLmQh
EeWp72nkCBCzfBWNeZAue0CtQgqmXp0WV5/7aqSGEuyAVTZCKWyxlOnW/JhcbnUR2lTsdnG32/WM
ym25A2AbxAZ8mB3uGcjbHmIHlz3vyoTGjMbjaqA1QQVCdEK7ppIN0qPpNK9bj6M6dvPwmFs0BE4B
ANLUtpdm4fphGA1Wm/V3VGgUYmO2Xk0w9VxXmE1c55ZH4BO3sTFfRpfrLq7swjhva/ZHDSggwCrX
XxjojMdg6mQym1FqLdkFXR7eLL/ZXqxMM8uOZuJ+sKEpGnOcyWZ0EUQ+H5rO6EDtF9cReGXcZR7D
R3AE6RbMb8Rl88DI2UBM2Fl7YzASlrzdlRAwUL6F72OAChR1Z4i+bxQYv5HLjm9+1o63TZrZDeBy
Cz+rmdeHDB8ap0I1OxRb8xKvU1CJS25yY3J8HiamojTnal+QqeqizMra/otQdTdxWPo9OCKK9kPr
uDF7V2w3gRqGh20QL8Vqkr9Qu79lCbJT6TA7UvfR65ufzZp9j6RenHrPe9c9qlNkWX1MUsmfqs6L
RAxMnSp/+akr5B9aEOu1mtsO29kH2oYfReSruKSKQNR0f2+6rkjZm/2p885Krbm/dj4ViaPZDTlA
1g6WsQa7aVyZB272L4jrBq8sP74/TcdFrC+DUTgnLKh26jv236iyShTrcF5HIS+G0hziWLNTE7lI
HFj9DwjOVH5BCxI1vGyOrc+dkb+7NPJ7RIhpX+kmZV0IJ9aibMdBWR76/3QuDMfGDBVyRi7TwKq0
0XIhJ03RiSoEMjKyTrXgN1UFnJBOWaTwPV00exR1g2+Sb3RnrDeB9zWL7MnFDpowlQ12CKe8p8ma
ukfTi+CvQ4+KR7KOqtU6d2EvnjD09DsIwIy5Me/e8QANORJ3gynyVVC2QAxHJBtdf+2XBkW9t3D6
SmmUO743We0H3Y8MXfMe4oUPrjuxJsuuD54q6iYdRsTKmKTv2ySf3rym5vH884iXMMmtHunXfYwt
rJG2teqOvd09NbrGnpH5bar7ASWfZPkx+c6t71hbceqAuw32naAKd1Sm9xHRJhG+Z4+YiI5CyGKs
oiz624CucDcbW2rXy5kd5A9l+F91RyIVv50+6dro3e5hJ4fRq8EIXebvDCGuJATKpw217W7eov7I
QU8QZ+Qe8a2aCLNw2sIEIwUKbIMY4LpSC5YWFDwN1V7q/jRFHSON+qeXRQfm4cycPPnYeMQzyyLw
4sCYTrVGqoaRGNX3chja6G1waFYqbf80FvURLc2j8uksfHolphbbnCUbnxc89y3/kQn1qRZNL8f8
fSXYCJdu9B444+vCcxt0sP2ZvzPCjVI4BYdJUFPm469aKIyObuPi2sS5PiEkLN0QS13WfqBYSSd4
1MSUPc7K/F4d+2VYrYfOyWzmDCMS323KiX5XTw0ioyjQu8V10rkD1O+11YusRyC/hMwkfMf/kM9C
oxXjQWbquVrulmi/QuxZr5IvKUl6dI65Di/ZgELNA/rBkFb9dmrNaaQsXJcNPFqoXcHK9KlTN0f8
qp3+7qk3ziQFpaGBBdDJfrB0fstGnKd0vTROwiDDdPjOy4mrK7IJoCjEsQ3cz6UVL0StsXnLnR13
NHE18NDs8Z4xdZzX4ZelddqOmsiRmTnSxOY1fJn7krCyCcKUT2ZTIK4r4wGemhN9y8Hril8AQTtc
cVtzkmtwnDwLqeZ6EpZ7qgPQazCuX/WK+Gm028uUbc2+R4NFC6nRZhTlX5nl/zqv/mf0+pZ57pWi
/EdVyIvV5fdZtvORmxKBKUArpGQupbuGghkHlbU8YL5CyutR8bn28o5r95kibIptYe3pOEhxgIbV
M+o0g7b19+Xih3wwjH6TytRX2y3mR2vamLHVSv3s8axf6Vj6Fy/vslfOKFbU1VJUyeaSfdANrOcn
i2fQga/rlgaz/pXE48YIZpykxuT/GyVgzigf8j1xNEzp7AkYzWzWyynDeqi91kntrXm3C60Rzlpo
5dj5DjPiiMXEquzgA8KPZSHkrERzUH6H5YkWvghFhiU1+M7ypX9tG6akJMr5WeJIb2HqZAVzqrSX
Yh7gxy07JyGb5zQNCkqI5wVFkyCRwdeeM5WBDa0Ojmv+Ylo68DaKY8jdesWRxBHRmRbc5/KbIJ/o
Gjrdp3ZZ6ZhZ8TSJEeKNQcYhc+Ryb05zSoC4+VLkIN2cjQg6tAZIIdKN1c/kBiiuu6F7LXqfiBtR
8+bBqTYrxNBOZ/yxIYbtAAmyrR/Rqq1e1z6JzvKpR6IDQumDuWqVBrYW6Gq9b2y73ZPK3bcgEzCR
qeQG/c0k00uBqRupdkXAT5wz/bv3QE6Q/5kRtu+MMchPoKSufpl/BJt7klH3OnbeeelmLN7t/Zg0
699NLZKZc1oXtsMSlRXLkM/VuR66T1rxbb+uI5MA5rIHByfaV6k5x4mk7vdd74RMLHujQEvnw51H
SM2wLxyfXUDfO874BqS3OErTqIiHEw+4H/BUI4o2WiS2ZeZXRzFhMWnpBsm9wkRtGO/a767w3Zdk
JZ2jqeeV7aPvJV67WnxQeMI0G1i3jAh1W6ph59m0GDp6pkLYsVqZ40I4r7WMkEyvapcbzY+8Gb/7
qqZea9kNBg+1duMs90pMw7yv7nTDi2qnWJGxMsg5lZobncn7DFHdxw9NImFMIXopO2weTg4w2wYi
k5rucNbgV4RuIC1B1oRmQ92lI70f+/m0hU4Nb3o5l1vfn4aWCXmZGU+DKs+G6/yoG5SioxGZ+2LM
b9qZ1aOxlT+HYnpvl2A7TWOYMZAgA1DMHlZxb3oBybWPpGgTSARrMt+Zrrbp7gnKJGydcQlLP5fr
NENwMKsejM78idKcx4y/BmQNP94ONDGxAm6t4yYr8RVOxr6bIQGiW81eAb/Md6PNJ2qaOaHovpXS
2i+VnyHrcdc/JmbkbYQZUMweGlL2LEQDOAHNYUEADr0K+XNh+bm65l8xONOrq4jwI7WTA7myNTt5
5CHbSnHf8PmaXX3xSroqpzaIDKn0rRC582LjBpjiCj5lcueYJwPi/YSUguh+xL0vg3jw9L0CGSm8
2/CDZCUyEQb61SqqWKP33IqEegB2UoSkM+88yVbYqL36s29o/3QPydutZv1G20s+mV8TASXtA3Cs
Jg4aj1QRxEVzmQxzI+nuR5ENTH5JREx8w3L5g7NLHJPgZ8ov/O51BBE9QNKcId9sflqSDWC89Na2
XZQb5AxWITJ6Fynugy5zruadg9gdY1BVDzZ4HNOrHgms4os0esU1Y+T3JKR+Nou31WY2CdsUF8qZ
RX8UpJYH2AsjZURiQ++wHgcvglOLImgjOSyAvjGRDeanAAVkkXpEiPIcbP6c6jBvq6uqjPqvmqlo
jL7j0O4n/tKHwgu2MQUkld/NNhWvImj9EWxMVpZ//WItm49m5f3GdoGsaDcBNJv/1hIcUkxaiHfc
LFcPPwYmrZJd4AdzUT53GGD3/80nNJcNeYcbo2ePaqnpLcM5rnVktAljvz/u7NgscErq8XZk85up
tq4fVhGq4cxOCIWRlW/RT6jCfF+rrzR/KTL3r54EiO17sZUKv8mhNj7EAlEmdXkH+LbwNBOBRmn6
ohardXc2lKhHx1IERlilbA8rLovt0Zwj6cLzYcYBqzB3+hQxMDYQhFioNUK6JIJMBgw8r56lpoOd
BfOwJ74zLI/cmeSKdNpcsn01+Ftwi+6Qu0ulzXD+Sa1XtAl8OX7ITNawU5cIUtEnWYGdGa8+a0Ve
1Mk3mTMI5m/GqFuHmpl18K5AXA9o37ErxBpdRk02OPqQb1C5DgSwWW9ukEVFirfD0gclMfb3sRrn
4rHzA0MQL7aAyQpxANZ/GMeI9SAYyyAwKv2ZwhYYG/EhDC8blZ3ZqldlssqlH64e3qn6dTTgcyJe
qeX63NYspc+ji+B+J3vXdkmyyAr7cSFo12Iswq4j60pk1xXobzMxNnP10tVa1DcDrGah0Ao78xF+
GbW8aZLLcJJmZZsvlr95n1M+kGfj9DNiBWdk9/tsD4Zs0NGVyz7M/YFdqBgtlBQ9xKv5Lhs9m/Mo
BqQwcsto7Oauncm6VHaAxYMOw77Cl3LUiy+17x7HvOA3w6aYl3GGRRk8BDRxJ40Qd0j4KG26fjAM
amcgfgtZb0nADkVDxf5QwQXn7xqC7dKajbZPnuG3wZP2JdcHBzq66Mhq1XKs9Ihy1FQjc1VDIASA
gpZxcKAgFK9upZnAmHCH3pshF9A7Wfa3j73ZhZcSac8fY+vgR3CxtEd2CssDYv3H0mb3GHP/IThR
hpqe664eRQJdrGOV6G3TuzZalyKhQsvGlM9Ay5+P2OAtxtZn1dUKcxwc3T3paZIN6H1jGd5zQwDN
9vDjBD7xHdKIhjIILkdBSIpv1V+IRayvouRKiR31nxKTisrYuc7kuR+dp8xhT39GbKVdgRbEZ6MI
fMg7Pp0bec/bfQLZ/XOaUTeHhuggSCbmikqtRMvrnELSKn4YHiYGKCYB9g6xrGh08jGcyxOCUtr2
Eqwdor5yUnA7IP1+z7NvrC8eUbIVYKFwt9pYy0ABZ4vdnRu/Xv7lfN3qqWFYwqRNwNJLB7dVGc0w
myqMme7byJQDSstY3bNRus3Q+CKKgXmF54rvYO1DspFJs47nxgp/1wTn3VYVjTfPNRjoCBLCjPv4
ivHSmm/vQbnyKoOhm+zrWvLtJOy45AkrfOjvytKdvlsb/iKU41najwqV3xFIER4d7ZNDSC9QT2cK
hoplzGhyeJprXp1nMVQLhRp5mDtKZmNMkMizenULm88X7QhHp4WkCovDf4J3v0CHv9UWEoWxyVh7
DHc9+5aR/cs8qn/C1swRyVblfYKDxzTDHv10bPuqPxYbuQoJMcEFMttwMt48/EL5rnQc55gBp3yY
mPfeWhP3k0tzECQW+oN+PwVYk+wtmhXfrFngUDHkacyW7XUWrXVjkMGsvAN1zlllNnDeZNHlJ1Iu
eTUVA0AYhj0TtoM/N5xsfZ2rK5qs9hOdLUcI86Q710+7VJaOqcW000vO+Uj3BH+wrjfnL8YTR+yc
oXCTqagsBRpkMyIGEyi554JNHtOeZth3hMY+DIUOJ3BK5NqDhFOfvgpRsEPo5B4aQFceW7CRVxuG
FEdw6y+/BqLq6sR3iY+lB/G8JXZHa3wUm29+IXGi5u+MlsmFK/Ir0hr+M5dTAqPLarboMCMZibjP
lPmvRnKcRAWu8iRbLEy6IcnApFRqxpkpx8s67IsG51i8Ya0sASBFyk+7hjrkbIa1gXqEtyEGVWn8
lrpUP8dyRcUbLusNl3MY7qjv5QfbQrmlML8ResJs4Tpewtx9Au/CGW6Zq0tU5diG/8yxm55UhFuM
0rdDDjVycQLHBtRA0mL4k8S17g310/xYBNiWh54HIcGcwLNU2xLjapGP/uvY+Gg90f7h4HO38Hem
C/cTcR1/lqzoWd9CuixCHznYWbpkhniJhq5FhzAG8i0T44M7yXFK6cCp08dpfWumTXySbsWMyyQX
DZFJJWTzezRtKN6GaX55EsGBVHP9Vfjw0uLSw7FtVBZN1KSJeORjq19YnCC0Mwne3iFqMtu46lx1
GufB/1d0HYXUBgUPJtpi75m9yQ9UqQILkidyfjMaVU5tKpNcemv1XmfZj8bRZcvyxOxFpfbS9fxE
jlhe6HLfJumBrKJ4R8M8eVv5tg1Z83dWhMbDvU995m/EDKsXCv78BqOmfQ5ZGVaXEpr+hUMXnClg
MMy4gz8kRAGTLtZlZeoEvbj1op0fnBY6TiVhmqChMqYnTVwsSnNhie8ijzIkI+RsvxeyoK3UyHoS
tnwVJmAVcq9YenhGIRH+4cfOn10nQ1s05a3x4HXwpoY5KL5bxCYGjrqZKAbFRpgNX+BN7g6P73wq
QibmVANGsRc5E12UhCaPdildrjTbuftyJbTQGgGLHp5KGooh1Uig14NkqMEL9Z9fQoezAm7rUJq7
Vm3dbF/zXFLt8dxb69b4aEPrEv6JZNuwjVFun42p8f6xmzeuFpHwzPNNbMz//+8UuCXQoHjSidcu
9QVhV/RrLibr29S40XYM5boXIeZowBvvDIxOkBudKsPkzChWiOO4qR0e4wyB6MHJHJQ2Y4CWfyyJ
WyDNUa3IjTz+GOQl+SHzhiQKaePwtU0W+8uI+zdG6ojkCp5TTDoCBbcY85m/nQkBgvfW8lChlGX1
NaCnIUyj9C5m73PqkvtLrptgHHZueiOkakWs9U2GlTPuJ0KVmqTGLvCXxiJ7bDEf74jL2/ZmHlS7
EnpDQtnAFjDQDBrj1azIa6mNlY+yo2bumY425aGOwFDFI77cJsWSKb+Whp59xzYBSxFk/mBvtZtB
9Cqj7n9olG0/dnKyshZeZI4yS/YLbt3A7RIaBbG+jlDH2d45zYCUtMceEi2msv9M/31Y06SF/mCG
Ij94gT10iLQieRzIaWXkmuHHarQ1c3dSP/tDSD46HMqJ1oCRFv8YZo/IxI2duYQFeMRovQ1msZWk
ZoYNBgS+N1ADVd1iKQNx00Tvfki6Gk5z99Vu2Zmu8+p9CN+huKypusy4pJf7dK21wdPohoiW/Ek8
i3HVT4ir7OdF+zms96m5i9UxjhbPPhJZIiA9s3fTyMgpkYZNiOdghkN9dqZa7+ee0YZkXfQhogBH
QTG8E0nGjjDsqz+WBj8YYSj+Yq7rPzL5p2IvTOSqGMYG8rZmH5duj6de7hu4CkzITMXj0myS9wfO
MH+8bVkGxmQDzi9WvQ1nMo+LJxac3xbQD0JzcisK01wB3Pho7WrzU/wa/EJlXXGPVMNku0czEpC3
/n/7L8WMzBo3Jq9WgbZ917nbetOzIH84zAaecMWERV3cnKcUCLFHRwlNj/chul81j81ojM6+5kkZ
YqgDDJf/+wuYf/NGtBhzURuUMJ5vpGBScjnRvXPzZ49LitQ7/o27rrz4VRXxXOKdt8yE2BYBVwxJ
lvkFO1B+ILDH3eiZ5raffF3ajz6squpx2sI122sArhdvBrqGS0bxAVVESpoJjk8uqGXa1uroDJKc
XuAhHooMPdMZ29OiqmMnVv78/08BVjGZfw6hCeQ0SFUPLoAEOaye/x1gOAwCEv5oBIoQQCWpvc+z
cDOGI7Kw+WKoY9HCtC1f0g+8iuzZQLO4gcnUzK1rHpFvIqVHqmBM6M8W5mnVWXsVvYRCWWdiRvTr
zU0w/jLTT8L/CsKRw8d8J8qu6i4MB5z6hjQtKpNpRowIAZbf7j6HixMdI0EUwcHy71LIhRf1oLOG
w2vTvBeInGX1YdRFPwIQZT4eEzlIj24i0fwbDdyn8YqMAziImvwgmScKqXjroZYmjaCvgq5Y8Jvc
zE42DzAArfI4S752TAxqI3aG0Q4/eIZ8xpkt8L0UkiGZF0M2IEBxfIZIie1G+esEBJFiZpryc1c0
Ba4IfzSxWBcVRo7eton9GMnaIZZUMys5kKiBDT1GE2hP7x4dSJhSFuEfnHsfkRS8AZ6cMlDy4/+/
w4Hx+0iqYV7NR9VUpgfOjjI7oV+NvtlNKufADIh1sOmM480uPDlzqoQTjANhmuhXZiB7sRSZF+7L
e9DEYmJdf6ZfyIKDvxYmvoSlrr8dn9HmPcF3qxNbg7Nk6DeZbzn5kv3rijAnO9PZ8/i5w8r2BT1U
9TE6EY98weSl2dVBlZ24uxb7isQik/SJAjgHY0U5shessPBH80oK9rhazi+q/PCTdEfIewbyqeJ/
1J3ZbuRIkq5fpdH3LNC586IPMLGHFEqllJuUN4Ry477vfPrzUdUzFUFxgpM1V4NqNKo7UeXhdHNz
d7N/gVkzAnkl132UMmKvdZPPrq90HCHRuwbX0hpB3VVAKQLt79h9RCKRxkcbVwCVql9KYT/DHCQj
6jqH9a7CTP2VDflb4lRoTvGfqewUpL/vadYXvutV/+9/ppH3f8iazroqYLUrfibfvX98SOvK+1kk
/3hJfvzjP5Lqpfhe+d//ceJ/lufaVuO/7N9yedjM2fpoc4RrhlDhL/+nXJ6KN51qWxYNGABLON9A
qP63tJUkxB/gyal58c/pGon7L708SbP/sFG2hjiqUHHVf0fZ6pJ8bFHqspCFfhXfUy1ksifKVkg7
dVU6ALtRda/8GKIjf18NwniBaOKAc2944VbhEvdYGwmff7FSGVUgUS6jXqEwPKLQo97WGeVZQp81
Aj4aIAXKw69+J/RTZH4r7NMQPGqgqJrioVQec7iQyAOjbgO6LPiYJx80PwST8VzzGEPT/xgX3wp6
DA1tzLA5KJSQsLunb3k06gcKsDtKlJSyx6b2SbE/ImO6TXhSSsjm2eGw1ZAx7qntNZ5YZXK+DTJq
ePa6MheNzy6ZzW+nO6H6qryiDFjPUME+WHf+OwCxK6rwG0S418U93ZCH6DMpn3LWyl7QZV8aefzz
sw+NXZgkc1OlFmfQCVcxf3OKJ0ySsfjxf3GNOmrlr+tU6lea9rW1HcnAZ0OmOj40scqQ2bHc7vLt
rtpw/1lFO33vHNKjsYp3H64P+SaGL6NJncRwn+IfIY/R5B39bXQPUWXXLhiWzQ4xSsjzZNVh6U8C
VtTNICoFh+7O/D5Y/tbQ37s5+okptu/P12fzKsn+5gOejTWJFmydzbxBOWyN9hr1kx/WPv9UHLrb
dN8+Je/cn+6Ncq9xybpNHjzQ3yv1I8q37Zfrv2IiD/Aas7gJ6JaKkCbUcW3yK8B018jWUroppa0q
NtbnBiysuWr6LUxbFHB8JMvc36Lhvx1zEq0xj2GZUhNjquG28es9mliYFndAoxCAW+ClzwQq10u0
A3U8WJAXH+ULzwO1tCQpliKRrM1U0tYI83QP+BJSsO89LGdSal91T3M/GbL4TrMzdCQU3Xrp8wLI
bq7mtxRf63ugm7RLfCv82Yco/V9fhEnUkR7hyyNMQbJUDEWb+oEJuk3kPx9ote6NNjsyyjG2D9yL
PiC3egm7MheE9fVBL50MEAkwkOrHWw7dAP5SX00mz/avLGIbxbTYoN+rA+K33GInZMs/XB9lzAJn
Qa5qSDIqus2lkSMIKYTJhooAz1IFo7RnIKmPxn5q1IDv4Pt9LGQ5u+/S3rwtYgEBlv6JiSo/enyP
13+CmJxCKnIPsqIgD2nyd+zsSaYSmd0g72CLg2Ihb4R/BozOos2osPq8bfDV2g5u9tUzqCX4uQ1o
y/Mz6PfAGm04mDcNtbV313/SZMGxJDCErSMGwndh5afffsChjDYbbIVKxX9H8oecljK9Ya2wYACY
7aGiu7S9PubEoQEWm8p46DNQPqagbtmTz5CqKU3exGPQvos/ZPFr+9YOP5lKQO9dVYsYqEg/jI6Q
lLP1oFc74B1l0a+tocnG22qYLHwHcamBOf4mTASJRc1EvNMU6iT7NIAOU4gpOTAvU8drrw9vHbPB
kR3H2p3sWD/CNgLQTxuN/l+zqezcePjdz4LSjCpbqFmQHbAKnXwWPALpRRZ0pwxCxFvjOk9/0oga
yoqeCUIoMcD/7gad2tMhywbng+MV+Yspx2Bo7ISaA8iX3Pm28KvGpHS2b3ROH4wsYaghicpfxuTD
QNYopSZXmh0Iw7YD62cPj0ES+QcaoDFwXRjXK1lrMmBRbt99r2Jft0AFqTxXB9rvIH9xD1+1iiml
WzOHMwegw/U3C79y3L3nv5LNZCC6qhgaC4kO6+REtnnZmoDGjAM5wDl1URE/iTbELSF2jbXU9GIX
qqJcWSbkSFr8yJBi1oO9VGWv/Z66quaANhsq/T07Ltx3blXfLPzCyd4fD3LDxH5ARmxGUd7oooS9
Wpq1LAy4iz2qYAbGPwD/PWUnCmTpnSrLtigyIKUmHBX0ddHsLauIt4ELe56KgUWZGumG6z9qknlf
fxOhj9CtZmO1q0wiDqhMVWUuvekqGPC+jWgbZJ3QFhZnGkHMHHlumeSO5owpTF4j58eeXOn431Wu
iU2XC3Z+wDNARfoOXKC1cJxPEywTomKoAXPFXBvF8KkgN0zuvMtRMj3ghfC9t/1gX8XCA4YO6RI6
A1gl085fUKmAUVCB00GXE9ZMHliQ4FD7gISbLuxqZZpYxp9kjqazTF2z3hg3o43vWKanOwenqoIf
XaRqDzbyuLIbSUBww3RPkk+BY1Q2ciaF8kn0Lbhv1mPXoRe7yRwJFQijMcD6NVa1LVA8vKHTC3gr
DYLHnON4i2xGcbweGW/XjF9NvYLHHu8mWRmj+exMjji+LKX0QR825nDyfYAPlGfkQ+QAYr4+1Bhk
l1sXm3RTEYZK/kOOfQzSs6H00LUplOjwCzKt/mgVAf3inALgU4/NBrAX04z3SiBw0OjRRtgVSaBb
6+s/4VVHbPobRvNE0i+eUiS7y98AIiWEwaE4h6Rs8y9p64QPWqeXDxSJ1HATORp0f1/v62pd6Y30
I2ErjfXKTAPIIkvU1Ieg+mQmRetutTSApa+aCEU2LTyafZB78I4p1Njhrqka9VQ3RfAS64FOpz2G
8r1PIVKDP04R8rk+rzenGsHHKcuMLNSQdDF99lZekjdYoI7B55m7GKUV+k5OdQjqHKXQOEp2cWYG
25LuybYC74HihVnvr/+ImVAaXZjQl9a522EJePltjTIwB6tkA9idCQIfrZi900TGbayE6sI6Th6f
4/bndgd+iToGIt3yJGrRXaZwP8jSwYscfVOrjbeh1FBug54GZqfBKwDF5WL+YP7bwuG/1ZyaCWJM
yEbNKx2vWe31cXMWxJjkImyAAv+hlLHwpf0Wb9IsVtZqPoDnD7NkA3QMeE1eZfdwqtKFxDfzjcfr
m80VmsqobEzi1y+yKLSGwD1mqaufnLqX3ycE30qipr/wjac3xvEbnw81Wc6u8sAPgZc/smmtA4K7
EC5lI9r1XOsg3TsU70UULuSI2fkhHmdhKEdXcGo9HasN5wfKBsfKtZptVUpfTNLAO9lss4WRZqeH
1wTK6xqicJZyGa1YPyuVlQqmx7Nko9O04XTzn6nKOzdq7GgfdHn4en2DvL27kPywvLB5BFGhehUz
O4udkH42rRYmV9qQ2GpT+mpGdgELPeQhNLoaXR9uJimM47ETsUZmv7xqH56NN1iZEdLVdI8tpgR+
qXzGrLh+qQFDbTu14RapFP5H1MCTXa+n2c7nBFv4CW8/ssKrw+LZoVFr5CdcfmSkMgN0X/nIKuSe
owTEhsZn070rzPEa6WfOBqhxvHQDG+8Zl0mezTF6Vo1LS0ac3BHbrszQfGVUFwHMr+D44p1jNJAw
MDQDBjAUQx+v8qGNj0KW0HfPU1g3R+Q/BFZkNtJP19dBHWc5+T1cNyjFq7JM0lAnxQfyNYp/WKUe
wP5A6YM7efAK7qKGR8tFI53Q7B45dOjUHe0y6G9CvNp2hivVe8fENLRpIuchDkMZlTuRHtqsrNH2
bfun2AyKLYQuFBY61bj1nSB7H2lWfTSTMDxGSd9tIp5gx6p34/eiQ1miQmH8Bh6c2AbgbG7QXYzW
qG2bC7eKt+tOblR0wo43hc0+vlz3VvPTYlBk+9DVSI8q4Bxg5+lPSf7Ob5SFlDgz1nhz4XLLo4C+
3uQs6NCZLnBMd6Hsm95dXttPpnBl2AsjNSGLPpZD5G2vr+jMzoKCZugq2H66dZy6l/PzI8wJ3Mom
wgLnRwYR/kBfGEEBktb9AFwQHWnHhiSFtIxVqeYJm1pn4RO/TSajaYQyVlOErnCjuvwJWLMF1aBI
7jEcKc64ZL1Ide6ivIZ6A/7XwcJp8DYxI+rJx9Vlbutc7Sc7OUmGRM1c10NYuq9vhOTnd0OnNKeo
76sFTda3R+zYOqDzx8w025Qnz4ge/G7feol37CzjBm1HYGhmbG40DeGSkq/JZd5xPhgyzo+5hhLO
wtq+zR5jjYq0hZEFDzh98mHxeVch0uGujR2XhZ6Zbx1zV/W2qY1sO/E+HMo+lr5BxRZbK3WG+ySV
vvhGY/6eJi73C1mjggSHTLZxtTGsMfDP0rcVBTriqMDIEwXgSZR3GxFLw3MNVBi9YlVuUKVtFjbT
uDEvU9U4pjY6oigmtYlxbc7GdIqgLQeqYkdDBcftiMC74/7aLsTu22DSgL+pXNx0uIAk68tRAAbV
UpJb/rGFOY4qXQ75sRjgmQ5ytVDonAmm8QtSbKHiKJMhLoeyC7XV8LcLwOKXzU3j6B8j2Qhv0dyS
D4I3FXTGNDoFAPkQi9b6Bd/vt5uUiXJRVHgXUvyceqRmAj97B5frY1J20bZz8nSXO/gUdqmKYhxy
ONdj9/WaP10+rqaUSEi/FCAnsatVFUIyXRocA+BkOPaZUIfzTtoUSYPxglP75Y3sFsGOkwqEuVV5
MGAqZA3rIqHbWzvQq33/m4zfIjraqXnoK93ZcLVFvM63s2NKsxuKa27tKzlw95KTdHfOgAe9QyH2
RQc3rBpl9en6pGaSLR+RHEvDcqxQTfsFbii8sk7K4Ej/M1jVACG2loICg4eZBFhfYIBeKd+0XVVv
rI4/7PxeXjjCXwsk0w9roHdBOkBM2TQmOYk7U9yDKQqPVW1J4E80XAaUTrUQCUHyXDcCiA09C+th
7nnQTak6KYluPQnR9HsZrVbkQ/LnugW5V3oGyLARxWO4uo6qiWqfQDdmAOE6/yYRPEDNwq8fnMZC
hEqStASbl/Zn0D13JfKp0Kt0XEFsdyHtvT1F6ZyCBZHHlMP9e5Lf8zjz4bp1wbHFlHyH4kuyHfLe
20oRTEW45HmxypL+5frSzuUBS+diRLsESJQ8/vlZtoFzjMgV1ZJjDt5nJadYP1pDq27sAomb60PN
7ETq8To5h7qvaU8loMGW1iKoCoJIAvnvO7KLQr8c7RQVaGEYtNHCeDOJVOFcJmoN5saWvJyanRaY
FvMkPooSm2hVK3yEWPJiIS7H/TwJS4bgoBLkGIs0czmKhNYMrLMhODqt0RyolyBI75ftGgZhw4ZO
7HcSBg0bNpCzcMmenR8VfZOQMejyj9/7bOkqN2hw/bSCYyksWJwChcA2tYv3v79qdKe4yxOXJLTJ
3Q7HJY9yh0Q+62yxTV3ZAWnbSAfJlMIHwymzheNvLkoU6goWT5bxlT85cnWB1Udb8z0bP9jqVpnu
FAOhJVpleF5Bors+u7nV46ZBC5R7Ff2wSbYOAcG7EJiDo1mK+BaGTLip9GQ4AC9dF6K/M/LuyZXc
dHt92NlJ0hdjl4PQkK1xac+WzqYDBKJYD45epnj7IDBRUhZYKLhA3O9MX9Yf/sZ4BkmQ4QQ1qmmo
5Ilmx40XHvVMoOY1ABNzApautSluNmlrL2y9mSNfUSnxGTTV2RXT80JNotTycx5AVD6ldYskywH5
TbyJDds8SrKWbu1epFRdbe/QypK3cOOYSWpcymWeeWMRWEwv5oGTYILSGeExY26cuXr3rguKr11t
VIfrH3Z+JEJHw8OAm/lkd3j0spGg9aKjaAJn6/p2cSh8uucUUsOF7T53CCt0MzUu5Lx5aKBdBk0f
NJ0oqUQfPbnyvoVorx37Pjd3+RDkR0TLMh7biXXXpoOz5kZUPukony4E7pt+4gjs4QYAVHYs32qv
P/IscjNVVxNH9KgBSToyKUbJ4apKzlaN4b16ZiO2EcSRA7GPrlsCWdU1VI8wwGzGjqVmf/3zqyNQ
apJ+UZ+n06vy2qVaNa0ma5IqBLop0sEPciFWlemlv+JKE/dmanoDtFSn1w5VFmo/InQd872hOe0J
p2H9uayyjsqzIT4YSVfcVV3RDytRdwrGbmZzo7eN+rnXWiCHPTrR7wdw/S6kLq9H2KVxm6MVPqMo
+Eg9A4+abKitHS3PGF2xpO1gHXU6VEAVDcMCk09ejyvhZcOjUovoHWKG5dbhYvEYa1r2XlI94NEJ
EMAe/UnkpFBC43a6yaFHA652W/ye1CGp0BRLADtBSbG6TSupJQV6GrZYoZRRua+DPOPyo4eIZYQB
IvgbXa+i70j0WZ9jKImjN0vdfrOyPrqz5Mj7okGIRacfP63bwGhVuHK1SbPeq9MYceIkN05yIbK7
LleqYKMGXfyklGTDAi8UA04iPRzYvPDEV73mlVthOfYLNuzl53iQdFQf9bjRV35ZSR8qfra3QvcD
vj8qpOI5lhP3Q92lPnw3tJbMVS5X/geJApi0p/Nm4XVau+kqAmN/ai3cxP3gs2tKJhRDZD6fEIhO
uoPS04V9R8m9/ZbLFuJusmOAWOVCIzZuYKqH8Xub93Hnlz3MCre+tSjuAMavuYOt/U4zyy3kov6L
FTbhN9NTmmprcNI8ayk2EZu4MvpnW1SGeUMLXEM4pPHNd9nQey96iJ/4EcEecZQKpDpWQdzU74Yq
LWEpxxivr4rcR/U10VPrO1xMZJnQkQLyIxm1c2d3RvHBCVuhwxhLe7GFETdYQE8Tk6NOCnqxkXwb
Z0iskiDwOqkVIqZhorAeeU3yKVazLt2rul0dNC9NH9siNKA26pSZAkO+s3Q9ezStgqq3U+e0IMym
aR6yZEA8FznKENmYoRYfZYdsciigOp8GuZDfGyy6Bii7C1EklKQQdTSjlb09otfuoTZytV87GCVC
RyqNuxQB9+9Jjs/HqHPgNGi+5VUOjlzG0QinG/mHBwoeDNMAIZb6vJs9wa9pvsHHC2zAeOZoWFvI
2bOq++lPW4uqDyrUjJdB9nGxc8oOm6iqRwXTcNsAi6BXgY5eR6GuagtoVh1EyrUCwqclDD3AgAhr
fKhxUYH76pC+EJzQjZey9MD/9qSglxASbLCVhGk/QXUL9j51R3WlWn4Wr11//PcgYVyv8S1LtKPc
puKbTsUUGXwIBu/pPLkK4uMpnNeQt80GkVnts69huJDkfdBClMeJcy25SeOv8PtOvsK/giRuoR8O
N93vXX+L2pR643F8oFoh8l4lQEJV3yK/QqWsjzH78+yMnYT8bdWg++Shn1EnSChvIw+axqrth4im
WGBE72O4lu/TAF/6ldqZ7oY0UHwHuh9/kdQAtZHUhscge6A8ofg35dFuO/UzZqDNj5Y6MMgu323c
Nc7hDjKP2Hj5MBZGebTWQwOsaGU7XKvgP766mFYUK6UdrHwnbNn53gZ19Rm9chQ0FCqiUNzUaJSL
zmov3njATzWqyVqfw0IOqs9lgjkF5GIHS8G86IB5xpX+GMiDyss7s8cHb1J076FYZR99hCJZ0JrQ
3dVFrKAeMOg/ZIfHz2rI3P59EaDdBrIgqJJNWTQ6oe5n/nsSuNugKaJimKDhAfnSUnMb1oReQ2Ok
qcLRywAPKCfxvpm9aLH6wR0hR4ZetvEmQWH6sS9bG91xeIHtLa8j9WNUY3+M6rpLmRz2jCy27LzR
BARjTeRqzOghRtDru45PF0qGX+RB1+pdFoLr4UFTu9oxNAs0SzKEVzcxONR244B7a1cY2GfFhlhI
vfeZp8m7WORmckjRC3JvSskzzQ0tLOmhHlQj2PrBUDyWfg2zzmps2D4eRmtxeYp1+wtPxwClpZrD
Zl2R3AHHJjUGZfKArCgB/Ay1OPMxpCO2ZHTEBx65CrSFGFu0YWuFtYJQVOj7H4NIdZ9DkXuf+dcX
uOahUwggGFLpzeBCaFn50miSRF0n/ZVqjoLWUiXFn2IQkp/qEgIdk4q6UTuik7KNjfIZ5Y2EuwhK
1hBbOLJU/dHq63QfdZlyivIQcYO6k/R4ldQII+I/aBfuKtcdVKtcL4x8YqKyAxRp41ULPT3c4vmG
zrJucr8aYvTLV13uIfFMx6+G/me3LrI2VmcjlpGK56Zxy33rtvCnDZHFSNW4UntLMKO5ZKIEhbBM
jUj9xkirDvElNa3eVXjLcX5hkvcc53l5n3FBrKHA2V0DgY+q81qRRgpSm7nAQpW8EU+Sp6PDiMpH
+uc78rdw+f/nLOe5jf2X/fHmpXr5x8+k8qv+3Uv881///I+6rIqXyKci8ef/ffzxr3+OF8o/kfNC
t/8QMmUACrZA1NXxT/40mufG9gfg9/FNxiMQLCHPo/9EzvPPaLzqaRcKmhp/Oiuh5F55//onsil/
8BTmeky7i+YlD4/fAc9PnoYmvUbGpgxHN53n6AjfP3+juTgyVrbXKifzHqTuSHPr1u1Tmm2ScOFS
PXktvRlpfGSc3akHrAxCU2+UU2hRF5F5RtwY0WpYp+Jdkd9Kmr46W4b3fxYnLlyoL+/Mb8abvAY7
MVB2URmvMu+RZz1isOuAMv79QcbHH2ZyYJF0e1J9yTQt0CnIiRNlhU0QfVXi79yE9x5Kr9cHmjzB
Xmej03miu8miA/i9/HoxpTrIlq5yQjD8mCOobVGCCZd61TOjAMgD70S3yTBNeVKWABmI0Hycaie3
a9qPVQ9LPZJR0wvRYl54U46BdVZRGic0Yv94YhkgAnllXU7IRFE8wR9UO+WtYq1NMxrAU3jO79XF
X0cZuywY7iEOAKDvcpQmVTL6/6qG+ETub9RG/1i7rbcdMiu765tSW1il1073dFaA62lbwYah8DaZ
VWO5Um5RKjgBK6xHdR8zRukopZzc+R0ijhFgwwjgT8E1ykKe5yYM3eKF+wCc0DKFyb51W91pV5I2
4ITVmJn5Ugck5p1AiRn0Om+oj2lXDejbysEvLy9alEbhqz+7vqmg+N639iHIwlDfhh1/uDC9KaL+
9XMaQOqJxLFlNi1u1mUra+5QaycVMdctZNh3Wui7G0+yoHIiWYTc+z187K/grNAAh4+5ygtLPV3f
CtMSwfgrKCmRT2XQjeh4TzKJkTm5UTV8ZEWVxEbpkC2wqzsENal398FOggijc6ImtnzkkrW05ec+
gk1nEly7DW6F/7qMKV5OssOdRD9pYQbV0s36h0Q8lgVqevRFopMfaBuam/CNjQDydqHe62ZnLNVJ
xkbAZaShMwIMipNAsQm2ya+oLCWABlzrJ0WE+RP6E86Bkhj3AxDPvqJggYEYzV2N9fFeAiO0FY4v
4PJF0vH6arzZx5xpHGHm2ESF/zW1fsxUu1RbC+EwA4YvZkZm92HQ2yV8x9s1Zxja/KQmGnmUZSYl
KFUTpVoqtXRb4AnkDDedmf2wMYCE2QnpNfCo8gkLJ6zCv3M//P4MgdlzSJJGbDCMl+vdpSJs8TqX
bi1xU1BYbI2v1weY1EmBsjK3vwbQJodIP7gFUJlWulWUh7i/aYp1bR9lfSEVjqnnImCQ6laxTwR+
CUSfxHs5jTQyBRdBFJxADKIA5usfNHS7/UIJ0HfBtdm1FuELMxO7GFK5HLLkhR6XoWnfmvdR/iyU
T1b4qVQ/Xf96b86sybwmkYHynts0qWEjzvu1TV50cWyj3yssjwvE5Y32MWAfPp45WSDYByggab53
knhogJ9e24BqOvehUZvd9cnM7KaLkSaL1GKOIZBD9E61cHapbu1r/9/U2P8WWDgTB+NN1OCctyyF
TvXlouRWo3QxSp+nlkftvqG+CvgOrX7XuA0dHLzQlpYXzo25WXHYAxkFTA0PazKrJgLnmmcVQ7rF
Hpz8M3yYhQbO0hCTUGsKt8/TnCEQ+h3Bsry5Mn3pSjnu9MkWog011qVBSnD/ngwiBqcuMqf2TmxU
x21uLGkPrmlVEQaJfWvlHyqUza8HxMwWIqmaPA9AfSv0Ui5Xq5b7nLIKQ7rKnewqY9RJ7QNqin9n
if4aZxriEIngsOutdzJCzPFanMsoLHULg7x5bLCPxnsl5AmaFhBSLicjR07h6w2DiPtR4wPeTR/d
NwF+TyjEUWy5/ulmV+tstEmgg2MzBz9FjzN2wXvXMXx4+Ufs9SsANhsHtZiizNYoZW6vDztt4b9m
i/NZTu6AojcaKRx1QNH7poyyL20U/fKbDH8URXlq8n4TuhTKBXobNZ4y4a0X/XS9Q1w6a1/62hZ3
sf+9bTR0vKs7HvoraCWYlO0otOxLVd93aYV4LOhu6eAW/d/IdOe/fVzBs0daRdnSQnzQO2WttxPc
KfiEm26U9olfrn+muTR0PtIksFucLpD8JBaobVImfZcP3g+3+OJCYFlJdbm+Ptprg/rN1jWtkR8G
vAI47uXEGruWWnNQvVOj+4i0HMr0l12igkwtqK+f1cb66PIg7fInpDNjPBWjh2B0KCp68N7mpk5u
gubBCHrEzBw4P6hdRAvROnOMwWX56wdOvjzuVp6MgSmZP41shHfV4V3dyZC2KMYvROhcrgRcAhWD
p9eIZrz8Fr5MOyirhXeK0ghbAsDRq1rT4uP1Tz6Xuc5HmXzxHoKJU+kd28B/gYh710pfq167iZV4
4cvNTkeBZ8rlkwfB9D6Oqh+9io79FsofvQzIOH5P16cytzagx/49Au+P6QcLkJtvmEqFNBnST5hk
PPyde4zJWoBGBCZOq2+yKnVa4Y2DocLJEQhfwdiSMfdQs4Vn9+xUkJmHH4N5N/SUy6mkfga8snJI
wYS+1HzOhq9ttvA2mR0DVQhqIrIx4rIvx1CMVDYo43unIAG1pa7Dch/oS2Dnt88wDhPrbJTJ91Ix
tdIR8vdP3ahLSDdU2ZSYrxwHx82oLSPNo2ZPGAStS1d/1ssq3rpq0S0cz3NZ7PxHTIIcmRnVAX7j
nYaulFZ5pNmbvkNTBk0KfWVJ7lZOf5dQ8Hq+QGviBU7lAoL75DblgDrLw5olPMbAMlG7wylTW2vK
ff94Pexnd/DZQMrlOuqdURegTUlJDT5N2EdRF+KQGvp24SsuDTS5wgfjq6XB0fSU2h+qJlt1Vr3W
1RscVrfXZzQbmaamghcftUqmgH3ONlttKaScEukT7dNt0X+S/KULwOxs4JWAlTBZIDGJiVrJ1baQ
Av8UKL9Md6BP/c62EGynpn99NmI284EP52U8IojH2vL5aY2qr2QWpe+fGtVY5X21seJ93t4l33Ch
XSXJASVTFMnsjZwgeIwH08KyzXxNsJIQz6HxggwxJsPDX8Zpoxsnan+q1E8e76+lVDL37r8YYxIa
SoHmWYeXGgU1tJhOrnlj9P52JHpHhz4v91L0Q7KUhTCZ+a4wfsnFIEEtqg6T1IL8YctF1fVPltM+
BLm+AcDsra4v3uzH4xrMMDbastMzBaVllB6T2Idbpe94GkvoRRROvhAiszM5G2WSK1CNCqoOn40T
tlKr2swRIzX/xhBUodDdQc+HOBx/wtmVEZVFr5Ox+D0N1l2NVKnbGAsjzGwoHqpU14EDQe43JjFg
N16Exn6JH7j8eZRn7tJHT8FALFooLM4tCamBzhf4MQCVk4/lqw7mNrlOPBs/tfhRaj9V0dI1b+ZR
QrPlrzEmeyYt6X6gQekDcBnqGzfEpA5ZtmxPSf8G5uQXBP/DB9nKH1q6un8j5M7HnnxHvA1zqW4Y
u7Te283nQMeu/tf1qJ7ypcfD6WJ+k2igbSowUjD8k3QLHnWvHwza2w1GBPjP/Izx+jbFXsNPiaeX
GS993LlAOZ/guMBnoVgpalt7reqfwjqi4bnN9S8+jU07/H59lrPjcH0GTaxyEpuTu7qW1VYITZFL
1JPRvbTNVss/yvLj3xiERg/8BW4Yljn5kmmnGYE2Hoqj1HK499fCvI2WQmJ2JmeDTL6YkQjJUweT
A7G3261e+o9GoaB2V8CkBT20RPWcH87m7sLZq6B7cblAZqhJMZqS/olm9wqRkI1R3UR5skEPeiHW
Zy5mdAhsCOeA9Sk6Te65nabBNcDr8VQITFrFgwKGxfDrjUb3P64XkJhzB/HFaJPMIXrHyeuA0YZi
Y36JpQJr5wfU0WkweeVtHairrPvUooCHgqaLH3YPVOF6tMzmFbpoMjoo2NxOS1NJl4WOgCJ+6vBC
3SrUM9eQm6xVITfaphC2s4pyddgUfdjuUycrF4J1NnWeDT9JLXauYH81fm4JldjaN/GQ+bRYhn29
z0we8dTBRngvGRSKxGRRkUK3JDgjY4KuEJG/zxufKL0L4ief480uvpifRHrkVrShn7bwqBn39Jux
hYzKEn1EBbPXy9CFkUxRzKv902fgf6vRfw/lZTSdbs1O3anm33inWeBO/2u4cSedpTKUGDCBwPrz
JHeYdpsPUfFzCD5fj5m5RTsfY3JRdTHQNJWOMTLcN9IXuCC9vvDV5rbh+RCTTGlJnpfnzTjERlPu
MIyD0G71P/E9uD6V2XuiBl1wVAACPzvlc+MdiotrT/yXXr3mSrxKEZ0cfZVq6UftZSd8Dpx10hyr
cEnwaH5o5DiIivEWNB0aQ3VVpOORHmfYQmN9gXNfi+C0LzJrb8pg2vDzLPbU9wSG1GW7N+LYXfjO
s+cu7xo6gVAKFNOafOhAivxcFjLzVx5So093YZ1vhkb9EfvFncoC4Kp+HMuGaiZjYrVv2qOfyAst
ptmAOvsRk5qeXAGb9bXOP+XizsaEWS4fFptls/sQogtiLOPLZ1qotvQybHBh4QJVgONNHNs46lhs
buto0I9hVqPkijGNrGfawqE/G8rorQjUYCxu7JPz2MBQKG0iBsa1Ur4RjbYPhMCVKzGaDVwpa+Pn
Xb9QQ5tfVkS0eISQ1ZH6ukwDNQYegDZz0rou3dX5p1EjUt2mVbUT0samHllbn51Q2/oi2lJV2jbP
1/fVOKk3WQ96qkXTi+v9lGPQVpZTG834SsEmz0RbnfbUwtadDZqzISZBYwUYcxYtTxQ5/TxkGFHL
d6qRL1wHZqPmr0GmZS+E4lETQhL6JMXZE7fTIPzQmUhYlv5D43+PooVYmbvnEJwWBICRuz29fQyA
/YrezphTfDP0PaakN1SbvXjh1J0NSUhtqgwoA8GlySHRCHCrOEYSHRY8Shu5If1rpCcb4S/vu9kp
jaI6AMfHuuEkEkUUFH0Emv2EdcPa9/G4Tn9lSo/071Iqmw0I2BeywoKR0icbDWBxVmUlqTyNyhWu
sV6/U+qdpd8OkbPGUCVDcP3Wx+1BM9ajBa6RNLu2/3E98Jd+xPjnZ+dvgsh26Qs2XhC8YP0F2+1m
8L9dH2M2KEdGDUUAAHhTqbzYyuC4+ORmm+uZbh26AGGu/L3r7cxs5wwLo83P6K/RJsHiOuEAL5B3
+ihEgaRMXKIZ6z1cn9Jsvjib0vRKkWiYXESsXaXgNe18dWFrXB9h6aONf362MCZGWiE+Wv4pwYDQ
eMR1Z+t5ww7o8dr+XGDpfn2410V4kwHPZjRJT3WH9EXnNNTYAmetdPdhiKVfeZ/6x7EVVPs3MBXC
lS4/QqLf62q98bBJdYnIcAnys/Btp0klNEQb+DEz96JgHZgPjhMufNvZEBmFUmFf0a2flnKGQRqV
zXuypF//KmtzOA4GYhqdmi6II84mk7OBJrsLLx+9iww+ahe+iDhcRwlX6jhegeVfmNLSSJOoF06h
gZFjpGTQ8dlNb2jdAHNAHPXleqDMrs7ZlCaRbyUJvmNVS8IY3HblGz9DH4uv62Msrc8k9jFwb9Oi
ZozB/BR7KlLQ30QYb/93g0wCnvKOqXoyYWaxKKHzC8TB4iVuflXQ6ZE17hUway83sRwgTaN1BFos
on2LtbgU/+rl7lT5C4E2/8X+Gmiy/KqbeDaCkxQccvTB1J9Wb22lwlpYl9lz2OLuDXQWZ5fXW9xZ
Tsqq1kx7hct3hwsCKC7sIkF+p+jf69sC5sythV71QmKan9lfY47xeDZmittJg0aiT3PmRRb9lojL
UIW7HguzyRaUIxBntJ3eqNhlsuvxsh94VaS/wkhdwf3W/J+YKhfGrkvk4/XR5qakowYyQt9hek+j
IqmCOrA7m1q/l8j7HEljxAqDdl9iKrAw1GsTZprWaSCOYgB0XQHoX36+sg6LWgMTCSQJnRVbrCwO
rTBCNSHdp9nernbjI7INy23Y9BtzeNDN+kNVazelXK1x5AkRle/31+c/tyt0bRTx4OpjA4q+/E2K
hcFrGvKbfB+7Iv2rSH4l1f8n7Ux340aWbf1EBDgPf8maVCqVLdny9IeQbZnzPPPp70cdnO4qireI
9gEa3RtbQAUzMzIzMmLFWuizN9vbdpaOKqS3gRVRogXPONsUXUirZ2/G4Sn2ngbvD0Ww27+/5DWX
vz87CkPfJfMkJOEpS0H2oNJDa2fkfc2Hxim5INM1LrfFFzjYbuCZEk2yAMuvJ86PNLUY62lAVlfs
aDtTd2NEn2TYQy3i5TJKI7HlOYUe0Znn9cm3wQKje3vQS8474duAhpF2hIr4+htQHajhjWfQkvdF
9lAIzI+C/uW2jaWFgw8Q2oyJqEeaN2tEKMZAxZSFpzROnite+zbwsDVqgqXDjCMZQmXyCHDLKtcD
KYJiGLIhDU9FlapTm17riKCBNm2e/6rylssads2/OGcoyUISTnGWNOLMI8kLl4OYDeFpEB+86rnV
YifKvktugkjew2CtkRtOazHf/DBagU/gNQN/+iyPGMQWNQqftlAzNL7kii0330MZrftD0Lsfpfwj
788V71i0qMMsoSpASHmqXU9qpohBLCD9eWor5G5faMXj3YKuJNJ0pEwN26PnuEDx5ba/vBE7XA8U
9mI6H+g4oJZJUevabKXlCYSjHoWKX8aO9l6E4CWUa366r2Roesmx+lMx7FVEpMVjiw6QXjk+8BaI
5FduyPeey4dMHfWgt5nveXqqA0wY517hn6zh1IgbGOtXRiq/W1IM0B4DAQpUyECcr0c6+GKhGDI4
yajjyVEHm/EglO5HnVZNUXvu+tchzZ2uLBza+M8Dos637b8/8jBPZRJ5KsqHsOhfmy9yQx/8sfJP
3DW2F5V2R0W+lUoHwRv1O3XFFXvvN+lEUUCBg1YT0tHabLixkadl2iBrWRgVcsk/qryHHPZXrO/8
JNzfHtuSLQhJAA1RDedqnu2WOEfiMEOF7aS0+VZOPo2fBRh8hUl57z/nDxEIkCbiI5FpBKF8PYtW
4xt+lBEACOqfCNVAKz5KyHzeHs77rYgUDacngAmZo2Z+viX0dwZou/NEpTO/TJ6LPnSsl0F/EdJX
+avVrbyIFzxjEmYgdcatPtWVr8dEp2+vVcgRnbIODgNB2CjuV3Rp5OjORJleb3/fHt1CjWQa3r/2
po1yERcKIFKCtOKZL0GhmruS0+baXewbe1Nqvyjghr3+z1j/EO7ioLbXMhoL+cpr6zO/LH2z78yB
tIngCwcDjgNoOnaukR+r4BhG8AI02rbKzYPb1TtZzDZ5qzm8AVZ2x0JAwGdMBSJ6lUSVVb6eBBp0
zEybMiu61d/Jteyo4o8h/DLEwR4WCUdRvg+NZ7fK2t35PghgU0IJQGZ6KgvP27/cRJQ8K4s55lA3
My2IQMuGOveaCy8kJYDRA3acGhLIL859mHQt3NExaPdx+C3ufVqxffTWJ21JVbLhHH3W7vT92B5S
Ad6wlWLnwnHAMTvR2YLhxqHnUSozXtDiTdbK+CX19EeHn8vy1Qo/huGvFV+eTpbZ9XVlahZTmUaj
wluAqaJ7CYfXTDsHCTzr3pMx7lX96Jq7LPu6YnPaHzdszrMs6mhIOcUU9muEGOXZ1w6QqYfuvv9Z
l0++ptr8o1pk0PYrhpcGSwmJrAtJTx7Zs3n13JLp7tk6fnxS21exeIleK1FxEJJzzPqzanq7RFh7
7E8n6ny0Oq2/E4cQtUZjtl/dTCrhEOJ9jPrplNh1TYuG3NFBs3ZleAsRAKSI/1qa/n5xLplRNcre
lEebpCHpYhSqr2kpb3lyKRY9s04mxM4g3vu5/1GWk71vPblD/58BPmAxJ5wSnSjs07dj4+IbkOwa
Q3EabSsIklMKHVrrBgARXQnXaOAWtyhvEhH0NIcx7TbX40WFcvQRfwlopc0cVakPcf7BSyjlHgpV
hQTD/CKhVBob7sZQk+1UJZTj6OSH47aU3efbk79w5THuf79lNve63IZKk1GXS0kZ5ikisNYLFA42
0t2Q0CQ2ggHOanZ76Sy8NDoLiSzasqbnPGewFD1bubnpUmNndq9/MTSLUrmqAKPj1XI9zVWuazSR
WGzXUTqU5l5prE1d6xtTLV9DczOqihM24uG20SVfhigOaCAPPXx6FqdkKbo5IsKQJyhS/V2bq4KT
KEqzcost7c1LK7NLTM4Ezyw6ki+yAKeYLx+a4lHpSDys4QAWDUlEdnQmUz2fK4MlvdY2EDXhHiTS
tsD5EBDQjD+QSvU7qfLMlShvcfYIltXpLQBb6iwiqtGbQRVDpYsKKqpqfByyZnN7fRYHNHUeEh5r
dHzMXC9qkPgsBM7wpLBQBXyQxGwreMfV7OJSnAFP2L+GZo7QDEI6omJMsOVrJyPxt4UvO2Hf3lEl
gEUI6vNg7HeiFf4i7fD9/zbImXv0iuaV9XQP6+MhHHdF/DHPkOX0hhU3XFwu3lWkpKgDQz92vcPM
nF5BV6NzhngK3qxHBW7R2yNZCJHpraATcXo86Txqri0ocdnFtIrQ+SCnG4qkLpGyLn2L62CXU242
+pWrdlr++aVHL4fEuvEvY/4YVyBp4f+mcyCst4MOJPZQ//dKCr3/FyZmjoEYehvSxhmchvoJRrtN
5UFIOKy1oi/6+YWV2dIoWirCMkonQPcnYwiG8Ug7x5i/3F6e6VduTdcsMMkJdmEcYCw99NBRXGyL
/j6auAYbJ19T8lob0cwVEgsBb0rNnKx59WDCUJ/5r33xVQ7Lp9uDWjQEjwpZVjBD4hw630RCK9Ui
u6dAfkYtvkiD8lCJm94rnduGFp3twtDsggLGVWre9NyspJzYXJpegJb2w00LbeVWWlwn+lOBQVlT
p+i0kS+imzLJJSuNWCd4AZxBOULNHn6uQ8pqaub/uT2qxS17YWt2wiLwLPVjCC7EUKvxQ5e64j4Z
zA+1Ib2WlRHs02T4qYtjtrJzF1cN1hu4fAlYaTm4HqJUyYkKdR9mxRrxL49ekSx1P6WqRuu/H/Z/
c/Qh/AQPM73/KEtcm6tGcVALDXOxQa5VyyIue1r4trfncslDyFybvFWhB+J/XFsZSzc38jz+H6gf
e7hWHtdP8TUjs40VRGbSmhPKJpKOtYZ2u/Wgwxp6eyRLV8XUOEGmjxQOgdH1SNy8AJtvkeuoDKX4
JLVFYcOpm608QBdqNyqg3n/NzJYl9BqY89KeW9eyskMaFgpYu/hHXIbJLo4teMNqadh45dhse6vR
t64ciZvWFfxNCsPwth0jqLdifSJPDCyC39E7Qh2z2royxTHzc/PyM2fO2nuy/j8goFJ2MtjRwqre
9h5EFQps3OqxQQQTHjpee/Vqjmt5tQFtoUyCXNMcWSIVLpIQARWtakujtTns0ufbK7101pCp+8fA
bGyKBpFNMJJlIuC5B2Jobks13ULvlJDe8T+oY7Cy8xdDrSk+RWIVenaikWvf6gZKdt5ANKzlubXN
GyHbJB1Ug0LaQR0plxHk8l7qpCaPurzO8u9Qe69lmRenlZOAiE99OxWuvyEOO73xXZnbSfpB76QV
lrYf/bw9s0snK9l62jMBGSPvN9tDKeJanQy73wnaJVE+Fkq1EXj5pz9ALHjVSnn8Lfv4zkcvrM1m
VbIyXUxRYDgFsrgzoLqFjVHwhkeKQNu2zndC+SNRBoKyZot6293toS4eFzAYK2Rj4TZ4xw8tBbmf
qpxJabsvTaf/m+Obtfrn92eDc9uBvSHw+72bbCQ5s8dgLTiejs1383dhYrYPBMSpB6PjhlCLbhfJ
wU6W7quhOYTi50z5ovX2avC6uPMuLE5/v7jla60LBXhyCV7VX3EvmLblRxsYnzbV4L+G0u72Ei16
/IW12d2UiIJsdiPeGAJeHovyw3RpNF75F4kZ7nQVxmWyMmyt60G5ktmK4Vv3QvRShD/D8Pg3HSHc
GiSFYXikQ4I+gmsbXAwRchMcWaO/oQT3OTU3RfW5X2OdWNxSvJQAhE9pYAKHazsNMIrYF0l0xWFz
X2eZEyafRx3Abq3bsQG9u9JBp4A+s4k69JDATfrfl4xEHtVbuMGpbs6WTNILRJE6XvOa/CcG6UQR
pcH0bSMLpxS/zlIRtVBXm5/GipIEInI0tNe0lNSUys4b6GURcMiETeZndpeunBULGw2DvNVAo3AD
zIMkYCOD4UpUpYHAOaEbflBFblQZGsHBQhcjODbisTbWyrbT9p1tb5CudOUDqJehqpsdxqWglwXE
wOGptMjd6brwuQqih1oo3E0qGmtSDgubjcMKSDuAUHhLtFliJFOjPlb76A2XEVOizKWHzny8vXAL
x8eVDfnaO7UwpQnADcNTTYFyUN1jZCBw0j90zZcyMDe3jS16yVSngC2NYsi8Sul2xHCK18LmPb7V
8ZPaLjTV38kughiZ2L0IhZfxvtdfb9tdnMgLu7Nlq1UzHk0hD09C7ajeg2jCk/zfdxm1PLIW9Fvh
HvOXSMYbS7TiLjxZnfngufU9GfO2X4FCL1yQvAjgPKMDgFSjOBtHpbeNaEEPfTJkUDqvcL2vjGLJ
v2kuoOEVlUuLoP3aG2Da12iQNMLTFCVC0RDsdBCY6ZpM+ZLTXZqZ3ZIVZPo83EA/BDH0NWihmHfy
ISiTjRp+u73ySx53aWl2O5J2K5RyYEDGsBPaMrVjUfzWawXFPslOzW2s/PeWRpT2LqZw+qKL+zhV
qSKgxheeFOtFMx70YNsWvk2jzf9tYNP5eGHGMoa6IloMT550p3YwJwnZaUr2RF8iFHPi/D/K9dLH
ezWseakkbBWtNlwF/x6p0hoTj/bE8dgkf26Pa+m6ZP4oJNK4RDpuDsQbI82KUsEFGZOC0DKS77Ii
Q09ensOs/lW0u1Z8LV81n5TgmIlrxC6L7gKyAQwqdGiADq5ntXTb0q0UAaSaCcivQlRVR4+odMPY
zg2a1UY4nH7dHvCaSeXaJERbLsTsmOwk6UOMamGfQs44CaxV1Z0a51vfW1OMXtx+F6OcHSPwdaZ5
K0fRKdJDJ/d1b1cmSmZnnSTYpR8fkq6NVq6ZpRMYKh6gnLA3kA+YjTIfIYwtJxCxHG8byuwh6UlI
9W9P5aIRerCn5ih6fOfcaL1Q5TSqUIZRmxcwm37zvFq2XFwtnp1T/xOESfpsd8e5H0KKy4sv6GQn
GmguE3+6Oa9OYI3yAWb42yNa3g0X9mbbPBIyP00L7KGS9egVnT3mR3N8kIJdK1db0ZXtRLmL4u/5
2vt6cS7/NTxvq0OMVITIQSFhLd2lKj2Kurml+P/x9viWrQAtnK5M9ttsOs06caug18HekA83smMZ
l1BP7W8bWbo1oWpELQo+u4k773qHQd9nBHWCkVCTTlEZ37eq+3LbxNI4JkAdyVZoT2DQvjahy35H
1gUTERj5IX1RrWdY+f7CBgRK9BTwxe+K1amWZI0WIIUS1kcEM5xkQJ+S7PttK0sRAHjjf6xI1yMx
vRauGt3jnC8fU2Xc9ohPSclRQyH2tqG3VsF5LH1paXbW6n3swjZec1H6XnknxDDk9wDJDnXj99sy
QDjAU2rjURRgVCzURP8YyvFj1XXfjc7wbcTH+j0qypNIuplt/CEobHFsRrv3RWiVS/OrqXu02Wd0
1leoXd0VYUB/XxD7e6Ovm1MNdB/qTh5CEOivsawsugPx7QSTp94/x4y4uQIVDfnn0xiGjhHXWyL3
wFi7rN7QQ+9mkPZa3q+0OIP9u14rxUVpxPSAOWvxDrjz0UKwxFSTqQ9E3w5y+CzHn2R1Qj2D8iof
fT38IoWF0+oflfRnE/qbscvuqu4ML3JiPgKq34nysyfIjpZu6/gsBLAF4dS72wu/lK5VpiAWkmJK
5YRK15+dhDBMiD7RuJ7fh13yGLSge8fsTvPDjTiMpwHtzzoBI54WvmW3PjTKWbMvqsrOjGCD2uZx
COStWwziymm7uGwXHzbbxREiFHmlAdnWm97pw9wOjpXqHm4Pf83I9PfLwK0PLQUZhvBUxYEjfCn6
19RcyZ4sHnh0JoPWnuiK5g2TRTEU+EtJbNg/hVboiOLKcbd4SFwYmI3Br4pqEAIMdPEG6lPcS5Y/
Rd6X2zO1FKagiffPMKavuJipLGwzxDd5bPfmXdoeu/4Ip0N8DusVh1y60y/tzN4IJXp8OBMHkayd
DWGDTIYHIWgpWNQNfuOBt0e1lLgGDwwxALAjNsB8dZrRRPagwMsIhRR5dDqD/tk+AfD0VFWbsJTu
eeS3wtqDYToM3h0WF2Zna5a5gpSNHQmT0t+a0FiqBLR2PvaO5Bt2pViO3kuTTs8atn5xFS/szlYx
6AIzjqYkhuJ+EEE+MTCJhjjN2pZE1LfndtEWHdZTE89Ezji7vIaKTpNBYyVb4xjXkWtHEl35cXuo
3ICE7xr97zRl76b0wtzsBgsNLWjVEge1vBfqShANPGfJyq2/GAFOGszQlPLqB09+vQusMlG1rKc3
QXZ73ZFy/ziajjS+uHRcJ7C4ePU+T4QvkOamZfj8N/P5j+35PYZ+VtL2Hba7+KM7VIdarRyQQHZu
vlrB32S7LgYqzxbPb4Uyyw16PgReQTxL4mzfAJt9TKMx+QtcLhodcClNHU9UWmdXkCr5WZl1JKLu
c61w5BzGYbFfqaUsOuOFjdltMjawCyadxEEvNnZdm86QvOhluOmgpafcd3ulFl3xwtj094uzku0w
ZBBph6fEyL8ikr51NeO3aOmb22aWDy+6n+FUgWVAnEtq6ii9135JS1qulPagxR9yV7vPk2ObZXdC
NJ7z9JhbTvJzxey09u92mjkRvk0UosAZrofXN2JqJCNmC7faZKHhJPkzHFt1+7nPY1tpM1uhBLgf
izXM3eJVSpWABDPvStrJrg0LBDDhiMoGqgoJsnJB3991rljtb49vzcpseK5En3MpT1bgq3UEIx82
bsTxddvKoo+ABJloUtEumFcSQX02cV9y8Rhw1jZbayKbHldq8dNp/m6hLmzM/FAt6G5AfJDTPvTl
KTevITAncskNvtPTk/R/HNLscqnJs+l6xZAU92h2L9ImitZaXpdHBJEWlWayu/q0zS92VtT0mq8M
mBCRM1H+aBCV1Z/DNPkLF5gS8eDpqGkb5szRBtTHg67jLonrEajC3eCr2/++/JcWZk4mo20XyXLF
a8FAOg/Eg/uhKFajmyVXBjEKigqMDNzLs+tKCHohFlCkO5XVkU7k3tuYYbSxpGCj8hobnD5+kJKD
IJa71HtK0nPqlis+sXTu0uJGcQgaUohypi+8WLAhGltUXlgwFQeHwR7+sUbdNrq2SQN9M2rR81/M
64W9ucvHVm3VCfaExLyjd91RmvxByIaVd8NSKw2tewpS4hD9EjbO6pWFFwdx0vNwQOluUxoPVjfY
eXEkqQYTYAuRom/aCe83Jd0IPfTkn5s17YFpJPPNffkFMx8NQjFv04EvMNMvTantxsRyzHCNk3fR
gy7GOfPTLAqi3kDw96RrO4jjTHHlXl4bxezuV/KxBGYwzWN5pvufO7IT0hUfXB4DmDRoMzSSHDMf
bOVW0KKaJ67pKj99TzcdP5fGzd843r9GZo4XwsqQulNjLgmhoJCPpvardtMVt1uerX+NzE7YSKtS
pUNH9WQF+cH1zE3eS4dVxPmilTeUGPSM8CFMT7SLPWu2RZiZIrFfphewfjRQ6FXILNqjICS727O2
eDzQVD8JdwBfN2fbKJeyfPBCTPmSvjW+CUNk99lB6zyESf9m7gBc4cyTPN+c0jf2M4201jjVqEUn
9X5MsPMqWUl6L91PE6rrf43MNqWi1hqXF5GfJQfIUo4danPdYOwUNUnhBlPWELmL84e6OMS+MtCn
OQNYgMwucmAirq0LEgnIOnTooPF3ghSVm9RSKZkEXbKSmVlqXFbolP7H6uxaUf0kH+uS8tNYlUe5
Qt5TEveDBLVVlm7H1rozhnYjv6ittesD6zfdIWdD8056+HGMwqMiPE5opYlR5rYzLfotPbDUG8Cf
SvP8NVCAQh4tk7Cb7Ftk7EvVc0wqpv83K7PBa3FVDVphcaOJvPWolFrP+rCWJV/0I3AGb9qUtMHO
jHReKiZEutEpk80N7I+uCPWaNThju+Kwy3P2v4YQLbve625Gk9CA+O5brjxq1aNo1DYig39zOv4z
HmAp12Z4RIph1TKe3Oo3smcddDXaxKsUw9PJ9O5OvDAzu63UKhQm4AvsCK68oyD7kbZ5Kwycpn6Y
Ggbp+fiL6wtaSfgeYCuglXV2fSVuFIoCys4nXzz3T1LCmP7C3S4tzC6vvOv8YhQ5tvzukz++Du1D
E6zlrpecgO6RSTCPdhzKvderI2d5ZEJ2TTCahgc/Uw/0WYeav+IDS4sDNpPuZwL3idzh2oogGBVS
7WF0mtTQ4aHeRiAAqGZIQuoIxWiH4criLB2O2qRiOfXiGpo6DfviHlPo9lVGFw1mCWZYBH8H97c3
BoZjFq3p5BbSArIr/c2JDK4LPZKpHQeu8mujbh+jl9wl0UlVv+Xpjst0L3zRfCco8/3tg2hxPi8s
zTxD61CvTr0yOrltt5t6UH13V5ot9BWceVbReQdRWfPGZZs8v+hEo0F/ToLTFp2cKWMXnZoCzDSF
2Wyf1wrSyFaEJlXUi1se79sgCvWVLPpirgPamn8sz07EIXP7PIVe9DSUAy2+EqrNzfDQNBLSgg7o
MN+WUXIqw58gu1fuu6XtQXAy5TAhhqJx/XpJ05jWWDnTIlQOoq99Ogx36hB9CwbdWzmMFwdJ350F
0QqSxGAhry0NhW9mcUCkqnT5NnMJuX2njbKd9rNS9Ps2/5J01qYyf992pKV9cmF1TiEhD67ZJiqh
ayY9+PV9mgsgjT/13hGg5spULt1rl6Zm90DSyZBhTlWEBMhIBaStKB+qwKMo+Hx7TG9ip/Or4NLS
7CoQGJMYTeisMrPTIN4WAQCjPnkF4Ba5ZKiMdheJsa0O1CHd7luT7MP+mHUvY9aeu7WtOm3Fdx8D
jgbaA/hVgD1cr2tjeInhZ6Ru9TLfoG/VJ/nu9niXfBSlkX8szCY2oDQGmQwW4BzdNJGxZWJXHwbL
/kkfIGVCYs13TUyiaxBTBj0xtK8hqW46mUgzETGn6266sbUzpZftumnuhXitZXvRSS9MzzahWUpB
5o68FMp4J3F+e71tJSXk8bXT6avUPNOCvF+wfwc6u6tMI9EI5YmrfesZ/Cr69cGuriK0C2VxX6n7
rofQ0hI/1KGwct8vugrNllROFeQa3gGE3dCQPW2CdnkvpvvH81Y2xuIOvPj92RGTB6jSRCWIOPRv
8rL8YKR7zc+2sEOvDGTZ0CRlOcmXEyJd+3w4RFYfD2TcVTnb9vGIYJ20H9OdAB7/tu8vugYRGIxR
E1vcHO+hqSGR5YS+qxPRmQq5qG9vg8rcFoq2KddaQBZ32oW1mSP6ShVRoGQCBevBNUF+wKWv/7g9
onf8BJBYw4vCrFEUMXmuzvzPMgPFk8zCPAvFQa+Dg1BsdfcpHp5oIg6sPbokafjHVZwSho9XtXGG
aOWgfpfgmn/BNOkXwVNBgBYrQ2me/fhHZuyqqrlrA8kWtJ2h2W33OGrnZnzN48hOsrt+jRnyTeXu
cgNinsZPHgqwNk1d/LNZNpu4FbK2Ns9yINtKKe+aZPxEpyRQiE+h8kF2H2Rv64W/6uSPpnwOu7vh
1+hVthZvqvC7GJDazG1JqeySOmPREfrLv+vvCbTS25WVmrv524eSAiSxZFEM0Wb7qaGE2npFZZ5d
6xvFOBhvNy3YWTMtH7QhAQES2VZ4n9SO/1GxUid3DwNCD3UHDfRKuDs/Od6+hNcvvdo0Kr4jW2g9
KQlydJbP3TjaRnqMV9lXpkvk3aJw7tMRRGT7TprQ95Qs1yvNPNdI3xob6yDUj5L2EFZOVDzmumoX
1X1QrhQx5vvtf4b1r9GZI3ZNUBVuqppnK/2sWT873UXSdbeyitNh9G5kBHgKNUgeKOo0txfejpe0
uZkJ5tkTw2KjJ9Zoq4la7PQye05r13DgXQh3PUExfdx9eDCrsnwQw8Z81A2BRE9uraGW5ofa27Dx
/0nP1lCleWankosUMixWsxYepGLvfhS0+xi+hDWW8nlEP9khXw5hP0ka4uvZ9FZ1EapQMprnKKls
gEAbObpvqgM0JN7o2X73+fZML63mpbnpcy4mepAyuFdKxTybwUMtv+TBgxastfevDWm2JS0BoYFx
YEj0wNdQEpn5TirhESy2xilsN7cHtLT/IeehCgDekG7kmeeYch1HjZpZ56QVQDh8VqbWEOEbOnNr
J/IUsc599NLS7EhUu5we5zS1zpWcf421p2CI7bRU95W7M7rqHr4yo3ipGhtFVHhJb4/yXTj95iba
1GoNCBw4+Cy+lDIFodygsM7yXh33UfQxNp5St3EU+UMkwdtZ3GnNU20dc+Wz4CFZ/qxEkd0cbn/F
0lxPBxyvebBUVL2vnUcdVCWotMo6t13k1I3njFqK2ifPB3Olgr+0+3RatLQpfOEdNrOUZnJQhxBu
nyfSC1KXQwJqILyDut/svtwe1NKO+NfUu7x0GtZhb7Wee07EI8gYGySkUZlr6/d+T3CuyeS96ZXS
0cybbfPMDcJBCHGeIP6EZF4aO1rzTapoNQ+QMb6LTVsK7rrkhyHAulRsLffgNvuMWYYobiVce7+K
KLGQpBX5DxfJHHIVd2AwW50dE+fi90yaRH1h5xGMbhcr1Zq4+bsnCzcyRygJOkJqIO9z0jexkIIa
xWxWUtKcGpBVuR+Ng2bgOEHuDKAsbXWtaPZ+SbHJ40F864eT59KLXUTbWl+H7rmuC9urd43sO92H
226zPLALI7P4uqrlQQxM3z1X8Z8wfLJ2aWoP+1G/K8dfgiJuUt5jt00u+BASE1PqB8zCe/482FoG
0UUM7ewrT6Hsfs8C/Vx66r71f8fpqRJWDrylWZxWDaEJ+o+p2lzv9lbNffCIoXUW4yPqu0e4Qotw
JbhYnMVLI7NDtVKM0SwV3zqrWrOVFFQtDpVh2bAS7tPwsbe+6u7vQchX9vw7HNnklTL3hT6REZOe
nC0e7YlmBcrWOnfpOZPDo2sVG6UN7PKuaTK7NHadT9e1F4BPWrmAF54W16Zn02qB8rZMobTOZZTZ
ffT8yJNdOvQbv7HdcJ9uzN9WHdtmuzOgZdLWrL8PISfr9PdqAI6J7mfnkKEGhPb+NN9S2thp9xo2
u+pBkQ/pyG02OpLoKLx5KzRzbzuv8v76tIijIApRad3npp7+fhF56Fpel3BvWuc6sJ8++45kZ84v
w6HTdyM4FDft9iBsPfsHdPdO7wTOvnzaDPfWprNTZzg40VqOYWk3XX7PzAXCIlFab/oe/VnrgER4
jgz7RZfwVPmuZis3p7w4epLSqATROkacez16L6iaTDdrNpPZbd2AB1Gg7QvxW+dau7L0HbPcuSqH
lWQ6pQtIfbB75cHoR553WuUMwUZsfgMTMWIBiD6Ilb0RfLy9QJPfXYc3rA9bkYfUJBM+5zmjpBp5
uj9aZ2hAPvqC79noVT3dtvH+WscG+QiaNmhnf8dpkElxXXUDl4EVi3ZVCAz0qcpau+Btu5Y1flcl
nfY43U/gDcj4mRD0Xk85qkCZ6XkaG61CZZvGnZKbtiZpntmVnNphk9uK8EFEPFLobUHuHVOH3H58
9PtoW5kGJISfPdSJbs/AwuVLbhk2Pqoi9KDPyfHUuPTBNrlch8pO1+7d1nUk+S6o6pXttmZnts8b
uazGQiSAEhqVDG96sHz5qPJ0WyvyrBmattnFtg5KX5NC4OHnod9qll1DTuk7yco1seibF7M2CwcD
KUtyCzzzWW+jF9OPAruvq+fbK7N4FV0szTwNr/JkicackaCF53aOpe49/Ob5lxFuvOYjIILb9uTp
gHm34cwJc4tHTE161zOnGaEYS0PiniNb+CQ6lu1/pjbrVPbnu96ubdU29nAi2CfjeG7Pn37ftr60
E2mGYDfqoKcge742Tie96hUaxg0Ej1JiPyp0SvpVrGTb/6817mkjXtqanbR1Ba9Xm6SEY93eUH8U
yWOhrVRulg5zwr2J9IoDjOLN9XCCyo1dcGfu2e8/GTLab6D3+3tXuZOUo762cpO3zRdOA+1LYzNJ
MtAB18b0IpX8fKxgSk/EE8EJTU3GBkrnVz2gPdaUT3L3q1wT/loxOkfq1EEd5PqQu+dmoGpb+Afd
ui9FXn5WatcjZe/BsBxf9teCzkW7aLQBt6c6Dcvh9WDRxcqzqCzdMxqVxzpng9vj4LjSpjpqa+/L
pYgTWMs/tmaX5NSJm4QiE+ulf/Los6n+LoSVk2Rxl1/amM6zi/OKFktPUEPGo+mVnRzlu3KrKnY/
/AijB+hlM2+tL+Id5/ib+1+ManYUK/TtWZmMRd3tP7T1gwp3u0gLPNqsXvaUk1MW75GvOvVdsgP3
vBJ5LCSS2X0AtsEnIcSOmMv1gLNEz8chwbwZhlMH23ZIfubSi+I9Wvkn0KdWrdiiYsfRMRqUTfoX
N/6F9bfluJjucQzjoctr99yBjyqAfGm9cTC6TfLAO3nlzlu6JWBr4B8F2AFNddcjDSHZiiSPZ1/s
b0Jj4+9vH5mLOwGdH22SGEFPZVZEHDgItEbjGAuI5hyjrjZ9oBlO1rr7tt3232r6eTRpxehC4ofl
m376TRiCqOl6UFVXoOmXSHhPgCBGsifLGwmHftzEgOPV4ltt7nLQDd4PCOv1HUzNRfG1QVrh9tjf
kgLvzryLz5g5sShmRoTGL5dVo4BPshv905hvve2w0/b9psgcarqSLJCB3vTCig8tHe50MOkkK1Rz
iuRmU2AGsEQHHO5DCBfpd4jBbAVOHbqjUcrN6JRdGevSxQxRIcSGUywMsc21vdA30rADTXrWRN3p
9eS5Ve+gylVd3cnSUw1/JPRu9LpH25xajKjepc1fXGe88QkR6dufqIquvyDNB2BNI4e9romOFO6s
fJ/r926xkeWTuUbFt3TqXhqb3Z0mnRCdJk3Gxueuozf2ofb8tTmV+eK5/1wamf5+cQ5AOTN4icDR
Trjhoq8YyT9ipTmX0tcAHRsJsEzi56LddOMOnom0j9f20dKi4jzMJ+0/AF5nx6DbKFXsJ4Z7Dsld
xqozesVG43mVwYjnJvd1u2vin2b+kAbWAaYyQ/hy26uWTo8L+/P7OyQPIRmx7p6FchtXPDb7+KmA
032Xa+0nkcd/sAa7XtyzpmqydWB5tnh2Xs/5IIah0MoW+6bT90l01uRfY/m1dO/FLN676NpkrbGJ
YkeqfxZeuEX8+UG3VjPXk5X5yhPjEjogikAGYHaAybVY52KfCByb/dYaPvnNnQnabDBRfq5zJ+tb
26hoalfCc5ZJn27P+ltD4Mw6NQHAqNCHKhBqz+4E+NmKijNdOEOv8zLu+h3sFKRbWIDCsc7R3rwL
tugGyN0udYrD2rtlKdqArw32IPqlABO8a+NruqqMZFWY3F6Po40f7BL1qd1GH6zIbuHeXHnE/38M
qtyApFkQv5mdlT2M/XEUy8K5MkSnLoSt1NrgtFqKS6a7N/I/otU5yuruWlhkxvmv2dkrUEqg62f1
hHMWf+qlj3IT7SI6eYXSllDdEXqHuLXalH6wdq5MJ+G79YUEAt4bAMfvktlwlNI/nzfc+XJATsVO
OhsG7tq0QbLX940q2/oa/Hpy2Pcm4bmEjg+EwPzpFLDVerPE5CAUtgWDPk1QiqfdN5l/d9t7Fy4+
CGJodpr4reh6nR2addZ0eihw6baZeWeSpTCD+yQxDwicOJLy1ehWyxQLpxQW6QKVgGyStJ+tYx72
FdgKmWNaoAxCYWnotr5r9/pdYP4/zr6syU1l6fYXVQTz8Apobkk9290vxPa2TQHFXFDAr7+Lvuc7
RyoRIuwHv7gjlNSUlZW5cq3MH8MnTe38gbCVijb31q59G5T7BjI4iKqDRPueRy9a9KYvRQBzMfRE
bYosNJjfJlbqa1dGIzPW9Dwhp47RD+xqM8e/h0SH48KbT8090EpuomajZWJVFUvKotOhkVf80rq0
DqYaRW3TUnKywzEDE1HuCfNklV7VmSDzW8Jqz646uiuRjEOLp/UFzbi4KmNWa8KpSljr1wlNsK2z
djvoMcIMUPOCdMdDVn7pWTQTO4ONd+q3A5cPEmbS0yvnLWmxngR4jyEGgQGECM+QeSzCcx6CRrp1
IQGJvBlIgpvioFXnPDsU/cIVOTtw8BcirEInii2XbfRUMOgs5OTUWxun4mu7igMbJWOc5lr/qaFk
dP94zQQ+6GJ0AKSdYD7oSrneVI01EtYj43MqU0sJ3BIFnJigi6Kzi0Xeyzk/BeEaC1gsnGOkma5t
8V4JozRqYAu5Ch97eUuo0u8AnAJWhRXHyAUVQMoKcy8KqBWhHWfpIp6d3QmehTcEjricDiUDZUNL
FXIKsXNdhqwBRcnq0LoD+Kc+KPt2f3JnbyJYA2O3BoIelD2vRzyiIw/MsljNJjuE6HpsfkOR3OTm
OUd3npl6eH4rS9XGuYN6aVNa0RS0R62uwiaQidYIquNV23k9+7HERDU3l6C9gh9CAI4VlcYm6q7j
xHTJqbbCj7wq1iUzkqAePfbZJL7Bo4WS7Zw9FMNRecfbc9K2up7LIlW1Nkuxdq3tJzzekHOzUVvN
V6rXPtveX7g5T3BpS3K1aRwrYTHtE9GPXtxWSDYtnLu5C/TSguROK8jH57wcyOmdcm1l+U1MViRZ
QqHMXWUAS+C2QIITmTrpxFk1eM4zF6GXVVnH3tlG/asT7soq9VS1wgWyWlJ3nx0WUGiGCr2oqeZw
vUimUYDDHKCFUz66QUJcn4fdienKRqHr+0s057hQUEfXHtIc6C+Wtl/VqqWWZwjySvNdWA+5/Z2G
v++bmL1xL21IR6li2I01ErenEBrU4ap5B2zaTn1MYe7ZQaz/cn85SyW5hXHJNGu9w1k4drDpgpy3
/e2457L7WBjXnCO+GJfsBi2dIJFiYXvr8EEKO6hgotJPSrhFvrj+FX0b6z9lTUD6BhBStBRMeEqI
UUohOTpBeNw6SnS2mVCCUTcHb4Qeur8wsLnJQ5IWVAZIGAAhPv39ImzI4lCLarC/n7qg8qiPCqMX
e/aqXH28lX66VrZLFuf2+6XB6e8XBqsmhICiDkhLlbubDNJI7o+uVn2uuk9/MbRJxlOxkXUHJkia
Qaek3HFiC6VatJikVrqOx3+qfWGfchEjINqn9ZG66xGXDJogQVCJTsePbHxe+Iq5y+XyK6RTZxbU
HQm1AcHKfrXRMdzz77X7hueHnxS9B25/ZU2soC9OfeyH2gO+hLQPI1oB7n/H3LQD+Q9e3UnGEnzZ
19POFKiDo40jPIEo2StTwECTYzWCGizlC356LnU8NRn8nyn52rGi0cmYMwLiMkQrx/Bi4BL2uZVs
k8o8Cxc9ptpzmite76hH03iu2wWMzdxVZE3VMay9Zd2AFZqJgCzP8f5plONAKJiYF7zBzJLiYE4o
swljhgv2ei47yy5sZ8yjcwNiMC2O4BBw56WftMKTrlkMAmeWDi3wICIDWQyAAPLjnJXQC2t1Rs/Z
b2M/BuTMds4+W6XH/rmIvfAl2jlB4pXa+v6OmXbE1fPFQtwzIaKgXuYivJd2TDSAe7zqbHpmqJvq
wYQ6MBrP4J4J5hp7XYmFaGXB3ldkeOkYhjEXHHTMZzXOj7X7SSGYTIaz27yjeTio832dPN4f4c06
YoQQ3DQm+j+I3xjS0WxVHhUiNKJz16DTKDe2tdiw9KlyjbeQBPdt3SziZAu4IaCigPQGd9/1nsmq
8j+2gMICVGZTFYAm2mSziBlZMiQ5dKfP2ihBY+i5DR8rsOKHeIDxTPOq9PUvRoTnFjbkhEOWBeEc
ZKhqvBiic9/pAXRoAZp/TEZ3V2g/7hu6dSjT3OEIoIcP9Qy8N6/njiVKRHNB6dnKTrVIJmbfAEmO
wMiKfa/HB8aAbdO8ziI+9ohSfC6OdW5vXn6BNKkKcnRF26f0DPxFH6Y70u0bK96BKDJIm9TvGLQw
ol/3hz23kGDVghY1YE8oKkjRu62XDdPdjJ4VPC55/t0QlW+Fu8Xa5rwdexL1xRPzRqmwa0JwovaT
wAzbKtEvjpxfkb5CK/T+cOYOG57n/zUjOc2kijpqcZjpomFVgkfUTE1PpODArpQVDN63dvuOxJ7B
s3VKYIP2H2W96z1TVqWZ4RUGc3zwVfiwjyQWXkhPkdOtzLeBfE8TNVgwepPPnIyaJqCPyL8BuKpd
G0WPacXZAE9drIwN2aId+4HuaHPSN9ZSaW3yTbJ3BgUVUvS4FKYM+bWpquRdT1VBz8RAk8pDhINw
DOM3om3o0kb8aoe/sTXtDRCWTZBcaekiYjrdwDt6Pnz/BM/h6nxWvbPr/Vyvz7v1OvPO67P3vHre
RZ73/JwE61+vEVB6CCeD11+rx9fPx9O3X9zrvIfT4O1P/sdp9Tj6J7r6+fvp3d09HQZ/a3utt39Q
/Y/ty9PPrb178l+e/NV+YYFm9+DFQCSHz4oSj6NpINHJeORevTXAjrIQ/kwTf2+ypGsz1ccYXGo9
bEQJYh+rtRDoRUtBwVcQdWsGVzPidgDEZTLwBqLHdRq1uC0h02YV/3RGjE5uoO+Gf4myH43Y17J+
A3F55OUqseVjjW7IwVfS19p6ztvSF6RAQ5geAPO1uX8MJmd479OkrYkWGOCtSA3HtVeD/J+FnOPs
/IITCM9l44sp+nrjW6RncaKO9JzmBytlHi0XHNWcAbQkouV3CvBwY18baEVqdKJwcbKYCddewVXR
of5TFRREAWjcmQoQEARGjCp5d6tIAW8PHQR1z96j6WsLu3Buf1z9vpyPCWPk8/j0+3biQzXZc3J1
ZfMzCgaevf1V2q+OCpaZd5KxE3jkeyMoBy8td4r6mzKGqOEvoKLSkCXv2PHWrJwBE9uhb/3slKa6
00Ox1IN581KfrCAPrmB8xlQMv14+2uVdjCIXrmr0/WpgQtK3FKKN+pOeetD59cH6fX+730KUJYtS
BkeAQo2pISyO/wKO7L06weuP82Pqp37jfyde5OGZ5/H9t4ePVe+vfjr+3vtnqy8JsN72XkqfIR07
4Yw8pXpIz3r6oDg9HiaaNyKROdWbKmYBG340hiRgduvZrXNQdbrpORCuB+L85Grhm8OPUvug0avo
0ai56ZKgNdmXjDW8BDzQQvA9c4FdrZN0zJJMiC6yCDZodXBKJUgAJWyVGjnmbwWroKZdrO6v04zz
vzI4xUEX74s0ixolMzA/KPE9UjcMGuXghjQgxcIWnAkWYcgAnQjagYE/kW4AXTRaTNs0Pg/KR9UB
kpkHujrgSAWZbvm2+WGO3+8P7bZmP6099jv4dyH2C1Wb67EZVp0nNTgoznr9XXXg2VXeocKobSBl
65PQ3RHgx13S76z4zSAEzDqPowZgkBDb+18y4zzR5gXlOWUqCjly4byJa6UpIoy9t1UaAKgaemZW
LpE5zS7lhRVp7/BcGXLeRPG5Sz5BTmxuWvrO81VTv9wfzdxKQpQQk4s+FoihS/FC3OJNwtshOfMR
XV6nItqHXQ7Rje5HnlEQGbijj3fPfZtz5+LSprR7QiuMSUZg00X8iKbXlbGK2mNBTZ9ZC63Hc6aA
sEVvnuoA8y43WVkVCP8FaNTPYGPohjU49oHUrIzHkB/JYlpo1k2CmQ51QpR1gDGQBtZ1neqGLYe1
TFkRg3pdMtUGxSspN2EEcn+onlWdV1tPhK4rYCzAMzS48WufYMqFOFXdL0H0f7MfxgOUp+r+H83x
qvhbi0Jjj+AnATeZtbXVh5jvEu0zMZaEWOc2HUCCmK+JcgnVxuszFltQRiAgQTlDo3ODQhiAbFb2
kKmVz5cq+HOnCKqpYFhz0UcP5NG1qZDHKSMuS85a/BMJ5mQpTT+3ry2UbIEQ/EqTSb/fVPEAhSAs
hYvAlHTjLhmPFYPuqOMBkyi4QCfVErHEdCalqBANIlAFQhZkSspJ9zKUCNuwGLvknFtoGdI7EEft
kRhdOD2zM3dhRbqLDbyIUBMSmDkrcb2MOz+RqU8XbpLZ6bswIt20mLQcsuttAi723312NN1Azd8V
Z0ut1HOKj2Sp+3rmhQ4Cf6j/Ip0J2L9MV6YKfUA4h6lTowBkbAySErbRQaV1iVFsbotfGpIGxnuz
UUwNhjT7RTGblWrj/j/HdrPOjeC+m5s1hTLUxMaOFKqMVUSXcB+TscFp4nWgdc9ui0Iv8d36PSG/
7pu6bdtDxg2FNUycCrwP0t/Xx0lJXbuwUryVQNHymA351qkVD0mkpzAdVmk4BrrpmaPvkLc4XsJx
z6wdbEPNEe36OG5ylsxghmBEg+1Ofy7LbW56Bly6tbk/xJnZvLIi+SYr6omLTD49t45aeCWQpxCG
03vm9aP1nBq7+9ZumxEnsgoMx0AtG81pslDfoMUGQ2Y9PrdQizyE0K8PFGYPflHm7SpSGFuZQoyb
Xq1Kr4bQ2QEypMmRWna4RmtVjjJnUbwPAi9Pbrfxws6aOZ0Q/EbyHz56el9JjqaxIjVEKIzwy402
DYgukFb/yQ0o42RoBdfDQG34p9Go/9yflBn/BibQqdUBSTvkm+QlIIldGqAWPou+fE3T7CW3FU/X
l6LYucQWaPcnPfoJ2gWS5uvNbGpNxBM7ZWcQSA/QOnUrrx2T2jOjEwGIQOMRAj6QZ0HpCJFnSRZ8
38wwQZ+MMwRMCnaAfAt2uqZnUDRg5zrJvbT3rY8RnGD3p/K2igyuwUsj03a/DNVH2ybcbdkZ9MzV
4GWeQbz8lFVe8k8RNN+0NV0Y1cz5gUH0uKLX0jBQFLg2mCh5HIbohznXtZOusFmUYwPSLkDmcvrd
VpvqMTIye2GYslGkJ4E+REct2KcQYsr1eGopYRaD9uIstA443o0dnUyA0CrL3iT6QtbkJoc+GUOL
jAV/C9EGQEuvR6gTao1ch7FI+Sjbfg1wq6eB938Au41zdu2gUz/aOhCZ4oW26qfWQlFO3jeTfdNy
8SKYMKZI3lzb763Q7fM6ZGc9BPl7/r0HTCQ1/8bIxL6CZTRR2ZGWMUPxw02BGD/XZuNZ5re+5h6J
k4V1mx3KhRXploxA2W0raZydB9RvBOavmLg7hiU11JtH3TRl+Afo+fT4wPJJU2aIJhFcZec0VdeN
0xOP5m9ocIKckrq31Y1i5js1c9YG4R51m5ODp+aS4s1NO+zXR0B6BrhCCGGBPP36I1S1Jl3rYEqB
YHQCHgb9Sve5D/S7R/YvP3/+zs4CyI77DmDuZLg4EAhPJ8oJuYKMsmqUOQybpeD0WRn3SHRif4Zr
la0KZQnxM3s0QDYKjlMQjaPhVzoadqpRRa+nIY7npi2DDuEVkn5TkZwhKdGk/S52e6/Cm2Ss2Lak
v7NxqWg+O2II1OOEQrkd+anraTZZHlZ1SLOzgjvEdwSu1Qjh0QpC6NwLywYiNUUfb+9P802XEBZ3
ovfHYcGVgjyytJPBBDGGwoFVE2wsJPwsxq3WFx9M810Bbg9rz0RQq8+6+0Mxs8CDvhOaFnGpmQsZ
k5vRT2V0gJ9Q50JIgSrD9eiVtggZBVb1ydGJAkVGxbfaqPfHYYyQoDI7tAllf6oXAnDNJIv+JQI8
Mb9KvoKYlPSp7sZPBR9o0FBNBa5eGxcultvNNZlRQWCAdQXthwzjMeqJkMuAGRC3cPGLl5D2HtR1
ziELXIKmQHyr+IHG3clNTnF14owv+MSbTPDXQC++QPa8QLSZgjvxk8XAVMMCMhy69ME0yg9Uw9pO
9VBeZNDOarR/ezQ1oK9335YgO7M8rh1JuEV7jb70TdPkXj4GJ0U1cLJO0w7GRHS1Xy94OZLOzlos
uMjUYhcXidikTFX3eogG7SqqdW9MGhWgVpV7qTCtY1oWPOBNrK2VOskeDepMvbqci/3I1dFz05D5
pGxQ/cXlHZQZf6em8YO0ZeZVbpysKEUy7P7pkSP7iaAG3z+RJE4tX/LKTpqibLAYP7Zq2K5yQ7GC
DjcQCEmTKIAy82LUPWsQgDC4YbQiYd9cT5o5UkoIr/iRonyVZ88Of9YQHXX1c1f3nt191kLdkVxs
wm/NTtBDa/6A+xqp7d8f+Fde6HL1ppGDBwRkHCCTR9Ok9CGR2+WOKBp+1CxlF6l7Lr7puV8HbUX9
KIpXRgVKv/DgdrZXQS187B4jugofWfsjMrt1GR1zw9oW9Qd6Dyn+I0IfT9ech3eQ4W/EsHCX3DTM
f30ttN/xMXipgEvoetr6GDk7znp+REpn3xee2xo7ptnewFof/MtR2vpq88tC0wnSw3s9H1cNNwND
CzJrJ8p9Vte+mZ1oY/r5eEJ7x4s59OjCXQLrfr145VlFr8IXQAuBvSzarNQ1VzSbtUdmg6jfq4VZ
PuVq0yi+NtIWGKpIiY2A1RZzvTay6UEbWBx6Ve+0nhKj0u2gZRa0hUatxa9VCRi1Z7WGs0+qsM9X
bVarpyRt0eNZhUkOVBRxsn/HJAJ8vYza5N+qgn6Dpzp1eezxoPikaa0geQsJxD4wcu6M61xPdSAE
xmyJjG3yQDcjR74Ltz16ctBDeb1ChhGDdspE1rExDK+EzJzZ/c7VTw7Zmbp+gDLp/f0r3zbThoBy
JvqOVCgZm18u++J1oY5Da0U2zAGuFVbYqcHaw1rfN3IzpokwGOlZB6IGeKzJBHOW2o9coQU5RnF4
zFiI3VfvbXM8pORopBxvp1D9dt/kjX+ASVQUVUSfoIXAY/R6GukY6TUquuRoJXvUeneCH3s8EWPj
7b6dKSq4Wi7YwYJMIwM9Oxr8r+2obdR1KXbOKfW9P2Wani5LQBomiTI4Vbzgr3+77d3Ktga8hMgI
BXan3tbV3sycVVcuaQHJUbxsSQpssxJE7A2zotPojL5GRsUjgv8k3Hm8P1s3u00akeR+WFN1ESpF
sGO00BvQgzKPDmaUoRU4+ZfVS+WD6ea8XpyJMwCdMNB+10C4N33OxeYeSiO1oxITWD4gmDn2YQBu
FfMNb4NOXd8f2e0WvzYlBRadXugtBUk2uGbDvXjWq1XYHtPsExEeooeFzb1kTIoYILyJM42HyGnM
470zIkoHz2UJaTTMaNE2owcS0/vDm1m4y5mUM5RW1I4gY4NFI3uJU1RInDAYQX+A5lsa/b5v6/bo
Xk2l/MrqrJYYaelGJwXAjFj4RveQ46UxLGkPzmz6qzFJm7GPG7szGOyMxQfQAX5aaGt1idT8Jn2D
o3VlRXJEiKV7cCrAiiDfYsv51oXZex5qB+2VPVVGQKL4WcvRA2eObSCsBQ7IW+90bXz6+8UBGIvS
1Ws1xK6031zxa8j+8K3yNbgJ+IvWPkSuXw/mi9+3ijAU2UiiEzTLCr9XzfiltTThR2pdrruqLE5V
2y9lkefWDaQCQDUAbgk2UcktdhkZBxFzehJMEV4CZPs+s4ccV7KyZGrOgSB9MgV3yKAgTL+eP8uq
YzwKGnriRpWQFbgpEM1C6w64XzymHlmTRTX4Jaui31TQilyFStQtcQjOHIfptWQD1oTcB1rvr78h
g7azHg1xeoqEiL/rsQu8fhuKldpz4g9l3SwUQm+SqlhUCN66gO+h6we1B2nQhc3csXd5euq73Ne0
ENyPSG3WvR/VYpWO6SYJQ7+14pMG0rX7R3/eNkB16PJApADU0fVgq2YwzNFU0xP4jdl74oKcf9Cr
/IDvTCH1V6rgilDJqnLJd64KEVRVEW3vf8OMc0UYj2wksuY2oO3S8LldJhrp9fRUuF2VrftxNF+a
rgYOyHFpUa2pZSjM1/Mqj4MwTulSB8+cfVyT0E3CZ6CzUlpvboc5sfIxOSmDDpb+pGIbs226N0WL
0ISC9/lBoYRvbCvTltpsZrYaml9Q050ibhBqSScLIj2DmrZtduKNGp0LMLhtXF6HQV44666u/lQh
ChttSjbgcIHbQEEu9nqxh6TVGruu8lM05mAjw3O2yFq/gitGf5G6sLXksQGEgsepPrX/4aUGpv1r
Y6Pm5k3X2+DyT164Euj6ZxLvl/SNZX9xbQRFgWsjU0cuLQnku6B8QOqjDu47MCIm/S8oVG+JnngM
nO73t+tNZvTLJojd0BFhoP4kN2AkYU5roYeQH+xfhflI9Dpw69oDIGWtj4kHitfeo7VdrsxCt33K
/SyvVqWTN/sy+9PGmq9vQcTtTjksnF/p+IYkUVPe4FtihHR8jI/Fl7IGkFV4l90ft3y1yaam9b64
espBtGmbQsMsUeimAVaqUZeIg+Sg58sEVNgU1CtVsJTJ+9MtqbB6FJn15qhRB5zqSKBYow/MJfKB
7/fHM2sMpw5pOB35hK9lvhiP67QdASI8hc4pfe+tPTfqNYnaDUl3Ttku4TfkO/RraKjOgUEScTFK
WNezh/pwx1MX1kj2FKInER0lbNQXjtzsEuHuRFkUjAjgaL82UouySU07Th8yTj7NxB4eFRsQ/vvz
Nneu0X4ETwKGXVB8S/uA0rgyU70EzA9OJMmO6B1AeB9RVP2WeqnmJs1GQDWhVHH/yEmuxh3DMkmg
VmXs1dDPP5fECea2wOXvTzfDxRYQAIeRRFTpg60GyqhvcpBwOWzYl+D8EixZ35+4+dFAo8NBgRaj
klbHrVhn5i18Va9YEMBAC2fi+l2+SAU1+bzLR9i01RAZ/teOtNUAT4tIqkJshLGHtGg8qnDfbr5V
EVgZwmyNJIvXl7+adMkxzm4MEISi9IvyKQKa69nsGMtKTuGLcvSniMan1Tea/WRjEtyfx7ldbv/P
jhyO1h0puBnBEeUotcXnZqkcO7tOqKUjQwxwNKpP1+NwUqRngBhIHyr1WKb1ymV76i51ZM1uvQsj
098vtl5HoZKrVTiqaQ6l8J/UZS9qCnqBluwFVxaoub7Uxm62xIU1aaOD0kCIdph83bDOoZVLUaFM
I1/9KJuNVWgPw+icmfJisdGPxBPlht801a50VyPVAvC0ZfVT1u5AjuOqEMt5VgqAZW3u9ZX5fH9t
5+7zqR6E1ndEg4ojTUuMxkmrMTD3IJt3yadmgTIFeRFhe4TsGv0tSp/uG5xd7AuD0sw4ojHQJZHC
myHs4m4ZJMCj58PCs3B2tS+sSEcDws52HyuwwttfeYQm23SruK8m8NCl+JvTMbUOoGEGoityHk6n
A6iBB7jnzg7/ddNt1/T//s2U/c/CdD4vtm4S9ni8V1DVE2WxKiFHH+hhCYoHM17dNzTrUCykMQH4
mIo109pdGKJZ48SNBi1GN/kMociZir2AfESycDrU2dW5sCMdeKWIRWQSXDPQgO074efdoY8PYOHa
lHW3Gpgfsh9Ue2tbkHr3B1eURzuJnngJxRMk4/uiWZjgpe+RDkFdmZrKLUxwH9g02QrTfilIgxIw
6II4Gn7vz/LsCUALCB73AE3fvD7Trg4t0hU4ci7zIEded6OHysN9I/Ib6+tOmkBogLdMJNrSAcj1
0hUjmMEhXS++V9R4gijHuoC2XYG6DSggbRBF3rd4kweaTIJGDTQuSEkDEC6d7DFFatzqYDJydPQb
bbtsH0I3woakfHWwiiIwoIHlNIhafMv+uG98buciDJtUuL4YEaXhFsIdMsJy2CaPZOx2bsEhZ9b6
udIu5AnvW7p5AFkGaUitYPXUsdrTnKyd+km45iNeLgv7ZMmSFL5AgpGD7xKWXMYPujucWQSkNt6P
CuTeFxZvbk/+b/6QG7g++S4QbDElDLKvYPgX5LN2Hvv8n79YIwD00N06MVnf2FChrphlOGVgeDYM
eoiaY1pUPhubBY/8lUCQb9+Jsen/LOnXozFrQiJFQ9m7HxwfUoiuV9hQSwkINL/UxvoZieHI+nrj
ZtnjkGh+ZudPNiseKbh91VHZNlDoYW9pgmJlhFYO1d6k4oOKcTsojeuBFnuH/MSI6hl0FEdlKayb
P0jIT5g2qCxuKy4ij1jWxvj8XIxvial7bbxBo5/qQAHA9BsC7SfTOKFOcqAR99DNsOCfZzceKmao
myEgA07uevraoi0FCnc4TJBO3qiJY+26ItPf9VGtTjUp/1SJ5ctxACcObBwSyWjOv7anWlafoMkW
mw+y3YGhtNaa58hAirLStvf34E367csWKDanzpmJc0ra6J01QN8d2feHInzs0Iow2k7hF6x8gRrP
XnGGNyeqoeLXrfWsebxvey6MRjH/v6alXckp78uhUoHoVt0CjUGd7fedtqRiOnuSARVF3vgLeCct
HorHCWI96OCaZTWd5JYflUWF4bkdgowBANaAukzcG9crNoYK4pEiRHib891o5zuUj7fIq4E/UrUX
iCLmpg1qVip4G0FLZulS9FOkelPZOcFDXktfbMiZakXzpxi/aVdc2pB2oMZJblExjSdqfFBu8xH0
sksx6eykTaEVum8UdBdJRpwq0zKTufBKvF+z6LOEhC+N23UCqu8/32lgn/6vJWl5BhdLYYYOLOm/
HVT8le73fQNzm+zSgLTJyspAu2WE+YqVDdJxXhor/mIIszRfUjzRUjsJbRuj4OSoMySJ6uPQrTUl
X//FYFBCt8CRNcUvkh1TFJwrJQbj1k8F1O7r4W1RlHd2E1/YkOKTMHJSEAVgE+fkrWti9BAtQQpn
Z8u2TCwLysG2LLvWNZzVTpairSctVnXDN1x/qlK+iqylV8JNPwBOC946aFZCFhSE4/J7HUw8Edic
WriYBiQLGkVAR0gKsUyzcwHT0qL0AKk0xaesJoER8u9oaDm2LKkPZpfGQaGAS9c2hVc7xPrzjXn1
adLGtEnfJ0ODV77S1b7o9xydsMJZeMLOTwCg1eBqhEwi/N+1+4OYaNb2LUkeFFTLosLYJtGbAK25
DiKE8B3S51a/J3YHfG7pxxbyC4dEKB7Vlhp4Zo4h2p7xjECkAfysrPcX22qn2AWyDODkXHOyclPN
14u3Pz4eV0akG3PII+dLu/dhQGor1odV7KCl1lYWbuaZ/WugegHudhMdcAgvrueU0T6G+mUGNw9W
/jYH+rkPCLayni3N2pwlF1plUwMt4hsZqxNCK6m2CCzhO1YVoRDVgvakfTBB8n1/6qZvluJQlO3Q
u4HSKjCQsmeJAFrnhOM9jYx4HGjc2Nt5V4CEovlAMqzwu7iMVvdNzm2JS5OSo3FLK+OmimzEABHi
MhyeJ87JaJH7ZHYOLSCYgTTVp4an69VKazXKR3XAaglNoIuQttuq29L2bJqgTf+LIUEBBz3PaNhA
duLaVjiA6BaCDUhKD298y8zXpZrWjHOelGfQqAicI95pkgE171hr8og9MGrlXg7CF79366X38czK
XFmRNrjCygrUPjFDzLTu295L4TZ5Xyw8T2etYFVQVZ3AhXKxwKzqSlXHhD2EKtKK4zMU5h1eLUSy
040o7WsT5eP/GpGGojEaZ2gSwF1T2GI1ivRFEbUZ0ImENzYKtuKkBUnZmCy8IOcHh1w3qHDQkWZI
EXRC23bsXGTZFbWH2FnVrAqOErm9pKwws7sxvv/Zkfw7mnGj2OowiXmZbN38ndrCc4vet7sFpzfj
IGAInD5wfQDByU3SAhXnMa5r9gBF122YcTgJ46QxbdsRVQU7+VKn8ewE6hMSGzwFk2b59VHS3bam
dp0ziLBrazyMA9L+btgS18Ncfg/dq+AwttDZhYhdiqjAPj1qrMGwRB/BiauRx9EkaKfKkaqpN4AV
XTg/RGJ/j3jo83FPrW6dJsxLX111RZryzcmXRj67pBefJI3cdKkZIn/CHvp6BXkdJc230z3WtX+h
c385dhnSqBadMwxgmHvowrc+NLZqI5DuKvy8X2ftkmLgXKoA3LXAtkLIZgr4JddFtYZjakv2UAyE
v7cZS3aVUKnfocHHJ1mWPzml0z7netStQH2ZBI6q/WMII3mqutz9/seOGqBqDWJhkK5DvUg6Nlam
siIZsbs0U3sl0AH1ShsSp2kU3Ldz08iCABSPQVtBqxC6ywB1uN7GDsgsRpdgjsORiaktsYXjMfMa
IrFPNeA8StJAuqLddIbuh8rGSH9nKAKnLyl76umCL5w7UhffIuMG9bFLWQ996YekwasOsATaF6si
Wwg55xzFpRX1esQgWtCKIcc6K+k38H0AON0ZG938WKqaz2EtLqdWBvsXfUaRmwc7AIShAfyqN79K
KEtqno7ewRe79Now+B0uuPW5s3k5OMmtG3qTNboDd6GU+ipDFSCDWH0FRR0gkhZ2zhSXyDfXF1nQ
BL8C2EyaR55YbkQUrFZXPdlNgJopHNJo7tVkpzUBJS/EXqWqn3QvC4ZnasT/n6XoP4algKnUBe7T
WGBe+3ANPkHRrkZoJPVri38VBNEz73UVWzgps5tz4kb6j1VpZsu2ZhGFlutDkVhgfmi8MAS5xtJ7
aNYKpC5AbGUBRSjDWaMmG5oOvXIPbCyCCLLYrngj4m9OAArdwDhBkxoAnOsT0DU1qa0UZ75VP6le
b1K8dBqwchBQty+Rut1QCEwOBsod6CgHokpFVe/aGFq4MtKh6ebBMdoV19QdUDLbaFxz68VVdqHo
VhHYwavPhP/FglngLwb55dRqJHPvxYjfIztusoewPIkIpTeod7AlI3POZLIwIe4nQIkUvpm1mlmN
7WYPtW39bIXy2pTdus+01xL4rT5eCklvokU46kmWE0QqKqgzb+gDemSaSRL1Bxt65hDSUdQ1Rfzb
qIcI8L+o6RfmcM4ehoZLBjwQSLUZ14vnZJwlvejFQWvd4t/cjtHRoyrg0kBtb93l5j8oXzlb8LCP
/sIhn7zHlXfBSAHsxIMIPVugBpBuY6WCeF+tCHHgrZU8ZiZNn/vU+hYbo7vN0/Ss6NXPFm0/D1Ap
6R4ouJt3rp4vkcHdLC++Ar4NHN/TccGb+nr8IofMCSe0P6DlDvnYzxwsFMytNm55UFDovz/mG989
CYE40GoG+xqufFn5se7MtIxSG4vbn/QuWaWGeQQgZhvn1sLL5vbWn0BQwCoApoZH502ejuURTQcb
pvh3Yy+OxLf9+C16S48goj2Rff1W/Gh+DM9/PD4YnfiSoI6INovJr1+UxHUy9lltO/1hAN5vEIXv
gjFAI1BcpksIlZmphNOZ6F+/+gzld+4wNk5bZHw49GnnudWeceqV6jFP3+8Padr/0i41J46riVwG
OSxXGpKdFZYKZOpw0JJvUfU9Wcpz33pPLBQgkkh5IKeq3HhPF6W1TE+d4VDU8ZrY74ma+8CvgRgz
f3BYHlBwE5LS9kftu/h/pF1pb+M6sv1FArQvXyVZli0njrN3fxG602nt1L6Qv/4dZd67Y9OChdw3
mBlgcDEpkywVi1V1ztHN7fdXNyuJIQFFhQePeu7AxJ7lJQDcAR77stNFBcZB83qyb1tZOCsd45/o
kIER+ZrfuZukpMGk8hS0orbRO/HUJOJd2Tap3aB0ddvWQjwDnz3qYnANSUF993JFQCkTVrcRtlOv
Brcb9NodqrHBzLJc/E6MRDyUOA4fSZS4uW356mIHfxOK4nhYYHwOcOb5l505f8yMhNJCm4IqH+wY
4Fy4I3Qy/oURA10kIOhwu/OFP1ERoPgtxzQQsxBy35oDI7L83RRzXsks+ztTA+HkuJVQqROVrE9o
0OefGcjOJDxOoHFmrmzYQuhFUWzmKv2aQuArSaUcqU1fizTI9Q9D8DR0xfJ8Dzy4Yw5rYySzI3Of
MT6t+ZkFjnGMkcyHd3Y4miJ0IfR+WYDGwraooueBFXuq/E1F2ZFlR2peen1aScKWHELRMIaK1iJm
Yng0zDQSocZPQQjWUztUT8TMXdRKVhx+aRcRbkFWhiaZdkUdZ2HmKC4TgwYVBmQyYVO1ymdOq/u+
MoIxJytnthAO57YimJxBYIiwxYXDUlSbJmsYC0jSN5/QMgCJJubyzO9fJDMzNZCoMwoeV9jlcbVT
rpepqtEgiVuwr4IG5NQAHnEcMkR7AN/lFeDSUtQAaNzCf9AhQIvg0p7SqaMVGgoLJFL4YhUosfAx
NHZjZF5bM6/VkpXsZ8EfkQvMVTmwYmOVXJhq094yMjUWA6Z1m1hiG5JhhEp51dttIW/AOIvu1IrJ
hSgMkwZmykHojxDFmez6tBWKFCbjOvY6q9hA/Y7Un0q9spcLDgkQMVhRZvJtXGrcp0aZgSKW3oP7
qpVAhUJT9WcJ6QKv0mNzK+Qq2JlYWK9cZAsHOLdBMLaMsapZkeHyAKmuJS0xZBYk08lsey/MA5Bj
2Fao4dkY2wXxb8fhpc08t8c5TIU3uKoROIwGgcQNCzfdNl27ypY28tyGzK2JAuMblioLBm1n5CdQ
D24seavnd1W3pja5EKq+NNQMcQYuozR2aYqAxYGUtKAB5qi2Qoup4mLYNGO4giVb2DU8oRAN57G3
eXz50kw31R2hakUDOkmpnYTNaRI3aT8EXbXW21wyNesbot6HYIW5oEtTRZY1CSkI7rAZJZW9COCt
srVWdk1tjZ1gafPOTXEfVmlQWeklmMq1RymTbNwsIVsJiAu+gHk9tOE0sKdhQJGzAZ4aUezSiQZ6
DwJb9ah+9APmIQzwE6w8CBciPEI7GgYIFGC9UTmvK7CCGPIDNAgrxRYwYSqzz9vfzvVYEZ6MSM50
1Lwxgohc5vJshC6WpUmVsJioOpXJQxj5IJuoxF0zJpuhju3E2Gfi822rS6cEUBRiH/wOAZdLdeGT
rChiGVeKJlAwXzFfUbLEhg7l6V8YAtEdptFMqNnx31KqpEo0Glgd3CGCwHTa4CVvpZvbVpY3UYOJ
+fE6iy5ebqKpjw3VBZxTVaYuFf5m4a/RS47E6XeDcE/XpmQWAixaLshv4RnzrcyZ6yIU5AwhZwEm
HNxIxLBqYQsZ2NjkfUPpPlbWyPQWPmAYxKvBBJsCMIicwVAsWZy3FQtUMG96ZVm+JDEGJkLMWHgV
kz9WtnN+53MJ4gyqNUFOirwDNi+305Kj2OinlgV1rY57ZRZhndA1dIwMPNAVIFM2VdPaTprYDLJk
UnxFTMhRh/50YyfU6oKsYGTlxl74FNF6RxKEsWeoPPOoLFliApW7DskWVCaRo0JRCSDq75LPIomD
FXgQFK3nxjH3NaJ8TKKo7lkw7sUT/RPat3d2IdOxkMKpYBOZJfz4Il0nmqB4KEekVqGxbULgih7N
/CM3st0Y5iJwHl22U6Zy5WtfiJfAyyIDMVC5g94v97ULPUKJblBsnT6BXRwKpPSxILgKWub27Pft
JS694c+t8W2sselltSADfHVvvNevU2ITz3Tpu9k75W5V8mdxR1HTwb8RZBBJL101nGr4cIsdbYwu
qGTRB4LQr0P9mfYfeX7Uwhegmu6U1jWYW1cBJGTkMT0Au9xZkVNoj4UYi34Cyv/bu7D0waJ0CUVN
PLRQ5pq9+eyJFTOdAVELP1KUR1W+S8fUVtl9Wnx/s6GkDMAF7icAwhVNvrQTmY2CAVhEIn18Ua0n
Az37Or8rm7+a1L2miepA5DDU90L4/TckDKNdB05KKEUCKMkZLlifGVqNU25/1xa01pHemoOja5/N
z1iz43YNK3d90BjimMX5UMoA7x2PMKGiPuVZ3SDJFMk9YiQasD1OsDr0kKyqx11aSaOba2uiDdc3
5Wx2niCZEwF0pS/XOVpsJEaHUKjnb4Ky7awnlqyE2+vbZB5PQawVQbGHOga3lU2fA18Ww0RJNpQm
Lh0VW7VeLcowfll64bfnfA3YQ8IBcCOKXGCmuFxSb+StoKkIB2Iuy36povOLF0z8U6qSlQLNdTv/
yxSE4VBMntUpuUyto0ydcJWwoPoAJ8C2EHq3V9tD0012V8fuOOBJGREArOJgau/Hrj4V7KCruVOC
OwjtfhCc5Gtg9yVHgsOa+F4whId/XS4/QzFJikGcFUjFD2BObOr16InKfhsdOhQaV6rcS/6DcA9F
MhQ+UIPj/IdFtamnusiCsATLyV8AFPu1Jtr1zYin85kJbkFovzRhpkrY5PFtYL+V77+HAAYCKgfN
QCD9ZJ6RtSt0ndTzWxkT6J6mKPj04v5VMJLvAo/gLOh0ImiiZAmIPBfLOnCQqVmU4E2O6WZ922PO
ZFc199M20k+3o/P1hXhpac5/zqIzMw3E0hqW5Fi2U6n3LCtxgT0KaBS7obWSuSx93+fr4u4CFdVD
iQ6wlgr7T4hpRIqjQdlM2N5e1JKnYcAMaGXUNUC3x31rDdUKrTNnNyCpG+aVW6H9N9E13qjrwZH5
mACQQd1k7qionEdPldYgh0F1QUDI0BN7VHqQv1OwVMS1O8Z/iNU8SVN1HLNoqwh2m1grd+sVVSZ0
Qy5+Aefw+HZJiHQGV0GXekLcHuaoaUXWnmYeXjG52L3mSeUloSvnGxAyTeLayOniXkP9GfuM0asr
XvOwb9Vx6LAHYnVvYtag1A7CGh/nog2IoyCNQBUObdBLJ9WEIYd2Gyoe+viLsEdgnlYL6EuRA+eI
aQb4C7ou3HcwiqTrcE8gS3EHv3m57Y/XKRBO6eyPc25fqCAgZyb+eCfss/Kxiu+YDrzm5raVxU8Z
I2kosSEHQkHgcpfkCO3KKgmR2zZ+CG0iIRhLO22cfvRuG1q6NvB+xZnPeF2M5F4aEqkRSl0FQ+jr
3AkxO+Zh9gls/6si+2E4PMt43dvGmkTQkhOgzIHPGhFk7hddWk2FfMhGMRODCgKIaXMnyEeC+fh/
sbQzI9weamKKORotFYNpsF7B8bgpp8EDNYFTmbJjZvKmMQyvKLOVgLUUF/GOmzuXmDnF6i7XltAW
xfqxRrxvnnXjQa97W1GP2Nk0xXuhebu9yKWdBGwL7RW09tB25oKGnFcUzgprVje9t0IUCFN7KIR0
d9vMktefm+EWRay4q+u4EoOEbMBHXKRBSlDPfr1tZckZMSjwhaLAXcnH4MjKFHScG3A/+7l0L9e2
Tr1hAy1aso3ilXC7uHHzcxWdUcy98xMttFb1epRxfWkyasdxBFXVNwvXy+0VLe6bpc90cDMRET9Z
YvWkbgGNEAMz8SlQWoNyNNBpG7KVquvSakBXAxIelItAG87dXk2oRGnTDkhmECTUmNgSNkxKf39/
NedWOGdrCLQP+ngUg/HUt5+S8S7Qrfxt3A6uQWTWeNejEmpekXInGN8c8lIUAyrvKd12ohP226Rf
2bClAAsHQ18GmD00QecNPcuVBJx+RakiAjl6T7AGtW+dKXKsgW7WO5NzpLksPIGSf6YZx3/PXKhc
4YlMMgpckzAEjCFl7qYstVPSTE+3T+eaYwM9GRl4J1wb8ASVHz3Bbwc5NA2HoC6C2ngfiReWAakO
pvxDkF4h4Rime/qpPozptiBBAqqPnB7Mp0TYx34JYFJmh476W+ndNl+5ZRYqmZc/jdtukbatBQ2E
IYBS5y53H9mWej/Eg/bj9hYs5VAXWzB/j2fHmmYWgagk7HRgKmB3Y5TaSuka1oYoEKK1rR9jdlKh
iPiyGk++EpfrQ/7v7nM3aYajV8YBphsweouQdtxqBKVnW5b2WusX6Rs0SaV3IQbzcuiFhZM8l8JD
5YGqphFy23pkOqqt0SHzmbqRrc9O3jb6oWF3Ef7PpQ3Nj5f0sYps0tV+K+yJCfA2s0OyErC+Cg63
lsH5qmmMQ6MM1hCAlXpMIDr+YoaSLY8vnaTbGTotBkSRUG/qY4+NTkw/y7u2KL1IeEzSbYYJ8rTc
mdO7VsU7FTyv71L9QIirqcTuKhWIODdnmaP1NjFfUuFvC87lBKwS6crd/9WBvLWM+ao5cwQ9ngyr
nqIxUMkDmoNT5TJFt/XIn8lnIFPplC/xR2E3OwOspoiXPRiJj1rp6DiFOsgxIxP7iXEvOFn0Rk13
sHbQzXWz9LUUnVoPumNymnbRXt6oYHiz+g02zcaxNHupeCq98kGAACU9qifTOhXpSybcT+K2ssen
6bWW7CQ7DvcQyyplewLsTz6I4dECbbu1sVbpFeeYfLURmGwCIdOXggV3nhU1hXZCySEAYxZG/mjR
bvSmZrsCNIqOORE5SMu8sCNFP+a0GJ+Ltk+daaJrQPMv2pfLH/Kl9oIaNGgGUTjhvg8pH+p+ALlr
wOAumMF0JG14HlDvRmXVYU0XmJ+1oUL/LrXLWtrklr5RxJ1Ff2aaZaejspk0m6LGAkmTPHHyMduA
Y8yfi715nNm1aNe94HTbXm98c67sAydrFkHX6r6or7S/V9fCbarcl3JdWTHmGoU9jR3jXfMFfBbl
UQmibDNFJmZwN9PkW72bFKDailEtRmuy3GXSMT0qBgR9/GSTDNsyc0LZHco/pRfvUWA0lBN0i3Bd
2Nq3MzhsP6bPkOzMqg88x2RcleDG1osx+KnuHpSHb8fdy7/ObUiixHhU5vjrUBHCWTReIW87E3Pr
0MFGN0OQ7q2BbTpa/OiVQwsKfKbHa7XbL+D7lYcBXQPaVDxokH9ffvNm2qRi0acjJkroURCFB/CB
2eUYP5SZticJsyu5wfAywliJhgGVXbF2wjDflrL12JvsKR7oB+p3d3FjEjsf2ruhDn10bR7DqMCh
OomkuBGwi4JnTZJP2LjpFE8xA6N/HAnGoQ3dib5LBQuqvpnQXAFsEpLWV0MklagMRW6SMYDsA2Yg
U7csBjQ7NiF6HrfP8OthcrV9Z6a4D7RqJLVuomZE7qA/NhEBaBczK6V+AivIi6Ilbk4EzH0brqjQ
u2HM34escsljF3/mbWeDbcYfzFks49fY7JVCdWRt2sqFv/Irr3MpbMg8YYAkB41RjTvkMBrMso3Z
GER5YnhUGDwClQC3iHTdJUKXHkohvMfMOGJ+pm56QavdToWYr9BSCzrARHJYK6j48PreqzFQ4qmg
oTjEEQH5xETIJqlN6F0XBeosTMeTsdO9Vla7x9vLuNIV+jpX5NKYpgc1BTgjLn0VwAfQYljtGJQg
fTRkkD724AkVSm2nsmHbajvT3E70lwpJwPiutlLPtGwijZ4p0V2FTGbMfsk1W7n8Z6OcB2C6Bk08
NEGAKeR1N4GQA/Exw7j2aIaPxNp25UmKVK9vCx9jqfUQxKxbyQwXjhMmgQOdW5NIWeXLfZhq4I2t
TITJrHFYugd95L9ZFHQPoReHWwUD95cWqs4YBehfjAFBAhDH206+N+TcaYdtjp5zvy/pylz29dMC
SmNnBjkPBUQS5N4lDI7QikpsExACbUu1zbD2xS70JGdLEKHDh4CuHD+L3UDReMwnbJ5k+GmZ+six
7rT7SLxvP5rXIYfaoLQSJOY4fuUhZxa5F2CYm2HBIlhMUr91yg/Mm+8gsnL741g0gpQFA7ZffWvO
J/pIzUy9lEboYod2QX9aoeAlxaMSD7u++DmsNQIWvf7MHOcgRC1YVcZYU74b70QdcnDtTkghA7TG
qH9dDMBxnRniHIPKKq0zCkND+iKXBbLRP4ZwAEnXyje18Nq6NMS9tnroOhSGiRipvBfb/jP8UTjK
XxX4TrtdaW4su+DZmrgHVy6zDhhymEofmgcFIhKb3itc3Wv2uECMlU95bQO5G4qh7loZE4xRp3gE
jH88gkXitu8tvCAv947LZFIFvQWjmffuGD8Mnd39Ht56N96LXr/DQFv/tmLvOj+/tMddBFmsNW2J
XCLoPIAD6pdiq2zFQ2wLOw0TxWtUD9d1ogtrfN+O1JNVqgYd0WPwh/6+neCLa0MCS3fbuZ/zwwvJ
0HdWIuL7hWpPnTiFD7kdwlwWyFBJ2uPlHQfC1vRE2zWGTfxzJfwuLhE+h14OBsEBAr6M98KUECKE
CL9AI+zzFpF+kmyyBiRc9pMzM5wvWmlRJIKAjzkKGCQ4PrvSnVBpGLxh9Kw4cmiNyB9vwG/lrKRA
awvkPNQQZClN5ytTzTZmuo21rcno2mew+KmhooxuGIimAIK+3MWq6KO0G2Q8F8gOEvMHJShzW3fS
Y9NBVskud/lGhATzSW1WXu7LEWXGjEEoHck1jxnrwK4CwWIFLopqyCAzv3+3tHJjkMDMRrC+AnVU
/QBnmjOq4Up8+Zo556+3mcAGCMcZXcK/UXPWtVUXarje6vik5ttWfzPyYauSAxOPmgLS2eh3o9pq
CjYs+U5KEleNgr7djs0znX+c9UO0vEj1v08SC0lPcBSg8QL8EOaBuCgRJuUAitgcwJPksRr/Cuwn
HV9XItGSX/3XxtWQWConcYe5G+itHzTdB7eelwfxvW5PPuimTvqTPe6U7W2biybnZBPsXxgT4XmD
RIFArEfCsuj0q5Xvp3KrGqfbJpaSCQzh/2Ni/glnhSBDGeS6BwIrCF9Uh/mdbd1P+3gtFVvKIc6t
cEFHA6kUHh/ZhJD3ZFiZrafCluUYeNG3jbhrO3+VDOxLlpP3VfQt8HRAzX8WpL5cmFyNBQGrxBSA
LGNT+tEG7QXjvr7T9pbT+MN+2hsPyW/m6dvoqOxub+pSdDi3zUUHoyCmxhgBpmw7oHsCdN5ef7lt
4hp4P7s8uv7zBBEEWfg+WoECkKS2sNG4mLf2zV2y7fxsazjVVn0UvMIzV1oCc/p1taFnBrk8sBAz
deoqGBydyV5jPlrcsbM/zuV+rVKMRtoV2LFiBMS9PkrT71gY7nGCK9/U1/TRrXVwHj81IQ2h4zIF
wpNXP1bP7Sb6BY6l3WCbO+Yn+9rN9vqu3k3b3Jff03vjR3hPg/ZhJTVc/LYxVgNaFdCbAq3H+Wca
qp2cYcUa2L3vc0GzpYqsXVPzmVytVYHGBjQHMP3Et69NzCNWynxmlpe8dE/q3tyAcNpPDs19u+sH
b8Un50v9ljnu6lVSPStLUgHl+Lf1racOX57iJRspqPzxYXyP7/NfT6j/rlz4i75ztkgu+GeE5Ylu
zY4Juv5xg3FJp6ifs36liLdi5utVcRYpC3EifanDzGD6QvM0sCNT7+laZX6pzISxjH+OjB9UA9E7
8D1GCTO1XxSuua12em3bxIXahivt2yfVhvZd9qBtIBV7GvbS3vz/7Sef29AIUsJmX2M/9Xdx2sax
ZGdQEM3VlXRi8Qv4onAFAAIDJ/OGn20o0KKiBZnQKajZFkOk6GPTNUDqYsw6M8FloRDBEtsQBf5g
slJMp95L2MoVn59j+bXPz0S0/1kF5/NlUg0pNbGK4jTWNvmhyXZO7sjwiKm5T10EahQT8ytGr0R7
UR6Dk/zXKOfyuhHpUt5hXaieR7bymx3oL3Pb+GDB84w78QMJr/6R+nvlB54TQmWvUTQsjIOd/wBM
mV+endr1U2a1DX4APUJLfd86+h+1stsRxRwbyPdf/RpB+W1vQUXs0iJtm0FMKuwzKCFMYZsk0GFd
ueGWwxdcUYLUKDiJuKMsIkFXGw3hywSiQ38toqf6AVzD9moPfzGJx1f8jyXu/MSwHtuwxSeWvY57
sOF68q7yQ79ywFPyr4Iyki/IpWF0D1W+y40LWxaLet8joMjuURlsVtrK+3jP3qzI1g/Gfvyj9074
Ubp46ZJo7bmyeAOdWec+8iiMiSoY8NS0cCDiUv6FWJu5iz4z2UaV0Xyq/7RktZmz+FABWc8/a+a+
+6Sp5HrAyA/m1NHZtKIDZCCVdpceJ0V0zLyxTXoi1i7K32L9txXHUIj2wnGXdB9ZRN4i8pJOw31H
FZ+ugYjmk70KF2e/jPOxGuRbpVrNp9G8qbIAnqQNM2z5gySnKHeyf/dSPd8KztXKBJzcTBrgauFG
qV0Jt3Lt7NCGx3WJTo9N/ENVuMmztfs3gfG/K+VrKVKopoyFWGla7/KHhkaA0r3pjRcNz430p85/
DhJSLvPUrc4aLOfGZ6a5WNELFoBSKY5fPIV3+ql1wObuVJvRNe3anfaNLa9EjsV75szgfEmcXWWd
pYlJOIpTEJml5NbCBFRiKCgrpZvFDOTMCpeBJ7KUUzkdsazUb2RbwtvCyvbq6kt33p4bPso3CjVa
ZlnUz6EWzBE7efhRiMdeUu00tJVKn9vypXBU6LByq82uf8ssF6iQ86gizbE88CZljnUfeqZPO7t+
u+2YSxcJMNmQR0FTRQew5PKsirCJ07xjU1DSxNGn7VAha1yjgVk0ArgKwHtguIKlSyMTBGlJ2ip4
uct7q5Ig4XeStTVwzJoRLsrFJehUtFDGE1d5jXrTFvVdRx5v79aSZ0O9/p+FcPEqrdQhamXYMMOn
MP0tQOjttoGlgHhugDuOsRmBk5BgAPNVJnV6aO9UG73eASgylQCrrVxIi+tB7QoARzTBAVq8PJi0
aqVeKmGu2gnOGjXE4oGc/XHuQKZYS7MS2qBB5qMl+C6svEC+ENv8FzKDhf7vx3OHMVcjp6nG35fv
Cvs0HSfIE9n1Kf0lnaLnzvmL/+HdPp3FUHpukj8e0zTHzpDwgkxewAOEwbxw3xm10xeaa7ZgiGo/
QXdG6FNVNxgRFMGu2vQ2jX6s/I5567ilA4YyLxxFPgtY78tza8JI7VJDxQeVJ4XhDJpS/TLNJN6n
0LmPNmqu6dRORhFDZVIuFk9hXKlgr0gladpljWH5A3DKuSuotZiBlq0w95pGpkOnWX2EMbFqbY5/
6ffOmFKcFmLNFQbKTM1c6MbZrVvAhElfCB9lDeFSObKoQ0ItDgymrIFBFo3O0QaqUgA58Q3PSZ7E
BIzveFENL/L4y2p3daXi3fOnUp9un8eCp884cjxBQJmGsYv5n59deAO0WfIxh6VsUlRXrWPdT+Wm
dPAwsFa8fmFR4O4CazoIb/H25U8+UiqhV0VM1UL7Rawz4DnZAaJcoXBH9eL59rIWriAMu2KYBKWS
GcbAeTu1GjVs1RCD94P4hsorRq2s+xmSp5T3YspcEGmcbltcuNMBsYIU4Mw6oVg8MfaAThHg7ZII
JIMVeQXLLNeEuN2uBwVcC32T7b8wN28kCsqAzfJv+5iYpBwJpoctUGYqaJIInbrNRPMzMpq162nh
4IBLmrEsCiDsV6yriVlAU23MpUAtQ5AHN048MScDkl1X2XPTrbWcls5OApEeBkYAFQJO/9Il6yo2
9A4D7eBSYl5C/a5tLDeBRrUZGfvWIO+1Ln1+fzdnghfsJObKQRB6aXIwIlEMC1MMsr9Kofwtuhpy
Ex+SrP39F3ZwZBg6kYCF52u9XdIYULTtpaCAPEFGfwGo3kl229Yrl+PCV43QgZcviIElQF+5BFOS
a41k3QCixTJ+N6zKG5nmgv50xQmXGvBADwNeC84GBa9S7qjKNmt1DCRJgSxU7KRpRecWeIV50iRN
G9MajA2duvbTtFIBNLlDtBs0c431ccE7Z4ngmQwL+lJX5Aq9nE1Rgl5hYGI8tcsGLzcrz4yiu86S
N3H25/YJLr34L8xxkUVS41KFfIUUGKnoVGhKVkbtqtNvhFArz7Y6LiBdjZyJ6F4MIdLvJ1mwDp5/
jDhitlHlHkQTlcKagI81KKXSNkJceSzcjpaJcem7qtrmovonF6oVEOzCB4n7Glw3M+4GgjycUVNV
2ha7D68l8TMUdckbGZSdID6XWu4perUydbp0oBrmGkFgAYMglr78GE2JxKE1YGAXxE4uSTFcHlaH
pM68oo0gqKqFKwX8peUhcQUEdxYZEnkWWzljslhCcjyIYoeJ6IRiHDCq74YIzNHNIcUAy20XWlwf
ZFQACwMRO7qwl+vrKO31Ej3noGS9PRMfWwctT/wCU9mFvEbONW8Wl24BkfOPMb7YrbNxMmujlYN+
APZnkGoAmvCoLZIkfuiGNT1FLimfexPQElWRjwMRhquQi6MS9PCSdsijEy271mdt8zdjkfq9N/ps
BNc6QhswxhAN4wHwZp0Ko2CZ8em48W+fzMLPv/jL8uXJiIIloauEvyzYkrPy5udZTK9+NheTjQ4c
n0iN4hNN3oDm22nqUXgHhTkBT7yVM09Rd1r2XMX3JKKO3NxFMhB9utOYlnd7lZxLfP0QZETgXATq
Euiz2T/PUj5RKto2jdv01KmpHyd5tmmarnIqxQA2IFlTyl6wphpQsNYAC4FS8deI+Zk1IZQgz6jK
M+88s4GDsqV4cMV4w/LNt5eF9FLTAYQFyBNc35fLojWkWPsmTE+mKQCANPpWwX6nZuYYkbxyvfLE
CPMWahaoOedpRHAW8cQIWpGrJrQY01OSxg9T9aNgW3F46vPtMP3WMKQL2elUOsoYh2eQVWSs24pC
YjelT9JPXchXEmt+Ruc/P8fEWc6QQryGuaWTopdoKw7ZiSKn2iZtShTbgnqqXY3x3kot8jhNBoCG
VqQ5qVSagBhAYWIcMACCrYydSGuL7e3TWPpN6FsD/IxaNYKcwT0skHTEFMxY2Skcc1wU1jEz+w3F
LI38XDYKOLy3RLebES9AU4ztMGZ2rq8d07zus+A37wsgiXg+icCE4CE1R/4z36OTlsdQx8pPpR4g
77tPMyhjbWN1Vxq7VoYbYpZbF9fmwrjka7YKVi4kJBaGe2ZE/6XVLG8isxpwGvqo2gk0wI3qbx+v
aScuxCokkOB5BNfBTLjLrQ3RXGy0OslPiWROTg29UxsKFGvUxEueDkFIxHMF5NZYGBcsKjzVQ80c
81MoF44ce42G2mHc7YgGdgBiVyV18iF2KiANJKiYNGYw5H/QwXabXgD64w5F65XvnG9Zfe0vhIdQ
8psH5CHtcbm/eqxVWtjJ+SmP8ycrNKFR2Xxoo6cR66OuBoeGoS1QnyqfDXG7jK6Ez6WNn5G0mMoH
n9UVPaMgjEQfyrg4EYiMbqSJUk+LpLUMfiFsGmgMzs8EeX40c590mqpklIquOBVD7oDsYkfZMyvS
J6H4V+tBvmWpgFTiacLdS4OQFEOs6thOUnqtsOuitQx96YMArT6a4Zhzxlq4DyKR2KjISVKcmjIS
nXbUP8KpT4F3BrhvJeosfPFIG9Egw+bhJuBf4VnO6rKvK3KiWzGJnVH3MupP+ilMHnv5QaDP9dog
7cLiTExdYaQf1ROIsXHbB4gOuPhqHFQ2yJqd9INgW4KyE+WX20ubs0IuluG6AX4AqT+k33iHqKwy
oiUG8gDrfO52SutgqMyxXrr+kDaPDTDkt81xSer8kV2Y43L+sEkNllNCTqJWZp5BlcHtq+4zoVMG
yJAF5Iv5XQzQ/9qc6aDBqIgz5GzqQyuFEoPNVPpkfe5pauVo7ASp+pWLYY4Q/F7K+LIwi4diDVKG
ywhShWEhqHlLThEEGVPLk+hmegEtHekKW4Tgye2tVJdcBI8nOAfep3jWcAl/SMxUjceiPKU5iw5K
oiabEA/VBxlTX67ITMxVRuLkdpEsbdDwVL26AY+zIejUJVE2eeogAsepyZXbCErraUxUbL1WLWdK
Kww4TSAeBZVg7MqjroHLJS0DsWgl3wpHzCFHFaqWetd7DeKVB350cNdUNNs1aZUe2jrRQAeUyC+5
xAwnxKbY0DFAEI9i8pjVUr5tiikCWZf+Ogp150aCHO+zJq/20AITjy1Djbg2+n4le1g6IBCe43BA
job61hyDzy5uSPnIBf5heaJqgUHxUCIecv7J0YwUoM0il7yhMZoXK+/X/J5/3385IR6ByMSBRZsD
yaXpmFlg0wBDzqm3KluVnEGSMXe8G4GD1bZZk7q1OF93lQcpyN1tR1mI+bhRZvY92MX7lzNdCSYz
6y4tT6NpPpXWK1QCT8Yck1fcfymUnNvhLlBZ6+VSC+PyFNaekr2Qo6gKKCa8mwVYgIbf3ZqQ7/y7
+c/t3B7n/2DUUCMph70m+WkOjyN4w619lpd2Be+5vYVLnxo4QkC1AjwhSEs5xykNMFB1pkVOtZyo
u8FMZBBDmfd0zLvP25YWNxH1ZaB8IWCN6c1LPwmHosxJgUWpw6GcNOjbA+iSxndd/wHOh7cyP7bW
yhOSJz748k0olqDug5wPEg7cwQkoqEnKICBAxq5U7aIkts3mV6I+j3Jva3m6iQrf1DJvVrYOwc+G
hDu1NR+PabCp76EqgyxbTtzOOlAx3+sAavUoOojm8+2t4dtb//s7MXqDshHKVXxFpYtNK04tBLwK
qkC26ACKWjYOEu1ogyHh9xZzTL0dNzZQlE+3TS+dCpCG/1jmUg1w1ZlJqGXliXSmUzFgGqvMZW22
FczRq8J6I9bxK6qzK1/UkoeDvAiM08jZoOLDebhZF1KspFV5MknmtkPhxORvYn3o+XNqPd5e4VJo
PDPFM6D0VUmaRsbeao3S4GpIHFXKxztTnypHYQD+Glo+7C1glFc+rZU18mWXyWoVIrQlYvJEnhiw
EVQ6VHXlTsl7vlZlXTxGMPPjBQXdcHRVLj+uTCE904emPMVhYlf1sWQnBhUdMwVjRHI/5ndis/Jt
8WPmXz6rz1SfyOVAlserjeOlJVd6n1UnJhmgrwf7BNGKwpaUWnWgUUsDa9Ai28yYsEX7Y/K7OC69
2iIUDGoMwp568oeNwMG3tdr5pjTkPgn/h7Mr240b2ZJfRIB7kq9calFJsilLXvol4bbbySVJZiZ3
fv0EfedOq1icIrrRD25AQB3mfpY4EaI/mXjiKQgLdxzdracC3bRAwwOejnfSup6g3tep6Y14pejo
g6aIl+XZ4zPYjGuNgclN7ZWPt+7VJdxCRhYktAARrOx5s+CzVopkPJzHcCcBuxXR4Tr7+9dXp3bm
fLQyil+3vOZgDJ+K8ht3zpR+cPIPuXnsQKbisUh4R2+va+I3wdj6bULqGs0wS+kAAfv1wDpR+RMO
kUjaWcS0uCBv8am1/NDOvFia3aeu+CmsCLLOo3qRvAv8jzO/TA4Qb+AHyUA3kUIIvTi1fHiAal1I
xQOoWEqN7FwwN6ceRHUWmKMd3C1Q7iGr9dbn3K3TXBMJiIAvBupFI33y+scG1Hiyzl8BTN+FnC+T
fjMzZCmGLWocSHZdz0xqjw0YlkfMTM/6Y6pGBP3cgESeWc3gMjP5Q4p3D8zSozy1jjM9m/lUHjOr
86HiTM29PbLssJvPwWUA1lqC4GQNxLE7aXSFJkRiQzpZGqdGBpSdK/JQaeH8YpEpQj988eP+ZbvG
5/6+FUDHiFIynrEljX49CciQTe3sVSLRMwPqfUHdGA/sJ0/BlsvAlSvGMpSj90dRHYpqDDSPPQ3D
EA5ixuuvfWVzGtuSnQQIYMBR7EGH7/73bd2TILtEWwyiXbSyrz5POBpI0cZOJIMYAMMz/VBr6BTY
kEI7o3HGD6DGxE+01+xY6+pmJxOyboD8PTtYCWDcwaQOtevl1njnprce5Lq9SorEAN4RfDJjiZxj
7rHuGzhDyscBsmgstNRcAa6Reae+lyD88HsAONs8N0UwoSvqotsN+yKqDjrq2FD9I0ikxBA64O2P
NahJfbs/Y5v+PYrHOEvwoyCuuNys777ZzXUGLIWOfWROD7UzApRPAYaB2zuwuPxkuZeUgqbFDod5
j4x4XS79z3yBfRDvzMJ2vea5Nzhr6mI0MV9fiwsPPPxnhTncoH81xr/trJ5P9GcVJPdhxy1/EfqU
ei5A+S9cfJuVF05NGvtuYHjNs7/n6d8+Ezgl0GNxED8tQtSr21TyRlZomhJJ5oG5hgYk/VnuMpju
GVm9Rd4IuIpT4LUwEwYMdP/a0CcGucReiSjPTyV/s74R57GAv8nRwFjDCdV2vIUljLi+jBAdouCN
4vqC61gvpHQkmn6mAc+hjQpoCX4fnZ93FvE2lYVIELTLyAECeYHDfb1RFxnTHnpqMjHAvFPYMuC1
HaAQf85K0HiIUCNTKPXPNd0Z262fd213+fu7A6KnxSAMEOAlrnuZ1cNoHG3/mJMQEpH3R7i1jsgK
QhXAsEDGoa8ur7K2PK1ilUwax0fslHY01BxLhmXL9pTkN04eBoVnHtchUj6Acl4PSo1aR03wQSUV
U49Za0N3pgkIcEEaw3MlxUnk2sWk9RnFko/3h7lRCYFtvFzwcBCT3lDbSDpPcswmmfjMBaWvgKNB
9NQNhhJSZKMdjnKqo8bNQazUNDyuRiBsvGlozpCVE2fR1ns5jhtnAm/ZonkFeSGErsiDXU8GxW3n
TIMuE0hQftLc/MXtQYKTkh+1M50ruzqRccd92fDwQMyFjN6CbES8vPauHbOnvB1qmfRNHpO0DH1X
nKchQRrdlFM0wLVGISYszDaqJqAf/ykhAK5efIC3kAXiH/QnrhIDVteWGapP2GxuB88S8JuUu/Ac
JgRrO+t965tfm1q9iuh+rOfCGDDWev5jHHO4Cr/YwH+hA/hhJipU1vCIPrdQtydw95SXprdDKHbA
f9FBn3IaxR7X3dZBQ6EIaMJFHxRTcb3eXSF9WRAuEzWzQIdQBSqx/W6P4tawIeqzZG+hCIyY5NpK
YfNi7JDrSUB/eGyEGTS6/5ewxcmQTbwzxRt34wLUQAEGCwr649UDZ0vdysbOV4lHtVjqItR7L+Et
0CEQhAjnXnuta60JK1k8uenhvvGNux/SsiCjQYUBNPzrABxVh5rMfqUSn77W7o+J7HgoG/OIHA9Y
wAHWBsHpGv4iTL0a9blTiQ6UqwnGxPnJ5E9sr7V5Y1NcmVldAqnddcIxYEZ9tSL7Y/d6f5Y2f94A
JOt3Kg7l8uvdoJrJ6uZuVgm3hlDn8VT8bgz8F0bgekLqDhVmQIqvjTQ6ybiQo0pm0DPINAtzlOCH
PUa/jQVHEfdvK6vNJjsGMqoOVlRkBztv4OZi//3b66qOnvWti5VQSV72B8K1ULd+SfO7l/6bTfXO
ztpnYnom+QA7c3v2oCaiAUnl50dR7BGvbL12v8GioLRYAIHr1L1WgZgur00cTQ70Q4oMMwQw+zLI
tION8Bldhktf5RHeZ/rW93sisNvzuRCJ/8f6atvxrCoGyWF9msfQspBiBJrc67WIQSri/uZbln3l
Azq/33UwUyFltA5+qtHOaN3wBpvP1Q+W1PhRM/vxZANuwgdDBCoz9ahAbvDJNdgY37e+db5AtAx0
LOR8ATNYJuKdlyYIAQLQrJpkUi90Ugfe58E81TtWtt5thEiAdC1oUoAaVj6aZlRNZ7qiSWQGUiAh
+0NtQdhBJ+h2h+4C09BzdppSefbdLspn6+A42un+SDeAU4A4QLacABIMf4WsTrlJwDhheKpJKod9
E96TQwmKn3o8QSTU9S4gcAlEpUXOYAYmQROiNOSjNoP8VrFD77wa6V4yZnPuEeDAZXUhUuqtDlNK
Xa8eWdckGbA9EE3sOah+5p2ExzKqm+31zshq5hkkDC3N6JtE00AijHZnb3q21HePvRj62dgDT+0N
aeUieGluahyYvURrRWANHXRV3KQ0671Ds3U+l9jwv1O3dsO4ruXwxZukpYFdvfreHLTm12r3Glpe
r9vZ84AFQK4IkkOr163XhZ126BlPECUFbWfGLD1LyoPGsGNQ1N3foduD+tvYaoNmZQ3tDgZjlfvL
978x7w1VawvJ4/tmti6cpVhtW/CyFgT59ZEfJRRryTi1iUR8pFc/eudrD6jgMB714tVkl6L+et/g
7elfAJZLogRsz5B5X4fzmdXPpsO0Gl67DLOhihpHBtJPF+ICXz8Vj3knjw40OxwgbbqdOPRmSy7G
XR/KSiBRQJ/QarjexFiGJiyRcP8NDl0OQqamN//pnCKvamIqfQPupHUjdM3aydFn10XConsBz/G5
cw+EHg3tYvE+SveQqxtDurK28iR4oXXgxXMEcHqJQbtwsLNAmvNeALJpBsGOv/RXAW+zmjlS+TSn
vicSqSEPQwZXhpzIh5HpWoAYDMToVm7HKQLNU4k2kqOpmWiu4J11UBPoiXtNBkjxDFG6VNvvb6nN
TwOabIn6l06Z1VHxpdcUaU9FkoZ28VPNr+4erf7NyV9W9J2F1RxPHJ1iVg4LTYZ4UlQHC/cld4Kh
0Z+s3a74ZSqv7plra2v/rZMOU10Da1ykKB/oZzuHCpXnh0XtPel1HyhkF9s8DXA7SGKc7s/mjWe6
sr5aaPSlzWiAJSJxNFoHqTvTMCNiDy6wrMl6jIBuLXpjyF0azrKm71wN0NByr6cYo1ceZ3HKnVOv
DSDJKlH62+uqv03PYkh45iGy6MLtQDLx2pglJshJj4VMnMl9UKn8SdQnORixKMKcRYoYcTMN7VJz
i2VuJvfn8zZNtFhf9OKh1I0Qb43AqCZ0P5QKE5raaWDWv+zOjmq7fU2dOhlz7akn9kM6sBfA6ncO
xs0b8tsyqgyLcvctm99c16XhFEwmrdSPbdUctO+q8Y+9mZ3vj3HrBAJUY0AUAvoTaI27nuA8VROf
FRIhOlddxKRnhamnAJNANXFnTLfbE2fLx+OL8glaHdbVib6behtt9DLhM5/DkUgIj7qtvTOgPSvW
9YDqSnP6NnNlMproJQykjO5P2MaWRHoSNTcP7E4AHf1GO7zb/xrnLt43IpP0FZzx0OD2goEfM//D
lFqhSw+jPHgliJ8+37f7W4b2+tzBLjbiwmQJmSqyusnG1ia50WSIZZQJrEwKt9cZ4TBlOsTHCm6Y
qEa7eciLYogGsByjmd+bTmiMgHfQ8zcAdzXwgCjxYtnpGKtKf52rXJ0m0dXhoA/lodTkQVIdXpGt
v9Q2S5+KiVgxQaQYD9TuD5nyjEAj2h734fLltyPDAUfB1b3Fzsyz7D2Lp0ihWCrOVRqbhnWo2wiQ
uDbqWrDam92e0tTtLbbM5n9t3tDyW3TwsfGZSrQv5Vvxh/+5C0rEDDv+xNZmREEedNc+BoeQ5Xoz
OmhyKLxSIO0x+4C269CAaGdd7sQGvzN26wlctHbQlQwaeG99S2qVqjmwGApcBOha4l/GqQmBxjaA
tkHy6NiKPHI1qAmQIdJZHTI2P6dzHrSDFnrZD9DjY68YQVmHAtnegn8QwxldBUdNyK/3N/HttYaq
NTwQuI+AxdygVgurFCjtlyopi09gamBv1PrIjQ/3jdw++TACjwRlEg+S4muRT8AVxtn3kJEz6UfZ
zo951oddaj8g4xz56Y4o5u39CWNgCAcCfSGfWCMhKupX81gopOegqGwW8qTnFK7VntTwphmUCdGU
uhR/1sWRtMUBNRtdJW3mNdFcexkKPpZ+QpP8npDX5vQhjkVtHVhLJOyu96yyqEIZwlBJYz5kvh6N
1SkdeMDZF9buTN7WwUfFB23QHlkKMStXIsukZPlEVNJl2s8S0LCFJHcIdAVoh4FMuS6+6FBJub89
No2i+IMmJCCn0TF2Pb56rhlaHJATIt2RUtDY9FmQvRp1aMGHKcmx6H7eN3iLJUKuBC/r/1qEGMW1
RX2GwKJWudiQR+PMteiLFdqH6VBEkDSI6nAMVdDG6mh98kIa37e9tZjvTa9cQjq4rShnDYupUe2T
48vvqdFGQoG7gJRDFZfM8nYKXJsmfSTBlvsOOfHVaBWRrMqX/IwsznbMcYW3BnoyjqzcExHf8M/g
Gy7csDiBCAnX+8fOfANlQyRFpvEPaA/ZYW4fzAJ0es459ZyD1F985ex4MWvmDFwpMIpSGXw/3C9w
aa5XU7AGRbQsbRIHtFd/yLf6bXrLP1DQjpB4DKevphaR/nx/GbfeEYAnEf3C8SZI1F/b9FKztYxa
NglQFwDbtJHRfbtvYetUuLgywR+A1DnwENcWSsXqyjbGBq7uS179MTYnjt4IP42NyoohEwF1tb0k
09YTjD5xoJhgFZ7NspHeOVKeVuT2pCzkzZgDcfG87o7GC/dVRJj1GSHjzsLtmVu9xQ3jHaHUbhK9
mQIKVeZemge9qL4r68kwL9C12Xn8Nw2itLpoEC392SuDnNVE64TRoCrlzAfmFR68Nq84FlVVnvxh
bOO6RV2MFlDsur+YW68FPMQlUYPaKoLr1cyCzrgBURJmtukWhzRtDozkZVSzXXaGrZ25NF1BERkO
iLtGovWpHCdFszbhUy1jMKOA/p7h1bg/oC2/4b2V5SvebRXLmI1CB/NX4nIaZLkT2+kLY28QbtlZ
s01DeGQXbNfCOr38/Z0ht+0dv6VdmyhdhqaWRlb/lhlfWn/P0Ma8gaQI/JhoGMX2X3vzmfBV0ZK0
T8wyn2O96KpnQlnxj5NmkM8BihEyjEBkeb9bUd4NB1oYQ8p63ia459+AAUrmNDvoTrrzpG7sNyTl
liY4E1QuyOdez1rJoRJsCdImfVYFKKsHmDULLHD3N8HGwwIMMDptoR+DzbBuIe11m05+VnZJ6qZm
qHVVHoqh+dUDXnko0YQI9hh3j1Zqc2RInMF7W9JT/uqOKvLSNCDVApvZn236wSqftezz/WFtbDk8
IqjteujkWoD815M3CbcZPQDekkZHIYwPjhlpAvjRriBO1ACStjONGzvPAsgD4T6qsQ6Un6/tAT7k
T2bqdEnV+PIwte581kVtxvdHtbVYOEMOcF9LH/JafsahM6FuMXTIEs2hQdVjPTuh9WJIkHHwPTKz
rZh8oUdyEdYCnYlusesxNaD1SVnmDNBsMsbntAWJla8pM0E3JiTKEM+GqfQH0I9p5oHrmfnQm25/
UEVt7lxUW8NGTQodznB+cCRWJ0HaOercJB8So3Wro60BF6+MMXLb6tV0iw8TtvfOs7aRlQfEDrk4
tHqjp8xcd6/5jWga39b6xJ0zvJ1AqEYKFP0HXxQtap2ifu7aSo/gW2jPeG/EpWQgCBl0NI3oRCt2
PmfDj7j6mtXToyGZNPaD2ydjq4vIqmkb964PCfjSr6KxsLKHDszVUEJsugejZ3vIoo03F6giOBPA
W6NZa/3m+rLN6rIsh6TCQ0uU9wdpniB5H87tr1nOp5SCMPT+Rt8c8DuLy9/fXbFoxPSZB6Qr2o+b
Y91/k28FVaelk8oKRvI4pV/u29u4LpB2Rfc1soKo9K4f3BodBxV16zGZ/e9GlQz+b003lAN3xrVx
84GQDtlHtOxs9NxZpHcclftjks/y0IG5BlW5h8r4en80G1ZQygWbIiDlyA2u41oPuDvFzWFKlEMe
LQ29xszmsdY2/s59tHHr4bW1kSIBgwxB5He9TPrQsrnquznJexfihTVpQDhmyh3H69bKAjXwsfvw
6uLf1T0k3WGSfuf0iZbVAGiqwN6Dk91OGCwAT4vgFa0pyGVcj0OmTGOMYrs1k4x9ic4IQvJQk3sq
4htX6mIIPhBgBfDt9JWhAm5pb4ztkOjTk2alj7Kun905f1kKfWYg5m9V+hcdfnTDngzW7QZHlWqJ
QyCFjcTZOn60M27alDdjMv7I/LgH6qmLDGvnEdyaxqWbaBGQwII5q1NrsT410FY7JmqSUem1aGKu
w9b7dX93b2wHAPFRJIEMAFgO1zofTa+ZhLFmTnT2QQioKM1/3jdwe91hK6BTBb8ONjaEGde7wej7
XLkV0xNF6iEWuW4jh+KOH4Hui6pS7yMBbtl4HJzy5Z8b9pDVRPQG1B0enmvDpHEMXsyZDqi/F6jp
ADZtd9bAExlmPbAJvN05vhvrhfovVgr9sMh0rjvAMo8Wg92ncyLHLtCHk1v0wTgd7w/q9vFGMgpw
UDT6ItbGDXs9qAIpKtwJ5ZzU06ls/kwtOyz0D0tK36l3TG1s8oVCC26fRbDJ1/r1E7QbBstXMzo1
vMPI+5d5cKOhdY5Em8/3R7WxCW2IyiH9jAl0bXvlkiAfrLxM7/UEipp+SDo9jZSSYufd31gg1OfQ
Jo0zi6D+pv+VcAOgqFFPWDmEFU9mJkOS78zasp2v89wLAt6Ej4MKCEEte7VAmdJa0C/riSzjaf6g
FV6YgV07tY+W1YdtSWNT/35/9jYWCiRnLg7vgntCZufaJLDgtCgcTU+60UkPeVMWoZYPc1CAyrYt
fH1nsTa2IEqqOgJCIBBw/a7OFTWkbUtXGkn5rJwqlIQcKKjsgGcaqz2mjy1bIOOBQvsSDphrUAwI
bX3RUNdIkInPsjFqxizMivSDMC/Dp/uzeMsbA8IPkB0YgJf7KOb+VhF/5yVZk9HlijdmIiBCSsen
VGMxH1TgKn4U+p9TA8lwBoIY42BX9RPvaaynVTwP4tylxrNg/UGn/pf7H7Vxeb7/Jnu1mzoHzbP1
KMykEFk8Z9FID5r7AN7M0nvr7HbngGwkK5f0GrJrSBpiddc9mmPqzSjrFnqiuSfOyoBar5ni0SQP
pHwutDcUedGpebg/xo3Dj+cB7Kq41BYU9nJs3817VisbNL+VkbTllAYD6Ue0zNI9PauNnXRlZTlE
76yQ0u7J3ORGsoyrdtC5ZbRBpeaQmVNg5TuEb1vWkFDHPJqIfEBMcm2tRMorLWRvJI0BJXMRmvQJ
bcEjuCabnR2ycfiXuAqipki8wgtazZ7pFEIHQbGRgKgzdvK+CFKZ90FnA8Ja8b109sZ+ROrExG0D
utiFmft6XNIZqsGZqJH4QxNRlz2DryN3Xo3+D0NjT9qQ3N8aG4Ej/Ef0FEFTGJ1L8Liu7Q2KFLzi
QE2YSKjJ/nWuf1lVG1aQ2nWceKy1g0f/7Ori0S/8x56Oxx37G7c5/FckcvHYwmNePxk5abnrMYnz
V/6ccvZlMr2DLPWz1roPgljBBBhSoawjPKdDbujfoeceMrc/yzohRHvLDumjeEHH+f3Puu3xxLWL
OVnYtKCehvW/npaO96WUBMmDulWRxWHT/qi8BCLE3PuWQ9sQqX8Pharir84PGFonFGDa/K0Xc9Do
f2WDDY5IEVF/78O2LhB8GEC+gBZCBXq9XpChdhggY5gvBC+TYkHOpijPREBIFy888ZMNghc+HZvO
3lmrjWsEMnWA38Dng1u+xhoacuB26w1m0nVQpe+1HpTNlrZX5dg6bmjIAikUyF6WJtLrmR8Gx6gA
XzITW34ehzxyIHKvAAUAjXd8f5E3rpDl9wEMBzbs9i5ucii3e1ZpJhVELIuSRUC7gOqHBRnId4T3
r6zBS/Ygee0j2L0eV8lGC3wnWLgy98hBOghrGFphD+OoecGIlMUvbUirf+5JEBehB7gPASBCqvna
aOa6RUrIZAJU8dmpSAR4NGTBn4a2O7rVXtbnluIDhwZLtrjPS7yzpiKxVdq1jLpmYmhzXINYuwOH
jMuseNanCEQKIXXFyc2eWfbdF/lDN/wUxmmwQEEyDTsHeGsXITECagLE32g+Xc326A6GnM3ZTLzp
7Ddfhv41J5+m6nR/B21asZGyIGjCx4uzml6jn3wytpqZ6Dn/aPTjk6XK+uh47Z/Ud/fAKreYd0zv
0tkEyj3UJW5atiY3L+sCN1ZSNsh8qyNkbYAIPzhN8TDqzSeWvVT9D+HHbQcVMV+PTd5GvCT4fxIR
udepuTF2nFB7iSZ0pAas1cMxV8MIHl5uJ3V59EdIQ6GfwxlfwWN1f45vm0eAE3tvaDXJjDpWxaFn
n9T2RRuAUGFFNHUaxCzHR6sqPk3eC3hNFHQKTD8G+PFz2Wg7ZMfLE78KOUDiAkcD7zKim3XgmZN+
FqBTsJO5oizO2ro/0VzpIfTr2eH+cDcu2fem1uBRQxWZLvPRTspaf9RG/lqARfG+ia2VW3pTgPcD
fBNx5+pSsMGKWma2nehV67w0Jkq85VBr53GchoO9XwXYsoclRCYJUSH6S1f2qhL6hwNOT9JPVayc
NnLJm3DsiLU7ha6tuXtvaPmQdx6o0elFjvsAcyfBEFNlweDtuEtbGwFHHVhJ3HBoIli+4J0Fr1O8
H83GSVAMkulHnwA2vQNc2jrmKAD8bWM1XdPUCKKXyoGBMZ5EmDZnXysuBm0Ok34WJrDEs3j2edSN
H32nf+jUB9G9DfpBoenln++U95+ymlB98vqsBHoCLySPa7MJl0nNfBH7e6/+5sTikYIjbyODtU7Z
T04zIWbExHIOLrAKRFBvZr6Tl93ydZHIXijSUSMBN8XqyvJdKUEAQJyEli3nQWE08DOFg9QmUX1U
U4s9mkb/0tsl4UC7Z2eLoiWl7oh49Ox0r81g61ig2odDiPrbIvR6vZccv7LqqqdOMnbHqrv0zaPz
trth94ys3kEw19FJgu4wqU07IPOFph85zcN/t37vBrNKWWQdMHZ67zuJKkRQ5n/YYEzstR1vZnOT
vDOySmIhk1ZmhcKMueXRHE9Z+tIXO2Hl1hXyflFWB7zuWMVShXFgrhr7x+DtUehsLQhWHPTr4IpG
t/LqNaM+IDa6r9wk9X8oYwYc9NtsdYhaf/3jo4tCyu/rHcSZSA1f7y4Ksqw+syvYSUFd1VQVVMR9
quK6yCS0VeTeuLaSO0u2FLUotHoCybfaAUQ0rcqhUJMM+jezKQKbPJPhUjXVM4civAsy3GJyP2bu
MXeD0iEnrz33b5CFyrq42iN53phkHxTcv70TKL2sU4SdXc95Bc63hCJ6K+sXTVEoF0HrZa/XY2O7
XBlaHa9OdZ6A143t4kJ1IYMmUf3PXQ9sFCRtgCFCpn1dQi9QwNdnuqyjCWHmHGl1YM7oy7/YLO+M
rHa9s+BJUybdREGumDyS8gLqlOEfd5eDTBiYGmRsURUHImVlBQzJrUdF5y7HF2X6AOcX3OU7T9ZW
yQogAEQhOiougHQvUd+7J7oXbepMyHUkkufT4+DQNw38ZVEvAfYivNLBoe+DZhDRkjgbvecdi7kA
2TgwWXvinBvXFeJKiEgADQNQNlkdQQto3anuOUkM/404kBlyD3K3ULZpBMlwQCD1hcBo+fu74U7Z
MA6StAQp9zP4nizzQpuP/3x3oOHg/0ysx9ExURg1TPgWMmyp8b0TXzuO3hdjB8K+dWzfG1otXWqk
I5ppJEks9a1IvWju31iX9N1eGXjPztoP0Ci6OroOdprzPDifSjY9iyz7q9d3HNK9xVld9k7l8V7R
mmDHo7V1DJrUC9L01/3l2TGy9iOyYeDUqAVJch2lZrQf99lDSaP7RpYpuY6AkPtEARgBEEo42M7X
24x0LXX55CMtSRw9xr1nhm4xWbGqZz/M0LWRZiw9pV67lw9d3bB4T5AuWVg1dJTswbGxelZSl5sF
9oR5qQQpgFqj9YGl7bwzvG0rREd8gqsJiZLr4elFQztSKPPSDO14NDP3l1tlu/IHq5X6z1jAmrdY
QDu8udrfY5HPXWt3EHlRgOQEqs3nj5Wupo824DsxFB+hU1s6MRPQBxC0KR61mg9BPgIbmI6Q9MIV
bT0I9KYGEKbaA82s447//TpQ4nhI4PgAul3PgZeNs5LmYF5SMMIqYgZm6h8L1z8PRhWV/EKd8nuX
dZcGbQ7esZIEec/Pqjx6UAytyY6vvsrN/f4YQA6w0SBEh0rs6uRomp6X4LGDphELu+a7D1okVR/p
BOnrYsfU1tqDkgJAbrywqMqsxp2y2WkAzTcujeZ0J5BqgaqhGMVOWPe7/ebdCfo9IuTFlp43JAHB
OnU9vbxSouw7hi1WcvNUz6Z9Gmjan5wR05t5lf4yQwQxqj32paZYZycd9COSY2ebFq+gHOjOnTeM
6MZFu6PRSnkYzZmFaujRR4BfDnJFmwAUNFrktdw8TAMFgRRF4d/zai3yrdk99Y5wgqqSRoSmn8+O
VZTntDcoplX/2nSjfSi6Mo3/0cXxe9gAD4H1BZ4hyour8ytJXfTDbJsXSfP01Hk6vdhCFD/stPk2
lL13cg3lRSNX1s61uLqx/mOYoIMFteglwlrtoLTwrbplvnmZNfegqHiu0uogGvWB6NPJYuD548ZO
gXNrJ8GXQD4QwmfwQFbxiZZ1akxtbl1SZJwDlj2MDWja7s/n2r/5PS4gUZEkQgbCQNvR9T6SIMDH
VY13vquOU3OQx/Rz881HByANIPb9566m6jr/dmNwNaq21Y3OpDCYW2PAytj4UwOJ3nf3E3r8re/s
I7OiDlHyYWecy8+uz4uPmjTo2RaHcZ3BtUVBDNUTlKHpxz6N+AfQNj329gGaJsazc0Sv3ke0QOwY
3VpBkBvAUYU3bOAuvJ7cprJBnI+CwaXpuhCI/DyLAKlx9C9gGR4f0OcJ9sz6c46eeZ7/Qsfcjvnl
mbkZM14fRC6Ad8GhuzY/1hTCYwM1Lxpo349lbqsvlEsyh7YH966sxXDodXeOZ89ofii2tGoyUj/U
zPYitPV8qjQDnGlGW8RDVqnHRo2f7n/h1guG/mDoQ1kAeOAeu/7AzNfQlqrl1sUQ3vxSl00XmxYA
K7WF7tf7prbO79+mbhr4immqfIsz6zJbsQvZDtc++yYNOl6f4RQ8mvXe2i8H52by/29s6Aq7HtuA
8FSZBcbW2eJhkv3TVOoHCBw8o8vwkEP+FJAIw+KAB0xhOshQVd//xYiXEjrI0ZGfXYd6KEQCbWll
FlRlvTpoZfNV6HpkkvkP4QLFm8/sWGV75Ctbzz5BjAzpKji9YK5fvUuuTkeN5ZC5zKyHYvSO1GGh
PZnP/vyz/cIS2VqRNT4xIi6oSUQzPkSS4TiBwGn/+G1sL5x3PMILPwt4lFYOEmU+rdIZoqKkLA+Z
80ob7SIzN8xi3j9PnR6YQn/QxQfmnlT54lb0I/P+QHF+5+nYcD7gdYIsCmuA1vt1j0FKWMMtezAu
tH7GSuP6oUAaQUCI/VX42d6+2zj0sIZGWAB+cO/4y9/fRXDAgMlB0EWrEvxbjjEeymo6eqL4MkC5
wxyQhBRR1nI00XUQOrwQwoDqY8momo9Z1cbarlT71hMDKaX/gKvMpdZ0/UX95KZlrUFQEv0vn2fz
LbVpQHn5ye/L2Jl4oEaPBT4bz631xayMnVtwa/bBcrcIEC/IuLVcQ1e4Ltge4I/1mnYopwejKeIK
vafT8NnYI85fnIDVmUe+6r+2gI27HqmlaoQsCraM5mH63FbBYAf+F/fRbR9QBL5/vNc9g8tDChFg
eNZk4T9AY+21sRxL73FRmBfb6gPUDkPfZEH6M8nVa62VweCyJ7edwqlNQ9XHkiaTzcP737DxvqFx
EP6BAZLahXj0+hNAyJUXdufjgDGvjdCOSkOf8L0a1roV/fdInYWzAynIxU1ZvWOmPWa6xzIEbT2I
c9ifKKq9WlAQdxWykFb6UI/q0tOob4uzjkwk+m9lNx+EEL+gD3f0cQPxATA09hMJ8nCcy7Mh0mMv
9XPO7J3jd/vMLE4UhEHQnAcs/Rpvw22BkkTRQFhUdQOirliyt6yNG6g10Shj5K/7C7BhDr4o8r+A
gS0SUas9YLm5ZqgRQRbQbH44TL4MlHNSUNzIenSFtGrCAz7s6S1u+HC4TVFj8HG7YtXXnqnhpxWu
OjQ4cuYj3fpnSUVY+pHv5E9d9+CSz/n8g8ufNouN0iqDot2T+/p/vmCB1qLf6JYfzYN8K9R6JvMC
1eg8bGaw6gr62On01+T9WRq/Ui3/xAbnTLTmL5qZeOersB/7nTN4e96XeVi6GYCGBd3tcj7e3bVj
yiuGRgTz4r4hBx2DFcOcykOXm2HnOydZJNNe/LNxmV6bXF0xYGVgZV8iAHK0rouywgLUb56tF7PN
h9ibSBnZ0HX72dhdeVDc4kCwZl6AnlH9dH/r3T6u1x+yemfq3HMzXOrmxddyDXDjVH6c/JkfbNXr
yX1TGxcAbBFEOYuniMrvatCuBmHnGkCRi0rtQ27boHK2s8+5H4FlGHT0HzI/cSywpoyxoHXo1mBK
CebPrQvqlA/lePDGH2TREgnRDoyAP6i9XcHA21f3+gtXs8FYWrSqNSHwW9Of/0PamfXGjSRb+BcR
4L68krVIqpIleW+/EHbb5r7v/PX3S8/c2yoWUYT6zsOggW4oKjODkZERJ87REeUM2oPm9GhTu/AB
PJTpB5BDh0j+gpZglp1J/wLlXcQ7q1P2tzdrCekiWl7+lMV1O9fghWY289RZnvWhnw6K7KGlPPRM
X3sZAl/xRllyyUXwH4uOAAb9GQzVFscTlqnTAgVUT7LWwNo0PJmDOw/nurTd2FDuVftnFcPRWxzB
vKMifaiVj1NUHdvQIi09TMGpSzw72PhVS26bP7+KjAtAp6jC0DW5/DgrtawKhh41Hl99+lGdomaf
Bz1qaNP8WPua9DQbceS2kGO8j/vGIYDl8j5oFWjT6NdCAvIXZUrYPaBi9KoiTHeRY/d3odN85z86
OTybn4HIflVaK3loaQW8FImaMReXdrsRKJqnz9l033eN8i+CDigkdGyZ9IVyeXEbiivf7JkCESWQ
oXepD04vheJA6K0XklfY5rPmBOjsFrLiuExcbQkgrt05sJFim4ctJdSFfwnhB1WbsW/2+q6qvVAz
XbuM3DBHEhO9VScLNlK4pQiEOEqGasREOMdJMWKRZ5iWZPlVmGunzOw6N+/l+sPY28Wui9Lwb4Bo
01nTe3SooibJ74wClu9y1s5BotR3ahpNzCYEzvehbBUvgKP2lwOhk5unVXiWKl/b+P5WIgFXP1Ub
VCvwnSWnIErxaVwpvXaSg/lY6WoPvrdTQVcknadG/vDmciMzBHg39MSwC5JlX3p5PvZK3LU9WKb2
qwrXX1G93d0IGAhuQ+IgMDeL4+6joNaDdNBPft64cVHtKhtJCbpuke9Bf3CXJu4WRFr8ycs0WkiN
iJE6ocsHyudyTUVW9FbZxvpphqLjLtPk+DHtag1RWFvx5C6O97T9ysPb4yZXucqAp0Xxlh7BpVWT
INbqaWSc6rn4agb6faWFH/3IuZu77qnqT0EwHps5etD9LaDRyhfFO1WmZgxLBp/0wr1HJ3cqo7f1
k1Orzn2rI+kSM6MNLGY0D1EiwcyKhOqvGqatjcMVMXCx0+JaZThEYN55Kl+u2bfMzvZ5sZ7Q23QT
ZOjD6nM9bVzf168EiIx4pcAxJqqZf/SRXmVJdqlQiKKPcUpqCf24CUY/R6q2pu/WNlFDuxT2f5wG
qpjLpYyZVMTxZBgnue1Pg655Vvh99O/DINyXk0+pdv6w4TBic5abx5uSuhpvS1BAi+yvlxSza0vb
OI3BLngvmizEHdmFAL+d3Crz6m+/sy3ugJVPgwyIEXsx/SfeGJer5FZomDDJzJMTfcozqEaO0dwf
pyDz8mTc6DGs2aJ0CX5KSJHTaL+0hehS0NFEMk9Wh+K3Ke2VSvEcWzpqeQaLy9eN7RT31mI7/+R3
jJNRjGYS9dJcpzSV1MK5fWqlR31+MNp9Hh2LQoMlMaFra59pu4NY9W6bvXYb2pDsKCrrAHWoEF9a
rSs7osHvW6fMH/ZBrvReb/BecEx4vcdhZ2oZ8KZ63IKhXn8TmBXEDKRNEO8teQsbJ5wL3qv2Sa1R
jy6V+K5O4uD+9tqWCGruzUsri8AySboqF3oOgXUVftWCxJ2V6D0f4c63i4PW+LtKqp6HLxpzU054
aiDz68OffRzty63BjGtf4pcQ06lIQXpBTfxymy2piiUZlvtTWcn7LHqk5F1OnQt2gjbkxpGKQH3p
SJe2Fq0a32mq3uSuOOVh/Dzb4Fx8c6/BQJfOW0FnJdkWtgT8Vdwb1N0u15WOg14ZNZLkithSqY++
R0kzokOJJmQX1ImXF7X6EGQmEn1QWjyaVTJ8uX3Ka66kkYZR3UKSFEzP5U8Yk2Ly+6GxT1LY267c
toOrlfrWtMbqSgX2BCYGbmRKT5dmmiHQ5Tnv7FMQfxjL0g0zw021p6zKmdDNjrFfEflsZkf+vr28
tdOk6EMxjXrDtZKMynhZVwbscFFlFfiKcXyBCPvRCkfIds1ha1hyzRxzhcxVMKdOyXARhRKpcfI+
me0/N6IkPQ31tyjk8aJsFVHWju21ocXV64xaMVXVhA5yVgLbe4ntLQ2eLQuLEzOiaOrADNnIn51U
5/O0xdCzFjppK0E1RE8UEIKw/+peH7uh1qVWtk+jNLv+z/6le9JmiCEPgLFv+8B1nUUQQQncPo7A
tbc4lDxLjGzsJPvkFH/5uUsm3QW7dNp7COINxgZsaG3bcHEyMaInjeZF+Ijsmk1jiuyUJX7r6YVf
e6VSbVGsXGdegqFQJ8+F0E4wNl1uHpocyH3UjXXKpU8FI+4TgrrptLGULSOLfSsTx4eZprVOsRrC
bC67pfL4/zaydGStywUOj5WkgaeW7wDR7aItAMfKSki1eAHibbzol3AHR+Hprk6hfJqi4A6E0imq
Eq/S6w1HW3HpPxztTPjw5LlKVWuVebFIyuSTGUU7sLVPZXBO9F2d6l/mFEX0ZtzAY66EG5j/mL6D
5krA9BdZ65TP2UzElk+ldTSNj5ZXaEI1ZaMWsrZ7YibSpHgG6/TyaZPLwdhN2SyfyJ37OztKd4mU
Wwfwce7tD3XNELAXiFeYv6Rit7gOrUCS5VZl/2Kj+FZDCp+HznNfD8d/YUYQbaLrJh4ui8hDw9NU
Cx8zWgInufUYxh8649NtG2uuwL0D0RlsezzoFzbCMkHgwWnkU1a1Luoned/v+/JXn38RzB4bC1pJ
jwhsiI8IDkhSpIUb5DyKbPqg8il41/qPbVXsKtOkWPewpXiwEtwg76M7KMIO9RThj69idqwGs8yQ
rHySzB+6/3so3lyOgC341d8XC3319xtFTfRw4O/P0zu7+P7v/j55ligIkbYvi1/aqMSpWYGs7Oyq
IWjGiZs49d3to1/zYupbgrucYT/k9C4XURlZWJdMByN38StFLXAEvaHkG3nN6pG/MrKIzb6hSMB5
VFbSR3vH75/w48AIv2vyt2LYqqCthZnXK1rEaLUJgqRvZfnU9s1RU7/nMJ4kZrIzpA1HXvtqCNGM
tRtCzMNe+Jc2mTpkSBgCil+4fvN5nN/rmDQP2VbtYtWViTLcChR35SX9g98GPFwbh1jd0BGcXRP5
29t+sLZrBix9EDfyUqO+dukHujEoiJDjzHmWfVdb/b08VQ9oVKbBFrZ71RIRmtom4CRiwKWlUDJm
K6TxeTK1Q6a7RsVz1C02tXzXTkdEZ9rx0HDRmLo0Y4OdCzMyn5PBmHn3rlX2EjVipUfsCMz6sEWb
v/Yd0Q0H+8nbGurLRVQrIf4oNEoIJ8uXnmI61fw3TIz8dfuUlnNY4pUrAL3cNqSG4AsWkTqLgREZ
ViQ6/NVjHkA8khgTerv2oTUeTKdz2yhwlbp73xbBeUTyblP5cW1fkelz4JEBWUTR93JffTVwolpJ
lNPUtq7efS7sZyfB1HSszV2Rvtxe8Ja1hbPMZmlCIJOBMM1Ct9bLfRPIjD9YiEAeZmnaV622JbOw
FqwoyUATLiozQNkuFyjnSVorrUGa4h/1CLnJoT+qzi/oV7xeH3+8fX0wV/Kg/kOXuiTTZl416fUE
CNFQcoyjc+qowdiCl6BywWC6BqD02xZXlycoQAUcHcDUIuU340BTxgJHhTjVVbMEJo7K1bI7qs4k
mVuoibXPAsguEZKLkmx2cX62Gc+0ChvlVEbvS/MBqhFji85kpU1MOvHKxuJLz+aocIyEPtVI5g/e
i89Ph4vs46Aou0lXEca6ox/WR3+33b/YS5H7kc8YyJwsb2hu1E5thloRZTy0+eAH/ntABRViLdLN
w+1zW9tJiP8ZIKA6IB6Gl26phL3WTQG2ENhGGsf4jFC41zZv5Mf7E2CAOlAcVCE2ukqaxPzdlCgd
Tb/iRetc+JpQ59giu1q7AnAGOpWgmikICh99lTlRh6wkElHlNMByNSTHQJrc2n6ex4034cq1iVig
4O6iGA+lwcLXc5T2JF28BUbI1tyRdt2dWjRbVK0rqxFhQhSLqBgx4nG5mllXprFAJ+Jkd9m4DzS9
2Wuz4kLOuQvsUtqIiCt+wNuG4iLKqIJleeHtxVAYWjiQS+nxh9h6nJv35Xx8s6thQpA9EgRpMyw+
Wp8HU+d33NApcDJBiPeYT00PBWyzcT7ra/nH0GItI+pVZcViT2b5u4tOZfgyGRtJ+qoJOjGiaKiT
3i4uzJaetxqJtUxzDsnnA/eXm29t2KqfwXgH8QrtAzA6lx6QSZEUhUOonDTFbx8zZuju6Zp+uX0q
q27GM52OAWGAeaJLIwPzLUailMophZJqV/oGTGq64d+1c9j8jBygtbftrcVVkW3ajPX8eUQtDM6N
MxhFlysnea66+wHhxJ1uVLFHqUemViSFeyvKjKOSVDh6HzNWoajlDjGrLQTU2spFvVmmMga9zdLl
Wyci55FiUo4idgP1sXH8z32OJEv3fmPJInlZlNN5OiCjA3oSXKmxSG7UAX3TfKqU03yoz3Pz0CJ7
mbrH5CMp45Z4hwgLV7bEy1Q0tcGTLDxzpHXQWwO2QH65RnnnTyQYieJaZXnQ9U+3V7aSRwlEAehF
BqdVGrCXzlMGwwTRCWdZZKcsP0k2kFzz29yVO1v73G1xPaxbo7lFdFfBBop//yq+K7Ssq7BmaTU3
cLYf6Uh6+s+q3imme3tda67BJfV/lhZfXtvGBP8MS71QVvpRZt8GY/DM/F9EkVdmlklvOjhRLA0k
TY39pTdrTw6/Z85GYBc/dekPr20som4wDkPS9MIfXPtYlMfO2r9rZ6/7OaQbq1nzPFJOtG4Zb+ej
WhwP4j5VDzcKqYRWqju7mfO9bkX1PSlq5+VZGTzNbbh1S14tD4wk2SbYWbA09AMX7t5EsWzFYCBO
6jy7qh/cD0H/te0Oo+Pc93rpRvPPIQk/33aPq+hPmUmEZXIMIHOA9C8dUa4jva97VTpJWfEkVfex
nL13jGaD+eC6XyTMgIUVyBHx4Fw+GdIykxz0wU5pVu0U56P5U0fYkzkpRu+CQxdV92O+UUxdWRlX
AY1cBpYYq1m+1yGTZqhBl8Mz7Ftu3BzbfnadYcMlt4wsboCJ4N9XiRqeEYcJoz3sQZr99c0ndLGO
xdb5fq9qmYGJ0GxckyodX3C5kWZcXc/iofxqrxauJ1UOj7phCs/mQ36o33xn8NcBlQjlaPIxmiiX
PtZHKX/e4iSG/B01fdf44lh/peMhGB/a4neQTZ7dv92teQQAUKIXRalhOXhSmVANtdkcnqcB9LNT
u0z4emO/ESauYqtYGHUlMVfCD5cXsXUIQlpBrRmeybE9SU7AfDSukj1M/e/bPnAVjy4NLZ9Rcm6b
UqPCkd3HPo/fL1l09s0jg4eevIXwuvZoKkGCvpzCE2u6unRhvy3M2sjOEZ9NRQcvhbPuzbcFf/i1
EfEjXl1/faNTIJkxIoX+g+xgQWoOWfbmjxMrTMOKtBYyqmVjwJ8g1OxjPTvP9nd9bCANfsi3BuSv
URViKa+MLJbS9mFCuVDLzhbMpGE27PvM2tVl8hV+o0cnzhR38GtX7dC/nUAhajUjhmV1BqfojXXJ
MNJW+WLtAE3x/tU1UXJdVkLDsC3GPo+iswN7pWHRpjpWWyPtGzaWxLb6POkxjArReXS+1bLjiW+4
6rbq1FtWFve9noRO0dSspDY/GQ3UP8qHTt2SydkysojgQ95MZSSMOMH7SC49BXULIwo2AuyS8xPs
IkVwoBJgfPi4qA1eenyjRjDlZnJ2bnrIoezwbvIDN9FdABN2lzzKXbkvusKFGeCsFF8i85eW1oe+
ycBroyqc/sJ57uRGv1dh45zrNzIail8HAwegEQBIPGyX5+nI4VCC4yrOpd4AHUa049ApZuZFbdbs
J62Ljrfj2fV9c2lvcbJWUgZKYoXFuQJ+pM+Q0W5p8G1ZWBxrknbhjK5ncR4TCILMX9HWe+E6W7tc
wuJa7mV/Cg2DJdDP7DvIeWLsSL8UeG4Kc0dZdG+OGxfp1poWt3STJDwpy7Q4a4WBAh3iwPLGuax8
DBd+IP79q7jsDEVddH5cnDvliMTlaTYeUFvfQBKuGrF4PgquWYSWFkczGVEYpGNZnCd6Kh6N2699
SQzx8/rX271M3P880fng6Kpfrgayw4IB16o4Z+Fs5MzMR/o7psO2wFDXWQAvBVIbWoTQ+WLo0gyK
uf4gMTp8zt5rSObaX4eGWcthI4KsWSHJgOZA0DfDTH1ppWlTp4vIas6JtM9K+aUq5N96cw9mfQuM
suJmnAxjcxY5mw1W99JSPjCI3Jt5cXbmvDj5SGEdnKj5fPtsVpxAtDuhGqaDALhmcTYyEyKlnunF
OZaD5n5U6uCHBCOv21K+2wrxa1v32tZi6wY7USkNYyuaP8lVfW8Yf43cyXqubBWErqojPBqp2Ioy
DFkh7bvLrWv7icpJb/KFWtIhJSPw5qQ7lnXtaVq66+XMK6rgKQ3N+6Z9vr2hK/HowvRiQykqZYIZ
gq+KrriL76u7lFQ0LPZt+tOJIaWS0nMXQZx72+7q5qLAxaA6ySIk35dLVhK/UZK6KM6NO9ovqQwH
0d2mOuWqt/xjZPlKhSACLpGeL1ke7J1ffupiyI5yC0WV24tZc31KJZT1GQ2mvr/YRHCiML91E17Z
IuerQd6/m9JqiyP1OpsXJTTIQ8RoiFBfv9wy1a6NRPeDkuyJvqCUnUare6db1t8RY62uo6sbr+/V
3WMYBH9EuQqGoEt7WtHpOSIhxdmOinyfTHOxl5DsOBTyJu/k2gaiSSaaMCY0NMtY2CSdYdZaUp6d
yj82asPYq290YGRun9PaioAVETyAoDIjsXS6Tsn4BUV5buxn+AZ3IS+hJtsiRV5ZDMUDAf0CJ0V8
X5xTG6X2rFVtedblI5yfWPgXeReFEVJCNDKgdFlehWEbS6iS99U5icpnu0hPRTj/0tXwl5FvKShc
bxnMGgzR8DKA9ITu7aUTdGmW5Arihuc4/i4VX3gV6NbLW0/l0sTiImyzbuj6Is7ONPtGNI8ZslDy
T7dtXIc5bDDvQKEWoCkucLkM1CX9voas+pz21b1vnqrwUzU82sF7LT3K8NPIG552/a1e2ltsm+mj
5yar2HOoV8iPk5fkEKney87u9rrWjodsCMkeauqUYsS/f5V5qQn/o4KfncvGcfPAPKXRow45w1ut
kA4hSUI9DCYYDF1aseMiMKV8zM7jqO/HCTbafLdZTLo+Iowg0ONAtcEY6LIUXFUEz8rkcT9Us1eM
lqsPzBr0v6Nw9Bi2LI5NkW6s6/oSujS5iNvtpLZWB7XuOTYkTxk+W6D0cIhNxtvrU8IOlJmUSin3
MAR3uX8AiyJzlFXsDPo+Y0LKgWlgE0O7shqQB8LOH5qKK77ikksoMa3srJapZ/kKr7KMooH8YfOo
xHlfVNRFlH5laRFHpzmTy9bAktN9icZHZ9hiHbo2ACIL3TCSA/pxQDEvN0y1JYWC0uSfquwuTyCZ
jrbgedebJcaRBPiT3Avw5+JyS/JQU8qmcE5SV+8T6XOQzQx35w+5Wm6Egms2G4HFArwEdwsDSTz/
LhczzUpZa1rlA6P4mbc7R/5Mw+OADKmLCI00q3e99MCws2RPP0oqCWV7Dup7rY32xtYAzbUfCnJ1
ipugeIGmLyf1ytjpZq2foTub7OFcWn2KkhFtgtqRs7vbIeMaUMXLCUcEv0ezykQk4HLVYR2DfU1a
n15IeyztX20Y77W2uBsl9WHM0mczl6nkN26f/ojK+VOhxm9+LwrEmOhRQK8OjHgRggeo1hpeOdKp
1Pqdqp2j4FOOlNPtZV7HeZbJgDjpEXc+XcDLVY6Fo2lDK1QIdf/gIDZHdAwm5zCF3zrt+21bK6eH
o9IIEfiBa/1B26grreyD6Axn44/U+oZ4UpIbn28bWfnyCCBcldyRjHIuSQ6rJmuTykiCczRW3W6G
7AzOE30Lp7KybahtcR/TxcQ1lrFeTbtqnihOg7Z7hJXlnda8i/UXJesf9OnH7QWJ7OEyVvHqpcMN
wbrC1ONSE0LNQshrfIlCnd3vMojrKU77WnOAWdRLy9+VuVHcvz4l7DFUL05J8LovspkuJGWeQyc6
Iwp9p4fz2SilkwORxu1lLXdQVKcpTzC1Lci5+MdLx4v0cbaipKPIGWX9qWqkihZSlh/kQiJ3hjfU
i9mNN35SjN5ReGHCANwP/68tildZHKQ6r9D43OQPkvJJtJTa37fXtfQ/TDALy4wWRMlgZJZXZeNH
Vq4mUXIOLcZzijH4EBjZ1pj29eYhpC64hnB0SISXbZ5osGMnmdrk7ANhs8FW+Ja6n/rh7wLGwnjY
8valS4g1ASiCPgywFNo3iyAR9VouG/C4na2GEm3sUryMrL9u79sye/pjw6Z+QE0JV1/2lKzOjuLa
GZNznpceKo4uwHn0NuEycMfuY1a7ff3t7RaZ7OUuIe3k8bZwhjlTo6y0k/Rc1srfdRfNz3GhD082
gX1XNXV8H/rmdByroTkmVbPFyLX8rMV6uVVgdKJ8AWPIwv/lEZLaGombs+7AXxG39l3ZGV+Rgtp1
w3jU5ofNpGdth8EImmKPAXEtNVPHutUjFaqxsz2rzY6JX83zh/agy5XlplISe0aqFfusln3EBvpm
43u/yiJYMO9wsMmEMWp5S/Ss1EmdPRppfp47m2Q1quojUqe9p4dUda1mKI9yW1b7RC27O6V0Yngx
x9i5z8ex09zczKc9muj9+6L101OU1cX7NJOjjWLSysfLfD4E6aS4AhO2iH19YPhxhqTUeUytZJ9K
ev0tNaR6oy5xxdv0ZysAt3EK0Pioy0kkaMRyW6ns9Ox/Ksrf8RN4x+JofoSI0X9MVK8cvfKXJt3d
dveVmCFg9UJYiUc9Ix2XAdfRfFudFY6/VH7X/a/wnSo9ZB/iT7etrLj1hZVFWqp3VpHR70nPSX4K
SI6S0lWsj/BhVUbqyls0P+bibvzPRv6zpsUnbGitFZSxlp7RpR+9Qa0DuGvg0vZTbd4HTRvsbq9u
JRCCFYH+Q8jC81xdfLR9kCSC/yc9TwVsjdz3D5m+cf2uHRPLgulJ8Kbw1y6PyUiTruELSs9FV4ae
IcfOI4+iEIHw1Hou1HR2y3or01w7NEAqBEPSaqrfC5tUkKI2yfDHzn+e9o47u8r8d1j9jn/d3r6V
CKQSA0TCRJmR8avLtU12WMlWzTMc/WaGSoNAf2+aZvNY+nm1nwbJuKfcGr6bCukHqNmt1tiqdbg4
GU7gMzCX/DlSwnQ6tDjZuRqTQ5gOk1tWf1kV+Ox630v1h7kJv+XJhseseSjJNfVHh1IZCf3lkgd9
qMCxmlQe/MQVvc8xfPHrD1tCeGuOyQ1NL4ZkHppN8e9flVHyyGitocZM2j40kNFowWO51fJf80xG
J/80cpk4XMIKBs3ohkkWNiLXugO8MCqeVbtDsRGo/oyqvM54xVeNMhhQMPEuAT19uZioD/TBycr8
PJXPURRRFpI9KLjj5kWTXTmHb684ZB2Ygm+137pS+VQ4O19y9rUZuEMcu6GvAbJuLQajo6dm+KqE
d34fPpTz1st4bddf/1CxY692vSv5+X3c5GcNEl0a1u6sHeYk29/+aq5diMcMvE+WmIwC27D4auSu
moYpASem9p+S9xpv7llJ76Am37qWrpdDcV6QWIJxhe1kGQbaqgPNWMr5ecwKpJp6V1J+VF3synOB
dmnvGcgK5234SUk+2LLEOz8BnYpMZ2ccQunn7UWvpAu2A7qIUSKNCvGVWD2CrbM1mT54nPrQ5Xv/
Xeoc2/lnlD2QIBzCdrjLZhXObO1kjz9LI3qptNqbzN9DdLj9S64gDHy2F79ksf+zWZWSKvFLTGun
T3sQT0/dvj/0h/Q+fLYf+nvtfdG7Se826aEs3s2Ju6kBfoUjXP6GxbVaauBB4KamxLz7OuxDL9m7
3df23dan9wckc/npXa51caFGdStJWesQI/fdXjn05/Ze3ysfnUPxwF33kLxED/OpP7V31v4Z9tiD
dIQ1+Mi3dQyeft9lH2qXsai7/ljs8j1swwdrI5xe31T8Pt47fAvi/WYu4lw11nEFEWp+rpKkPiTa
zPdvW7WnpF13lI1Y2zeh6e/zvN16A618hVgWNRKVNwNKNpffujansanGcX5OZslty2PVoQjrNu39
bW9bMwN7E5PJYu6LguelmUwiLZDHKj/LBmpqY4dqhF481mnoRVvlmLW9NIWYFVBfxmD+EBq+il4O
sdxGp5zPvYaszwAs2vVnzT/BpAYep/rL2NIBW8l7mYkiexJcucwqLKchZjudgFCF+Tmt7g25OkjD
L4uFxd98hth9hYHyFJbY4GygYLox/H81syC+oFe2lxUbhiH9FlRsfq7nv53w2CgUsIO/0qrdIXGN
8HE3/l30h6DbeFFs2l1ED38u4yQusItu5MEaHFTJnovwXnlw8KNC8+YO/sfpW4E2yG1PWovmNjMR
osyts/RF5hGrxZz3U82nItWxFyZ5TCOempHSFFs9tjVPoj0raFBIra6kPEN9GhiY1PNzZEDz64Sh
dOxgyXEtf5gPhdPG+9i0OugI82rjc/mTMi4D1ivTS6GeIavmFBx7fg5Mw9MS/ZNjfmuHg+LEh15v
75XWdIEgzvBsfnDQy632w/gQqV/GOn30zfo4tc8U6u/UZ7PilXn7AK4qyMLlXv+2xdFbeqRZ8I5w
9M6Dau0a5S4IGVMRXF6HYHp29iNvFq4vx7tt+E/T7HpTxGQbNBQIuiwMD2ZbOVXOpmTvKaTcP8GB
7n82C+9X7SoelRW39dK96pbul79QO/GSHWMmXulFh+Ag/jnZkU/t/f3tX3WdfrMb1I6opgtQtLGI
bG3dmkhuDgTQ/NhFhVdMT3N2KNL8GLpV7Lj1vEUTd/0FMCkoDgGkKiW/ZbccLZdR7WBvO8fpbLhW
HZx8Rw5cKazubi/tOmi/NkTJ/jJox7XWqHrSAuvr7ZOfWF8C6Lxq3fZqeWMTdf7S5ckKSwKmLAhu
GYC7tIRE0UAVBaCG04U/qC51Xp9m4cYlu+K4l1YW/tN0Zhe2Zg+yCyk5SWk9tfzlVJXHi86bitkN
jXqvdIgbSHtkFRq3NPSN2tzq0QlRO7jdmez68wtf3U2GPszSKHbUcj5RqK2VR1n9dPvQroMWi2T2
mHilUUFY3rRRZTe5Lw/FeXix2ofKKw13Dj3/axJuxIHrd9OlIXGmr9Ziq1UeW+Dxz63DWPxOKo+9
eTA+yvXGZ79q58/3LircrOjSzpRoehV3MnvWGnxNX5T4g9N0XlQ/2BDh3t68VY9/ZUuc36s1hX5b
2WWArRZ2IG0/KaEXVPvNYsh1zGDrXpkRP+OVmbirJd23R8BdlheYyGEfwD8F+wGZ4/2oHm6vaWv/
Fq85O7DrLJuU4mxGv+0wpjD5PqX+J5mbRDdby1pczVOXZHmZqsC6uoJprvwxtsbaVRGjVEE79/nB
n5SnCeXc/98Cxc96tZvNgF5WarLAetYfU1+/s+J+Zwx31ChcS9vAba6vkaBrIe7NkNXi6BplDMBP
Gxgbf/vRT0NtXSNzcUYlizzreVSGDZdcP75/DC6OL5+BfUwVm6oYP2LfbezKa+59/cl8f3sX16Mj
9Kr/u7LF6Zk9qVUIcd05js7dZ0OyP07tfoi/TXV/nIc7h7zdSbp73umMSG346J8xlKsL4JXxxRnC
z5sqvMHLM9D13I1KRGElI6GSXwO7dANz+mopE80KMJjWPk4cyCy1Kvrim2a8M7M4f7BbCYpPCSbv
jW0RV8/VLzNhXuSVRBVBXxx4Fji95A+g7bJ30anyJMuVPiXP3Qc1c+etpHrVlpjZFpJSABIWoc7Q
ssaJJq6H0D5G+letcDV/9MwPzeC1KOUiMGyXx3+zPk6dGVlIY3gzXX49Tsot0hjEohbJcGPvO1/7
6oNqH03tvTR8CuZfY7VxQ4lVLHcUljfA1ZQOGR9bXMOlojR+nxFk5zJ/Dh3nsVWm/e1VrX2l9L/A
doia8xV3xCCnEBjmNr5s3bWEgSE7hd3gDfJz5qdu2H6r9Le1YKGWNklLqe/xjKefuFzUrEEND/W4
9lLrrRfGT1aiusP4+fayFnf7HyP0EBloFpVE8uDLs9LiUbN8vdZe7OG75bzMQwMK/pz49y1zSoW8
4fqLyPNfa0yRiGFj6nOLyCM3dQXMYNRekjmSqEBGe7VLm70eWbvSGE5z229U6sSn9Mox/mNQvOpo
QVAFWYLInXGEvha4+ssw7uPuhbovRO4P0O9sZBQLB/yvHcGnTnWAmsci0mlBoKQFZEMvdax1Hs96
OM8DZasuv76af6wsQloZDUgQMOz5EqK4aDTHUGndMajcTXyZSEqut40BDBDVVBSX25Y2WRXH4F1e
dEn2MlQwosJwfXPj4ltfzj9W1EvfC8YK6rSW5TAYdRiSd7XWIx9Xu28Favz3dP4xtHByKaQ0XegY
wvvcLn8Pa7ltbeThax4gGuR8qUDZsHW5mHma6SxofEjNmOinOIv6p0RP30g//Wclog6FK1H1ovt6
aaVwuiFV51Z/6ZwPdvBkyEX/3vHlY6n2HwJJq9xIHcf72yFi7aMFfgzuVCCDEam9tKlVZRf3sqO9
5HW9t+tfvvR+ziKAjdOOosrhtrE1n3htbBEhbH9s0riU8An1sYz+0sv7sPb8LUaTtSUJ0n5oNAE6
g3O5XJLUt+1sFpH+og7xZ5jzZyf21LNihnetKm1cHGu2hAwo00UWUsLLI9PSKuqIQfpL+DHqv5lA
QgPtZ9b2+3gL67Ligrge2AGeg8hfXCGE9WDS7TE2XwJ/ru+HFGBtnCb129cjohx0tPT/CXWLrxby
arjRggTJ77xTXbs3Xnql9gpgB67kxz+YjPz6ZpegwGtxXcCwCj3M4rCMWYd6MM6sl5KvbyepmeFZ
FRIEfpJ4xrSlU7TigJBVwxEn2NZFdfnSNdpkaIqiwdrUGmHm9UETK9R8uf09yiT2D7OTgYPcXqFY
wSLcIkxF+ZFLUZTrF3G96yKNci+3FIR0WkClM3Ol/B5GuneFHz/VQb3xka2Ed5UoQiIjyj1X81sV
/MhO1hjai69AWV98zwTumvHn26ta3clXVhbnlmvtXFWgJl/U+U6DWyRn/Heg/zO/kbZYBMWL5Sy2
L5bHhH6Gqb0o+twdMgU4FHxb1FSrTfnblY+ZsEunlYxaEDstvKPShrDokIF7yRHq1ucXaYqeq6A/
5Vrqpu07R0PRq3ArZGXQ2D5NxpM27KTAY+JpzlLPqKqt0qlY25XrCMIMWeCFtD+6z69eqrkqUEil
r73MJL0OcmYpKM53oXmc/ZeScRQ3GYK7t58rrwloDaitwbuzONexKtTEzErjJdVU15LzQ598yKZf
YbNVOllxU5h2mH8iCdFo1ot492ptTT5ZcivV5sskvbOlFz3a9+bGQ3/FRy9MiJ/wykQ8T2XcaK35
Es5zdLRz8z6Rk37nx6nhEm2KjZf3SoSmWw9fEdsnRIoWWxfApxmrts+9U0TByZnKzNVyv9iI0Gv7
Jt5ePIToZqj24nuwJ2WM2j4xXoKWIjr0i31N4wYPve0HK98COAqBDRVzfTyJLveuMUnipz43XkJ9
H8PUmeahO0sFXYRP8rjF3rri5xgjvwYvKqC2i53L8r4DkFobL75DzzRovaHftfWPfPrUpOFBVl0t
+R/SvqxHUlzr9hchMQ+vQIw5BlWZlV0vKGsCgxkNGPj133Kec09FOFCg7PvQ1S21VDtstu09rL3W
6+3lLVoUabOgC3UwFnW5vNoDuY5ZweKU6C9GmubHvjBeWAu0BBshluhQkh6GSVHCuXKm8LZxsRzp
WIM4BCNMoMRTAeCX/LKc8iQmEPU52ebWit+NUAnUfs/7Y9atvAVLJwB9WgAn8CkxJycts0GYFKtK
h9OsGH6hfx/71KcxC/I1bqZFd0FH08WtKfAq4oecHTXb46NtzrF1UqAm26m/O+PdaaOu51vOVz7d
kimByxAXIhQubOni8BhoSXFF2SfNzx+gr4OCx9o0lowzEI8OLqW/NqQv1LlORrW8tE8uJPMy3rwk
IN/x2t9VWQDvkQZMgfxTEj9nZO3KX/piQBWh5wz8IAiTpPJKD8nepPJm+1TYJSrxhhPqPA6sznty
NfLnth/KVbSPZZ4bk9yjS0g7l9kE/S49rshOJSBr3hQWre+dQfN+ajO398QgNghsh+NQzPWDwvr8
+zQo7jbV3Ln3Y/h4ErBc977d/m2L+4AxNYiY4M+r4f0s5RofXWqf4qb6OXXf9QRab0nxvYjX1Hfk
1vR/dgGlWfRsUa4D69el70KspPnPM1FNiu/MoaKFcYk6UKcEYKlMwf7aV+x3NxZbXXu/vcqlJwPE
dmgGYtpYwNYuTZuknOyaxPaJ55sd5StPxdIenv/tUjBvYWhGsyn+dozLTNMuD+i8oy+3VyBOgnyX
4TECohkTf4Lj6XIFnTuzyU1S5+RWj2j3+aOONsvns29sDQ470lPclpa4Ec4uF2rRjpZq5Zzi4q7C
Wvo1psGljRJMqwJlhUKqrFRApjFxtKZxTm26sYZgSvbQxiD9Srlqaavw0gihRAvDq7L0N1BcVc6m
EQwh9i4l2+bL6nzi4r11bkJyZQy+Fe44wISqJDvHbQ7UI5sYOPM82+gNmrGjeiAtD7Ja+3y5B1h6
kQYD+4BDJMULUOFA4ULcW1W8aSHGqjHgOcyj3g//4vE8M/SxBWfO4NFByYdex52VMqg/Bpp1r2go
yCnQ6ALbkmf8m68mGCExciRyVGlhvdFOLnD49qlGZ1T1qm0Casi8LVfyqUXn+GtG7mhr3WzwbIaZ
tHXcp4JpfD/y8Scj+e72gV26ctARR6kbaRUGt6QrR0lBKYzis3MCZtwvuizgLd3eNrF0nASyGBko
mspQA7o8r9NsjFM7J7gTlDrQOQtm/VToIPeA0uanLcHdcGQxt4KP40mB41SPqYIswj45GMZEvD23
d8BPzeW/iIYv7EhOEHfjDN5xrIi2B8eN3Cz1e6grO/ppAqDn9poWPOGvLUDSpAjA433MS+Fwamf4
+rhXXBCem/vbRhY+EeBAAIUgzQXdhZxFAH02eGqGpwEXhRlWRln7WToDQNhilLPVnU/KT4k3Fvx4
0CQFbhChjVxC9zrNxdwFCi9N97PSbOBov9xe0OKunRmQvlCWzLMamzBAtH9y+siALirXJPQWNw30
AzrKVYjbZX2evOgSVk+lc7KAqLL+1PM9qU8sX4s+xU+VnlTs1V8z4mec3XDmYGhK22MpFLKqG6ut
8p1XoCdQVhoJGJve+6q3Do1deV9SWq9cd0vREDCJQq8WGGtQ00ruZwBRE88luFysjAX6MO3LwTfn
F2Scvmu0+zRFJ/O9t8AdsEYWL3eUP5zk3LR0NekQIJyJA9MGbGpGd2zbeaeleejglvpZgns/iT/4
w/elR59YvEb7urx2XQMuE1VC0PFLP4DnmaqD+dU9dUW17cfkONH0iCLIppvuuRnf6XZ6l9V15mdu
FVX5220XXriZTTwyiEJRir+e6m6omQ8VXpuTPjDiU6rnAVHVtXB3IflEKxDMToimRKVCCqbmuaJV
0bTuCZEhGN//ySq65WaUZVUAzDjv/9xe1FKOgcYCsA+IEXV0IaWDaWV2royx6p60JBzHL7kbVtUG
WMNajTE8oYSd3Yaz+1UZxpe6gWB0Gg7eWmNFrEk+UUjnQH0BHKjY28sTVbMe3tqBkPgBSuyxuh9A
cqeEdK33v2QG4E9oNn3MzsnQvhxANSeZUKJXuL3h3rBPkE71yaa27UOir8RBS5cRhlCQ1MMiWNuk
fXX6xs4ZN+0TuNT41i3Rj6TMsA6FXttb3f0sr+TH4UQNAXA71LBREJL8ZpqURMmJgcQU8iYQGq8N
HzX9IagyfSXcX1yZoFpA/VrgKKQbyB1oZXkDVjYN3b5jThm0IFrwm+Q+JfbKOyhPNfx3WX+NSUfe
6qCQwxDRnkaNWJnPIfa3r63KBZ6kjatwVucB+BWThUZCqo02FhtLz4Cz6PSvVVypoMqvpi03Uj3g
saM9uwzY2pE2xhFZUblXpiy7N8iaLMDSTSG2RgzdfAhwXvpzioat2ha2DRa46QWq9+CHtlfegWUT
CKzEDCgCXymGy9OmnCCDZJ8ItX/XWvN9Uqc1Yral8yJQEBgSB58K6jmXy9CTnI3QH8DegwiQxtrO
7fu70YWUuNbuOj1dwb4v+ZXgmkOSggYa0r1LcxPNC1JBbeM0F1x7sAyKZt3k8R0Il6YfdByH0+2r
b9GehuEMoHzxlMqk114/MXvwEJymhu1b07wlrPJZBXb+cnvb0tLHggtj3B4LQ0gnOXGhQAGbVyIM
HhyyhbrCAM7L5pNUbx9HRQT1hpidtdGWuNy/mllTZdcixCr5LterQzfowVwjC6Pe4V8s6MyUeMTO
QiAXcqXaaKMNqXQoBZOYdL5b2J8UKPzPglwdHOFi/NySU0ldwC2SlDgnL6510P13DPqB87B1oZS5
8oWWwlPEvf8zJX0hzimGZqH/fFIre8cL2/UxaF/5dFwVIhe3o/zWAcwLcDmKSsCriF9ytnVx3Y05
dNeQfJXP2fBHcbrQxkDJuCUO5tSqfOOR5yT+F48RCJ8EsZhQUZCz10nzAF3PYNSqMSHVm8+tWz2b
qXln2Sz6F66BaAKxBIZo0Ra7XF/axHwaKGo1qkkfjRQtQXVt/Gvp4CI7RvAL8gobj9ClCVBe21DC
GZ3T0HQH7rXbLE5e61S9Ny31x+3VLF2BZ6bkaJuCnLKBKrVzyk12tMBTa3zT+2brgacxK1ZsLS0L
eGhMHYixasyoXC4LccKAIo3rnHi1SSA1WATegOH+3e0VrVmRPH3WVJ6hpOucNExWzFE9hqhf19XK
eVqyAv5E+BxyZdQ4xf8/83KsUau1Ajee3mM0khz1xPCnEXBLYLM+vR40pXDjIUkWWZ9kKXFnkFiJ
fKjG3E6ApOtNq8nG7YrCdz1Mv922tuAPYnwI1BSIfhxQZl2uK/YSYzLa1DuNjOzK2UMEgq8ZTEoV
jHn/uzBiuhIBLbwdFgit4O0gORRsD5cWS6D5mh78RyfLpr8bAlRyMSprozjiZ0uXkoU3ED6HeBWT
BpJTsAKM8px33qntA5367QGeETPMI/n196re3N7DhbsWWHkEFeheC252seIz3yg0RBUu6b2TlmHU
WYXMqc9s8rU2rRVXX/pYKKRBmw46rVCglQ5U7KXNnBqtd8q032DS8Vpla8MYrfTAMb79i0UJem6R
xOBPyQ0RkteT107eKekjgNxK7SFfq08vnCmRp/3PhFju2b7lWUowuTRg3zwzQKNkm6QlxK3KkPBP
zoKIl1ckQyJ/QV31SulYH0nR8AarGZwfQ2Ycq5eWtv5cvyNIXDm/S64HnAr6y5hywRyN9F5Q0HF7
A7pZJzBSEgcaXZvHDOhvn39BR+n2N1qqH4BW8a8t6fROudsmEwjxTxoNiuP8AwhOLyIHMvgbJd+4
44q9pQ/21xwY9i4/GE+mqlIgXHtyQB/F7vTmfvxmq79uL2p5/8DbgDsVyDC5mAsGZ4W5k+mdOP/O
yKtmvhReyFnve8kTpr3CcW08dulUAXjyP4PShTRY3HITffaACEt816YbVXvL5+dKvR8atnL5LV0V
NogwxfWHh0Qm46kGVZvQJvPQiT8x/nWonnnTrVzpS18Jobk4tNClRQfh8ivN9jiBWYTGp0HnUA4+
WWAVjs0/uv5++0MtrcUR/AiAmKEsILeXSkJZpzE4epx2eQgwaR15rVo8lHq5u21pcUUWOD5FB15M
aV+uKOnQ/pjNGH5nvKqm5lckQm0l/RedF3FBoIeA/BsNRunRqE2QgXtqG5/aOMytAEp7hfP19ko+
hrvlh8lB3xIVXbRfr9+KojM1qqrxCaRK2Ra7yw6u1jFMLZZZ0DWYV9Zo9g2KTe0GtbQ54A5XjmXl
YHaz0KBjO2kDBAzSeVekhroxhhzYLEOdHvS0Hf0O1Fcrb5u4reTfK4AcKGa5QPXLcMnGdKaxc7z4
1M3qQ9wmz6VyX8Zf6DDsLLSmJu+f2xu0dBjP7Uk3WpylSTVUSnwCxN5jkNXcAPfwnqwR0y41Lj8A
Kv9dlxybqgr2S7Pi+JRa+i8v1hzfyYqwReUE0BafQPXNquJthjGf1lyrCywdHADQRHMP1derg+PO
NMfQoOudCH/HyIuvdD/ceq3WsXRmwG4GM8gpUFWRghKHU9cgXRafismhYAqFqKeWG/90jdn5aGCt
UbIsfDcQnIEmEYA0BwzZ4uecveUa1724S3HpWFakkz9NP4hTakOCtcxWXHLhgUA2JjAacEfQ+0iv
kFfPQAXXVDnlSh+aVbZLoQajDffTIFQxAjOPg7lae9UXvhlqntANgEoqsP1yjBeX4FCgtSPOwQR0
mJ8qib/mlEs2wMuNeRaB7MbyLvewaZUxUyZTOWVcx6xq4cclpBDyle27tiKggigaC803AzH/pZVE
a6xxrOEYOs5Xkpq+4Q2+vjZILNzr8t64tHJ1l8Yg/zZIfLJLaG6YVZiusaVfO7iwgLavBTI/zPtL
HherApbIy/hEuz033mKehgqkPofn2xfS8nb9NSMc/8yxe64WsUEqnKNSae+IZ85HLS73Vemtcaxc
H6HLBUmBIxmZSUDfEJ8wNWyxMA2tnbcb16Q7l6ygwAo8IPgeAdaWtq0gDAHIoHtiRKuI3UBVtw4Q
VRmDiIOxEu0sxKcIgKFLAUo1PHVXVCetMXaFVtfwgg7MUU/qBDIjExppRaDQrZ0/U/1rwqFc4VUr
6JCFd1ZYFvpHIBMGwlP6bMhcalZb2MyK/dCylxZUhg4o3Iptbe90I5rTLWuAsCPuU/xctltV2WBw
0huf1DR/w+jzV3Dphbcd6frawi/CZoBbDiAFtIUuHSmNB8sgqPFjqOt7OYw+sYOhOuLxGV/0HmPc
K+YWDqAQ2cXogVB+wEm/NIfiYgtGPjzcCcWl2A5KGmZVba7EmgunQ4TpUHkAlkmF0u6lFa6oycw5
wzZPuK5A3cg6v1mbKlzYOYyh4G1BbGchLpN2rgJfLbRuceHPzbj1WECH1xQoXbyc9RRO08/C+XX7
Uy1EB6ABQn0bYF1NRfNSWpZmcLMru1Y5ORUb202jaBr1FYzK5L47d+MPe2gzyJjrWvFVQWOqDxrA
dzufsc77PJBBODA4wEXrTfDJXO6wxYZGcUtLAemhheZ807yP5rA2cCgzBCE/hhXxICA1Rt/0KrOb
htGbKgMLdikG4ouD6ZQhBld9Y3IDr9vScsO6B9fInzCysO0VzGt9HjyInyCQvIB1gQlNTo0gUGcn
aOwqJ64fs/YbFLpcFnyWyfw/Cz2zIm1n3U65FXuOclLqN4h5GFOJouHutvtcx8xYiagEIUBBx0o+
FL3StdAXypMIpRNCdzuHv2RVOH2pPj/yiOIMxirB7gKUHzokl74x817js1YkUZbsAB4O8/rBm7Og
z/+5vaClU35uR3ozHGb3rLNpEqUZgG9Tc2zE7F698losvEwXq5GubDI3LLFsbFuWzWiOHKthH1u2
X6ZOMKx9okWHhy4sDjdIalRbVqZoxqbuNZcl0Vz9Q40NNcNMc/eGoj1b5gGiZ2HWPlu08ccT05tD
D2awlZtTJtr78MTzXyB9PLtIk1pQpUavxAYjpm/4Ng+LE+hdHD/Ng5qgdBS0cXAfFM3K67i003iV
RX0AjCWIBS/9ptGpi+doSCIz9+NpI8Rq1QAHbpxWTsKS44BvF6kOyqKowUmJ+6yASluxjQSEHk91
vXH7XcpXfHMhDAQr3V8T0jsH8lK9imcziUQRUTFa3zYeHZruVsd+l14hVxM6I47ADF3RthWl66Sk
TaPueSJHRn6P7V1XN2C5f+/bp1glK4S0i4/QmUE5zwGxRmu2apdGpW37w/wb2oWbUiwwToNZva80
8FmRqKYZWynzLd1fYj4XVPQoUiGBvHQP0Xd1eghOR3lbb3PXQpj0jaONPJno6T24YKa8fb0sfcJz
e5KXQDgX76bD0sjrNZ9NpzmP/VgJp7VBjo9pSykpQW8cwa941fEf0sIasH2OrORppOd7a/pWs7vU
/sndym+de0DOEApXyYPOxFC3Nn8fyy9M2TbFsCOfFL39OPvnP0RasUNSFQMsehq1A1hVvzP9NR1X
3Gfp6IGnACNOwKsCaS5dLxRE3nMKCd+ohp90sR6oeeV3w1q3aslX0BODvoRQZMC48KWvjL1uZJ6d
kKhLQ636PtbNq1bss6hzuvfc/fp5Rzk3Jp11NzXbnHduivDdRZhp3uXac9r6Ous2/3+GpCihKTQg
j5iTRoTkYT391mgZmGB36ZQ1EXZ5/zCBJkh6MGWAgg9I6+SntcNpNuKMn5py42Xqlmlh3WzBzBqm
88aLV57Yj6N7fgJkc9Ib22tmhjG7nJ9MvHjo8+llqKU/ZudnYke6rYXu9GsiW4usIGHkBweYIZC6
I034mFX0ZKl5HTyxlhUb6mlumy3o3TPfdHnUQosuqFh+6Ij65/YHXDKIbAs1ItGtxWjVpVsWWtsO
dl5oQM560Ly191R9dcCbG1skGMgnxVwA3BQatlBVE/rfgjj30prOK6fhRq2dxpyUgcWcH3GpbuPW
feuH6QQZlLWkQH6LwCSPbAADjMgHALWRAQNuUVesxgjEaYZarzNY96Uxv6pKdURdO0ho/wzVoA2o
wlZqIcLtz71HMiuDBybigOgoh1kEFn88BCmeyl5vf7g1E9IVnYHzAmlmivpvrh8L2m3R8Fw53PLN
KOAPAKKjwI5jBC4A6Wu1dZLWvUOSyEsKqCl5OzwXe9J+u72Q6090aUU6aabtkSGmiM3VkfoYJgpK
wwugKE1pfkhRk+i8BzQiv9w2urY0cducFasoKWJ96GDU6DHTmgAJWm28Rls5zWKDLt0ASxOqsICB
AtomVxCn3Jzr0YIVs2S+0TaBA/4nTJNSyEbcXs+aJckbYm8qlXwqk6hTjqgujOpmrHb5Wlt9cdeg
6QLxOFTKgTi73DVulf3IalixZiMsPfC6QOFx7T2+CufgdkJ1BOgeHFtU/iUrjVJD4WBELMxHB7D6
RPGZg+Fj+sy2ZZ5+zDznmJ4LwRlxur2L12cKluHECFtRDYOQ3OX6SlqarOyhN26mIAXryywNx8x0
tretLOwiqhSIGhFrgH1Crl7bpZmwGK9Z5OnlARwKfqclh9xeobFa8IgLK+L/n3k4CNT0PAUQItJc
d5OWL7V9TLt6qzQro/xXCaL4XMjfkSCi9ISyk1jumaHRgL6FWSCwMeL3HCpMbuqGVnmqxz9N+1iw
772q+ZN14CPGMoYdACeb29spv2Af9lEQBooFm4oxt0v7ANMDCJuUBK+kFqYWCcvxZfoChP5a9L30
3cQEgMDmg9PKks6YnhQu81JkElk878rBeVAHZe+YK0/H0nfDICKEhgT2B7nn5XJGYAddmo4k0iwC
Zhcn0OMnpgL/XK/ktouGXAg9I5gHJEeWkunssnV6dyKR5e4YtQ+4M1KI4zljvJLAL50qaLihig66
M/TA5RUlTZKXg0qi2Ei/x0mRQ4kgWZOxuArYUKKHVpdwRewevFD6OiApKBUoM+VR0b8U06l36nDW
ugM1t25ebQH/COYG1O+VvzYUdDVHISwj/UT3UAVoBif68ovp/QSBNcPIIsWZfCsp/dndqTaG0p9G
Zd43Dtk5ddCTO9NhW7Vrwpa+tZkZ3j4F15sMACGmU0DZgXsT4MjLH9GSOK4VEudRdSqjNeKaqxIM
lojBd1Qn0Iv/cMvLv700ea1kTkKjpMAsw8GrDnkcjX1/T4Z876mbHPg78ujk9c5Nd145Pnnpvqr1
E26cFWe6PoQYxUQ3GFk3PrKpSQ93axKQ6wxTEU30p1H/Ak6y4Ss32pIJeBJgfkCZQv5I8lcCEaLB
AwY9at+a/kl7+DQ6DbsJ/p+/BsQPOLsx05Rald5WRRRblq80d1AgmhBwP2Qo1N/2isWlQDJDKNkB
/OtIeeCUxUL7tyki3o8HHu/tqnykpvLp4AOiXUJNzgbuBOBm6dls565lvakVUTrZkBcsfJ3+UOPm
uZh+3V7OQmgASzhjojKBJFouuDgQ/0imWMenoSwgDRUaEyWIVvJj1bNAm7LANhFExmuouKUDcGFY
yt7nxHYnJYNhu45S3vhD9ULMYz2aO1rUQT4oYY1/5QGbQwMPTz/9QegKKefOi25vgZwGC98BdRqa
36AmgAyK9EVBSgUQ92wXUTP0fpKBUZV/rfjBxtVjOg8TeuH/wt5H/A9wMiC90sKdlLoOiiI4b9r0
Ytad2fq0LluUWkf7wA0tC2atpFsI0w0rKfj1uy7GOXGho72EEEOGk9NqUEYw6YA20OyPNkUm4ISu
GhLX/DYq44qxpUscXGAeHkJR8gKx1eWZbKjVNm0ylzgpBYIVwE6ezKwmYV/HYaZAsLDoSLe1CrML
MQmn7CoXClhxw9uDVhXpPummPHTHkq4M+yx9bjRnca5wY4CKSboqOAYfy6mpcaV7JfQurZfCpgeD
xoepjh+b8qnNAF+8/cUXfR0q8YAyiQYXOtKXW2FpLB17YpeRoz2ObynfQV0xsMdmh8Zvk+yGJvWr
4dl2jrrGfAGSyV/psV5jJFx40NDGw/CRYPADpkpy9KoBLieJyypqEwy0zUbjbrQhm1aek+sgCBgq
IF5Rq0Zl6UqIoNPMQkfuVEXuDu2gV+qE6soXXLqCzy1IB8iwplafVVhIEYIQ/Vc6n8wVEx/OeZln
isoK5n4w6AG0uKxLzXinc5R3ymhWPR/dGVN5izc6/2nu3Knzyzo0472eqj4vIUF1pPQdHGn8Lga9
bfFnqt7KR9AzzOOGdzuOjMvSt72KLsttt1rYB2wxhMYAyMYEryntQ6f0WTlqmM61swmqFuxXbYJz
NG3X6qxXs8q4IdGNxjwr2NlcwYN86b5zYfVaaQ4lUnuoczu1G5JMDYAI3/TWUf1Rk9ca3fHaCvI4
VFbBCwsOdWFdisO8cp55maIuroKvyn2c+aOiHXPy/i82U2Q7grgcRXJRUzmLIIgNcVUAHHEtxAoS
ndzvmjzMoN1x28xHUVVyLJSqRRIOwggMJktBtVp6saKkuAqSec/q1FeSpwG1fwYFPsCtePbQ1rts
5shgq8Bzo5JsgUEEDVqg56BSd4/ZCyFPybjtxkCre596465077W4PSp8JZ1ZuC+EKiv40HB7Y0JD
3KTnW9JxcE/pThnRCjRQlouZyL7O10BBS58XWDAhIoMTB5HASyu1N87jYJtl1PD3ZFR3BIzNQm/C
/XN756+LYuiJC5pPTDmBC02ei1Y1mrt5R6uocb54ALwS9seN82ACEM37wemJx/bKt154bi8sSrd+
NnY0S9H6iFzwyTVl2GRlWOd/9KYIB4WsGFs8pKB1ArobwGsAISUH1lKjMGaTV9E0BVnF8aleK+fZ
Yyxs2y5IiP0Kgvp2MFGzME8NWamNLCWLiCgEKRLeF4Dn5TuCAnGHMgxiuar2Sz76KkkfYnfYNo7y
zOvpe1klkMIYvhYj8+OZzSvPzpKz4lShCg46M4Q4krOmE4HeH2CSUanGypZ1TfltYoq6UkpYsCIY
aYVICfIYiMxcOqtnpzSjTV5HY8OcDXfn8VBkrbYSOi24KqoiCJ6Q2YshNmkvmWI3njOYddSbbzR5
JKWyi1VtrxFt69VO4HAgIYbvt4/H0sqQ7Iq5TWRpmP26XFnbVHbba1UTFXnnBlCMMIJhMNdoRxeO
BAzAO8CUg2KdrFlJ57RMFIU1EQhSvqp0Q5Jh7yQ8IPbvVaTBwvN4YUt6N2ozc5sK1YHImtB+nM27
lE1Hy+Mrnn/9seD0KkpmQBChUCCDGq0SksSsKdtINbd9Pxp7U2/MbTtmxyyrH3XSfu86Vd86bro2
unkdycIySG9FqAVcvwzBoTgIE4SD2mgqjhU0MHvvEZUgJctDw4vUeG3i53o/hTkgEMTALWrvsocM
OpBnjt1GhR2y4U6pHgGaWbnFFjYTvxjgNRQk0M2Sx65boVDp0bKLNN7cAQD35LLvObkDgeQWLb7v
FdkYq+HNtedDYRbJHwJzJIKYCrz0fN5yvXFY1mHLams78UwPlB4Azdvna2H3MIUPtQVBGSlKFZdW
BrstqUbtPmqdn4p1Kq0Kittvt20s7R5Gb3QHROAAFslaux7PG+LUVh9lhhaqREGgmqfHgdHgaOvu
n7xOADZiu9tGF6rVwKVDSwnzBCgg4J/LlVW8tFmed11kFcZT1XlAKxoHb0h8NH+a1LqfIeea59lb
n6ehHZNwyB4zylYu5oU6hvgVgBsAi4amq3z/FzMlWdxXXQRlhNAeN3go/Z5u2PSPaTxqiupX1RA0
mAlYWf3Cd72wK77JWZCk5G7D+dh0Uf+Hu6Fr+rkS1ea+nEPrMX11NlO6GdGdMnyvDJy1NGXh1b1Y
tSvViYpktvDowrpK1Pd2+MX5DgrL/qixDW7xie1BpgUOnNDEo3t74dc3uegjaWBDBMgQ6mTSSzii
vAkpoRaWy1+WddD5Ia/R0ez9mbHNbVMfFcjLmPnSln65xyADzXNkAPAwwcm0q+OnznwtOWgMIIIB
ZuipUfz6xz8GfypZgorGfeH9RBOy5Ztxxc3WVi2l0OaEvj5Lhi7S0+FgeWCDGHfUei90934yyYqx
hVxBrBulcFxL2E85CYUIgwOSw6KLapvqv1yDq0fUizyIAVdq+6efe94GBBqX8yYHuUPvu3Gmaoe8
bctqaw6838yQtq+fmw4tqqSwzB+szGrqEyjdf6mKUq9BzJBzazPbOjmZWauzEBT1ubLTVFoXu7Sy
evUwMjuD4K5Spk/E4OUaY7ys5ugCh6ijFINaIJRUUJSRXJj1Xj7q1oSP66ubajfusydj7+zjo7qp
DwpkIHze7+y7L9UPO/GtQ+is1KYX76/zHyB5MmmNsbXKuYu6tzrbmn5y0jdFfjeOP2d1nzWQtDy0
TZhrKwHrdd6DdUPlR6BAgdxwZaeueZb3Kdbdk54GtR3Hfq+XxX504uGbU8RJtHKKxEZenaIzg7Lv
5mXVeqAZirKx8QvS7HXgcBz9kDtV2KHqWIyvhTkHytp41sL7ihYHhg7wJyqsMnkTzil1a03vIlLo
RpAnOfetYU62t5e3dA8DMY8HAFzuguv68o5QrK7tVIf2UVPcdeSfWP+tGyuR3kIZDwnGmQ0pUnDi
xFETaBlFtvWmDlFDj0O74ZuqueegLGB3AMKwF4iP3unsoW3eEwCwby9y8b4//wXSa1PqfE56nveI
0o9p0j+0zAjz9neaYyZ60925RnfX8v5rl69xNSx9RNR/4K5iZh48SZfbW6dM95S26SNldtUvVYbw
BZMB8cvt9S1aQUkBlXg0iVAvvbQCjpqkqfW2jyyrUg9Ub6EZjEniFXjiQqqMqh4CWBBAAJGJ9sql
mbgdsrjOjT7C7N7WfIeeV1AF+qF+NYLusTRXXkpdHCz54J2bk/YuNYaur4neR5xg5NYiYw7W2LH/
bnI7DaEV3N/XrTI/YZQQI/uGVt4Zdow6kOb2AQh7yGaeky5ETUN9xPh2hg524R7oWA5bNZ35limY
wzX1uHltco8+VuoMevWErI0QXQdYAPoLvDq6B0AGXHHxT0h9TEbcISqUOv1lNJCnLnmrPVc80e5n
VseYwzYomA2g1QACnnrujhrYZH/e9pCrY45fgTTrY1QaTHtyttUbzsCmjHLAx40DAS9JmyaHrltj
S7pyRGEGboganYFhbLn1raQTgFp6z3HSLfqWuJ09gteFY9bh9nKuHoEPOygvg+9ZFKekO9lQyjzh
U8ujBl3okBrFn3IAI6BJJ6hUkSq8bW1x80Bq9/+siVWfxap65lplgoApsr0yDjybKpuZguW9RaHk
s9fxx8LQZhJTxhiZlR7VMm/aMW4Yj9By8Bs9PtJiCB0yrzzey9/prxnpEW0A+skM8GZFqWt9xWh7
fNQHL1259xe3DQQAIBLWRbQi3UpE7XlN0gHblrW7Uhs3dtMeuattbn+dRV/4a0YGafWembsDxkqj
Tv/dDUfuTcGQfWn0ccXOynIM6dM4+VxbioVP42JS2UE3I2O9b3drWuTiVru49VBHwhlCORLoHgwf
Spds7eU6yeORR2rWpP9UTgxG07SNB5+r9rAxgRGHCrs+hZAWW6siLKwQdFno7oGKAvAlOaOnNVQM
nIKOUa+wwKVIBG2IF2Nq+vYHW1ohCFRxU0DdAnRn4mecHadUI9g1rRpRzNrUZqSzySd01II2xdJ6
FzDxYm1yZ8FHBHU+JjkB10DQLG2qXjNwCELjGqgRo/Cbtq98R81+k7TCbMbYTfvbK1wzJ71cbmsY
Q2bzMeKcbz1nZn4H/gC/josxtGJ35V1eOMwYcIfDoDqCmd0r+FSnt6WRqmNU0mJvqsMOza3Pwkfh
lOcmpKNs9joHX5w+Rjb9ZjIeMuUhN9/jeE0eZ9ED/y7l4zE9c42y7YHK1o0xyuk3iJJstLyBDsm0
cjHJgQyKcEJMCAV3/JeQ8pTcwZgbU8+KGPqk/ZsqOkItqn6OVt/pXnqsCjXQCQuF+A+wfC4DmCRu
V54U6Qxc/QLJQ7ykIR0xleq+N7eQ1M5zK/Vzm/m5U9wNYNue1yjXpJ39r0GAVYBWgaKjHCKaKiaL
kStV9ybd90OMfuseteTgU37/YQTMueAURLSL51J6lse5LCEtkFX3o/XLGO/iClA320/WwL9yOP8f
O2IhqIgDBSnrkatDks650LT1Ehq6+psXULT9NMvXAk/f6T+G6kuXrnaKpFP9YRX24DEikkJ8c3lv
qZMp4k2zuk9eFeWY3bPCz76q9rYoy9DYQXPJb37F0Gxods0UjGbI+u3t7ZWHof77CyA7hasTwBs5
91VnE0JfigMd9uNT42NKAv8YW89/q/yt4M4/1u/krfl22+qSq4I7HzwaqA4Cayq25exMGqjNc82B
jDIFX3pHn0hvAnhTBQXBVP7D/5F2XUty40r2h5YR9OYVJMuy2qrtC0PStGhA78mv34O+cUdVaG4h
pNUo5kURlQSQSCQSJ8+povnPjofPQTIKJKBtgOP9ktvlY2sMUqRVgT11T2XzpJfJqcheCzz6WpKz
m9ru/voA17YGa3ZRgCYHkovHAygVCCmdMq4DFZJtN6M69/tstA5ZM4seqPjK1H/Ghn5ExjMGjLDG
5V0KRUWjsZI6YOsW7bp9tIt2UGr0lU2E571tsa/29iE6dnu6091w18SnKAtkD4iIALQf18fNX02+
fA23XZVmoeBISetAK99KKXVD+zUNT2lobVtT2lS1cUiLjgwirWa+HvDFLpdPt7q9hLMBu9M0bXS8
6ua2KzkkBLt3TBTq2rXkOdFrlG2Uh2EGnyIUEDu3F20nFuXPMi32GeiaB2AWtSTk2jxjwGCmYYFq
Uh1QZ/RS65SCjkmZeqIZkauL2C0+WZe+WANkDlgmiCx/AYM4kdXp4PCpgyNIK0j93AUQlCfNptyh
WZO8/wDuhcRe5Meb//xH3Y/BXdzZU/yQRK7hyp7iTv7sqQSQGEHJdO1EZLh5NB4y7DDYtC43OZ2H
fG4nzIXeL8RBcZEsydtiTHettezlFHXi5STZ/X6ksz8b2a6rLQFqYmU1NBQycRvGhQ4IbS66QioX
ujRj3ga4PbKtHpFm3sfKbVr8IZCQrTv2OeKLzSRBbL7DOdFjeRnzoQ1G+6aTJk/LTq3cucVyaKZd
F++v77KVUwPWgBHGOQXGjc8qx1n4TK1RrYZhaYMWLA3bxYO0Zy4qFX7dyfBh1LsBOgESBM85XIw2
2jKmbV7FATpT1Wzw6M4GB0TWe5lqkaT2hqq6CZWn6yNjK3Lh0cwoywsZcJ/xsF/6TCLRwjG6MQ5k
SCb6y6AWgTTHpW8NDT0VuVq6rapRt9fa2xZKgYKU9Iu/oKzCui/B8IRqA3TYLq2Dt8pcSvTLBnOW
p8FoKYBR6XmI3imrOURjZBI697kgbeNSbQstVLi0oP4FwATr8mBHyfliThVaIpBsB6Uqu3WovE3t
IGIB+3LeMhuMyQQOAyflz9tQb/sJFPtxEMd+YfgyJZazCTd69h79IX3Df4ZzZorN8dlwNGqDubYy
4wCu8phoNTHnO2N4kGr9TikernvLynpdDItbrxIkvD10JOMAuh1R9ai+Rv+EAyPZvG5mbSswUDYe
1xheF+1Al2MaenlGuUaBX6QvTW+6enxj1dvsiD6P7Jh3y26qPgQm2U9yG+HCJHeeReogabnBvKKa
HiAci/7wzk0mwzPnzrWj3k0A2O3D6V6eImJa7qJ/5FSk2bQ6v2fj5lxzaLvGgpYbPsLyynZDd/kJ
CCJJEKXZr3wZKutRh0qPgxsUN9ShBV3uDImToI1nkuWLC2b0hYpY5L8eR2wPnJnhBjPTriigPQ3H
bLdq2WwZD7qj4YEtuU+8k9J7DI27kFyErv8SrDm7XBwt1XyUnBB2Y/Ujthd/mXQonpC86QTR6/8Y
Icpihg1owxcWJmfBi0iBJ/6A2nrkJ5WeENwgEtdZykclhYhPTos3pZp/ll2Su1rpVO4cF9+0vjQF
Z//amBWUhAFCwOmEpujLDUNRdgGwG2OmanUwQFttD74zgs5FYGctdqLTEEUtMOwg7eLmtnfqxGxL
Ow4MWrXbvlRfrFEX4QrWgue5ES6ipXmppNpsYDAN/TBHt/xZ6RRaEakrJ5VnQsjevb75V2cPT2eo
ruuM65TL6PuWagke9eGp8h2d3xw0WFmm26mP1818vfLCM1VgSQE4YVkSr51nG+j7SJ0xCcrBi62t
0plumh4GuSfzIyiyZ4Bv7lTQF183uzadDNiGngeQOaOb7dI3IohPFkYzwUvlXYzXidK1foDfRi6h
4y1qkF/zj3NbnH+M0JSiSQ5bSlm5I3pZhH2GIgucc0AYSp2nGRYcBc9BKfpH+j8rxX0eqHiuBZgI
0qx4kONqxDaSPTVrlyRICCDdgkxyLfae/zjnatkwpza0SJJArht3Mt8No3KLVoBnXD0/z61w5yfg
FHFhDmwIINt+geL27qe9yXyT7K67lmg03Ekiq40hyRIWI46e9B41E7mGeJjocWB9yX8vCOfAWQhU
3KzPSbCguznp73P9/7ninNeGulnaaYnpCtXILeL7Fqxz1ydKNATOa7Wmg7LpjCGgNkpmB2WeRNC1
sRbD8OCElBN0GCiAcIk8mPJiqtpYilqx3Fqd/SK1weT7XotY91fDCaueQaQVaq38A/JgDK2O4j62
uK3vjTR5drTbVnvA2YTbvXIaqKgQv3rMokvvX4vsi84y3EXVa6NCS3YQ30moqqAlr3rMjrNnWERx
zQLdc4LzYNWtzwxycznKs5WaKFkFivUU0dyvm9Noiozw4J/POIMaAogPVDTN4/51OSxwa7dN3cpJ
oN6DaEo5yhnRnyLf3PY+Pebvxr2+ycj4Lf1uHdCYt6/TjUj76RNyzGeCuAbhrYjVM4BTufyEtpby
SYVmQpBB2+p++Qn0YH10wsNS3RsZCEO15xZVrFvpJ16EiaV51zfFWrZ7bp2bgDbO8P6rWYiF7Xdt
sN0EbGhyfbLHj3z+m4MJZXPcNVl7AB6cL0fqxGUMVlKdbXHTISUdcw/cDaZgRGvbHNkXaqwyOli/
aCqCagcZQKUlgaknO8dJD/Msqqyu7XMG8WQLhkIBT2dadG3PCAUQ2mWZ6KACfzXn52kSlFOZh/OO
wciQIaMHiv4vil0jOKzVDuL1QWJ7SwGgAZpu9N7tDJKNOlnAJ6vFmWDXrZ5a50Y5b6QatrkOlGyQ
z+94txlDmTRb48VUPsxo3ph9vA+H5+suuDZOUGeg3wCkKqB/5o7jLgT1R5g6SYCsS0IxN/KXwL6r
881fDY7VJ9GtBvZDpJqXDgj2S7ss2zgNrGnCVWgLZitrTsCahzao+D6eNJKCH2kU1Ud5/OhnlEHT
D7oeUSNFpYc7ecq2hYBoh02m4dQBBoeSPodsCTBMqJDW0c38Iim3dVgf1PB+1l31R74f6k3zkZrf
gKYQHIOfgEber8zP9yswN0BlgvsayXayFqozSTD70yNwrPf2j2XTP0T3ABjs8Yq2w8R4NBjum8SN
fuCB4vpyq2w9r9nnjpLEthYHImoIeCUJT4Zn/JzuJi8h431XkORd2S5Hx5d84GqH8CZy52Oxz3bm
0/WvWHW6s0ngjhe1bdtEruHn6vhUm3gg1WzSLG6T71RrE+MNIYuoYOLXDm2c1uglRFcyOD8476ui
lCZqCo3CbNGAh3d7qz8N6MqKnU10J9KfWovr58a4dMpJRieOKIzNh2SXPvbAKm9EYXD1LgX6NvQs
omud0QRc7qdE6Xup7LM0GDRAY3PTNczuVwSIxaxrh4rWdywt1Rx6isK3RNirsb6t8IAIHR28QuN/
l+bLKmrCtqEYo4v4SO/L1Cse09cFejPb8a6JNsktukTfykfpTXobhSQh7A7yxY/ReYP+KAvPtPx6
WmqvLJGBmik0FffgygufKSX1a3gXotnu9Z/r/rqagOHp8JOSGU2KPCIsbitIu0ZtGjTdtJPH+/Fk
/0x6opY2kcanrnEN76kXFFdWNwkcFQ19eLf8ojZgoexcFc6QBv13a9c/Ube8zUDfdBSxv6/ujDM7
3G0PmgBFNaRjGhjGs7Pgtc4GFVWg69+l/dBMgvizesSxO/h/R8WdN6YKp4WqYhp03i+Upb6FXh8s
N3iwFJZQ2Y7+4iFojbLwZoHHbv41IV86J6QS5q/MM3eKN7VODPSA7BLbN/fD86RtM0rK59Y6qXgm
DUUF8LU0hYnj/tc8tz0LaRkBM8VAN9MPbYsezB/XfXLdPX7/PhfIKaRRIEeB31dP+kwcEFU4xcmy
vuHGU5kGqQXm/o+F+22Pi9npZI8KBSwiKFrtAwKI26LK9519F5amGxr7cLqJIOKeiS5bglXkn/QG
ZYLMeg6z2oYGB5HIzPpx+HuVeLm2skDfUFtjFofN7Iffuw34OJR9+yy9Op69jQ5xRjKZzD/DN+td
V4h8mjeZQdQ/pGX9T45y9hncrlCHAVxeLT4jogmRpfdhuG1qUU1kLTdHexRYXtBzwDL0y4gtpTFC
Jtt6ixcd3qzd7BrH7iVxw2NznzzWfrq97qGrgeXMHhdYZL0Ej1MypwEtt7nOGCPxJvugjSdjvi1V
YX65eiKcmePm0JAasAzZMOctKkkHkt/r26Xy6sCirlHdNUIgubYWYM4Msn8/u5VXPWhT9QjzObq5
P98jkTi0wT+LG5HJb/ci1q/V/X5mjbsblBr06lT501oVqK7uTmT4Zbi/rq/ZatQ6s8KlSVoPWW8b
7atBvrPvAM88itpWv8ImcAE890IuN0J7ZFHEGiz036cjcvHTdMz9yk8BPqKbbtt703Z+oAW5Pq5P
XOuX0+BsYFw4XvIC1+IY3qFvlcGl7zopvNYDVA24BHpw/LYi9bcZ2icv0lbeaW+xW2/LHbRDfTA2
ezEJ3XnT/UXV7XwquBC+jLVZZDaWNNRz2DEsUCzkvQgosLbtkbMAFfGZJ/EP3KCZAPIpltIgAWg/
DitUGAQbfXVygapCXwWkOFBF4QaCEg/eJxIHV7vNICH/0w/jod4O/0CNN5geo2MROKjkQGts1wbV
tvtVvrbb/Jvmd36/773qJvpZbYWlHbbf+RU//yjuwNJCNYmyCR8l3TYb1a+81u1I4sffDbdy9c11
/+L7yD4j+Jk1Hr89q0kF0r+QHSS6m7gJUG0/C5K7Bcm2M5G86+Y+aamuDI6HcS8qni/NHIPr/cIb
d9PrP8omhkPHt+N37Vb2ux/LS+PnB2Or7MLbCsdWekK6g3a6XbTtnmwy7aRtDtiO4LvWne1fT+Af
kpIs6bVQxnd58km6lfa6q+2hUpJDCRVd+N+SHT3Mz9qu+I5L38E8Ah9j3ce+5VYfEAZrcQ39Fv3U
XPlODlIS3sQCR+VZqb6sEheyW5DZSCXFKqEjlzzX7K/lvi2ooh4+hAyKAgfUuIhtQyqs1lMYkw8O
SYi23bwqRCep/110F1xLks6dj4vahhEBhsH2X6Z/9NmdVv3KRaXK1bh9boOL270kp2hRYA6OqBnf
SmQgKYk38ybyJhekAyTdPv+67k2rd8xzm1zQLrVGMpwWNiN73lR95SZQTCrDbNtF864Kl4PUt7tk
7EB/3d/aTnwzjOGmyiZPWuatptR+pNhPS38riV4zhLPBRbxp7lOnnfFlziMFAG72tV3vg8uRlK7k
Dj40BF6Lg0imbTUHP58PLqT141jH44J1BlHOw7IDJONe9/JN7XWCXHEt2TgzxL+mg70oNOUewxt9
tPAfdeJsU38k8f31BV71WwcdZSBjY2SY3Hha2sqzlEc0oEnjNco2t0o3nQSb/vP0+RIrf1v5nNWz
PE0fwtYoJXRJKs0+SX8pU7yz7J2DW9M0D3dTUpHYdFx1qNy06N1BG3ex4ubh7HaAuGVL/m0EUVvR
d1stLDdL1eGRT9/RWvKjtPE7S7t15OYU1tmjA/mIoa3965PENhb3+UDeMWIDECiDvohL2ytlBKo3
7+JArxa36hqia7GrRk/FKFiNNfeyAfFDOQnkZl+fCPJu0qeJWoDCdfWutLPbttkk1HfkrUqfeg28
HxE0rUX1hxUnQOoAQjowrjkA3PNOMGcNbnhtEkQAvzVDvNFMZM/lIgBuCMzw9ao50mnbg3QwyLpD
PKTerMRuJ2eCg3nNCiCMrNMZLSyATF7eCbCQvZLqKLy18B+/lz+ET7Ur7gCE5G8L7AvOvLmWnLLT
WzykZktxHEvjkNvTpmnm56UXtfGxIMZ5HqRXFbCu4KkT6EQu5IfNUi+zildhNQPHQAKNBgWCRdPi
9ak/mW22HWJRiw6L6F9NghGMcY99pT5NxgGkrQ7mDyqshToRyG74aW+C6azYAe8gqEatrha0Zf9r
jbuhKlY7WUoJLII+ep35nYY/QlFGJBoQdysFltNue0lNgs5api16yB2Q5DlQI8ynj96ILZLquqjI
v2oTMjOs1wHqHjzhrhKjpVPK8NSndK4cnza9ta2XTSF6UVw5JPAu9tsM54ltpVdqVOLttG7UB4jb
bJQodKVO2k2L4tdgT2bYHmmSBVe51Q2go4CBXkzIcPLolEzNm9BoDYAh0vHnZCxbR429kWalS9HG
cj32ru4AVLiBVkL0hSb45WYzy1aFTDaGmCj72tWAltXcaiH1JqwEp5TIEueKkm7OWlvgXQYtVEr0
1ERE1YLUn7ujSNN61TvOxsR5JNoSuhIKZJ+WKNT1koNduCF9GsO/iYVnhrhkWwbmSrcpM5TK27Q8
dAv1hTxfa6V5G2zM/y4RF3HHenAkumCJQGu7TVRjU36Ph60JVkTtPcu3hYXnNDMmUTu7bSNYNPbb
X6IVI3aF0gs6IvhLH5oJJdOo8QihLR9LdD+JekxEv885haWFLVqC8ftR8suQ34Vnydrvg81BxuMo
CP9Vk7nK2Vky2K3lzF2O06qqv0PXezlMqjMI9tDafj03wqXKnZFnpVGln3sIeC+KDqBUv7P7X9e3
6losR0sgAxeiAPHlOUyfuzExoZ4UNM6J0o9GlQRxZ23foICIjmK8l0OhjBvHbNhtkfWYLNSuzGbe
yhDSQHQgSn6QUuEFY3VpzqxxWVFMrT4E0X4SpDFIi4kSlp03xxHaaDIIC9FeHfxcpt23Mm3vF6sZ
WLvReNP3heGNSt56YzE+2XTJBIsp+CyDC4j20pRWPDLsUxJJ7qiD9o42sogff3UtUbCCoAcAXSgq
Xfpl09ZzN5g1AJva5CIUihdz7exCe96/FridNfTF1HU9LACz/FhmdCNNIdiGRmL2+0HXSaXqhy4R
hIsVD0KvFggQceMBrRNftFG6WGHQAJxcpuR2Az22bXXX97KrdKxXKI52f7wlLuxxkd6y86mua9iD
H5EYLR5WdJrrvziPL6xwYT6OM1xQFFipnJM+nbL+V5acelNwI11xCQedOqylks0cz16uO7pG5Ro5
TWGHu8xI92ggs//cuUEGCPIZ8Odp0JW7dIrrc79WELz4MW7yewDfTKrjXGrTPt0UUbJvpTi6a7vS
n9NEIQkYmTalVf6iA6VBatbAnWnRy9xoy76delGr9teuWxBFA/xigtKEsSTxnBxmZCR6nuE0jpzs
WJj1QY6+VzR8gdDcxolNYlYowGto3VxIWuK8tGdiZ5uSqluL0mOmj29yav64PkmrGwKIMBU3DLSW
fdZ/zs4fLXK6PNMwR5LkJYtvHGswxEKATlSKE9nhgmka1lUnz0iu4qo8DJm6k5eBgJ0QXPPKsUlL
wT5fOfGQDPw7LP7GLmdmbowQ+kLvLwHMbgg9UJPUreDyIrJy6a3/01pWlc8xFjQncnj3Sq3nUCSj
vm5CN9CbhkiMS+BlHFZSowunBvOmpijNTocRJDWv2nB/3QtEVtjqnXlBHVsxHTJYgf7sBBmKAFTY
wii1cnBhTXCnRN8kmn54soS61fW0X4A+q227J+lkWO5MJxG8ayWLv7DC5QjAydiFrkosCTlY9ujq
rbYNlzumNwT2JrdLDtenbt2xf4+Kc2wNzKWoByR4lDe6Y2pWTzR7r7I72WyB4m4EDnd1cCqaXy7X
CdKGOmqxQDWlmkoUi4LvJCPya1/eUpXRQQncYjXig1wSL1cOek754MDIaFEawtggFoFzsn0b06fr
s6ezLcLl74g8BsuATfSz8yw1g25PZVNjRE4XJX6aW7UXganXnWsqkXko0m99IRsgrqaZX6c13UR2
/Tpp7UgcKdGJUrWhi+wFopJd/WueALKK4lhzl2TIXewdx12m8buRtT0I3QtIx0PTwsrT8Ahwq03a
WIsitHeGQG9AGvPZgTSGOyhRfLuAVMsrS3SdVnVmk6IG0RyKIqWrT+YUKDEoI3S5sHwlGiVS6I0J
qgZN21yfnPXp/z03nCvHdg2qoDRKgyoevSoePCkSOO/qvkfjGMBN6MSDBt2lPyHq2D3KsqhmG/dK
FGgztDIHYoiyrrWyJlb5tx020rP4YvaZlZYy7JiH3PGzkEiGG+rIlQ/JT2mvlYKJW400Z+bYsM/M
lUuKlwgLThXfkV7AeCWaMi5UQsCpU0MFv10CMarfNofl7fqqiwxwq24OXWOWM+YqSkO/0Z6a0XIj
9W5Kn/9/drjAVWSaVkFjAU/f2aFrtjYQwe1JVgUbXDAah4tYfQmtvFzDdIVP/Y19l3wTaSuuhsTf
a81ljP9jSUOZQY2NPcMqCWll9Mnu4h9jB0VdwYStRvozS1w6CeyCpi45LCnZBm2kve3jXoR2S1nU
Tb2+7//dLQ6XzquRNuPpHIYsvMtOCRniEzYPub78q6PBUwZY9BXQJPDJKMiXeqw+W/7mwQHASjJ7
7EqbWB+miLJidTzsuo4/qHPwOUwrRUVZTAWAH/IW6S/RJlBniXBkq+MBwTeDPwDwx/PnZ2AzkBKj
TgN79DQ0/hWtRXIrZiKDtSk4F1d9DsVPVK2hQoDbymV8ceowzMsSRaE299PEn4YNEHhljsZavxJh
nFZj2ZkttsHOYhnK8WMq9bBlNwTItFhwAoh+ngtn6jLkoT4Cwtz3qAq1VLe8PhLRiq46wNkYuJAm
1VreWDLGUEw3nfFhlAfw+QlSo9X1B+GIzjpbQTHGHWURnhhwa0VhCBX3eEHLYaaQJoOukxxAXOT6
3lk9z8BwBy8DMBgSVtyiRFUv9ZCzBvITjyX+PCw31ljL26gtFC+a+8RFc9pJt2fdm/upIpOtVIJg
tDal7MkWDcOA+6AIf+kWKYSmccksMaXLP2n0bfqLHlGoDPz+fe50MO24KmgDuHUN7tOCmsQqftTa
k2Ae10aB1jPWVglhLmyly1GAxLRAzRMvgtV4zOS6dlGtDrrubuozkqs1KaDdZJVAsGBBaX6f9vZm
NDoyGXcWJOmuf8zqtwBID2ljRvHHs9/1ZWqGU4xvUaDB5KEmVLtllt0OregqvGqIkawAsm9oKPte
DrotnVC1sxn9Pov6sYSF42uJ1HsJ9p1/fUhskfjk2oRKOEhjoRf+lVil7Ka4sno0nJX0aajAczvf
FvI+XlS3bV9LtDIuuWAbroVGzKCCGhEEvNAMejk4Y+rp1LQTbpI02uQ7aLyROHXnSHXDOSKhiP6A
bbQvIzwzx7lpnHeQnVQU1NcSa684+TfwpgNkoNSkkZP9X8zmb1s8ImNQSzACDBiaXT6jXZ/EY0MK
ZyHTg6bea/HiyaL+g7UGE5CP4HLEWNodJOiXs1l0dZIuCdozi2ljKPRYgi0pe7BBgWo7OclSLz6a
yW2djIK9sHYqWGh3/dSsZiwBnF3odUASCoWNuE6iX6jHd640lspfxLBzK+xueHa0yamz4HTD6Iwh
3VUarjjpZoGg8/VlW3ORcytc2pZnziz3GaxY6vyuQrRcXQ6gJXMTXQRzWdvYjN3XxCUApCJ8gaOF
c8S6jOtyiHLBrs3zH2hUlt0knv7iDQD8Vri2ob8TiQ1P6T7Vdj6E7I5gLnbn5wuUPbK2FunbrXrB
byu8CKo6R5ak6SjYSNqHjjs5aGEEfrZaEgXyBMQlwLvY4PW5dIGuQPOj1uFlyqh9B2j/blM+ydJN
HZFSOzrdBzRe53/QDW/Mr2lUuNni5uVeFYmXrOUOjPgXvaZomQVK9/IrtEXqO6uu0ARM98kYbeJy
Xyc3gzlvtFjUnrvmjmg7/NQMBD6FXzrJghpY1QDRMYT5dmjdtzyDiOIg0j5bi8NnZvi1ixU7ryyZ
4SqeekrMkdj/yG9hektFTT5rZ8y5IW4TT4NmQLcVpxn91bzBFJ3IwyL5ZuiJ2gvWtheemRGVIBLE
DunLVbKTlqVCiPW3zSMI5AS9Xqs+cPbr3KncAGOQhQZ+PWcCsHJgGa8Q8iCW8daEu+sRaW0gIO8z
UJ9Gsorr1+VAcikHyxrr0C6m5sGsDUi2dTtD+vgLK3hpYLpKBoR1uYWZY/xqBwKgIO9SUKcSfXy0
ZhFP++obC958gbaSVUbVzp1Q0EKQ2ykDuGZq/BqPFlrde4bzjZq2mxcOyeadk2/NeAuWE1JoB0m2
NteHubafmDg4/kI8DcpLl5NJ5SaFeDYm02rSHk3izqYCNsujedGQSIriPy7/oOyKbvTPHn50tXGz
uvRg/68cXGW6qXaHDkSP9bhjhROjEqQbXwcGSzi44PKgPQcB2eXAlt6xohpKCQEugAkYZkAzIyeN
P6EhMNS31yfxq0de2uI8cmmVvq1S2MqfzYwsWEZVYGF9NEivWfs5OFK5zZvbUlW0Bq5ndATaM1W0
dFeUeUsGM3GIbVH7/2mP286Lhk3RDj1wIRI6XJxfWvELO0zIeLI+cSiOg4wK10Fe9apr6qgc9Bm3
c6n6DuzqXdFmN1KUifiTVjA2KvgxgG9BM6iDdzoWvs5ypbCwc7uIMB4lK4gaxa6VywS6X14dpUjj
O2I66S5r0VrSfu+rfVdZ/nUXWVvA8w/gNrqUg7l7WXAhTJ0nxThR6aT5owiqt5LwYpi4FeH9Fz3F
0LO8HKZctLrU4lIdZInfNRXBE2g8pl5U54gsaAGCIOJgFESvfePPHzsuTPM5bxlpdtiyXrICvXjZ
FuANRVRsWeE6wbM25G0/SXstkHheDg9s/blcTR0msZd8iGnZbxX64PHSAWIQL55/TrNXG4ML3m4N
K9pTkI2FhzRXX66v5Qqq//I7uN1hZtVYNy2+gz5/tK55aDwj+BG+xZvq2TnUG+lg3uWP1rfIE9hl
0fHyunZpl7vv1zUk140CThQ9R4Vf6C7DeVRE3lfqQe589JwVojrnSq0GNlEPAukFI4XlZRNlJy/H
sMDOiYoOXfi6204EGGufYeHM8NAPNdH6IBbpoa70J1za5eK32XTDkiuY45JIJbkdzG3s6Xf1E9CY
yPa6h9omENSKKRlf5h+CeWZ+9GWeQSWJepgJhha+76VKKGg4JERbXYKqV/PT6WM/jqet6kybPi5P
aVfcZclGVQYMPHs3CqhQXP8EFo++fIGJrB7UCMD28lQjTTWENcR3UT+axxu5QfuX0/5AjvVSg/K/
HfS36+ZWAweThAUMUUZrLa8R0i95Df3mBfQAcukB6X5IpDEic2U/GE926rbySzNBMK62CJUFs70W
GeFbJuNBwDnAs+E0Vo1H7V7FE+YtfLm41Qo/E7Qprs7mmQnOlyzkMWFoKYj+sWdDY7RowD9lEinp
3VoEFvx664PfntnicoHcXLRotnQUt3v7Z+foJFGkh+urxaL4F+dwoGUFxAnWi6/Vz0UzoNgF51iQ
FWqd5OPxqRzAq6Z8JNLJlnqIRf5xzo1RYYVMywApHfYEPuns/NTMZYZak4lsysD2N9/B8aSovSC+
rS7TmRH272dG0qaswKxv4cKcO6WfOmbkD45MlpampLK6mDR1HgtsrnofOkUQ48CUhBeWS5tNauP8
yI00mNTnQo6JTZ+t6b0ECPH6mq2NDQTNuGJBGJaxOVzaSUAcB2UwbLAJI/GA0hyCOTQGT18GaKOP
9B+wPSgCm6uxmz1MgweN5R5fcuAwHubcwZk8msf6ZZrvzBgNCUnkaoXjTtnBru9zS7DX1iYUYqrg
1odEPKADnKfQIh0GzcZ2jkHHJLlhihK0dKeXIv3B1Qk9s8M5y0LNychM2Bmm5odcPrY03jovIK/c
zFLoCMKxjtXhdxxIdoG2ZOVgJCCXq1cvVUmlLqGB9aKAXkHEG86c7NrPc86hVao6FWNOg3p5H6OQ
VGDAr6THXjqoUK6fp4/rvsh+7po5bomg2CYB/FqgnWw0SDne26BqE5J8rgWp8ynj1qd1urjOGgYM
HBzwVN2FY+Yp070xeY7t0wiQr1rwFrfu7merxO3lQuqmqSlgMiq3RbNLo2eQ6pIBNWapeenarWK8
pot+f30yV/39zCiXclegtpxyyAqh8AE+LuUBHTlEUW4X1HKuG1rNiFC4gUQw1NZwVeeqyn2rUmil
lhS0cdvGBO9Yl5FodCA+0se3s5RsE8P0J0g5NnQ/yOFGyRe/fDRAFbbI5RGC2oK3ijU3AiWkjUsp
Gqzwlnu5KSYl6yDE1dBglk+W/oQrorB9YG1yP0uKeEqDuCo/ZF1ydKi9GjRATYIowy/GdB21JlEV
0eyuuSue0lAAg5qNCc68y8HIauFI9WLSoASFY7yPBuXYFdExY33fxUFb6Leheb++oGtBhfEwsz8Q
1eZxCoOlzXKr6dC+1CaS4k4qBKCtdIsz+luWKgCEhnDMBZamccIxqfEoaEe36LZ3U+nEukRHb8zf
l6NSobtKw9MEbqSy346b3hRsydUhIm/4VAdgTX+Xs1rH0lTl7FJIe7vYxJX0VDgQUrs+j2t+iMvu
v0a4HajHyRyBHw+3wrDYaA0ljTW5Yv5XgZnP6HOWnURt7XS2hotQ1qr7aLpHbXIn9sNVKwBZMkJy
dLTwuV1VOVDmA+InSBc0ahQKALh1oXyXnF5E77R26KCUhGZZkCSzRrvLtamcHg+fNjKfSsrcMXO2
sYO3dh20wwRRaNu3kQyBAJEY4eqOBtM6aDzhjgavth4lBp6oZJYeNPtZso41mj96LFf9V8Nj4g2g
o5TBGKReDk/DcjUFGx5A97tUs3bg0DJSXG4SbZOXM/QIROnW6tKdWeSqAjLaZuPSQI5c03mv1dt+
hmSLIUivVlfNwgUDzeYQ3eAbtoym1sJugH9Q8xW9M+3GCPfK+FxXOHyau+sba3X3spclDRVqG2Hx
cgq7OGtyPPugpGON3V2Uq9Jtmde9f93K6ohsQOdx7YQz8iVhwywtoLSQW/WoMrL3j3kkN30LDp3r
dlaX58wO5xBya9FkttFEr/pvMhHEoFW3RhMJoyHFMcXD6AYj6ss6tlHXVtFlqS5uN+mQyborc0G6
oa0dVOD61YASYO0/Ju9l2LWLiktLYLej/dZJ1PDmcHJcYGfiQ8iaVdMlQtkgWoK0TlUXxBox0fXe
PFaD5KP2bnpyluu7elKeYkmBCFKhZpvKSbO9MmvolQ+rxWubtH1JusnYgKdCJnaCCmm5ZA9D3ozE
gu63p8dqdTuk+I5o6hUIllTJbsrGxC1NQO7k0px9oH/odijz+Bjhl4mWAhwFxSNTMPVrFwGmHYUL
KijykBddeilInmu7NBYaTBJ9nDv9EaUM8z6jWubVVRS/xVJjCEyunqtAOAOmgcsVpIu4I6eJzMpM
tAl5yUwaTwEpiuu8KN+sF/oh/8z/USwvbVwg6K578PpI/7XKP0omuUJlLYXVyiud9jBZb1HzIWnR
fjSerlta2/kgeXfQUolHFBAqXM4pNdDv3ZaYU70G4LCR6bcmrEWTyPJV/hqCZ+NPKgAQQ/D5I2pc
jdJLM0VD1P+Sdl07suPI8osIyJtXuXJtS22m+0VoK0uJ8ubrb6h3d04VW1vCzp0BZg5wgErRJZOZ
kRHSdmieU7O6EwBPModNaW5p3ltCVlpt/HB5bAs1N9xrJ3a5xYvxq6SDWu1VVEAsvhfSx0mMy1um
BsKBDmF+H+ZhgraXfnR6QyW7QBL/ykNRdoaRsh0gA2tqJ4sPl5Mv4nntDKDgSoL2MGgoWexKfw9F
T/ro3gSrLRyjXtlFS64K9TfobqIGjDc6N3xS12LTRjAWJmjZq3YZRfMvdVvM9eWJXjYExA+SAChF
8DWrOFLG1ITXvYLUjoDqg9g0lv4WfV22sngogFkE3QfkryAHeb5V67EG+2cFP6Rb7yCUs/erovWL
h+HEAndxjG3VdjmAWajuydCguW+2YDHZyu5nZI0OcQzwB10e0rJ7ObHI+fhM1dOk6zuQKOsflYsk
X6a0LyRvtmK0BXQaqcvRuFa7wpKhD6BnVpevKf8sXcozEvQ/szrPyUmwm4WtOg7zrIK8wgGd6i7d
xA/R2g75SSv/cgEnZuY7+8TMSEoaQL4Zvhte1IJm+AbaV5vYCl+R4re8+goNW7HzjDygizKAU+7C
2859/JrcNajf0niRdENBGgEN2ja48XZyB8ISKcCtWk52AtacCmzirHwaFZfWGl5m/6PCLmAFQBUC
wwClH3mGb3KxFdKEsSLSJEMbMhQxTCH+RIPlDU3X0mRLUY+pIk4Athvt8fztOFaAEQBgAjv1/cD2
irEDverl7bpgYqYVxqxpczqAzzLq9ZRlZdFDH9NVn7NDtMa4u3DCRUTwKhRt0RSP2+h8k6Dk1bK4
GLI576EANbAtO2hE2lKw4q8Wx3Fih1uSWun0XDO77Iqyb2CsQYewikZfcImAk6ADHwNBJzAvmBvG
aWoQbcyuWKZ7Y3c9t63WwtcqwnpxKJo5g5tR7db4JvcoNImQtVp21Ysbtb7uExdAnH+w6icmOL8b
GpkxVAlMALlS53uYAAf+ZRNLVfsZ4wVYjDTTR/FNFsjxNiRrgcEJNuoh8BIP17XV2OP283Et/7MU
FZzZ4rw80uidHNWwlSSPer+Xe7CCAyRqyoUlRE6uOaCurgq3z45y9rGWwpAXN8bJSDmPH4dtTsp5
pCSyzA8js8ZDeNNdCY+ThxStnR3exW3jDIfGjb3Waf3EzralUzy2G2geH0ZP2VYuCgnxTNzqg2lu
1VMvBGtn08M5yFyrmEzn6XkSHcEdrGknwZpua1ZlB85zcSeA5uXJtCL38h5Y3MknEzP//ckNAdGd
KWGIz66yPthUqtsL0saYvMtGFj3MiRHu5A8t9Ks1BiMqe0B4TclRGJ5FezRXNvQPmoq7785mkYur
h9goFHUejei0VnnT7kXP2Gm2jPdDYUd2shO36Q3zJkc/aE5pizev9b7aRWDk28gOqNMdwVE8ULjZ
rQ/tL8nL7kVo00bb0dIw87KVOrG3zok5ry3/1XOpcU49437ks4jMDMZSmoGs0BGvtuPkXJ79peIz
oHy4dJFmVEEBzB29KBBaPSMQU2Bo6JetiXpBis7j5qnO3LC0WGbpGr2l+sq9tXTmTs1yZ07SSJ2p
MYalJ7rXDGh2SQfpStTaN62L1hRLFwIMjBFq2nP2fmZUP9/HGrZxKKsYYyppu6TeIMsm5qGXbU3V
q/XN5Rld2s94myKphwgDYhGcb1biIFDZ3JdaV5WdCPkBuW23Lu5jYQCP9f+ekZr7Ff42xq0ezaDc
EHSAbcvReKPq9XXYvmh658RVaQli6vXKmpjY4sJBKRqUGTM2wuB8ghEi58dyNF0lNaB9IytBuqyh
XymvFNFK0BuyvTydy/aQkFUhViHhkXG+dmYCKjKzQ7tSKO5ed0mCeG1ga6/hebfxhwwpDBRTUKdF
IonzQUI8hFI9dyQx8UlgzOuQtpFiXyr/ipRd3+5CKbIytP7q6VepbGn1fHmMS3721Dw3xjGPxykL
GDQUAg2w3QLZq2Dyw7I6XrYzvy5/DxMV8DntjGwPd+gYuI9CIGvR+iW/KIJ6kJNmW1FfMt5K8S5L
qNs1azQTy0P7Y5I7eiHQwgCAADWFfonaAcXal9IA40e1cmVsS8cO9Za/x8bty1CmZBIplnBMqk2j
mQ4bu/vGYJEta6VFoDFweS6X/PKpPW7LTDEJ0BQ270swGcXKsTU+LxtYmzluUwh9a4rBbIA9qG1k
s8JX1BUnvLYfZr95cr+XCVo0uhL7Lm8hT5aBDrbFLSfcgXhPTjPoKn3LwHhdHtbiOoloMcFRFqAW
yq3TiOwmkWSAkNndgCgmtNN+m8pWw94u21mcPiQIkQ7Gy+gXi2FQCmkwzRC2pNbfx6BL7UAMrodh
jbJzcR/IeE/MJG5zT/L5HKplphp5M8PVhket3RLV/wfjAL2EoBjQXIDs9vnvx1FbICUGvFEPqimq
ArkCXKnQrdEOLBW40Rn1x868V072QiCMKdF61DaICFOBR1MwTaJ5/xtpuE2vS4DNlIqdVcYLuqsa
K6/v1BSobmm4oljMEN2xl8e95PclOGNklaUZdc2NWyZDOab9XCFDrlDdIZ0/pZaxJgS0bAXRJwTM
QMPH6wARaAoTdcKogQyu2XuDJ6HS3ynpSuy5uBlBLfcfM5yzoKHWN6BVQuEIjIkQOE4H9ANla7hF
zgpKluKsYInnOrB8yGpwU2a2iaHXjT4cA0hvy82nWD8G04qbXbPBbRPWRkOfF2Q4DmBEjEoo21ey
3QVPlxefcxL/GgmocICw05G85JlVcsJSSOpE4xGYC8GPGhA8qYWQbEsmUpdUsXSjBWO/4g3n6Tm5
Hf9tFFgHaCfDZfAoMVSY0TgrqMMxqhStd8yAUAM0T+U4elOsVB+qHivPRTEwr49IUK/cJ3we+sc8
QhxY1kBdiz1/fgBLMk2EEsxsn7AbY9oS+UoFt0HR7bpusnopObbq1uxXQp+lmVZQaUbJG8Bu8Cif
W9XUKgcRajIelfaokMxFdYm0r72276OHy2vKHbV/jQ8VJsB1gOxFc8i5pTg1NSUyo+Gom1CSMILK
Q2cverMLKthyoKw1AC6t5qy+CI129Gcj8D83p9N07HMij8cxlOujWfeojKlJpXWgK0O0ZXWVAeTH
GI4gtg20IlzDUC9NLMq3oiDhYsCq8s+AbErFvJOm48Sqq74E/TE1UWihXxkZXmQZ+ePL0/vLHkoK
qOoDpzNXQn/xOnQCRGU7JBuPEXiPR7W3+qwDH/Y7iT7yfOVu/bWUsy08poAggManKnJOQERLe1YT
oz1qce/lTPKiYbCnLtxJ0sr2/H0qYArldlwDP0Vwmds1EBrt9FquuqOmta7WX2O7bpQASPDgM9OZ
FSJwaaP4odXW2jvnMZx5AwUV/hmSBEFzoFN/3s0n96FOjUpOe6M/Ziy0h/jdiPZxJNgZze2XLlA3
7f/4sELtFP+guDwzmYNUiq8tZyVaiiEoJRwr8YrlnR1E7F4aEq/IuhVowcLywRK0h9GWDcp0fmhG
FFdVWiTCUYqfmWSV4yYJJWAew5UtuTCFkHCd9XlB4IoiFHcEQjEehmgyhWNa6TdMalxtjhTAn6JX
VgNaHTYk7wVdeREvDe7UqHR+7kGApcYtutKPYY2cTbQTwk+c/1F+v3zcFs3MrBwGxieAEOHcTJI3
UVuOGFv0KUB/XkqeNIAPRnnlVvjlxeDA8BIzUF1H8Ieb6dwMa8Iaumm1eGRR9CKNitUUDlXEGyXq
kMyw22iNiobPB2EbAvcERn3E5uIcR3ADA/YuFORBUY6ApKCjfbTlQt0YmWkDqWAhdD8MxmALLfMR
YB+G+OPytPJhKMyDlERCsQTgPKgM870QXRUQwHgm4wid3k0T3eRFCjipibyUWwi+GX+z4SWZ7vNN
KW8TqAto2iu5Mwr38mf8inIUwNE19HTrOoRw0M11Pu3mmMt5AD2eY0YAYs21nBx61EgwF6J8e9nU
b7+to8kF8y3NVxXKROemYmPMRECpI58KiiVfmeS2rHEtsZlT+7IlPss+z62GmvO8YXEBYzedm+pD
ElEdDC++jNzbPgzLv/o+Fm/SMZc8NSf02cwk0RkFObPrTJh2pajd1mlf79O8OcgakVYCrl+zPEPQ
TAxbQaoMAfj89ycudhZ61pmI7+mM27p7AOewm+prRHR8vxhKYmgmEjFs+HNIR/KjTkWcl+hn1KFD
v/Xbznkftsl3bPcvBYQImG1YmQtwTGINd8FaKff3/fVjHW597uzBK2ZO7Z+MkUl4w8tDF/uDgV7O
6UGnftQiLxG7qfRdsMqVJEiuyu7lpeYepf8aMzh+ZgIECXcnt38FKdQhkYeZTcvQVSFL3KBH77KJ
345iHtmJjfkbTkaGUeXdGM2r9xdCK8lOHNONC6jKMYs96iuty8vzeGKN2yskznKpE5rYb90eZXFi
a07rhLbYOjpq5P/P6ePOpKKStACtQuyjDc0K5M84Wutp4Lsp/71CAMIg5Yjmb57kVQ5M2oY99kVt
sV16CO9Nt9u3idW5glNd91vy0DjqWqvDL18zL9mszoKIH/BWvrUuho61lkoYV4Kb2BZZ60R6hvu4
MY51nL5SKVxZtl+3JGeQW7Usi5AyCbFHkMKwqBnuE+m90v7SWLdiaP6hs2jtxxC0PfBAQx+9zm34
Oq6yVFKH2I9FJXE6LSBWhojR7g1htC9v/DVT3L7Xo0wCCQJMjZk/EsMSTOSF0dd22cry8cLTAfoA
8xXEB2kadI2GSQpwvISvsBDBQ9Dc11S+jod9lrGd/NZL5Y5k5CbV10BKvy+KeTZPbHMxVBbIldTo
Zuwruj1lNjTsmSe2dhW8l+S6lJAGB0YfTFYWnjWXh72wYcCwC35uvEVVNB1w6xhWKlj4OxwLQS92
aTkeTWUAE0Mu3sstqCAuG1tYyZllGW8mPNSUX8ayAgDOPsZKVjJ4TPBaPBI1yzedsaZ+tnDuoJoK
ZUP0GkBcwOAu3rw3MnwI1lK8VVu/VNxYtkCHQNeKeYsDQq0eDgUc3Zi/c5cM6FIk5zFB4UIyt8R8
TLObxBBXApZfUT0eJzOqDG5EBziAl4dpw7aK2ipLfCW10FIXN5VDxGMibgrccANrHHmNz42HZM3O
8szkPO6TqyaVIwnv9Cjxi2+w+UaF9VfuGC9fErCeqIFLpqWBsWhlc/D4h38bRcyEvCB6r1XuEIg5
kL5aRBN/km36XdzQV8XtNxMqxizdUSgmrJC4LM/rH3vc1q8TtQSQCPa6dm8+s+w+Eqw4t0EXIKkb
8nl5668Z45xYXo2kSWSW+ElkuizA6y80bH1wdOJTc9cPBp4W4YrjXHJpWMY/I+SWsVPBcoIqU+KH
QW+1ykMpWEPqMLm3M3lw0+Ar7L0KuRq1X7kdVteSu9AzLZOFYcSeFT+KNtl1orElj2U4+kmDFsYQ
F4ZuG11kmwnA793KG26eS+5uOhv27B1Odq+SdaVAK8z1qBC0V7NuQpxU5u7lFV2KkPBgg/MEWEBW
VT7SrCgbiy7JEz+/ggaJJembrNjFEoii3QqqqtNhjWhtcQ+dGOS8GkXppTbBjOlr9rQFnLXAWQQL
wvi8sld/IvRfE3hiiDuJZTDLOgCv58dP4zfz9YPxRd/a0Ord7Fak1kdmyfuXKwkKoYOdH0VbfFyZ
2tnApQ/gj6agDMnYYPsUoxUex8GSr3tP8HqnfGg2+s5ZMTefg0vm+MPZq9PUDTA3OJFiv0pfd8ot
cyHbN2yuzDsn+Vrrj15bSe5gsggqOynB1qmCa5S+bdXvkWoQkdTro2PxkCSxd3mIS9c8qNln7iVt
1gvkDBIRxMdEwYr27GboPTH/zl6rtZLW8jT+McId+lIOkzEs6sQPSol67aS9R1Il2vE4rAG0lgIm
nD0dmpdIV0oweX7E8zTJ6xLuzW/UBNz2+9ELdvJVWz+q2j5MPkoAdx4qNNIng7DiVP/L4fhjmhul
XktqDjLsxDeG2yD7qrWD3KCjy6bgoRuFQy05VfmhPbRvSWsr9VMIZEPwkbHRqst71XxWDC9ha3LZ
y8v755s4j0cpVM/MGNMRJiRw1DJtPQpIiYOOUp9MvXt5M61OARf2IEdMY0ih4DKrI69SoHc0ZR00
/95DtbtrGvTAD3stsxnbD99RIu56YzuIXpJup9ZjBRgAJly097K8a7M1hoPlk/VnJua/P/H9tVIZ
lTqvjkAP0l6zB7rrLPMxvBPWdHQWb5k/W5Dv1lVR90M31zwJaiVa41jFTq3kaxSpyzfpiRnO6ReK
GRmsx4BM81HSXaDkwW4rW9QxnpP9WnvBUu4GwC0kBJGlVgHb5aaPRC1pwqbDFUNdwbwJxgxcGw8Q
9rVGySvNx2yXVI99bR/Yp1EfxtbLyK4WLfHln+ywP9/B362amQ6toMCV5Nq2mGzVa/ONMl1nGhqj
9Vuq3WiJ07DaklQHwlDWUNRzOcRV9Ku0vifBtiVvGrWU48pn/coOz3HxyWdxi5F0E5MzDdPTddEL
Mby83o7RNitv8VirswJwjtKeNLav2DY1P6TkhXbgKTki4T/KiZu3ihUFWzZC29EBGG+XSdchLZyp
0g9yb2XG6NJ4rayy7CpPvpm7zPtMyVJIc+L58Fi8Zn56X17TzeD2D8pzdJ/6ZK0OuHgLnNjj7u5M
HoEZAiWGXwbh5I01enqVMqjsRu/D3eX1+Kl78Rc3vL+AWAX3ACDz56c9o1WDbBwORy6HkEGidkzD
ndAdZaCRhG0DniahfZAnT2vsyeisgD6AV1gcLYWC5MeK9cai4crWXQwLT7+J88UMmoYEWgmYb4Ns
6ulFAaojTmKnIJMnNx8pFEJY94oahrcyGfPEXpoMziv3aJVUygZnJgoPRe7LRWLJ8a0OYuzptog9
VCeDfc8cpl/FwcqluPTePh0z5zZAECbrCfjefCaQZywFSUL0FYhW9JchrTFiL/ndE1s/83/i4TVW
mUmDf/2qQCeiABD42pFZuk1PLXCnHMpDYo1iU+JTCRono7SjZY1OJMkW9FWSt/m3fi0aWo51kCgB
dcNnncIYvaSSgNHUuYtb0SVvus02zB6uu+s12fnlrXlijHMF06SDgxAMkX4tuKg59K3T6ezA3EDC
nQIo1fTXqMUrwcJiLgFqVH+PkPMHREPxupbhM6WOAr5qq4BASnb1YN4a474IY/A7bgxQUxX3Onmq
6cqpWPJGp9b50H6oM12q4f0C9M1uQuSEHHNQcG/1CO9XDuDSq+XU1vwtJzsTJPhVXkRzFFYcNJAP
C9eiUFkRvYaCFRlAzRnbYXVbeMZaKDIfr0ubiHOD4qAPUzrCcKRvB/m7RAoDjEdW2gSbWP/UHy6P
c+kSPB0m5+BSYqoVw8vXj/ObSsih99zbofwagGojCidEw85le8ujg546MoZw8xq3a7uBSCRsRjj5
nVruph5gYZv1G9o4hi9Xq7nY5RP5xxy3X0M5rWmPJlXfROMSc8NrsNzYKnoO0B6jOMhCr73NFh3a
zEcL6BXY0U1uPqsqbyGRbMBgRExL7uPJmlQkES7P4lIBBHjDP2a460GKc0lUY9zLSXYbyZY4eXp5
C1ElHFBLgfCd+qUEngwy5twqxpnU1da1tbTQomc9+QbunhiYmU1qgm/oBZdu5IMoWsJXkdusfq4+
5TvmaOlNJj4YbF+THKX3tRzjD7HNr5Py9weoAlcdDKMunnuscDkLKLLuw8cut1QDrNdAC21K5inp
tkmPaX9l3BfPKduYZB9nCZhFE7uTkg3VoRok3cXlS28cEzpu/l9rpArczQO92hbJF3wehfhN4nXt
TQS0f/M+pV6eWJXhTcE9geiF0O0EMjnJ1FlGudZEuXi+T+aIO29TMChdL2lIn23MyAGRSHfvr3EU
LqYmIQsKYUvsSBBOc5s+k6S2FEJA/s1DmqDiIY2uEn9S/SpvXpOqtVomOpXhqt3LyhQvOelTw9wx
mPoUHar9GPtB+tRG3/ThhmgW+EStcPwkidW+3182uLTlZci/mEA1/bS/nl8KrBkjWuY1/IaabMbm
VqCPdajaLFmLu5fcyKkhbmBxNjWgaixRaxx6i8W9rRpPl4eytDFOLXCnN+hKVW9qDCVVmS2lrT31
V2l22yfvZe6p3Rpd+KI5BY0omoiMFZC85zNHxRiEpPNKNWJplyx3AkDkKei6A11N7KJVREdO1qSM
f+Nh8MSbRVBgWMBjj8fDJCLRGRFRimuc5oP4xeCogXNHIayFFsT0U3ZtqbO30wpCbDE0OzHLM92k
A5uEqYTZFrl5q7oNX+Wj4E2vwjP5J+HtqSnOyYgxyCa0HsWxJIMcYneQdacJ7zVzJUz4L0NCFxhg
kiBo5qHeQL4o4Fqf09VpK+AFQgYnluLisYqrK0kDcXI1pqNFy9K8ksGuBhA4ZIIv79h5i/DuHi0P
f38CFxiZtSET2iaJr4uOUjVWBLXofLRy40AU67KppeMHBOMP7AVEkHxGshWaIRdKpIOgOWnsKatU
aNmIxLlsZTFBoyOWxtZERwfaCM8PhV53BS5yvE300e/CfV8+4dzJ03f5lQOyqdyLYOKLPyfVS94D
wenNbcDc/tZ4v/wZS4M9/QrOExQjqEzqGu+9MBS0jVYwoFKFbA3OuJj7Ag4VUC0AJ6ESzwXUU6t1
QZ0geM/Q7qkTe+gkVyUHUtwFyCqohl0a18JV13wOq9k9nqzhpxp5apvbOg2kQPXKRBioDbd5HO+D
huzbgu7o8CgJ+w7EPixN7KF+kdhH3GX2KHopekUI6sy7rn4fVQc6Naq4qwsP+98JgzfCkl0qJlsl
RpsHJTtw27hxtxZCLN1v2BnyzOzwIwhwvkE0LcurZkS03FM3bN4L4Xqa1C2xFD2wpqcImiXIh1bM
01cuh6WH1kxIBDAIAK5A1p3bbSbTrAXESH4dKYDYZKZ8MOSo3IxE1rx/sPtOTM1TcPLO0rIe6eZ+
QrkGHQRu1LBpy0RxxX3NW5h3Hafj4Z4BnREAs9kIeLYytCnvo2q0tRA6TmHgB+Fb0BuuHq7BoBaj
olOj87k7GVlXBgAuUSyeIYa7EArEap7Yuoznahs7oVw4EdCR2nQ11JaQjCu+ZWkFDbA0AKc0c9Xx
76xMA3y+7/EOUYahdaVCzT2SRsRJEy3/B34ZUR/INNHIhcudGycB41dhNuacqqJWg/p73DkQnHWF
TnNBSXR5uyyOaxZZggcB9STvMpFhLbUxiVJfDqLaAqxntOO+jp02n9Yej2umOL+o5CMALZSmftlk
2ibFc9hN0zD2BIoessujWnRQAIP8Z1ga95QRwOQcSKCk8AVWZbLbGNXMkAoKotar4m4qr9GN19Nx
T1TksmyhlxXwScR9cFv3k6i6KcKg2GWaFMtbOYGy0o5OetgeGlMaJEeKE/w5lHO5tNteJ/ReD4u4
+haFqEQeUZOGDQidE9Dw5ZU2Hoxeqk0r1Ia63FYCqyu764S6saYxKgwbxwhk+yvjX8orQeMMvGRg
6p81p7m5NkeaxaUkp4iYSvd9skoH6gSx9YGufSux17KOSxcvokI8yQA+B1xb5/xbOaUZDnyT+ZXx
KWrVXsedFChBBESF4JPiC5IoVkSQes6mq3bMr/vYVdKHvA+8Xv4aiB+on2Zcf17eBAshsoxUjCgC
0Qz2Ir71PTf7rBlYSH0lqiyJCFYu5J6Wja7JPEGWLda/XDa45KFg8adfYq67mty1iMCR1WDfpX7j
NehBdzpiW1/y2/TY+nSVKWyeU84HA1iBWBxNLxI6YDgfnLRUL3oTxnCl+nTTllb3lO1tepvsyxUw
0MLJPTPFeaQigi2pm8eV4XqODP0rYtGbKtI117e4kU4HNX/JiY9X+yCAaCQsjfs+3bbFBpWIYHyU
i8IJyLYg17lL8BhW3YBa8ZMhPKv9NumchD2uLOXS5oE3BNGFLIKhlL+xIRHDdEZL6g/V9SC56WBn
wuCafew9Sn9Vx7J0Z3I4JyktKoxWFh9zyYIshFocL3/IQpA+w2f+/g7uOp8lEZKSFNSnFHR4oyOW
BxSIAS0J13j950X8vZ/+WOL2k8Zyre9NWMq9+L5YK8IvVaPOBsLtIT0E730eYELjEUKkIEXcJOlD
MrPb5F/lO/Suuq8JkARbeB63+aNx02Ph12Lmpdr83HGAzkJwO6MVjnOLTaZEcqc12F7BXbXTjBvW
2oMj1ODNtqqXqrPF/qN5Coc9JK9q2S3au7KzxI1e4bGZr2LWF48VAH0y1BvAym9ya0vzqcukEl/T
7oeM2VPw0pEDNVCIGtm2IQdgAiL1RdFuh7bxaFdbGYn3arTS2rxUA4XUIvR+0ZgIQioeDwr1loGI
ckf9J1F5m/LCMiCQrHduplo0caRuG4i+Ql5S5a2X1y6qxRXRZoUi5Hd/mjHPD/xQBmVlGAP29xEt
n+5O2U3v5Sbe0J1+D343cwNe6nfTEW6KbX1oV/za0pb/Y/xXwlOIuipnykR9ZqRAKtQHKqxC6+dF
5I/V/BaFlCUwzOhzOx+gmo21HqcCtty015idKaCy6/qrSLPVp+rRjKxGd1dZSX8yIpescukhFU2K
VSXMI3M6p3dzJ06tzGtuFYjHWoPVOukd2cvuy665Va+Gh01+7G6Gm2irfhcOKsDH+P2yG/vJZ1z6
IO5pHoHUqzYKfJBqSfv6jXnvkV3byec1SH12ndO6qm9uezv4Krf3xcHEN1YHcvyoHd0NN+aj4QAr
sGu24XVmvSCe20CXlk2WvmkfEmuNguun3eHSx/JuoiibUILmkA/1MfSZ0ftYszMfyq2O9OyKR9Vt
t8GN8NzuGnt7eZ5+XztAMiP4n5HZKHryOW6pLvVEUcbKz0hjyZCqNyMPJeMW7glZtgBJ38v25pGc
jxQtT9idQBTPYDG+vMLkNO/KijW+8YiBdrsPQDSrJ+qs5V8X8l2zOKkBWLuGtDYKSNwx6BWDokMO
huJdBIBBezSlq74Ht8zAHJLuyhZtwivY8Plo8YMDkQLiX0Sm6H3mbrTa7MKyKIrGVxL1ICbo2DWj
z6qTvU5i35fn8bcn0We+YhnpvJmK6CeuOYlbgoEqsQFolR/WwhXUufGSileSF78jgXMT3KY0kj5n
2lg2vt4PHvTpUOPblqUTGyIwMit3wspw+H6gfEy1Vo1ha2iUY5ilnhysoaDXTHAbQmBaUojtPJyx
giiICtmD58tr8vsszSwa86LI+C8kNc+3XFQHRdmpGdaEjQF0IlqnjgxnigtHzaApVPbfplCt9Puu
2eSudOBtFCEIaOODzHSm+tmNRmjl9A7+xGo7YG2UFYexNI0gSwCRgQwaX2h2nQ8ykRM9V3JMozqN
mjvqYKSqNOGvyzO5kGucp/KPFe466cNKyUpoRPilVT9OVuSkV89Ba017W42dYSXdvzyHf4zNf39y
luImLybVzBt/tMfRit/M12a0VPvp8ph+B1/nQ+KOEzUr1dQDWBm86CF6WuMFXzqtf2YMHBrngxB7
rELYwPeoteKSyVfNDgGej06NVrEvj2TJzZ2a4vZ5nzIAzqbZh9cfTKJWnXmPpFljJVu2ogP3KIGD
89dzU1TKqI5jWJkG4lC2iUXZq+TkvWkN65+M54+lecufrL9pRslQSE3jFzk07wMpPMZifgDu6ImU
xUoEuLgL0GSO4BfQb3T/nttSm2ZIE3XEXitDJ4ckliK+TwjKLo9o+fwgsoYu5ky1zQeBPTD0TJxg
JqquwxqgbKlyiZnvGCjV9ciV9PAmCmQbypl/qWxyh3B4ufwFi+OcuU7QbA0KG4M7wHFIQdKRC42f
pS+FiWFmV2G0Bi9eM8IdXK0ttIpGIkZpEi/qo0NG+jtK4hUfu/CUhOo74mnwEGAfotZzvmgBKG1b
XQmwQegXeOosdA/aQGwJaOqsEqtJqZVNX1JfoPZD0TfgJh04zQvUI4rkVk0LW8ITtIwf2BRtL8/y
QuB4/mXcDACtUsZtpePKwSPSIZUTHCsA3b+DyaU3+rYXgQp29Ef9Ru087dPwoZNqqYq/9q757Xzw
Gaip440rgQqMb2hoGyU3gqFDc19q2pEEajMR8kX7kVqqtlp0m6+08yhrzlTjNQ1Q9FxN5MZMCFHH
WmHtjEaewMFId1X6Vpiu+hqWb3jjWkB6EvoFNqGVs/v76gPqCZw6oHxB3GXyygsGG0ASoqOFMdJf
Ve1Qpe+XV3MhZoWBmZ8A9CRQjVbmkZ84oqpVpiJTks5v6r7TLJOlgnjdpaj0X9HWMOMN/my+i8Ro
ZUehxqRbWlrqW4kAp+Vc/pbfRwvN7aj1zW8CdIfyFXAhncLUCKLBR5JajB2wcAjbZNQE5kCmbo1v
4rerhzEJ7Jbzo2BmnTkfd0uoGEplPvgky3YKHWubifAZQzLg7Zivhc6LQ5PNWS0HhXeTf4IEw1S0
Rs0GHzAXYT9qgXYzKIK8A2FfshJZLJoCKxGU+5CfNXkAfxBrQporHQY2groKvanZVlIL+SAHaDa8
vGCLcwgmDRWPnfnxMX/K6d4x4q6MAmnwkyKurVDaQqdeRSPE4IJOf3IvG1tI98+8UshSAgoyt3dw
HhGV9x7RNBt9YSDmnRlqdWcVaghmq5nkHkJp+sjSO5zjzE7DsPJ02ujVPi717J21Hd58ehFkg5Xr
YvfQ9DSjT5c/8PdRxfchvzPrMghzfpybjbYtphwtgX4A8PCB6ko+d3ZJK9Pwe87Rv68oAjYvqCLR
r31uRZ9CnZQyGf0SDV0HdOGPe42QaNcUdfwgKH25gthbGBVWF5w4wODMmgDnMd7lGfq9NfHtJ7/F
zRASRFKghcroa/fye7rTni///EJp4vz3OV8GSpcwIDF+X4rs9DU9RD7Y/61ZTfURunb4/4q931fQ
uT1uLVSayG0qw54ZXWXNIYPk4nOivQ7VZgBW1FCOA3HFZtarTiIbRTqrH+6r6LNU1nr4F9Kb51/C
ebOJaWrIBhndtaErtwftTWPXEtJx5Vvilbkt5Kr1f6R9WY/cNhPtH7oCtFN6lXqZ6dFsHo/t+EUY
J7YWUislavn192hyv6SbJprI3CRAAhjpUpHFYrGWc9gxHB/fNCuw7f7lvXgpV/IAoe0aK2o3y8sY
fmu7XU9v+Hqo0gNq1V+zP3XUJCrbx+Ti1iYLMihch5e27wjgMle8Xl8KaqP63hSge6/Sx7Do0kjY
Ta95cyjtCaxA6MnHeAlQLqT9LfjAFlyP6wtIqHZ+8ZMWUfc5vf1jtW5GEcRsXwSH6wuqOm0+MF42
BjJc+KEUZyyhxQtnMlc8C3x+KM2yPSxk0CWqtl+Rd+1cirSOHQvzdJ7E+hL0YM+00mPTHsd7zPxH
6R34zzShrOqU+BYwnj083XG/S6eSDawurTZcX8Igqx5MvBMiNpDu1jK4c+Ru8yLKsrn9wDqeyZR2
Tlj9NMFJQ6YpSjQJtQAC75rg5iNSUIJHQgydrL/NqCHWHshQoPpru8M9C9ZvE3qVNEJURr+BC4bI
fSD+kx3+TMOAjCZKzPYwZ/eZRQ526nxiJKh3S+G5moVTuWh4aPRbbVxJmDq8PGJIXxpN2lbmC7i2
vWgKxuFPLHP94NVjp7nJFKEnAM2QSdzgDIGgGEiGkQl3dXkarC9oe3Ru57lmKKXzJgZd5BLX1My+
iAF1RzK1zUPXs+VEptDXREvK1UXt3EH0gn/J0dI2mGKRCbmLFXnTU0mDISqccdlRZE7ifA3++oDF
AAUc71N0aBGZA3WldjWTFLBqRMz8sFYWyOb61tA4LpUXwRwBQZfChmsqA/l6lWF33pSbLw2ZnkEQ
DFaxcPz03zU5lyH7kHA0SMFg+7QyrKgQQxaLUFfLVJTK0cO2ESbBIyLDLePrEkrqwKlmSEEG/4Rp
W35HgiW8Tedl+DSaSMzRgIf7PiOArHF79Jdmix9ZabbsOzR6773CCA8Tn0Bi3YHIYTT84nPWuizO
2VKcrq+I6ugAAwY1DYwjBmgfvDw6KKV3dVjZJvo/03RHcT29iAGAT2PJ6MtHRIHAHQ1NADqVcXON
0q4zTkPzhRvjEtssF68ND9zIW9AJcl2U0pYCEN/g5Yscgy/FbLPnFQXjDmzJHLOHtSzXvWsP5kes
6UyK5AoGEG+SAh77BVSP7iEf2+bWZ6N7vK6LcodCcDehh2dLh0k2G9hsFtTPrBcgWwCBU6B3sF3t
8gEpKR1Lo2LYBpb7ryzvMm7+P62LJpzSCMyXChkFVICCvhaJNS/NdJM5qzkmYimcJTL4KvqdE3bV
cuMUockji6wcJXvmjUiRMdePzMLjWTT0HkafG7fEoMJHVoUAetUEaZYvv01HsxmNwUpNDMjR9mQN
xPu2mBN/Tscm1JRctgWWA4/ABBTa9n5Bh7R0RNASR9ohpBa6G+3XefV+9J39KfdeMgsDIIiet96S
QRNSqTZ9I3XFHQPGMyKDCvW5u3Yzh8ypb/PI8Loxbo08P6B5ItOIUkU6AAMPPZQoAGMpX9ULwgFh
Na31kpd1VNwN/m5O94If+kkTE6gO5bmg7c/PHt5pmlK7DJrNkOunKi9illWaxJPiYsT1hMaNje8T
8KDSVk3u9tTerCLj2akGm3wJdI/Imyo0trxeN0BVnI0KLVwmkHQcUKpJ6iyiBxezgDomsM5jOxM7
f8jdQzH380Pg9kY8FM2UDL2Lyr4X3PtjsHytDKfVrKpi8gPpEkwiIVaFrVhyArllmJ3O5tJCm4Qf
ZQ27n13M5ttfehBUYcIg7k7uAICfzN5NLV74i//A2QgmSfFYNc2tUWez5mgqzsvFBwWX+9z2wMqf
7O285LHvFgebNXcpVmEEZzCdFuAIg5F1d303FLYFmQCEI3AHeGNJrjiYW9fMCw6ZWbVzyyez1s2K
q7X6V4IUnM94coVDDwlun6cHhopeOL+MU/Haix7JjOK5ndOkCyfNO0SVQLrQTDKzFWndlvWD9bLU
f/n0q/GQhcggrcvn0nSPDah1mgEUJkUM2oU9JmofaBMVoQaAVVElweKC3w1MugizQxkkvV5rxNQG
fAS6shz0qbTGFFPigXLRQrNmXSH5mJ5Kfzik1uxHdekkzqzDvd7MRnLDF98gmRXhuFHCBfdgP9Hx
zTRMvPxqIcavs0CktALsO5mosHdrVXONi1S6lTP1pSvYn4LaKjb1CaYRjOBPRK+xS36sTJdMVjuV
fyXJF3DXd2WGlmX4yBfQCJVlZDwgeV1+6T5Pj+4PHW6K4pbBkgIVC+UnB8GSdGr6tChyUfbWiz8k
rvNi8IO7aDJxitvlQoR0bISwGVumDt7J/xMaAWXQrt6yKcB1dnvdBag36V9lpIMyVJM3+T4OSrXG
6BC68YIqavzmkc2agEwV31/oJN0yiDmXNjPhCkbkZzt621cHn7ux4/60Uac08glk07FROmAiqQ5z
cGwFNq/Y9e4COkn/q1s5P73C/Ou6+kr/dLaX2/Kc3a4W3mZW5WGhA+uPvNiZaRu562kqvnPjsbYe
nVwTYqsewqjTI8XqA5cZM4eSwHosixI5CsQNIuphqw5QEt78vyo7CtCp1H7iujZYtRc6k7jZ2pmK
VbOay7ytO8/Tfdt1EVnDY0ufiyU7usZbAyLc0T62DVj3uPjiDRpXrLxjzsRLDmisuiX303FruQz7
Yx5YZcSzrtxf30dVDI51Rc8S0PC3fljJjkkzAzCvhhg/iO3XWxenfwVEV2JHyNYAXCPWPWOUR/RM
oGTOgwFwbyPAwXHBH7KwPhoDe29Yf1RtvhvWb9fVU7qcM2GS1WTj0BZriD1sm/Y7H1kdB6VlRRVj
NL4uSXkgziRJ1jKRhUzLDEmrN+wr75kG+9654X4SLnHbrjGSURqJSg90JlEykLCaqnIikEhEfQzS
m0V84xWG5sThumbSGgLjF8+eM5YgSTMyuwA5bUBG5DCx7ArDfx6LGiP146/rcqQV/FvOBt2NspWD
8QlJDqbl0nUFs1fSVGl4Vy5hECOt4e06WhUYZJ76Y49R1dvG7oDsijHV69Kl4/b/pINtBikhYqEN
5PK006WiaYamy0Qk4Q9Hh5u87cVZNPH+6+DxQyoP0OcOYsbLXy9zm6ZOBVxaXE979AXcFt4QT1wc
qvazzY+NrwmhVHt2Lk+6B8MZ87XEgDyCB4lr0Lhpm8hvv15fs21Hrmkl+Y6m5VZtWBaI+/wZOxTe
rzx89IfhJML2pqSaNKRqhxD2YvjODZDOkV9b8F/hUuKfpHdXM26qbI4R9unAiuWL5u+tAjE23uCY
FUI653Kr2qapBmaC2azzmoNr3hjNbkPiCQCy6yOdzNgOr7QdLw3NMZOO829ytz8/u27aNncwBIot
86uHUByHih/C9mlsdQoql/FMP+mYeYxadtNtzG0g5HnRvbqVhnf265JTMsKpHsS2ejbfeDnezMzc
B9TSHFallG1k3YeRY1xBOk5T65Xd7Bk4rGF7xFQdYGfcaGo1yUqleZ9JkQ9R6OXERL9F4llf/LSN
B5uCvsjcN8tP7rx+4CiFeN5jUg89JnIPi2FyuNneBNk8mJsix6Np5NDC3Nl9Vh5BIImWgZby43Wh
qmVEt8DmcLdO7FDKv2V1asHMCgpk3p8DyByZQGGBPn9ACLKJSGVtlRl5ijWFulUb1DSZQRAjPPMh
G7yHeQk/XRej2iy00yA1AXI+EHhImyWqSiw27WhClgPt34ib1NkOU4E7+hHu0HNJktebBF6shg3+
P9jdbZ5HXanxBMpt8bbcGEYHN/u+9ATZ5MxjO0AAAJr3wXw0F/CAZBrjVrkbtPX8I0Q6Qj4zzNEc
EcS2fJ/SfZOdSH1chSaIVaqyjTGg2RGzVnLnvSNcZ6XmhM3v92b3UIKmKsdtfn3rVaqgsR+A6Oh1
Qw1a8jl0bVKQFXg06fO9O9+HaRy6z1TXVCL39L076HMxW/xy5qBNNLdx4hQsMXtA0zKxTnG/Wn9Y
S4OM9Jr6KZgpK7brfKBSzekIrPKBtHHjGmNkDumpagDr5pClPpbuZOyH3scsMBh+d8JZRezNwt0v
i7N+vr42qg04+2h5/rm32hakyVibCZn17uise0tXHlTFNh72F4VrBG+gzrlcF+CglpnoQWma+Xfj
+IrOjUcbbUehIFE9/pycfv8BlTDLu6UR0PZnStsNQKSmGa2pTKpwAKnG4Jl3Tl9jQqYvPY2DVN2V
3pkoSbW+d1GrLkeQZu/JXjebrtwaa2vVQl4XCXHpwl/ZNFr9tm4MDau8InGOZ0I4adyv8nCcSdn8
5pnV9s6SrcyFFG6DnQDFC29hcTi+rf748oF9gRlsL3QIlLnHuG0hG26IMhmKN488r9nzxD6iDFoE
UZiyLPAJ/ua0QG7GAHKXeOXrss0MrXXkh8/a8Fn1FPHO5EiXiRtyatgrYrFqdPZeW8SuAXAlY4k5
KAjyxYxDC7Dn/zXH8beHQR8r8sqYv0Tl8nKvliLz+DIheFoAHZUDM6q3jqDcQsbxxq+LOE//BINS
HPBRZ4pKO98q+yhjIP3rS4Lbxi5nQOrRhJXoBEl/hRjD/YBxnEnYDsOZGaLtBYlsjsfdnL5O8wmJ
22gav1yXoXREBGwUaENCn4LcOJAXvj/5JZ5wQX00ixhkO461D9EitMRzqfEMqnDDO5MlrRifBF0K
A7IwdHFYmyma3cc0OxK3P9ge0yyecntCzLv7WwvNb8OAub8i57QghAoyQPiYqGc1DdNkTuVm+nfj
w0/jzbPVfn8rYpPZ76ehL2mSec9hwDFjGPHihITim2Hvh+aL+1K6scm+pv2+xBgOdyIHpjnvWgCb
U7s+XN9L1fqi/QqHAXAkGGmSTjqqresyswpA3sDOrKtnW2AeNQTVcvU8zaEmgFB5YnRfAQ0I/TyI
HaWAq0kdFI5MxI7stjFBPBXeV8i2XVdI5VK2gw18FXODaZIOwGKFbTo3C01Q2TiVZYWRBLZvezOi
aMSCWmznYLC/8QxdfUxlPFtxElRvWMffalWDT4EMZyJ9Y041EKDbeJrp7XXdlJt1JkJyl3R0/dFI
wSNtBjGQWF4s7750euB3Y6ieOJrN0gmTTl4F5kvL8MDA7bADndqkzyKnLw6ZC+xYV5djU7mU88WT
ds0YZ4uXgHDBMV8ePbaiw9GNGECjSIq6JmhTbG2YqTRGx9sGuQBghn62S09ZNWGf2y2nScWR54jq
pWoAm25UiCXN3Da+gvYRwy0sqOo6Mkcr7AANzIddszT2Dxft3F1U5F3VRghDxz+rnvCnaqFFud9A
Ag/tyta4SfvpZxZug8SEp+bnfCZFGvkjTZ9GZgUpDrfoi3uDMt1En1q3rfgDDk3gJ0khjxXMlI7t
5mMY8kNWlA0YhdFl8pRC0PaNeQ38BZ7cywUEnnpmLkjnJUZKI3sFNH8Xme7bdZNXniqANQCZaXvd
vNdRz+6zymA1XhwUj0BgBN4VZF32yKTrMLxUwRv8PVYrADrEb+g9ZbCOfWDhkdYhTT7t0mq/eqfB
0hxfpS7+BhWGeQgTF8DlguUzrzkhcH+Y2gnj8fP1lVJuBzGxVGjDghpSkqEMQlrwAL/ugfmrfCDA
4Blyzc2v1OBMhuTATddo3LrAi5lPlXebNrUBDriA765rIhfH/74isdsYkwdQI6blLxdqHYx09dbt
zQzIfhZ9C1AfERmIOm76ImL0k3cD3qHYHI/e63XJKp+H5qMAXVCYa0CG+lLwvCz54jMfF1RRLXue
jRz1hHq9NcTa3BmTmYBtJdxfl6nat3OZkrLWaNYlH1zYXj0dVrO9r5C65mgfvC5GrVoAED6kxVFp
kF1CwTn6kAlNctfZAd9515Xuzjbrp3A0Mcan6diRK97vW/hOQodeWkwZyb27tTkJt80EbD2MLPGQ
O7vu1Nd7H7CF/nH4dqPD91StIjLJoFrf8BVAZ3+5c2Sus4wNSBp0zRP4dJES9fZGqRvUUi0iML4w
C+lvLSOyYbaFU3uVAOZx56EtF+U78M7V4Z0wq6TVIvgoVcJkgWWj2XErllyq1KwFnpKrQ5MUgEvI
KQwTiUYd4bNSozMhUvxn+H6KbIuNcKmZ41L0QFY6rM4cp2mwc8bn6zao1mhDvgFVPQ62ZIPNUpcY
0oINCiDRN9PzXPSRmDUJN52QTeOzG6NsQjqZNYTQEZnxFaDzwtt5pm7MRSdGyo6EDvgjOwPHdhij
OT9SIGVpAjCdBClAEdW6cDBiIqUEgOFWeAheORD0NZlDlUsP3H/2RE5cLZk3Z06H5Qo8HouRR/36
gRrZFmAhaYUqArzP5YYAYsxrUrIdmtKPSPijLOkOlFmauF+5Wn6ISxwjjRjzkfbDAiRD6BjQwzN/
1Rj6LsYYD7j/TyHSlrQFG9OABTQpOKh/vPtq6fTlEFUwgvbj/2kiUzlRoGV3+eapA+vUvbH0zmL7
THMbKGUQxwSSHcFoj4yWUKZAT+FViuA3/+qMv2rnOOVJ52p2XidF8mDWEhQ5xtLhlK37eteXFsLp
JyE0XkUtJcSs7gZsjgGOS/vqBV6wdlmyhHv1jZ2f6BAeHEyYNW/Xvde2uXIVFm2h/8iR7DgDSh7p
WsqStUEHZoghOgCEofExICXmNH4wYcbagEunmxRjNyMq3ZivRy78exm+jg8ki6irnWzYvvw3zZBV
tpCi3uY5pdBxqFxcl/g/knp9WgMbrB02msFv2RA7A94rZsTdn+36uVv7qHPc/fVlVR1cTA/g3ga4
gId68OX2uWuNV3o4ox2hPaII0/X3pPhyXYSy1oycGxr4XJQukLe6lOFjjpyHJap+LTAyY9tkR7dY
Hojg+4p9cpbH0QNoDJgVPK7DnFM8bDEdu80HInOPIrd0G02N6bAxg/Nbmz+MJpq6yGOnwYxR3v51
XUmFqQARFNOBCE3emYYvdVxz0NzPc8eScvJukPoD+9eB0Ztal5FTy4Em22g8pvWltexWIEd3Vs+S
wDVeZ5e/iYnc1kt2avAc/e/+Fjr9K2v7lrO7PDObrqL1wBIynLxiD61yofFRigDoQoS0QXZHvaUh
UAcoAzyuikFEtlM+gVD8mc7sBsMQmmtdceFi2m8DJtnqjuhVudSpcpyONy5s0cy/rmSMAl1ZU+Gn
LgRIGrEAIzLzgLhxNRAw7jt7OWbVbfCUNfnB7/nRbY/XLU+tEVLL5kZujQj8UqO2HzyL2Vugkvk/
Ddt7wtTL5+silEaHfo+/x21xN16KmMOVGPMCnYYxrv9qh7ssvMlazaWo1AONXtt0KK4RGZtm5mba
GSYcfD1XNyLwDvn834MtXFH/Sti+4MyeVzML065gODu5H6F2M6Cd8/pCKbzphQTpdCI371TLCgm+
/dyhfYf1f6GY+gEhqAr5AbJmyJTLeBVeSawmY7gvKnLX/hgxAre/roVqJ84FSFr4U7u4tIYAp4lS
J5r+YxPh9jrFu8oEeyIqXID3ls6g2ZvCRZkYCpgCDbVeFq9LeMNsEpGliNzp2VrMF8/WwdWorPhc
rHRQMCfIgClXsyRP703+03CR/0aPe6YrM6nuuwv9pDt1Rgqq9G3oV7KgSNLaxtjKMLGd8Ion5j2y
xXpcME5QT8BNMapUN6+juvTO9ZTC5MwSo2u3EN+njyv7LKYpWqNxafeL18Q81eQa1KuKggIyNijb
2FKMVAies9aBNDDS5wBRt92dwU61p6P5VcqxtwkkBzO6eNBcHl68lK3cDbF76LFYx5PXnGp2CqnG
9DfTlmKxrQ0U4/aYA8Z/SVtnELfssxXXOESk0zM00ZaqdSKk7WE54STbIgXXBc5lQMlXgqw7AJg1
94J6wf5RRcbQoSQ0MjPA1UrrrfWlmuK1O4QfckYgiN0QPAF5It+nZosmwq4XLBmC1yALdnBHU9t9
4NLGYD1IAnC1Yvu3CPrMcVuL0afGgCVzDKPeVR2KIUbptZq9387/b3v//nrdIGWQqruUsgy1jUk3
SOGWv8Pmp+ZTZ536Suxs3diNysPiokANB3ASNlhNLkVVxlQDk8ZiSdg2/S4kzIyR/140y6ayNNtC
MyloJIAbJrclGavtiQK0vUlZAO3GSf9Y7WLHQlNX9VZZGl4vOJaodaBQILmAVgxB4zEHFo1+nyOd
osCJC6J5ZyqVQWr4vRqxhdmXS8aspgeqpI2TiTBEfOHmDqTD1+89lQFgwPx/IogU5iyg880HG7tS
Wae2L9Fqfu9nR8BIxyHV5TJVFuBsHR4BXl149MnqOAXtVk9UCe+yAx5eW9r5ujZKCciTblCZ6AuT
ISkYiBKRAEAs4hg0MsA5Xn+guQ5IaP9KkJ7+VStmz3l/HvM3TqtTPf4y2WtG2M11TZQX6rkg6fzn
GSlst4YqaHZMs9NS7pxn7xV55kVguGrXTx+IsM7lSQZdjk449VsYty3d1sfRP1dE8/JRHRrXRAMC
YqGtGUUytoCOy0h9PK6A4XE0ej+i4E9fh+9p02u0UUrCmDu6/XE+gRNweXK6qunJaMFFO+aXpnsK
kVUoHNTAKh26ueqIYk4LoIuYYnCRqbkUlIdDCnyU+f29CPCaWxgD1V5rKrM+FyIdHHgB2pYDnFoG
VBKEAHzwNeulVAMg9VtdFS8eGb2hdMdUjAISpopHA2qS3Ptpepq3iE7ItmlnV5qTWYYPBBD4zKLa
heOv7YCG07S7fnJ0UqSQd3JFRnkBKW2dNTsmAhLPQcfjtCx13SXbusu3J/iC4D0x0+oh6XKpULe4
dY4ZJ7zkv/m/2Eu90ugGHIq8/6orNqnctIv58L+ZTkCVfCmJmWlo1GtZJWG/+ru17qe/eNYGUZ6b
xvNS12/CH22NTSjP0DYGSVDAI+BXuZRpYbjSNRmtcJWmKH3OcU955NQYT59+Xt8ylSSg59uwP2AC
IzF3KakwcsC+1qxKLC/hIDps82dM5kdGr0ELV5kGWrs2DEsfZK9yw/oMDASgtNRVMu7TLv7RBx8w
vfPfl1asrYUR9IDWS0xyNzYJ2q4z8XR9qVQmdy5COkOY0wI8o1dBRP51nu4AwzndoUc3Hp2fKA3E
2kkJlesB9BcaM0NYOZhSLrfGQkmoBqtmhTO7RKvvAqf+y3WNNg8pHyK0T72DPCHxJsfsNu/5nPXQ
iALHbKRgXfG/FX/0/SEgTVxRHbur8mJF48/WgoOZAni8S43A8sTMtmogL+VPvMqfG5QIMnO4K0vf
iGb2I6t/gQPGSlfN1qms/FywtJS9SG2r4hDM8/5orEu0FOKQVs9M1xisMnPfxrQEWi/xSJUBJYbC
8+olhJkb45E0p3Q8fqTkiS6cf0VIll6Z7TpzzFMl74tVxMt4Etmv64ahU0Mydb9zAEdhwjAs/jyV
e1bcE90Etk6E5Hh8lqdhH0AEVgpzElgptzl9RIutOwaZcgcbcmlujldiwLcfqsR2svUAZksr7h3y
y1usbH9dkso14J2IdAFuCpQ+pSihzOoWDHaQFMzDhJkMS+Ah56GjOOxnMybgEL8fU7+7WbvB+r4K
W1fYVy7mv/LldqCWFX7pEbgK3/yO/Urp68f2KwDDygbW4/92dofMYFsdE0coaOMA6H3NGru60QDl
OT0TIp1TI5hANkaCKimy6ZgB5HkSz0VgP7U6SA7lgp0Jsi9Ng6Wh6S+VB09U77cJNGReCNeE3KrA
AfBV6P8G4AaCYVkGBXxf56VV4uRm1Pf3HMQ/tWlEe83Vp/LiuCPwwEen8cZqfalLUa8h4Ybzroth
R24X5S/BZ5Hfa28klUbnkqSgyxt8XgfCxQ1oZ7u8fk27Xy4Th4GnUSturh8pVVORDdCkrXUE42fo
ObxUa0LHtwsHC7V+NSxaMWpx5+yegjEG3QT7DphTjTyVSZzLk5QTVSEKq4RJOOuYEOHPUQeQyqD2
I2AC7ReMD6CjeD5O4U/KKQDY7dMwet9Ce4476ms8l3KhkeEAFgRQiZAhuNTdTAVQEMq8TkbzNOXO
YeRpTOq7wXtJJx3wokIWXh/bvBJSakiWS3oX3rwEmFwtEqMN/cduMf3IyaoqMiYMZBFeNbsNqFvj
MN9R5KXQA8B6mC9DGGBhg6XD4VWAr3SyvgBtLUgdvzTeofKjOYw6+3Fpu33oFE9Wec8MEZns+zwh
o2x9tZpxP+S/nHo8XN97hdvBx2yJXsB1ubbcfOVPgLz3RFskdjgcwCfOwXRqHIuu0diYWs6WTcIV
gStcin9qz8vN2h4LzGuU3QFTNzxy3WLeYx5rusGYW6fxDNvW/bbIuP3wNwJ8zERdmpFhgG8zxEIn
C3DtopWm9W6cPVsjRXFwkCH/V4rktG3iFsQpIQVovFPdH/LiUPvs9voWKYUAkXHrXsLUo1zEmVoC
ct9+KgDGVR+J/VQBeyYtPrI/Z0K2o3L2Sm6rGs/7QKCIgtnQ8nPq/MyjxtFcC0oj2IpSeO0jHSNn
l6lRga2CQBNhOydq7n+uSxz0VJNcfH8d/Lb3Z2IkF1Is3mKv6VwkGQUmtXWi/iNI7Y+tt8TT4L4E
KH/Z2bNVvy4msKr9OOTzLu34zrUfwFkX9ftwTkj5Bo4YEtwAdANnOTEov20m8Ahaj94tumf3Y2vs
U34f6CI3lU/a4OqRTESjCPpwLjdC2FPX5JZTJKyJeuOuu6V/iJ/govjvNnUmRU5ZVg0A3wYXUhCC
IraLKcUba9ARyCh1QZ4iQEMKCgpymncG1Cplm5TaiVMUeFYAxj+lw1eXfL6ujlIQsNMQa2BSGwHM
5aIBOMwYwRdTJB7aqZ9YkP3VDwWwtNLKOHrZggx2i2vkukzVscQV9Y9M6cSsuTExPkI5XBmxX73N
1qkYNXeF6sBgmh4jVMhbgjNBviqGeUIivigTFH+iobrn5EdDjjoIRVflLDGvhBsAeTgkSiVVrJK1
dlZBTLd3jyIxboC1UO/S2/apiadjXUZZRCIramJQ1h3yA93/8fq1j53Tq9h7N9lTH3M7mm7JsY5x
emJ6S3df6qiOyyO7FT+vr7ruU6XMp1jGPC1IXiZFjViI/8id43UBMkzT5jeAu//vYkgH0JgFZ3aK
xXB8ekQ97uDPQyTMz2DU3M+Vgz6WU+89u2JHSAMEN022UsZDlMW/T42fOeJ0olntjlDQfibfSBGN
a8S/o/2SvgaP4i39NrzND10e5c9I+V3XXL20wfvUO5ZAzl5nbi/MkjXAeOkyzKOzut3lQHDWHBsZ
fuxvBdGdH+AqwyBKKN2Zflp3uLD7MgHiiVd+T0HZTPzyph0jGrm8ABYriVAQrJfdMLNP7nSDGqRP
xQETnhuz0KIteqicB7IK/3yQdMjCak55lmGimeR11GPuYbbi2SaxC6TAddZc5mr1N+gKnDQL/TeS
q/LyvDLzsYZ5cQA5pRRYl3lE0295ENHx3rmvf8x2EzniYIvyMN9bn8zlkFlPDTI2QteipdT87Fuk
c9+Vi5EBYw4QMf6OrH9OBlh2mpvGj1qqq16rZl0w9eihKQhZ3S0MvHTRDBikoTdhyj41n+sywMzO
EFHr3uhO6UIOaQYSymFHws9tsZ/bm8XNI3sSmkysMvQ+/wjZ9toC1QALI+V4wU93Al4rXvl9FhVN
lH0efoXzzvpeRgsGHj7zz7rZP9WFcS5csrMc/S/AzsPwPwCjd7P/HSWrmPca97V5Jzn22fDdHQz1
YJHlYDEEN0k3r9Cwv2UIfG1wotanqfphOokQb2jt+MANhTmUd+BSZEfkrB/ox8Cl5mFb0bnYFahM
ouuzaJD30XUmqDKoAOsDMvyWtMWzQIrqsrJNDbTglUlNRVznnzqLxFs1Ly3aOBQY4oCXxiPx03Wn
qHqLO+idQhCDMggSm5LdVg4tSZVj3HVuw0O3snhlh7T/C5idVkLL8D5cX616PZWaUFlmF/nbTSKS
QeMzokFUQy7Pi2XmrcMmu0xC+8/SnlFIbPbABY+m5q7Osx0gltHLtURD5oOUbI38gt/gjaXJRKji
D1jRPx8hOas5rYuSewAQMMlXdNzFE2AKMPJ5WxKNGanMFrEU2tTQKWphjy+1debKC0Y7o9B2FwyH
9W1gUSbi4s8AZ1HzPlDdcygpYBQEfXFgQ5C8HiBeK2NdfTx1Cu9n0/ZTnBsl0Vxz2wfL55DgDsWQ
3cYm905PfXaNczqtFe4UmI23t+fnvNs7b02egNNw1BWDVV78XJTkV9AAhzptC1FT3HyxEvbSoms0
+sAxOBcinT63yVdKJwgh9u77OEVtFYm4XCO7jDEVmz9fF6dcPVDNgXTKAx3X++E4Wz1SNkEZZJCW
EvN2cbfyczQ/Z7MFhA4RpVxj5irPvAFvb9NaG1GEdMZJUJRbjxCc5uQUcd2l9yFjv9I+1V3+qq0C
DUWIwb3t7pdjn8XPspCawBsZnP7Gs8Suqu7W4Th2sZXfsSXJOmCY+w92+GWjW50OzPRvuAAnxufM
0vUsqY5BEAKjAH8hEpOLu3MzmT3Qr4B55rT0NiBDuS8ybmkOm+pg45ChgzaA73blrjUwrjpLO7tl
sor0mDNjXxdo18/5LpyLaKhPvBPPJWk1F71qQzHsA4Y0oIHhTSNZK6BwMPyBIkiSgzIIaA+kpTvt
VatawHMh25+fGallNa41oYc+Wfvndv3i5qvm0NkqczmXIN0B6YqEjQf6gSQPHxt/3KUY1Peq5mQC
VKIma1Rl27O6Go1TXj2W9N5AxEpBeNzRY1sNE0bc3Aiv/P3ECrRxkody2mdsPbigALKi2upvBvtA
Ct28vO6rpUuDLr2B4elty2myNPtsDqKUfS9YPFCd61PvMwFr03Z14FRdbgFAIkC7GeKSBBIA+pWK
yEBKkVmH695IudFolsdEO6IADDRcSlmBnyBoCil5DwKqvogN+nRdglKPMwnSRhvcWmcwYiMutdCo
OvlxkCdNrWtPUksBHTsyMah9e5IeY+ayauQ4FWQmO4HSz5bDmpfjdV1UvjsEHfX/pEi6VEXa5QAf
ANbRem+n3i6cfqLoJ3qGYHRXm5mG3kIVooDyDLyL6IhBFl+ytgYguW4VAiukqB+Qz6tmej8CZROd
epnmOCqXD21VSF8DSP43Io2iT2nN0/lvKMoFEUM4vdqWDtlVqc+ZFEkfqLo2ZEN2BSHLno3LcyC2
KuppBbvv9Y1SueYtxQi6Iswpo+f30qyJT/uBpNgo5hdwJ03cebHHvmFUo3Xp3hJ7ZEivS1R6hjOJ
m+mcecyiJpmRFzhIvBG71LYPS9hlUSCym2bIv/aprtSiNEUPnWUbjSymnyRTLBpadXSFhrTuQ0wv
997N7PPbuqZt1LEMdKewpyObS91jRWkqZ4KlTcyBhDkXNe55fxsxH+9t9ycGrTT7pxQCIiKwmzob
TqEtrSaa5tI1BVpuGjpHdIRSZFG4r4nElFsG5DDUcOH9fHkEJktzjlkx+AwUQKPRKW/nryFwtge3
OYZ01ATNMnj49uhxQXpkgQUNjzx0iF+q5Nap4IMBPxi0RZRb6w3wKkO8tAQq4izKmzi/N09VBPoP
diT+nnSfrhuo4vChUxQt3Bs7mUvk5Fv+f0m7zua4cWX7i1jFHL6CaZJGYUaS5S8sy7KYSTCHX/8O
tfe9nYH4BrV7y1Ver12lJoBGd6PDOaEiSFqWpchNIf2uhPRHFVU2LQfDDsKSE6SsCkOyFRNYSFqL
JuO8jK4es1QA5MsgToUz1llvl22uOCaA01wEpDzgplV5JtqTF9APVMvZ25CaGjgGWkAgjAoGXHtp
tzDwinPhynH0+/ZGrugmOq1B4igpCKpNNqOcV6ZMRVw+lMsxPRBmI9JKGI53VBokHKXhiWKMSgMG
oEgAdM5BCpABiDsijQmpJd68ylpiFpoJW7JA6gJ5lrnTQxjTCeUFzNbqTzEBgriTntOtSIL78kDt
3tN2gg1Cmu3tjVy5f1dSGSONsCARcnGJpOzINsgfw0+d2xKWO8W8VNUFdghBAWZdra8g9MIoC9nU
552BOc166AE/I5oepvLfbstYcTVwaZgOXriRYYuZvFs0hIVBNUxOqhUoJoACshfD1J1LV2kkt4zz
N0BHtcLnbaFrioHOEDAXqpiYR9352phMQ5aUpWIiDsVcVlr/zJDHF3jns+JiUNzChB2yNBiYYJtx
c702khYPqEMbNnZqyZ4YPmm7yLBF4ZmLfrumDOj4hbEA8pGC1oXrFeVTpwviDGFl8ZJbmhf/VJKA
DEluo6HvX2wepoDQMb/gsLKMRC2ltQh4EawrKRUCil/RRxNWbtN64pEfra7qQhTzWBPmDG8cigsM
zjsg2/4chqfJvK+RJ6kozzGvKTsGT2BskdVC8YJ56Xc97bJ8wLKs8KnX0elZqhyvvJanhOta0D5N
pH8wEH99SEk6RMagwIdgipiEVoWYF6RR9WSnmUDiZvbj/END8tsS/8VM7IK1iKe8amK4l1V4RdDT
IUwwPEwV0rz1lY0n/W2tWHMhCkCBTBgMmPZvSUljiBJk1ICLNWXnrBtJWZa7OLHcmFcGX7u8l5IY
a9tH8dQlOmBnwramthTrlCTBKNumlokcA8gTxZhYZTaTsSyBQ1JFnzT/7OufpsppalrfNxhyXF0k
53Xm4tZ6bmWlgdWIamKXwsLntivK0Is7jrtYXwuaxpYXMSZ+Wf2uaDbXFGsZRrcvNxmCF05ien0p
f0tglmIqNGxUaNoBfLHv6BkKwLrOuUK8RTCBbTB3VRcu8EmB/BZRUve/Zp7T44lgbA6gVIoIWIbA
DqBb1dMs19rcvilrRg0AdQtIuQH3yhoanU6RNcVA+wCrRN1RElR3abAdzMeP23LWDNqlHOY4aiXt
krSAnB5EAsBXFZLc/+cSAIqNBIuF7CjM2rU9MwPNKo0RyFm15KAfZlJebv/8ryZNNgC5FMAEcBYd
BDlIF1iFjDRK48puWdoo0IUbYz4N8edcbBOU3/PZHXpq09cWGM2zXWU/p9wiyS4Jt9QBvrDAAwBZ
0xEAT2NsFPEe2ryYhU+TAMI8E99lmECkFf6M4SO3GXft+FDNQgENICPwtYyZGyplNHrDgu8rQEuH
sQNV49zXtYIzIq+/RTDLCEI5t0ohxNxwnmxC+W5KBlsfHXTq3wcJus+VQCQSmh7H6tzWJqlOaelo
k+GXUuoo0ZMW72vK62tZi5qWnhaoFboA8Ni61qlJoX3ad/im0CjvZP0UTR9SUu3lQjnWiroFYQuv
TX1Z5TclQ3vL8u5ZZs2Yjc7EWe4B6Ai8iPJBkiqPGh/dkpHO93r+fFuh1/rP1KUZHrcF1K4y+7Cj
wVyWVAZ6Fmgzd8VB3Jh3itN62r7fyA6YnOzc1U/xXXs/vwOm0FEJtSdHQFtPa6tO7hm+SHTejPpa
/f3yo9j6+yjkkh6m+KhAxiVSkw3CbrBHq5tYNP10apwWIJRqdzdOqm3G8WPRjA9ma76i09e7vT/c
T2FsFiojbdCocCHCfb4RNukx3wWe9BpsgDt5SPxuG59uS1wOlz18nDoGMjHVDrRkRqAapFQeF5/V
YZo1Gog8vvYUsOGc7MGaVl+KYfxWDk2XhQhbPPYnubLj0oUTTjewTy1H0lpVGkyWoNjFqwqDCSzQ
k1SrvZIYqGF2lXqytPrDCtu9mmktmeOzqTpp6hZoawhqw5FqnePb1gwjnvZ4iOBFJ8ErXN/ephNy
uQLG7yFV/GA27KqNvLHkdaWv3Vi0ZqOVAY2QSFEyuxkqk6JVCXr6YCqInlQCujELDNNiRIL26u+o
ETilqlWBqNcCuBuagsmz62UhM9W2o449jbbmVou93K5B5O7eVsXVvbsQwuydJA8hgJpVdA2iVtMD
hrCyfsom54ateRWMGv7fSpaPuHjSz1GPBmxdiw8e4Rz9FzQDe5UufzRjRzvaGCldfvTkZk5O0r3i
JxQdaqrTHsQ/zWPxMO+lH4qXbFUbr8UHoCGAYvq5jXcmr/VEWQ7k1rcwns0Sazx2LHyLFTnhPvqI
bO2H5qFrCpXwzA12ykHy4NgKbzhE7X700VOUPqj7/G10y/vgd37fHlMvJeOzhWYD5/Y5r0Y1lxu1
GIuLM+ijWQyiENoE8+YCFRb2wA2BaueC7DZH0ntH36yWmFBoe9rG21E4Dh+tG7e2uDE4jwKeYjMv
UkOe5HheFDtHiip7iZ1kG3HaFtcs7N+rhZ+9Xq0g0jYCCxXU2unudK++42znbY1GDe7658daVoqa
gKMWXTe0bx/V7e3BvMD1zy7UYCi15aQQVf4G97QtOjzmr9u3XmN7lywhDRDg4fN1fS/mu0HfSCan
hMjboeXfL/RN0OduyJZ2ZKHf4Y6SRuKxRvD26ZtVCSJUcJZ9ykivABcU7AkfKdB7kN+4fSJrhW8A
rv+vAYOtul6MBLcX9iZEOUF5lO1PNNq+JU56lN1zuB+e44r8AUaj7KUP8n7Ca9pPf/TP2YY3tcvb
U8bAJCJ4v1O0hBxm864cEaVFvOB80dv/34QheLhe6CyJYV11cAcq+q0VkjrSS+ujgnkvDMS4L/zb
+8pTQ8YQDGBTU+oMjrs4eONrx6lnrFZvLk6NTT4oetTU4bKY9mM6CvZ4Sv0MmaiJyDY94XEXb2p6
HMq7iRcqrObmLyUz5kGO6nKSKiysJNSx8Nsh6Um4kd+abbUdfOuIUbYBhHEcPV3268bpfbWSX9w5
tY8wGhpATWdgI5ukjL1GI71TTJ+KeYo6jrLwpDHxSWWMggDA5/hQO5ja/NFv0m1oS3bk/ldKwnY7
jJGgjrG8GBLBqSLqpUrmVjrHX6yuBewhmAFCoQ9jFNd6nxmdRZF4w1rguqMduskUNxrt/HXa82DT
1tXyQhajHHVURHqYYN9EAZ0oo0ysWSbjaPi9hXaZegJJyg+pJFGWP8adgUbozNdNzTf1vCdtymsA
X7UpF1/DeBtzlKN2MuEKjLhP7Hk0nlSqcLutl5/yTTMvpDC6YqjTEIiLZgZ3mTN7xkb0lIN5QLgR
e73HG2hf9QwX0hjfY07KqCNbDO8fkxwzH1tjcKjxb4LaCyGM+ymHVLJGcbnjheRO1fOUCxzN5x0N
43U6VWur3IIEq/iZD/tS5HVcrD/bLtbAOBRMIUXa0EGCoLwkneoGyXZKOi9PXfSSxMNOinqnBOWD
iYzh7VvNu3CMoykzPRGbRSHyz3iX+9SV9sKziszP9rac/+e2ffU4Lu21rE2s47EerbBDN6qcAv+3
6DRdtuMu7WKbjnkhOaZYThoedOk0EJA/D4+JZIJQuJqNGVQzpUI3nSwVsR8UuY5p2DaGO7QKhQel
tiz4+w35+zuZGxL1qPIiYQILFHjqiHi8psQN5Ydx4OzIamiM1+TCWIJxoW+ZYGmWdWWZJ6rTwMaE
DQkmLxgqpxf+cLZ+9dJfSGIMndjHihlOIbq1m8xOdIzNWHeJcB6fWkwyPqsgqNBh0UC2pUin26JX
1wiSbU3FUx1gqYxea42VCYWSg7JRzkmcKBLpTcvVA2WHc+bF66sndyGMUWVlFsu+GzG1EsXzz2kI
la1RjEt5LRLtqseo1AR+M8+cal5CePUOgS8X3LYoY2MC/9ppgf201qIcbcJt8G4hOxoP95N8CAev
Du8TdBOhKeX2tq6u9ELg8kEX8UWmSUIQ9RA4NYMPtGP0Kx1HoOFEEqpImuZE8+62wMWGfrsUJsYs
0OyDOSv2HOcKzB9o7cHl/UyUYjdJzYsuYR7otpRVdwFeVUUFR/ACyne9rDIGsZ45NsnBM8CpN/rg
vEpUEvJwDFcrsWjWWA4Mk/Yg+b6WM6BfcDJKrKYAosGMyUX5dxn7k5ARqX7AYCopK7TS8qpXX3Ny
7CYC0RT6gcFXlOCY5cVdVPYgTFkm+MbDtNF3kT/chT+HJ2Mg3WP+qG/hhd9lgcx7uikeJ69E+rc7
VR2pn5F693mvqVWTfPlBzD60Q2Km4fJBk214lpu6hl369T7x0mfVS++Vt+Rx5rq6xX7e2gXGmUbZ
pAxBAKEi1p88vAdO7Qr+bEuH3/kD72GzplGXK2TsjwGkG6MWvra88P5guIwU7m2d/SIIvLUe5vLP
jarF8QARKDYdLbA0H63GPiDTupcf6qdqQ+1uAyPkSbvgLdzWu24rvt7+hHV9vlAs1hzkYI7VO3xC
ttUc1U93LalJgFcv7wmwZs4vtpN9yAW1HOSpBUGA8anbR0p3wMEGYdjL7QWtWZtLMYy/QmPhDLYz
mDckykWi2Lx2U4WjFmws0odzbeoF1qHcV5vOHVGECWz6pu6IcSyP6jZ0593oKyfNHrzJif2sIKpb
vCfefJyc8Rgdhlf8dyeT9D3aFLbGiQzWZrzQZPh/loIdc0nmJEIOE983FS81Gv/uVJtGJM5AuWTH
x8IRjffA2ut4ptze+NU49FIwY6LGJtRz4GjBRNmDLZLENvYqMZ18KxOTc3HWfNilKMb4zEVf5Tld
dMnVtvUD0gLukvHkLIinSoy1CdVWAdcSpNyNHw/pdiQN6d0eOvUHNBtb6z7n5Dp4q2IMTi+1UxVH
kNc6umt5nbOsi8cKwbuGjMlRRWrGVg8hs0SE47xLIeP2vn01tN6wamyzkgbcHywD08gY30RWmgIu
3S53sqs72gu9F7ddb/d3xXF8KWG+u49foIC5/QWra8RQ51KWRduSwqiHNcdiYszw0Vb9iJlYa/zZ
KM9Gx0k3rBoCwKdgvBBjsUBSuY4EJgw6hUHeovFcI1XR2aBnSyxnDm0uo/S6s8WAAKhfEXGgpfJa
VAkkySJXMCWgnAyg35vegMkXM34ZJcnrTdlGCZZ0mL0wOhU4Qxieu9PyXzkQSG7v62qRFQN7mN7E
AB2oWpfHwkXsmIi5PiYBliy19kA/Qt2rqNuDVeJHLP6sAaWkzyOxktzNtcOs7Hh9kWswCiCyRA83
YjxpwbK6lg/jnpnauHSnU9Xu0t/qNBIVWJHFsBk+88QbQEU6bKVxN1ofnKWvnjawx5bBQfSasojP
ohlpKo3QRS6bPYFdHcu3GJAJmEUS1E3ZiV6b+yhCL8P9CBvtVn0U24rMEyULOwqPS2vxyt+uGDoO
wAsGhGhAbFxvRAEGNY1myyxaWpgkq4VTV1qnuAWfnoWRSjfJkogM6P4GxFb6xtmKxYXeEs642LSl
dS1QTFyAiMyJaumsKm99eMCMy3ZO1GPTATEtD93yM/oXLAIqen1RwUW/uQb62etlI8sRlm2HuRxQ
v7TmXWweBno/8tAa1zZ3GWAxFyxc3DhGy4syrvVWt+Bd6n4fxsVOph1WVp2rSMZrqf0119IPAMT9
vr2vaxp2KZZJHgTNjPmiGWJlv8VgQkhzVwgKEhjVXTt1nKu85tvQtA9NtgBXi276652cdEWg7Yyd
TOknyARLzNtymaPW/BlwjwC1utxZmX3aNmoWRQISXtCM0C6VN0R9alk4aeJOHdCBSolj9lcz9gBk
R60d+V9MCjBmUpSr8q/RHKqhMtr8CiuA/1cNKepHa9NlgkcjVJkwNS1aqCDEm0pG4radXZOav2gk
copnq1uMSRrgvoD1AJ0i11vcCWKmChHOU1FrIkjPqYKJXIM3f7cadgHNR0MiCMCIeF9fixmmhMqp
KeBOANdF2XZtSsTUwFxk7/SJC9AVldpxYaP2c1tdV5cHvJUFTRd96l+16gtfEMyzlkdtAha83lz4
FrRRd4aAo6arqwPihAZKIegROu6vVydLrZwptEN3ehyXe7MQFTtVmsi1AjHZtrPcesh/KvuJ4q9K
800ZKn3fIdvOyUWtgXyg+wqdtkvrHvrkmViwrfvEEpBxPPTTQ5g6dTwQsCYSRdsYhlvOriYodyCK
qubGCYvoTVY3gXonIAlRLlzWbbj555t/+TmMpoMbW6sxcINWUyPZdAB9mcfnQuDp1pohBA4mRtiB
1oCZecbQg0q4GIYKXiZvDNewfk5jvS8NDAfrAHFswqMhV6Qq/yGKMrwZEmFw8RgQwBAT/nx95GoN
DgfNbKWTWueA3hwSX2yRyQFzXxpXjpR3/0yRWXnsoH6AQfK01RrpNOrbBvdThdGdRU4fEHNbvglh
tjKXSlB5xFiUPFhup2KqYwYg0fNtrWDjo29SGM+FRjE0YtaQIj42vwqn8p+Cj3rzOzlWqc0DMWGC
7EUWvNUCkov5HhTWlxVf3P98sBTweYrSqaxr7WAFgfQUlJr4Ho114oSDpXHM6bo8IGssPDWAGGB2
UE0Us40qyOsNf9L2I9yHIBfeJBicu8WmRP6zsr8lMbs4WGJZD8IsncLSBfBiZWGuvbhLHLV6a7J7
gCgMAw+gnrlpf4nE6AMmwADIC5D6681cUB3GUpmkEy3mYSvWNHvq66LwMEeju20nzk9aUmcTyVV1
3ISjqmw5mrPs3kVM99cHINpBlha9d99IHuUwStpliPKUvyQfcJnjWTsOP/IH8dAeC97Q4MplANnd
38IYYyr0WauXkHZqYrrPxdrN2tSeptblLIonh9lVlN1KqgBQ4TT0eHtG4X1XmU5ozrtK2dFWslM8
l7RcE4ieFfd0sLZmmu7EKPXTUHakqfdvf8/qIV8sm4m5APgjhdGgYdkhsDdU5L/mO/DI2JOk7ONM
tZtCBO12w9mF1XtzIZUxp0kaF3pTQio6ebxWD70giJ20kL2253HWcPabTfGNQplYxgAlaiVgCqnz
D6M5zqrBewWwKS5WWb+ChgvT0/fJgLgTSxLzz9z4ARiAXSeZZJZKzAzJmMIWNhFchqjPXimoBKhW
tp7y+KY4p8nmATWMm5dhD+USckriQduZY31UE32vtb2jVd02y2q3VXh7vGbjcXksCcmAhaTlK1dw
sfiwSlXBiAWYijfMHkoYTyWzvev94pGC7Yb0b7eVlo3A/rPZf8tjLmuV9HqlI8g9tZG5oUCHQjnH
LfPeHim1cYntGZS+uQZqEkW0Gyv2OPJXlQqvh6+3LjpoGWtsWSkq6L0pnQogBBlTcoeI1xaV/jgD
ZbW3Bl+bZrub9H0zH9QmPU0o+8zxRheAcaxwMnSrZ37xLcwTrR6lFtkHKJ6SIdeQ2I1KML8yuQkZ
5piMPASP1auLgfWvJ4QhsUsXQ6HKGh1HPY1vFYCyZk9SScHLY7FViL9O+EIMs6pGMptiMEr5VGRN
7c05KG16gKJFRBWTXgCgB5JfdjI0eDQ1SWDn2ojm3JYOrmKWltOYc7qTmxFzD52A3nR5eouNsdob
VhMARiZX3VmeW2Kk5ezEjdofw5wm29tKsjylWO+FlAzApr/42LTl3C7uxBBava6qoXxKg+q+rctT
2JnCPw8Tge0F/7gQ9yoGC7MUm0nXG1KCXdKnaQOwbWNrNhJQ6YLS5IhaNXDAHkGUA5A2jJYyngL4
I2ojxVQ+GanyM010T8/8QT4CF4ho1ikFCm0m/oqq2M7SxtXGMrSL0uL4jcU5Xu0pRv1AnwSoI4QD
KEMzz1djpDNAUZvmLGqUiH1mq3GAdsJPqodOKD/dPsBlQYwwvDPAb4/qJl4a7MSzEAuTKgl9c+5T
ehIq+TEeSy+kbUeoOG+FmULvMTrMcchsXhXzZxjeMDF2AFIYzEkpTBotrAQgqiljc27myTPb3l9o
N9NHXDShmb12+lGDe0k8h63bAy5iaLbz4KOhh/PIZXvOvz4D/H7IawLAWvqGY542STRMptWc5/h5
vgeuMWCsst5HkivQUDwCBbHgGgCv/0TBbKL7WPdyye1QQnMjbddOG3Eg1SGS/FgB68whKDF6BWDy
PZp1O+G+OfEwQr4e3expoctugRvTcFgsE0NkVEoDipvmTLfGe/4ndnu7wvzRvAmcdi8+1K4Cf9Rs
aq/1hk13qN38NOxbZ74Xj9OGNz78VU649TWM+RJKNRVQ02jOsg/CZrexOxcEkzbidTjGgPz+MzkJ
+QwdzjNh5X7ISDXpEsJlZJzYtoa8m6vQKsT2LMUA3iztTn41NGx9CYsJ23n7fny3CED8wywfUg/I
hEBpGU2tGvTetS00Nenpxijqc5G+WTX106hFtjA8lKnkzJIGoP3hsxX+dObrkEkcPf0eeiwfsfRX
AOrDxC/GJCDzL/cC1ZtzagFWRK+3SpU8ho9a6SSqbE+tg5FAzJ70oKQaDALe+B+cXVgxE8pCaY53
J0bSMeh3befR747BsiJuz2ryGgwtcCv/JKG8VfKCAG2CAPKNptF2fGlq0Jje0Szc1FFro8dFC3/E
UmpTWeVEBGxJZLm7QGjA9wBCVDc0NkcigFejq3KlPQN1AnWBQ1nbQuijcXcGYkhpac7YfcajrycP
lYiOsJy6qSJzkgvLvjM3AHQLC8glZvTxG/M01sESUATwT+ewrCSSWBMApQcQaXB2/9sbEUtFZw3K
XZClGGx6ta+jCUWhvjurkd2EILRyU/MlVo4GwPeGc1A6Yul03QdHqvxtcYBVAAobjh2qB/KS6zPv
raRLxSTSTua8Qb/NdJxGWx17oml71LARERAQXYybmfua+X7nLFFC1hpEXnhLgMaCNSwJuB2MSjZP
jrDxtu8xmlwQcNu2vueYku8OgJHEXCzwv4MFvoakyacA2QVwD/lToHY+E9VGLcmZbE8ikdduANu4
6d3YNx3dGW3JjZ1ol3viPvTmB825vfNfLVNXasV81RKZX0RVpaZ0oOSSzBM4YuzRST7MXbEtDr1X
Abdd2UubzMuc0v6DzpjabZwBv0RH9wQfAIA+2D1J5qce9TNOP9m3IJz5LOZBMmeK2KBAaZ4GW4J4
wy0IJYJjcJbPzjgjp359/IziSU1poc/rS075ItrodAR+/Tkkv19/oUOGNIeAiISj7Wzt/C+hQOWX
AeaNRx7b52WJwpBrhWaeZm/AnisbbTNvYlvaJegeyZ3aTux7AeMAO+yrf/u8l/Uwx40qBdI/6GuD
h/kC9L847kKuWnmMe+sUlWdTvqvQ0pbUbzG9y5KY485WjhApXgwyo0t/Qfxg43Wl16M6ocIpRqN8
ZaNRB4jDMkXcgnyMI1LOUarfV3YpjiVrnaVohipXwskALHqVvOfNP946+ERwaMsYuFfwUFs+4GLr
tGpUpLru47PSUtQEGmJSD13CNgIIWwp5iGbfD0pCDRSlaGlpJkbQeC1NFcJmSYBAmhmRQAlJ+Sa/
qg2GljjHtCpoMfagcoNjYUOcTJ36smiV+CybKGWjqn+myJ9VmyrmeNHv+oA9Q1fkUosEyg3rRNF4
C6QEIU7OxilDbSFSM7cE8FaFycKSxKLsjjzMnu+PXgtDxkuFF8POICNljwyZvpKijTg5tx54V+7e
1d1kfwokuc9BSBH6qd27b6LT+hS/UFviaOT3HPMiHmP8Gqp2SyvF4vUuNMZUW7EdlSw568+VPTuB
RzeNZ3evt680O1kLc3IthnFhg1QldYKWonNOAl8jGplcFOftd2Asb2s39NH2e+yc2kGfsa2Qt2dq
hw7Pj3zB8V4bluuPYG5HhoDFaGJ8BP0RbgQiYHSrJx1M90xiojqj+wDUWRvTHYT6JoFxzWztHp0c
nPhlTZsvt5xxZ3qSS6EuYssNMkn3CrgYEhLRfVqfbm/6tyAVew6UP7TlA3Ic9XVmuY066XqRtslZ
Q2LQLCLS2KooE0N6HLZ8vMYl8Gc391Ias6qq6+JyCJrk3PxK3QyQcRaBOtmmK9syOnNzNKx1HiYz
yOjMzvtTu5l9HSjbsV8eNBskK04LWCedoLOU1L7o4w1lf9Yk2QhOAuIVy0F/oyNsebQFX/XSb58N
fEngPmkafB3z2VGS9HUqq8m59xSn329nTNYZ6GSePXnBaiGTLe5ah24rP/HCx6fOGzydlFtMHGXw
vb9yp9iNIznFjvAQ+f/i/OCdYB1Q+QSYyPXVHIcW3gJQw+e+AxSMuWm72WkraaMjzkgUkotPt+V9
y/JBX9DTrX9BSwMMk5EHTA8rF/oqPZeNvi1ABlAGW10wwKLEaVj7nsplJDHWoO4qPOpGSMJwreKF
oEzrvMDYZ5WvOgJyCz/EcvvfrY25C1GNiTyhoFgbKGeS6KEbj308kpa3su97KAO/Bc5XB/A4XoZM
QBHnaSGVqZCcZcOpu32enUMEo/M2UlLQnqAxQkU8Ou97YTP46UlKCP3T8Gz66jdYQGiDH0McxUJh
ivMQYbYiTs/6tKmN+yDeA59Jlt5v7yjb5AKTLv9vPR6vMcliljrKI17eYpqeR89Cm33l5p/0IXHk
LVrw/XaDYhoRS1Jxqq8csd8SEMvcQ1hOENseQC37WD42Toe+/3nXeaJHd8B+xufInMV+N9kIEHEL
lzwd8rss42yWhUOWymN6jgQvuENrWbqZAqQYJA7eMztesWwqIg8RfTo6mJRBj3F958UY714aitkZ
vJiPPwASSBDoxy6atslInvyHw+HV//Pw50/wY7hP7wVKel7P6spSkVtexvj0pdNFYY41z60EXaZV
cQ5+Fp7wS3JTriP+ninDKhfQKaAWK4DfZcPuiUpV0NdjcZ526kv3M7oPf6K/wtc2wtMEnIjhFLzC
sN6lIimpk/Du6GJdrk0+pIOaEmleQFNZbAIdNAhtXkVKcabOeEBVYB/6r5JtkoXVK7ubeG/q747x
WhxjVqUp7bNU0yFum2/yR/Av5Tao+Y71Xt+iGX4D+Ixn7dh4rWv5rR+fimfrHLjipntFP7J5FN6y
Z14ktJJRuP4mxgCLVpwsrKDLFogu9XS78iNPcwdHdkovOPImWBadubXjjFZT2sd1XBrFWRCA4WM+
KtmdNt2rnW3VzwrgTBLntm1anPYteYxTp0JvjJoKeWJwlPvMUap9rPLGkJePZoSAfPqLSg1ZSBQL
8O8XkXOsh5Ni1GJ0bup3UXqlvDTXyiIAfoSwTUfeCTDYzCL6wip7QBRFZ834GNsHofDjgNdytHLZ
EfVjFhSUyYgTrSWEvFjDqOXWqIIj63yvOKr7JJOG86D6npbE2+JSAmNOkJYshIBCghQ+lWMGgrkH
KbsTJ7/UPkzZK89quFcP2i+MAtio4d7Wg5XUyaX0b84CFalcloGhfFZ/hpU9vKR/NG/eZ++DE94R
ZTMlrrqN6ZY+K5jZ5QhfccPYVUDzApp9aSFjMuVqUSidUld48uRkwGNnUz/qPDYKVgcRYiAXDyEy
uDJUYPRen18zD3Gjl2F5DicB5BhHExlRzhayd5cVwdzdoguMNswhosDcpPAby3mpXuRf+S46xXgr
abs0IPNndswfhrPIsZ3fEv1/CQcsNXYSa2QzDH091KU5JRB+Vvb0NbKjk37IXAEzdnFEeJ6BvXGs
tOW2XNyGtBwrOi7SyjlzxvaAtmES9C+3N5R9lS1CEGUDYWypd2M86lpI0lszMFHEEqbXxNjCc5rb
4wwaqIGTi//2smcFLfp5sZpqaDGaVM3lWcFQth3uy+dsL+3oESiXvGNiXRwritk4fcYwj4zJ5bOw
D+7oNrsP/fAQPSUk4/jutRO63DzGXlVWCrOrQ5ABsjA1+Kj0bZL6tw9oVelQ2lFRBV5axtmUiKQL
ShqAAOc87FQXKtC/01frOdlkz8aDlpCcd1BsOQO7h2SnomOgQEHiTmUOqkZQSJeQ5KzcyxkZnppH
8x6R5l75jO95RmlF+65kMSfVzgLAZ4WsOqf7GBOWwabyuteSow/LD7n0jOyCmFOKMP9sGQaERNvs
QdmI9zImhW8f0uo60B0I8jG8JVH0ulbuOOhTEINV1RnEjr+UY/Su1ER+DX7dlvIF3c6sBC4eJWZ0
zetLve9ajKylGaZwyuqc/Yjscf/ke964J4gUjwF5tR83Cek4C1vZO0gEwDWs3VLPZcxDbg1pF4pN
dc6fworI960PtTvcXtbKLUJeX8NLBspmAMH3elVhIaRVKQj1WZTukswiYm6HIQ/IYE0IMrbonkb3
BkC1GccPYJ1c6mnUnGNpm6A7LI18E40Et1fy3f/hubRk71EMXHj8GE3TMquuaFWgN8SgKDhmOlgK
QJ/h/ndSmKWIHdrPSxFS1OgkgL+0HLkzq993a1kIJkWsZUBDY+EZtRIsbU0AEZ20m9VfomB5QBbR
daSjHuhEJqCn9qVthTtBwYwfSF44KrG6keAZgsJhtg+sK9cqIaV6qoHquTmPfWuR3Khyu6sn7mDM
upiFJlVD/RzX6lqMFnXBNIVorwHcsqgRoGwDCrnobbkhaJGUf4jpz37+2TUOoGK45LxsQAZV1NFl
sxh2TOyhkfBa+CzkaO0L0J9BJ/DTia+BjgEg+aVJeFq5dpiXgtjNRAsb2t+N5twWqE6rwAuhDxrP
TX2rirLLWb7iwr8LGrArohJNEBr4q9+95m58D/8UjY3c3QZdSqgJxg71N8BlGL3aeZTJLiId0Zwl
+x4i0X7q8L///KIsYMwLMQCQb9hCdTSXWp5LtD03Rhw9LejTzjxHPELDbyWTr5Wjox9OxFiIdRkt
MuZpjkxTaFFMMHfSPn9yPGDxeNIewyEAYdhlG32Pmq/s2NaW46y/GsCuPQKU6EI2Yzu7ql8gYiC7
JMLrHYrRNnXqrb7r7xsPGWGv3P4qvdx5ASu7l7mnj9sb/K2Owi6deXRmPVWkLgy7M1owPdOn9xj5
JaJPt0FGkGP3NH/cGBj4RxHjST6Mx2LHq3p/6xFgP4G9RkM+DqKCHQhNDBS9G69jswuMH4DJNV4T
FVyPeOQ1XloBpNEvhNnPWwsQoWLxMSkVGmUOXUp0ozzEqeCUTWLXJQaWndzC385PXeiX4x9t6skg
2125sUTv9gauRMXIfPwPadfZHCmybH8REYWHr5g2Urck5EdfiHHCFLYwBfz6d9Dc97a7mtvE7BtF
TOzuTGxSLqsy8+Q5QKHPAhkAuenC+kHM14iTDtiRCN1o1aGJfEO6hSb8W3G0D2uX+ZK7w82HsiXS
XbPvOT+iVScTVkukeybd916jjswT7/p4lnwaniUoXMxMwkCFnltI0kQzh5R2z3GTZjdDWxZ7VljM
JZ1tO4DA1yv2LlL38+ojta0C/TWTWIqQu2akZiZBaQ/hi+4c0yf9uHsCpO3z+rC+ag3iMTs1I24y
MzMLsP13z+MWfag3+pP+U77dbI6yZzywXXjY6h/O1nEee+dxb/vpd1/aBwFx4o+gA97jCWyWzufK
0NX5bF37pnm1TxwuYc2k2x2+yQCznnWbmoCWPZJ4Y6OKgWoiMolB/oKqVvU86ZvuvaAOuBqByDa9
ejeCCb3x2xc1vZU/W3nfKD9sT4EM6iEcvXgt/3VR6RRXSbgbWN60Rdtk3bNCb5v+qFbuDhMSbQrX
9lzu8Fv82+gggvZTn21d5dELVoUlv9AM1+ZL2JvK0BNoH5TdM8+3I90CmF6SH8BrRcy1d5IdNPqN
nQc5v6+ryVH5bVbtE/KjMjI3Mx3US/LcVaX3CR26R5N5tuGN9mMPvDv1NQTM2g1XNjlHP+lntWdz
F6QjS1tG70vqD5ZrQ+Svu4uruyF8SBuHV40bjgZkZx3o8PS/ab7toMPmT8ZG3Sc/QXB1a0XANDvR
EK5cil/ZbGEewBGCwgF6qpBoEyGTjd2AL9nomuf3j/sfAM1ITruvneJBcn4koPJInLn8jOw+5Cqd
yE+9+ad08c/4j5CUde7ubvwb4tx8z3YvKng4UlztT7EfA3Q1ImX954eDwgVn4PoxXDrtJi5z5Jbw
LFUVkZm4YyzPB3PEs9DcZ4T8TIzuqL2l301pZ9ibgrXPVveapmxz3e68My5mDLIOM97bxnNU2L5q
mWQhsnbtM9chx9dM9YeW2u8kjY52Mq0p5CxdCaYK8CRKK3ClwH6cn2s1ZUnRGTNuV81u8/G50Ruv
IppnIjNtvKfqPagym3otN7n0kjgzKxyPWq0JU2a4sH3/ajvVg1Y72RO9iV7QvgzcmurLruJIe+LJ
SLNJ++a22Na7NWrri0oAPAXKOXOCecbXXEggcjOpNKkHZFMhNzP//EZJI699GZ/AKTGoACj4CBDv
tTXFhtlXiiuMjgIIUgM/pKMEdD7n+ZjmGiN4x0j6sYSYaQNqvet7aHlkJyaE+ZXiGjmpIWyfa3lb
YSnjwumVeNtHGyrdVG5Z4fnLf0B8kb9et7yQNcCcnlgWkhNGlSp2HmNwCGI2bA/pGpzk373z8yfw
DVhO2WW4pCLPxs8aJv6iPvq1oCfGhTeHokXF1MUxwLFH7aZHHyd8SnQTw6cAD6+8ozdr2NabcZUY
7jIHeD5oIUjmZsgiS8J0Nz4DVCN2DVcGZJAedKDgVRDVAy5RboqAejaAL8pK4fSiziAMW4wJ7DyM
+lKFeem2Okh35p39OLyZd+Zx2HY/7If4uJa2+y+rjBQu4NZoFBFRyCxSeiMacHLCwclf6WP1FG+m
ne2WP2MMPnag+id9U5+fGp9ETu6Fd2vkUwuJynnK//kCYamJCkRBrmGpK9U3MzfcNkjD7yi5zcHD
qUC7kdQ+4b+u7+6L4u2fmQbZAoJodKxYwtPMkkhYqA2eQfLPYW+gnzVytA/ia+omifZo7yYP8niw
EFw+adkzNCAkTwEJxMp6z/7h0n/88xHCW4w3UEqLDUy+lXXcj2X4ap6opdsb1dv18S56Khvyy4gV
oAx3AYSNBlspKx3tFdNvpTwS1rrXDcyrdDGUEwOCK7TBKmGmJmmfh4P0ru90BEK304uxMmGLtxxE
rv5vHII7lCdWmCqX22f6qf6U3ulv+8U6aE/1fVGuDGh5X56YEvwf5MeqKVFhCszhyseEo3DMYhca
J/0tOQxHmzvtt+tzKNJiAGsz99niN0NDVlMXs40mmeS8znH8Ia3LvgG39C2/0fUb7g2vNHWaW/M5
fwMFCWR+VwzPu11cvRPDovKQ1hAJzwobnSAIwtnB2Nrv9m19lBESfOab5GFN223J7cwpLFyaeBdh
UwrrmBboQi0URHxtfURQHRtsq6cvTHth9bRrIf6BylLtQPSjlkZnIDtNc1mhzvLCXXnD8tAtaLEr
i03ZrC37wlScfZmw7B1nqhyOCDqgv6TUtzq6T/qHWPlWUE+b7kJpU39rj9NNlv64vgbzzXK2BDL6
5gBCnmk68FYVG5GZFfO2w3MqQD+aDaC/4eISfOzGhzpkvsxDdPSv4cYvGvbQgQmn/7UCIF5DQgjf
dBILJpAJROG8aoJYuo/GILQlb9DuixaIHXYzvsWGqxqHstuo3EESLB23pPt9fdSXWTB8AmAB6Hyb
hYQA9jr/hLKy4jix2yboTLQdO1LrjuQjU1o/LslG1iXXMBFr3SXjPqv3ZuzV+YMifU7jiNat+t7e
FuxXJDmq5XbSyoJceLT5y9CBZIMMCJeQWJWe9LZj6BttAhDkeL12qKXPtnnm43tr2DsV1+X1mbi4
C2ZzhkagmwH9Z4Qr5xPRlrkEdhDeBJAAc7X41h4S12gerhu5fE4KVpRzK6Vu5dloDE3A80+zBdV0
a3p2X3sNQQaJPFK6SZVdEeZu3e2K6WVIkpXztbzgJ+Ocz9/JniNdrOsR2p+DrnbTuNiaUuundeGa
0rhvptKTE1ejlQO225x++zbUB41+tO0LKGX8MIbWyI1mNiDFe0DvmRwVu+vzs7gISMbOGq06CnPC
gSiVgiRGOjXBBAhCF+2GsHGzfv/3RpDsmtnGNQ1ao4KRzrIS1pphE/SW9KNpErajs6ABaupr1A6X
WU4st6GiRg+SPKBivyLjk8lu1C5uu0pugx6ivUYS+tFwnBKglLWtAjFksEnMnUfqrsi9Rn3su0d1
uNG7XfJQ36Yhuqfy9gDyp1jZxGgj+Ejc1Ofoh83D+77el/22NB0O3o/ares1xMbiPpmfZjMAVL6U
TysHaliTbbYBleRbynVf4r0zxuNjguYWrYR0lfUgNZ8hFipu8DQ1fyAOd5rkgSdAFueZQ7ON8t4h
PmkrL9OIJ2FXX1/IyycCphd0WpaJJh9UYr4SWCfTq41jWufQaw9q7sUyUHBlcUAXeej3EG9/Mn8B
wjl6120uXBNnJgV/2cpppBsMJmO3z48d8EbS8KiOQY9ApfjOV/sF580oXEszRBaFJhulVk2sdSVw
kMg4RV3QfbYtmuMNx37Mw8fxgQ/MwTt1l+grDWkLZxDsCeAkRDvJ3IYpxAODCpRqofMhQDZn8vKK
o18kUqjbEDNeMTW/MoTBzd4dOXS0HqPLQHh/k9JmsTxOQwDMlVcp0EuaqfXAQxx9XF+1xTGdGJr/
/GSjyL0SsaolQ9C3WzOrwPB/041rrEcXb3w8IE5HI7yprKbBHdtgNJy+RemPKny9PojLPJpgQNh7
YygbSRrBgC47srkDU2k8btAWgbKn4dXTXf/ar7z3LxcIPAazByMKKuMY3Pm8aUqXUTOMh6Ask3Ib
6xW9bTkZPWsawXbbKWuScJd3PsobaKBBwg69v5AQOLc3hXoKSAYbgigxd+19pkVOGDY+VN29iWLD
R+laF/jlogHAAGyGArNI34k92L0GmioU44Ygs2ykTRO0fNPCXLNyGVmACeErsDARYGDDCxM5ZnoX
W4mOiexrc8+y3NoAxwBqaVJRr2N5tYNyEd1lDLFFMxafvdWNfgLhWyfKh8gHi1PkoMWk3wCiF/kW
HbKtGrG1JPM8vefncRarREAwZ/LAxCrs4KTXE7tW4zGA4LBj24lLgDqUueVZfJOC0P36fl6a+lNr
wmI3tt3oyoh3b1+XXtToO60pVoCjSwMCy6KFhz2EZk2RZW1EWrLjGh0DFWCv8CXRsY2OhvpK5Mfr
Y1EuwhYsMKiTQSEBqlU09Qtek2Zhomt5NwZxVW7i7IOwjQVgfdq6wz17MCO0N1hvscW9GtDtePxI
0sc82qb2LZgOKvQe9z/1b0ViOtbMyTH8uP51l+4PPBxf1XSwzCooI5wfK26auT3WfAxqGh0SHVAQ
ux6dOi6ylRt5aUlnoWYElkjJ4gifGzLKzlS41I7BZLV3kcZ2Sh6/XB/Logn0T2KaUU+AoXMTpqR1
jcYxlliOEbIUso7BkGllIAtPC0wZsLC4lOZGWBEaNpaGXDNDH8ElW4DbEH5hG5ly6zG9bN24s8Y3
PWn6XSHFzM3HsfENwKBvWsYaFyTaind90EsLiPjMhGI9pheV5/NBZxkvK5bKY6A35r2OjZN1+T3o
jbbXzSy4e0S+lmyAjQuVbRHSlWUm9oZBxiDh8WMBVgw6FT5j38c1trGlc2mogG6AShdFdPGdP+mN
odQqnYKmT38zansFfnNQJ/JAGfxct81aeeby2YaY/sSgcALaVolUi0cw2LVbDm0YufqpFc8ZAXDb
Uayfau9fn8rFDWSg+gROFaDu4fTPl2wCwWOeA6gU5OmN3KmeAtULIwOjWetECKsj7dfYaZtxiu5N
cL82xRqn6tI5QTMiKBXnzBHeyef2eSrXKrgspwAYysllalRtJUVdk8G46PC34PfA0ovaHh5wiKiE
4ziyWMrrxETywqQ7ufL6EWyyjtJ6YW446ZNqbtG0DBaubSXZ26qrPXVSbsHs06A0m9APyHymeX3D
WvVpZf4vH874MPTlgMpTBtfGBaGn0rSs0PFhg3RvAMaiqG4s+Up9L7+o1SbRP/hajnfpkGIiACgC
NBudT0JcqWgolVNNnXB6InBdqxtgKvZFthaBLB3SuSMXJJoq1MPEopeiFPYArfYpGIY+Q3N5CvYK
q2aOEYNAice/rs/jwosMj29wOaHHCRtZlKFv44raQxuRQC5bsi0T+mJlku6SSG0PEEXItzmTTb/X
hrXGlYUTC8NgENVACyCD1up8/wIdbGljE8Pwk3LDnvlW4e5U3LSfcvft+hAX1u3MkvAOyUmuylWK
Idp5sa91UH6AWjIezYfrZpYGhGLHTIQ291OKDkHLs8lui3IMrGPm4ozUr4+l7qqxW66JYiyt2akl
4bYYCxDfhCUsMbqxjd+AEbqMBBT928R6bvrN348LqCFsegDPL5nVorgiPLXZGJgk8804AhBL9lTL
G63cIeSxqFAgDZ+v21waIYKSGYoJSpyLrimFTaDkzRWMEB0JWjCipRvMcQUIKjd9ugLWW7M1v/xO
Yscssqwws3H3EpfclcDxg6ZCuS1XrCw5UrQKAEs9U73PHEHnZrS2NHOr1sZgtAFA7Mr7kheePqSb
MDX2NDukks+AQOEPesK3xdS+Ssg4hL9s447oboL0fDBav7rp5/WJXnA2Z18lnMJBkrkkJXgGDRE6
nq1+r6QgxgE/GAVx8HVTi/N8MgHCMQwtHELSIZUSKVrmNAWqPkr0CzU5x8bOTTmWeI0RfOEZgpIr
tE7QHg8nI753xiKiaTYl8NgtCcJoW4XEt+N9n/3QDf/66JaczEy0qMBpw3eLiLdQnmjP1HIKAK7r
djy0xo2kIRRM1aneXze1UFYAfBZjkoGdnd2nsGPL0YDfnKopoNkTU15z+jszf7b3Vuol013LXjPp
rahu29wDphJMdmsagEtDxcMDSEX0xwKXIdyDxJIaDm0zzKo20G1eND+tZIKOVEPX5LaXXCqSq7gd
5nAVhZvzM6OAus8eZdy4HLq4j+pTOd6rt5OSgOBgE8VrG3RxXCfWhA3KhqmKpNKYAr1G7bEHSNhK
/LqLVmLWS9jdnI3AxY6WCkSU6OA4H1U74oEeadIUaL2XQ2od6fYqsO1vBeQ38wZAr8pP9V0vMZen
v1jjhciO0AdIY6f0poaas5I6UJnMKleZ7vThOaksh3LzaBQrQcnSgUX2FYg08OKiA0RY53CotcHS
wykAYhvaZEx96EA97/aUya4dJ73XgAzbLa32X2SJ0GOAjA3yojqaI4Vlr8emakxw5wXmOwXBvdJ4
VgSI+D6vBy9/u36YFhYdryyUvPGWBBZd7B2k6HQaEfyRIAaRoC/HuexUbZn4rMuq3XVTX9kIIf2C
MhfkJxAUIekmqpikqc25YXI5sMzo2chI7pUhXs7ZICvuNDICWQa0IQ9MQiP/ZIChUp/kTcdIvovg
yB6hK1scqJEwZ+oMCnUJ3dyYfc83apJEDsvs7pgqEFG3MpkdKlpafsG6KkPyMJTf1X7ofGSbVR9Y
iPwhG0n8OMSR5ZCsL70M/V4rXmrhZvmqt1sIjdCdrAm7vOraOo27Qg3K7pC37JiPD1aDkoFlrWzT
JXd4akn0R3mclPXUZ2qQmxvgFwAgnfASYn5clDs5uTMzMIP1iUtjp9SiTfoxhrddATnYQfp2fYE1
HFxhffEhBmJCYqPb9kJCBbU/Ztv4ECIXXqMhwb4GiLvEbeFYnJqYt/PJY6WV8mmwC6oGVL81yjuT
ocEAbwneKVtzOAzNnQkkIJKq2XhojdFVwE6U+ipQP+njvxkrwiHc6Lj0xJ4qmTa0aY1aDXQiHVSp
d02arIV4cwh9OZ//2BC2UMo6IrdtpQajW6heZmxzt8xcc8tuKPPr0Mve/19jEjeS0qO9KssxpgSp
dx3ILECwr1u4xNcAG4SWFBwJ0PWgFU0YkjqwarIKSQuaYT8Yn4321kIS7HcXbvKfteJLm+v2Lr0b
zKFlDOWX2esQwZM2rTKxGAR9AXbmJinuh3xHsmbFyOW2V1FGMlXNgItE4VUIRyDJ0hgULJ4Bj9G6
PhYtWLlRVVo55vPMnG8GUA/Aec61JPxmCPkWqcmhpiUZetBujBo08tNBcqUkYPr7i5yu4SMX5g1t
legBQQc2sp2m8BTIaB81NIn0wKjzQw3omOQVar/SprwAFkBLKpJHKEsANn2RJWODSbhqNhhSWLFN
I7cMuhkQ32FkpIdiiBPf0CZrU1Mu73hlguqtM+M7U23Lba1E5Y7rNF1Zy8sXMz7pK6GESx9X4vwm
OPEvbErBTNRXetD4lvkuEafWfnLAzaTt9Y05b7zz1UR/HXaGAT5iUOldsEhBzAuU5I0cTLGnE9Up
fxrDRh/XWhwu11FTNITKeJWjYRHZ5PPhxDP90ZgbMiLIOtuCTq10FKbaPvJpbOV2XwjwZlvzuYb+
E8638FyycYUSvdHlQJ7eksZ+gwCir6C0TonHG783E7czGwcti601AXa1TQxlRyHAXO4TCQCtZwYh
XeBv+l/XZ/qC3QKFL7TxYiPPM41ntOADagO07wlqVwEHiVYLJtCOP1T1e1NPP/pWdmvkLLMeZLUR
cdX0Pi0TFP7uWf1WEv5cAyliFMovdbJWAs/L4ww8lIaJgjdEpl90GnLPOQPRoRLI0o2Zlw4fSwdt
iRaLN+X0OkhONa5494V3wmwS1uZNN1+j55th4FEhp/iTIH8c+xxg/dBLyyx1IkJdqcW7gaSW09/V
tmNQ9T7mPtFTN+zNfcS6lWP2lQw63/+gNQI/8Nz0BW5icf9bdUl7PsZawFlo+4pJ800dysMO2u1N
UGoVcapSCoEW03ontEpjJwGxjT5U3n+ubI/ZO198iY2igI7aA4CrQjBJWZMbkZRogSkPjh77pvSt
RQd2Y6WODAbh7K51yW2dbirTv275cgdgCk4Mz9fKiashLTXVRsMUULsCp+RYouMlRyTr5vaNRB+a
eCXuWsjYg5cZVQ9FBxU3DsTsLE4MhpYkAwTFjCA+lPFzN3IQgG+lIEUKEnJzRVs4OncaW92QagUH
seAbYBruDoIPc0eziIamah5KUd8ZgQrZuyRXHVv74CFALHAOJE7cJAPN5IZVvto40U+4iZL5Vbaz
w2o3asck3UdR5tvWsPJdl95+/ixUD8CcYqEjV1gCxYIEZ6pxI5B0Zac2+yoCJfYke0Wpb8K/B8HK
ugqJNA2t+BCrBOTofP77WNa4qo9m0KEFtj4w8KTO2cR03KTp0wj87z3jx1Lbx+l4a8prj8nLG0dX
AbMhyJxg/S/Ssx0vUCKxezNoVZ+D5tIIn/r0kHZPWf8rqx/N1wF02cWQbqe5D+wNyK1xWGmfn28b
4aidfYLwUCLow2ZDws3AqFxZ2ij0FdhTJE+PVnubgiP8+vm6vPvOBywcbNWSp0KSJjNA+GtA/xaS
TWY1AktilWsB+8JLBrbAR4BfM1+a2AHGi3aK21wzgyFGU2X1GqP0ZtzKE7DcWtnukZ1IAbwwvSw8
0u7h+jgXF/bEtjCr0PZJwU6rmoFtbpPqoQwfo+zAV5zH1wkV1g7IDhXHBBzG6OwWnAcgDHrRZGr6
qEkEO6TOQi3xIjPswYNQNGnt2amMQnJbq8B0JC34eo91Iw9vSRVVtZOiEzrcDaRJvtcQrHmTbBuq
MiiyFHdpPoDNoS9HaBXZ+MuRV5AMfRl9EhfhrqUpsdxqyiYLYhnA8np9xM3faE1OKhdsvWXuJoPM
Xiyd5+9aPErfy2nOBuAUTOY2VXPc7jqfTOMGhCFSt9G0CmlCOQEm0JUKbf6ftlLmctpm39upgTYR
GD9AVqqGkEnKGIBIRkyHN066kHtFYvRo01Tl3C1SFd06ZVubhUshpP6emkOHiEwvpYccdF7gCEOB
VHdH6AhaDwPD2/03KMpVbAI+IIMBBPj4g+W8KZwhD/XiboKve+uaLgOJPNo2DlTOstqtWJh7YB7j
oBfsrGwARVYrHSaiRhCPQoat8QzMDfW4PvEfhhE3udvkPYovnaKU9laadC36ntsVPA7p9LLeJKUG
fs0xL3v1ZYTk62EMgVBbyfUL5xzoH2ySEyFKYUdmmZGNQFSmh8r8zJXetbLenV7NAWysyPehAu7+
1Qn4j71Z5GJ2rnBv5451bAbk4BQTAuL0BcwdcKc3FgCjnRVctyN4lD924MGQvASKANR453aipAkj
a4RErKR9xpLloSPFaRXJ/xdW0GgIvmvUsaCILljRKG/7toCGagMCwO53lJqbaPp93Yhw8/0ZyokR
4TiPdV7X3VTRA/aQO9afpIQ61sMEPknOvOum5u898RwXpmb/dfLskFA/H5oB40FlyLMOHWQnrhsQ
HlIXBoRlKRCpdiQt6cHg6pscEyc3On9g2h5ISDcm2t4KBz9JV7V8Bcd7YXc+BicDC4fSHqICA4ua
8FdrUkdPhl8TiBJwPtcI0MXE1x9js6gGICUgORb3OCNg6owsGOtbX4sDMrjEeCjyjdXfF9F3Cxy5
1nQ0zdipjGNE3iN045bQlh+yv6x+XHyIkIfQK1vhGseHVAlQJsqLYlCnmrbXl3Rxz8zMqoapA6P0
BTc8mVqbViWPemxPOYo8M4+dODNWds3i6p2YEFZvhAKJIfXYNVET3wEJ5Zms2cSm9iuHUN310Sz6
jRNT8wY+GU1Ylxrv59EkzSepwJse/16NJpZtID0E+BuK8CKOWq80mRPe0gMjhWtJv5kFKv41TvY1
I8LaZ3abVx3O28GaAgka5KQ/9qO5MluLrgl4m/8diXB7cKDNNDR804OSo00UhP7Ss1yCfR7MTmX0
7d+szBezJ4rt0MY6XxmF9GMEATrMmoxghL1UpuawtWa0xVlDeAElQmBPkVc6N4LuU97Hsyi22YSI
s3Te76yhDDctoCcrm3rN1PznJzuNl5kshyXmLixeiy73eB2MdK1OuHg4wd4NbCI07yDjd25knIkA
QpXTQ8PMFz5Zv6UmXNkDYq7ij5exv2hBZfTLfDWenAwkN2NDy0GjckDWswMrWn8na/ltkWde1Hab
JG8fWhxTpU+PUkXduveNIkr8Jok9qkYHboQrucrFiT35HmENFZn2YWwM85ihgcLByvG7oq/XN+OC
R5qlspAXAVIbiSHhHmNFj3F22CdF1+GtbKVbQ6lKL87M0eFkrTNbjFnmKT4zJzjASgFzbjRgGdEC
AZIKuAv+Q57Ii0X4W8EgtpDtqbmXGhV96blfVIWXrLE7LDwUESsB6YQeFygZi0xY0hBqRjH2eOqk
zCEN5GSkDlCeyY8V+pAOQTz8/b1yZlBYRmrEZLTZRA8tUCHOUEMMFPrh1oqVBQ92ZkU4IA2iDq3Q
MKyx/ES0UaHPcMuNyKmof33HiCmdP2t4MoGC/8I7o0vbEms4do+xEVQJ9zr1CD4B/YHirGilE7Jj
C4Gqbi26/i+mUVlBIXfGsannXkAjmUUoUI6HxHiiuJ2jaoPcDoEas5z4lj66eonAfnwcDOUOL8C/
C+7/M3B0bCgIuW1VzGUiT0HGAuSWh6nPPdoiugMLTPZ4fXoXHpbIvZs66jomeOZFknerysCHYnXp
IfkE2JMFoXabQbMvmw5IWOKV+fu6OZHr5M+g/rGnCXFM3ZQRI5BLPsT5hhf7+EB3MZJFXsfvCaNO
FqNm+9Eoz2ORQbjQj7TfrPkl6/dh5hY6RNydavDle2kryysB3eqXCRc/5N7kluqYCQPldMVRv4Vb
XGXJLj7YT9VzhHhzawVy7EugyaxdNCAhkUrIw9zouQO1xjd7f32qFq4gUM9i40MMiICLRviewUxb
pLJGRJja52B8lNbKUiyeYA2/IPUDEL6IQZXSjsjwFelBG+TbmL8mvaPEXqR/WrayklkR6xN/Vh21
JhOSBshEiaSWlRLJrZIgWpZlh0pvPPdk7VVpQd4EPJyaPyuqjP5C84C0FYgbNsVwH+ubmnWehOe/
YXwMK/mk5Q9CdAvaGZQKwPdzfrITfGg82PigjtzYPZi6PHoHeP4mUj664jHLbmvTdnrLK6ptor0o
XtV9TNouRiXBRlvkv1joWbUOKwHtLFFO0ERj0DQmU3qYNTt1/ZudrFy6i2f8xIBwC07oxgfeGDsp
bF7R9bDl9bBXrRu9/sk069ugvoI8dWVMs/sXAmJUif8Z0/xJJ28bOcU+qHqYLLIXLbmJUiTMMtW7
PnFipf3PtppVqCEqBQYEMWEHn1nKaW7BSpWWfoaCo08hh7JRSIy71m7bDfQ5QZxKBuolmhRueznp
Vy7CxclFORX9FkiyX9Ssc4PXPI4lONDqu/qGXeQjbi0IBTp+ci0zuD7kxdcEzhHykwbUV0UIYk/U
MMohrHkYNf0e3sobkFJs+E7vixv6MBDIE183uOiFTgwKByUkZczUAfmgvj1GEwIISPhet7A4geBh
nGvkhgWm7fOtQpNK1qmVUCBMKIh7v+edKzdu8cOgflhUrqSvve2XDepojkEyzcBJPzeYVuBYAZwi
PZh6DD+uHdJh8rU086McGr26pxE/1tZIkMVq4J+9ivAIGA0MVBPhBnULpFQaxfQQtzwDBQN69CFo
bXidkoXbvBtsByJPkydlwL7oNngzzJE9jnaUrOzXpZMpA8AKcCca2i/kHNXCbhPa4TtyZ2aEcpW3
68spQh+/BnpqYP6Ak6MfqRKXBzQZgAFF9fLvkc+38nu+Mzfxz5Y42+fSTSd/POjb+BHQeZAY+/Qu
3aMI3dyvMZQuOojTbxHejkCzN1ka41tmGeKtXBJfVj97nW9yFrDuQw4PcbbibBcfjac253v3ZPzD
1EtFKGOCj2PmVO/HiXnj5BeJxxHPwS1Afe0vuzD/M+XGHHojlwR8wrlJHtqtNpAMOQtqOnH9qRjf
ri+qSKp1YUE4pCWTVIPOE4l+5c2w77yWuvJBTTbJTbIDq+uuCZ1knVxlyfsA1PCfgQHndD6wdiQd
sxqKRFzvpFrxXeH+cEu6/ltR9vuhnVnyo+E1Kl4icDlOBPxqxorDXV7Oud9DnQGkCNTPP0FDhSfN
kcY4GG31m/ZF5ZijvMnSEniC4T4zs20EAlTUd6Vo10TKjVIou5XJn1964mU601ygOQNTga6+808Y
02yooga5f0mOX9GvA4US+MZJcnPASxSGngYFZf2CuV0qbQbt3/jLU/PC7sp6ggmwcAXo0A/Vwsqt
dfDR/5JjzSWqS5inmn+J6fmz3U5GLGw3OU31eqjmS7X7jo5aYGgpbvE1rvWli2AGzX3VxkHsIXiq
pGhLMsohgNZT5rSkBzTYZ/xdjT5Iecj1eqNqbCXHsuiRAA+AghgIOfCsnXf8iXeg1KZ63BB4JCAA
GvW9HcD8l74neehNBcTh2THkYI/t+Uq2aekkoZlAA+GDhdZw0a4Z90o9miZSwdRwrAGv2rVwdfal
4i7VZr4XqAjNNSrhoPRcHhsqwQlV9lGVQD2TvHZD7QzR5/XjMO/2a3aEuCiPlTaWIiTnC23wsjZM
XDUD35uudLhWcMMinqB85Y2y9Ow6HZtyvmrtVDFiVcihTnRj1a/DL6v86Dxl5pDt19izllYKzwMU
2dGCjbSRMI8Ry1U0YzG42vJTCmvH0P+OSOPrcCHuwc/MXk5ENUl7APrcnJBGn57S5igNoIBv14Ag
IhrmjxEbrSMWnCZ65QSnkZIiiuwMyYs2aZVdgl4Zb0zK1kNHsuQ2kirvRh6B57ZIbFfts84zOYBq
TK91tPKy6iPrKUBDlldGYejGJp9fSyPzh5JZbthIuWtnkbpyRpaeRngU4U2Ir565Ws5XmXZqnCZE
wtOoHVza7C3LMXpjZSstGkE/Kwo/OCPoND03Itk6qtO0zg5gQa5yhLofWvtw/YQs7aCZyHXOs86t
w8IJSbpQs9C8kR3QJODI/WdRrmFnl84Donh4EjQlY4sKN9LQNJUWEwwCuSJXQuyRg825MY5w152C
WhlfcZuLk3ZiT9hNUNCyBwspoUOkBCzXNn3J3dXc9NKg8PLH1kVZBiBK4eDFeq8XitmgTU8xnJHC
pciTr5PBt0EE0ZUpuC3W9HGWVurUpLBSei81JWRns0MVfUee2iPW31Iwfh3EUxPCprZJprcs5Nmh
q9HuBNojxU1IzG/tuo62BSI78O6307YiZnkjJRWSLyq2Sx5nclC3NlmTHVobsRBPZlMm/Q9p17Ub
x45tv6iAyuG1QueWpbbloBfC9rEqs3L8+ruouXPcTRFN2IMZ4DwY0G6yyE1y7xUGx8KIE7z2chcQ
DxmCQXSqQ6YKSgvAnQL0xp3qljuBk1f1xamvnnD8kFDLzlDgO4HxTCTSOqJliSshdP3BUYfQFve8
6G2wSsuxLk7WeNQBcx3AKlWe729m0bEKAQsHvQNo/L3zbs4Tq22Jxr5f5QUjnYAz2g+aF0r3mHDe
cOgwR0w0K/jsN7RGvYwUcBlskWCd162pvmTWS0KtA0mgFLQ4USJl/wmv1zgmANnDvQHuPWy9XN2H
IB+kKLXmFCe9A35nsp4qOgEqaR4q49M0rpGxfCmdPHAy9EmTKSQe1KjvT7DoPgFEN/AueD4Bq8ol
ZBxDI5idhI07AZgN2xD+EzQL+tk9LA6NlO4PSXdsSzI5JogJQQsegHUum63mVFX6XKIjq6zAZh8d
SC6YH5Y1D+ziBaoGfzw+piHBFNTxbcF/u51hQocmmQp810Q/6fkXOv9sv9fVwypr7QnmEfZOkHsE
45Hh0LlR5TR30Aa2gcujR5OAxGZ9WLru2RpWH2Kd3+8PSlROYeomkHN8w9vy1sa5l7rOyKJ1Tqn7
6wjZirqDxkneZhAhyb1PhVeOh6lw+qACdS1QExM+y0X7hySHt2+J7QldEiaz9u5bNrXWqtpQliel
bYKx/rkOoYvb6CATMRfsThvaR+jVMP0YzeZWaQ8vaTrPdXlqTRQ5J1iku/tmb3gBAJim+Yvmsuu8
8HP+Dsi/e6eqo02isYBNmFYROuzrF7U/aDJLLVEp3saqQYrTHNYi5c5A7HU4ABPMYJftANDX4R1N
zLBPAlf3i0uMUsOXdTu/2qlvBTsYxMp6AYIEexOfOyDrLC3nFG5FJ/jB+Ib6UanTUPMg65mtkkwj
uGCgwIlLN1og4AS9zcRVrjNibXLoCOBjRSJFzTZ5pgOPbiebqfJ2FDKIqFnrso3CDlTuuWTjEARD
BFc18BC4BAvTVTBASV+eHG3KHuZO/aYRG+AJjySePxVVHbg1mAmkcK2HIV7rre7O9HnOaQK467RG
sBnC4/v+7hWcmzDDASydkVXQX+Q+uTkRqrskL080HksIyxRDkCZISM6oy+A8omWMS+pb8gOUg0dZ
tTk0l5LMK07O+stul8OoQgoaj7ntqMiAKSL8Gs4QkPXBs8ClgJciqDUj1caUlietbaeHMXFIRMAU
BPYwiSNL11JoW4KxmwIRECzaBMwHTolonoY6Kqa2i7SJjoBCqNNxXum8Ubumkky8cDYYuc4Dwpn5
qN6eBb1BS3VZ2hLd16ra5lVtbC2aeJu8sgtQkc300SSE7u9/bdEGA9CTAftA9H5X8uj61Fh7oDFP
qzM8xI7xuCxfW1h3+ip0UO+HEtwumYsELHCNN6IWd/fTCuCiAVQvT3V7sOynopJtYcFYHOgoMk7T
m3IZ+/erLQx+gduvMT5xbV3G9KIQf9LArzJ398ch+E5v1ETolrGmPI+E7NMYhRRtwXdKcJ66DwXo
ZBYIU4sOw5j55/1ggkmDOixudcw9EVxfbjdqtPRiO9GwG+mHrD+XVKZlIwpgIN8xyQz0WnkE2txR
mGdmGE0HqeooNzSwgLre2d4fhujTgJ/KZKLw5kWX5fbT5DYE0UeCKC9A0nkldCb9wgzvxxB9l+sY
3Oe3aZ3GzcxGArQQU1eOShp0wAH8ob0tu1Ywsu2/g+E26oJlDP10BBrQMjDmNdDmZxQwJdtFNhzu
yqZ241KSClGUYTvXhxb+De5+rYK0+jMS0rvhcLcXotuNMpkINC3bFRzE1/plWkJbtjuFCw1QFrSe
NRtlCfbvV7sTxDpokFO3PHkmOvUtHokRumgyjVjRQmNS6wYkfoDa4/ndHcgcFdr11UntyHePPJLE
gRWVu4Nch2RJC85JwHJQTcUzAbQU3vi9N9rUaFYT36dunGNrdp3vJGa5S83YiO6vbMGg0K1HCIb6
R12Ke5c3rTsnVPHKk6sU4dI81+Wr0WXQK5W8RkQPPjR7dRjaws+JmeHdfiOrpLWT13p5YnXHi2J+
Huwf7XqilupPytENViOY4HHfS3auqPAOerCB5A1KKsbIZblkJux2YZQntephwgbrsPHi0ek4QUrB
nuNzZbWoYB0dWBD++cwC3w3wOtIfWND67YDjwSNoYWFRshdubxp+XH2bZ1/Vn/8iDnxLLWi/Qn2G
f3/VSmvPjYYvGDewmpv9qjsM7ZnK8HiiNfnG6gUJBTmKP5riDtDsekjpqdBfm+nszS+aTFJaHAIY
B/gpoBjBy/4NK+6rqlPS06y8UOclAS5sKp7uz5YgVbiwicCBx6jpOJpuv0pSzm6S2dAaxzAstBG7
8m8+x1UALoNXtTq3NkT5T613BsJ7XXO/ac/Sboho37IOFvYUQCgQnbgdRx1rNXhaNT012hmYXcMJ
8UIjskQkioIaAvS1DOAG3hmjUXUZW1vL6Ekbj7ULw/X8xxh/Tauv9z+KMAzKvKjBo6oMrNjtYJRF
h0vmMNAT0MPbMurAAGv0PpBq+vNSzuw8gjL6v4HeksXVQbE4ed4q1YgVNnhQXuwjBNwUefqES2M3
Htm7J53gwmZ9yoow3ayxfXI777DOEKX4pXqf/njYgPO8XY+BY8JF7HbYUACqlz5B54zSF3P8RuyL
Yj+m1p8fJjdRuMM+roep0iga2YU3HbzIyheoUMk0WkVplnk6m7BiZ6uS15oEs0xPHRPdKyAuKniL
TVvMZaOqASlgwwPrR9vXDZlntSBhMHVol2U+oKJ0bt1kZa01mQ4wcqpuE0bFVB61XnJwCdYmWNTg
G+KaZaNpxhLK1ZJBu9Zx6LCA4mUu4TjFwVJVmxyEKwJFh/vrgf1c7sl+E4oN9yqU1wKe3rgItahn
OxuPadHjMrNHzQt8zl9JR3exFt0PyZbYvZBs9FchiUHVbu6B/Xfn5wbc8CMU5f3OWkNtqSWXTtno
uNWetKuqKw5C1VZEPi9N9ZjZRzq8tPZjk38jXi2ZTVGpEFqM4FkwYyB4MHAHMDYFaRdo953WDkIA
ut8qib/UTbSaRrgkiW+mMCMOdAcPhrJx/7xFcBOcu1dBTKTU9BrfUqevkw7Nf+PJlhpMsBHwX+96
hNzadPrESlyXjRD1syy0vyta4MBrT/Whc+mp/qL4tNg2lszqj/3de3G5hYpHcrxMFIPToC821kMY
241k/lhWuheCW5hLv5JYJcBLdEkwbQFAtIMu7PayBr9sJNyihLsFcGKxlp+mw0amwCD+2/bbCxj6
9XyDAQzKriIeZgk1Wv0kOzxEZxlW2L9/nrfCqTp71AjrtBf75dnclr/KgxcUH4Fg+dBGh0oJlsjb
9zCHvZ8xJKPyuIsHHJm7ejJRSVT6tnvoYlg8EE1x9vejCM+T69Fxm7f0ugJOCxgdcOJ+H85+4VeB
6ReRTPZelJYYfpdZuKEWxxOfFar2WpxbqIye0fBRjokCCECI9j+qL5Kpk4XiTmK0aQyo9iHUpFe+
4U1BnLih1qLsrH/t+n0+XCiUcu5PpCwm+/erBK+oC2TtG8Ss0Mtupw1AbX6bbboFHlXecVB/ecr+
fkThAvk9oe8eCnqiICmbGKW2zfstiLr3/76o3AoYNC4aeIjAhY1/8MCkoSOUgJ3jGIF3utTH/KBE
zo9q2/k/jcbvL7C826Th/aiiq8Z1UG4eXTopw+ggaBvG0UXmACk6hqEhA40pyJgwg6/br6SneDkr
pgewof5Ng8Wkqu7s8hmPnyKTYERE15nrSNwaJE6iaUkGrIvThFU6+z8a5Faz3NyfLeGquxoPN1t4
YI04Ggg7mOZgmupgto5rd4zzZ51q4G0xnIWsqPV+3TH5Pdzv8b7DW9TiRkb1OHUVC+iXDoCHjaZN
0F9SZctAcKlgUVCbVWEu8d4P216KZjaKokB7DH5OhbLJxqAxrK0+an4X/1wGsGDn9Dh+JpZkX73/
coiMMvpbMRUQdm5Ocb+2B5cCezNqnr+BlDwkvUKZG7QkyBu86ypd2F2d4j4NZIOpnyeIa+Lp2hnP
xJTgegQc2JvB8M2/Yk7VYtUB7CkadVfFX7OhxuMyj3LAStv+i948a6iaePMJXoXldqQO8A8aBJOU
WkL/Eq4aVPTQk1fBtXrHg1Naw4aFT3GyywcDzUdrfb6/FSQBeOKbUXpt3RQVcBxO4xP6ksl4n4Kj
EnPJxEEYxJO1xW+TR+4aQ9k6mEs9MXd5Z23q7pGq55E+ZsvgQ/GlmFU/XjLJyfL+hoawDHeOsjvT
l+L222J57AYyI2wR4QnW/qNDHiYto151Qyl2UTiL8DBgkBG2/bhbxwwBnnycWbDE8R3lEY9pyXDe
J3gMhzVfQFTDk/LNJOhq5WfE0pM1QYQ8sXGDXvwBPMiqktkKysKwgV6FQQENME8WpgTEigkmdPS8
WMNfDYYhV104aaAEeRsla8GPHsiKHlIJvbHpCXRKJZbU9gUka9gwYslB6g31OnBluSAF2p6mCnn7
8sEsfZAevA7Pxods2Jr6i9UZQUxgt7Pk0CeJAVWX7CthCrkOz80kNPa0lJTYWO4S4I3+UNofdVhu
uupZKTS/HEMFSnvl8OJmVtTrzc6pIEOmMNFDqaTH++ObGVKiYo8KFvTPeOszt6tcUprYgea2aX/G
aQs6+a8MzHL5pDMw4u276DYUt+vmuLCUrMGos5ZuSbNJ4oclzTfVtARlGlbwbdCmgP788xx2PT4u
w9TE7sdlKQtWmHXM52qUnd3sD7wflQuWA24/OMO5UTWtWqnqCnSgquILOlGTXuL4OTZ39nZ+VhTJ
7hBlLgPeRfDXAe0M9OfbhVusak3NBdHSeEw2Wg31DbIoCwJ3+d4enMIfBxD0Yb4T3p9HSWAeW+O0
BrXcGIFL1u/YxVNYwELd2lr5xwQo0PvB2Pp/N6e/R8mnTLfV68zOEWxK/3HLM1kkf190VbiaRR5O
nhUAknYlu49Urm+Zz7EVQyCY+hqVXCbFiYZ52LBSH1PVv/1eDtRrHBWGOacFVcSpfy3j/qFOzt3P
SjnosDI3trpBIhWqaaNxsGVYXeFHgzsKdBxQCUfV6DY6Q+2Vw4CMbYDLGu9RTNEucIENmunX/Q8m
zCJXgbhhjpli1rkFxGc7/xrNwD5lNOoGvwAF/X8LxO22rFzmYe0xouxbArMcfwlTkFAkzzTRQQcw
BsqmaGRCi5ctz6uDTm+crDZqjGYuX0BjT7szTV7vj0O4AtG0ZJB6HEC8TINbJXMNJxnc+CPFLwMt
kF1xhF/kKgA3hhFgmXzWEaDeayHsHAO4Kkrun2/0mHfb9CoGd1QrqlPMlYEY1cH2n00/PwCofXj0
onr3CwrvAfEh2Bq1wT8Ur9sgcIOvxqaJXs2dIvklwg929UO4da6uWZEZC36IYe2z/kGdNmrz8f4H
e3uj3Bsst8QhfdVmXYUY7QmOsd2xOebfk5/Gazf7cwRZ1M0YWK1fX5SP7q4JB4kcAW/pjLWIw/Nq
iNzCZyKLpbYi/BA5G6z7YPXLA0QJSojUHk1f8Z2g2gAxF/vZ5zpq/RQbow21D+lG29Lv62f9R/lD
i7S9jn+5PzPCJAMIDpMBAISB1wIYytzIBsVAsv5uhBYgjydtZ++ddPe/heEmwM7UWI8bhMmLQ5mc
jem1hVQM3RnNP0DV/k0GuBoTd8yuc+uuhAHLrTn2IU4N1ctgMiTtGeGqhVUObPqgNA0tk9s0YxKv
UNwBQZzkGbQ931Y+d63MJksAXsDCuYrCrVutBG0704FWd/Bt0iEcyM4wT5P1bXRe0HptejeALF4O
2CpUPO9/MmGSg+sYCIsAWENq4HaABjwsUxjS4bKiDfM2Xg3TX9xWC7WybajfuIYMACzg/GKwaMHj
Nfx23nJZz3TjHj7gLt7m5hoODZhEfhHmQ2gZ56kefNw+gxaXfespj9G8yYGiMCUrR7gbrn4BlxM1
iKRB0BS/QA0m60sL/9yMbosDwBtOJrsMiuf392i5BeTZyYSXBEFKWqFRkvya848KgQZI9vn+dxRd
cSH0oTFRH4YH4XeDYwHb12flyfqawADeCTvnC02XRyv+oMMdXG9k/hACQj4kv3EqsjIVZP95V4VZ
t6CTVCQAoHiteegmiLr2Rp9FKXxlICeWl9CHstcNnvjpfliqJAJ5T9l5fTd8mPLaCJhZwGHqifKp
8sh36pQD2uWoWFsw8QkoeKU+hbBDNJYD+EV0cA950prAKM3e2dVS7wgYa7y/P4mijwXBf8gVAdQM
oyyOqlXAJaIDhLQ4KW63QTUWfj5p0Kt51Lp/rmSC2YNF0RvHB69c/XbfwU55ym2ovZ4sHE56G8W0
8RV1c388wtoNQ0Yylg+04nkRDEYKJF2CxDL/HF7Ara+2aFDOuGFCU7aTpErh5P2OxetKVX1mprmO
XYXCPG0OVnWwtL1qyUp7ohcqdIVwJ8N7DqR1bqGr5mo7McPVr7FOgnVa4rB2x28mXdPAq6bvWT4U
G60tAtMsIUg5LpFkTllG5C8ZVz/g3TjrsQcvBCjzOkQZB/yXT3rgfRl/xKOvTOH4NxUdSBvBNhSm
VsAJcMlKh/FfFcNs+1QWOyBQl43lyUYknFJgqKHHAlot2mK3azE17bprJgU5qg2h6LbC/21TmOfE
eHK/5NQfv92fQdG1l0G2/xuOO+2yuUiB50ZKRJP+n7Z41si4jfU6ssss7HvJpYwth3dfCysfnTcb
/kq8yMEME6DWg0cCZGDgEbpRfhbd/JC5e8vNPgCl+mWGXv1fDI8ZU2B9Msgwl0QW4jRjl4zlKS/7
MG6O9gB6GSgg6P4lueQkYx//3egAOALVCPIc76TF2yHXFy0HBr5q2k2j1JFaeYeqlp3Zwi92FYZb
IM6KqlSZDSwMGEJVsh2hcwJkUaiT9ZDC0FvyghS2QRhiiZEGHdayul2RakKg9emAJaRXn+d+l0HA
sqXtzoTTpKUGLa22aF4lzde+MyWhRXeD68j8disStFDtqjyNcQgx8RBOa1Y8b/tOOeDDBN70dH+1
iL4g9Nh0dIdxIYLZzO1ItULJ9MYEdULrnqidBjQ9w5NMskxE3+86CDed9gxfBYdgmRTOLqk0P8uq
cBoCL98OpQzTJxwQjk/4toG5CmgfNyC7rcwhsYD4tUszGLWFBqsC+UvYasiGJQwFoyXG8cQIePk3
Z+00ZxgnLEtjtI+Zti5hpbp7HYB9yZ5mC5zfZ6AxMAYiXgJo1N4OqjIWe11qApSvW8M1bQ6H5LMK
CbJc5n4uGhIWPcaCtYCsxS2HmhYwkIdK/mnJDxUEdWFC/jdDuYrArYV+oL27GABKJ925yqMRHvVk
T2XVe9E2uh4HG+dVeSbL1RHSkBhHam2UFSr740U1/ebZJTRyh/HT/U0k/DxXY2L/fhUtgSL84DBA
O56Cc7SmBoiSgxPMtZNsTAcPqvvhBIPDOoBXqwZyL2wduHB2NlnwPsGZ0iWzv6yHyf4BkUu9P9Dm
ocwlCUIwNhT9gd/8j9kKL8LkVUNVTwNLSM1u6U7ggyc2CUY3uj8mwcJDJwenP/CVb9nodgpz0B9i
ClTZSQUb2nKDZjhYimzDCvLQTRBu4tBcmC2DsQFyGg1tsIxnSG3TBpIrkiwuCoQ+G/x7mXwfssPt
aIzFWhcvx35F5zCJzUiZX2yl8Af7BWhjyWoQfSCAbAH4RnMPgGluqev6UioZUUBC0bYkj7LqAIHH
Veb4JovCTZ1TW7nWrYhSageLQlbI15unTHbZFIBfwB+FciWQ/qgT4YF+O3GD0kArpc3pqdTR1DU+
uS4qVoOJU9+pTl5nnozuVQHgTEUvOzbd11w1t8mWoKWRaEeDypoAosoItGSAt4C4EBNd4J5JPV16
aoLAiH5UlMyJ77qAkSrtWatiP4kfzSIwvHAYv8YehXOl9uv+pniTk+HyPsIDlwscMLwqLS5Zmkq/
zHEHQDfNU1hAH6Zp3yjHNlHQ8hufcOps4m5BfaYL2nlQA4s+T2oD94DzbENU4Wgpv4izGfLtNDxQ
YHonuLUYvyiKGop+TPVt2cO5WnLWCyRyIOfAwAZgRqrAFHNT1paqMiRrB+g+THNS9E7seFd4ZgCC
TxI4/5SWX8dLpGhr4Cijj181qn6VPuTTWZszv4P3C56rH6ZO9uJlc/VuLnUD/XzQsiEVxS0tdbZH
vHkB0lb0Ko5mXJK3tdn0kraxYOe7Kur1oLIbjOjB/v3qKIhns028OgUgrTioEDY2vuO95DmPsha4
gF8OnD8KZ+wdw/S3uUCDRjrTaqG24H1MpsOY/HToNwphnMrIgkIN22k9zl38wfuetb9gTgbT448D
PFVx9jlqvgM1XfLdBQmCNUJASQZ4CLQu7vdMWAoOoORMjz8P+mJ4HVZ9u2bOZaplaVwUCgqPzIUU
7DFMwu0cjyRdScO8DMo0D91kr1uZX81Z4FEZakIcCQ8bEHbwSd+JVplr6po1YP9fe287NQ+1/XWR
AZ9EXQModv4Owl3u0MJV6DQ0gPnrLmymvEApfiguDazYenDmf7ptZqGasIwb1+g/JqQLE5grGeMm
Rj0YnxNIMOXU/zmQDraTjNWK1hajrXCfM1NcG36vAASu7VeNbNLpYNffZhl9TbAnb6Jwe5KqtdWD
IwhKwLbeSRYk+4XcfodlIrA0oOOh0MRT5C1t7NaeAGLbdwcQQcuD5R1b9/h6P0UL7i1Ic2B/45EI
di5fv14gr4TePgTo0Ad019oHlssnl7+IgePQQ3PHBdKau5TbLZD+8KtBjVz/ZK2nMgYLWEYnEK10
xi79bwzupFnUoiRNixgo7gIwaQZZvsFeh/qlF94fjeibY1nh9gpEF3BV3MpCohhrOwEYNK0ezBT6
47FMeldwP3avI3CrinjA75clIizrTp0BqPI2UIECbQDECMuSDEc4caBlw+kCpFbwaG6TEWyRMXEj
YELpxUqjxUQx9ZBE96dMtJShMoC/z6rdEPi9jQFUT6svBDG0r477A45/w3MTg/EpubUK5+0qDFfa
dCiens7AkHYvCtCe8BmEGrz6SXUuneyWICiL4Y4A4yOGuwHmk1tulU5jd6XAbdOi++CY3UcvVh8K
G/0XN7M/aYq6BXcfBJZyluxXwee6CczdlhUogxRpjYyjx3PYmTrq+50PqVbfVFtJAhKNEddYnXkQ
AMrNV4pj2NjFygh90xV3xlXbe9M/9QdmYfdsqF1Q2Prm/ioRXQnQNfg3IP/qQC1lyIseVwJSNdqj
5fSwjDdo/hDPfRmV7ZBt2kLv4ZungT1B4AFlAHUSeHO7BCmEwPxpTMfNgoL9p3IqUhsERYtWGx0i
kRuYjs2ShryoyHbzc/mdA/FVw40hwOqWxinxnpMmfcxgKWuQY+r5HXo3WRmHw7z4rvXnj1qPpR4s
aICy3tlD5GAm5nqCmbLwEuy1xR+1H66K9qqtSHK3zpIzdwwx9yBciVwX6cHjNhWhtHFqHZcVo4PE
cBO5We/PlhtCLBW+pUejPMbwokNPMOhcus0SX3M2tPlJ011PvFCtt54dVDPKxxApX3o/8+qvxiDb
+aJ3ztWvfKfO2S9dXJBqAB+ljMbuGypm/rJ8GI1ho0AkF0DwL8m0fqXtvhsfjCF/vL9yBYkHmPY3
e0roD+CJfpvf9LVWmiTHNatgymFPNqGBAp/RcfFjYoSAtf6P8biVV9RTrqwTvkmfnsAx8o3J3Mfe
vu5Lf0TzT/mrcEDjQSEdPfy3R+/VmyBVEnfOHUwuJEp9xX1WjM63nclXYPqh6J+GuJOcSW/48neL
7k34hNHzca7fTmiNZEatBeYy1oSu75iDkpilfmL0h1axwxpyewbdLfS5zdpdMamblDiB26zP5UL2
RLuU66k2DIgiZx/6alN5m9hwP9//5KI8bKCshIsAmhTw1rr9ha7dxE6bgkajjyPwGQqI/brTb2p9
iezVWCR0O1EqxtSz6cdVGxiU22hJ7Qx6BbuEU15VkVkYsPLCZgenzIgfm87yu07/tVJ7d3+Mgrsh
++YAKDPBRnyH26h9T6HGBIQwhJM+KQ7113nnrF/vxxDOI2i7jN8FbDxfMKnUBnz8BvdPJ/ve9zZj
NDCp0lTm0CCKg4cAJOEYTgRgwduxkDJu/yMiq2eH2lt8+JgGdNjYsaycxf4Qv3SvA3H5UtE7g8Y2
LqJdMmzKJv40u09wMBnNfju3JDK6eHt/BgWXK2haATwFrjoD4HNrA+CWauzf0L/keY7NMzXP6hjU
rnModZncnTAWVFjREYfQEsTLbmcRvvRj3GugY7ipCY33aYgqyJXW3kOfpzs4d8n0ioVnLIoQ/wbk
lmBL+mIpbeCp0/KfVdkUifmsqT/g2BBWQzDHT2tmhgTbHGrEfzGrNlqQTI4CJibcm4UW3tjBVhe8
choWvmkESxKWsqeECDrr4fWFYg44d9Ar5b4dpJitLjMB9WwdL96NCoPFd80aOutgor3kKltqk+JI
8yY+2nYzR5k7PiVa7H1MG906a9BGkKRe0Z63VPCzoL8BrWu+YNg5Y+I1xQSsfAeOhffqtk9zLLtZ
Cj8r2nWsmIX/gPB2u46a3rHHwdCAIDKnhwmGhNXshNZYHrTYxn/7rZ56YaeYB2t4yvt1c//biqcd
ajqMf4FsypNK6WpQZ54cPBTiAs5vRB/DZkmLSK0TPB6nZgyQ+vrAzCkJs2F2wXmaadDbeLiOQ62c
1BXWwvd/k3DegWFDjclGDZx/VarlXBWpxXBkMEzOM8dfl5d8kKlci/YvvqyrQXCQmf1x+9f1aDdU
ExMd7ZpwBfgjUrPa80k6ZNtmKB+68un+sEQBUeTCOmIyrjjJbz+0Z0OseBzBx+sy+1xO3zQV1Oez
ubYHO83392OxH89n3utY3KJaPZvMKyNadQkzhtWJEsWL6UgOReHahS8ksIx4/+PVzE6aq9tQZbrF
FHvYs5nX1BsI1mRRkrhkA004OLku07yz1GGJjFmjkV2snuZTStrT4pb29v6ARUcNo0TBPwBdJ3zP
219iVO1ij+Bhn8y1hg7vCMBhDGHszRjnc1AYSQ8LA+/TlPajJEmIDlNcAyGABS6sg1fIbWAaN4mZ
Ecz0aLy2KNh75rkbstD9C8wz6l8ewqA2Yb9zgqj1vJtNggECMoRLjmvmO/QJmrBfYtmDXjgkVNps
QA1VqERy+X4ZcQh0NU42ywC8t+3PuQHr3/wVz39J9hHtdBRLAUVi9lTI+reTZ9YmmTpGWCjbC0j6
fgqXL71c/iKfwLjJgPIvVgZqzbdRQCmHUOyIHmuFW/oZz4Xn3kic3erFRFJ1Ec0c7oioZetvkDxu
i+tV4sWWiwZrxtJ54zvVw1z8tBLJc1s4bVdhuN29rHRMCxcSj+jg6ulrPFm+J+u6C4fCugBo/sBo
gGceAeif92/4Ra99SkgdQnbPga9cUn6/v3GFY/kdh38vollHW5fi+Eu7lhlZJzD/qHNJdhClQzzZ
0cZlMugWr1KHxFTnOEiQDjUDUkllSLDY7o9DPF+/Q7B/v0qF06JQpacAYdZkS4kbmvojiITqX4DI
8TD4HYZbyy7uf63eYiQFkBba8+DtW/Lr/khkk8Wl0rlthyoGo+ykJa6vNE0Qq44kaYo/+u9RcPue
AJmimA2TxtYcaDm2SeiCbAbd+L9JMB4uNzhybVAeeY8PoM+92CEINJj5xtC/Gzn4Me7r/QkTfXq0
B6FvBkVHsK7YhF59+spOaJxPgERhO3rOS2cpPug+4Zz1kmXMpoU/1ZnqGB6/HpDSfLpM7XohqweB
QBs3w+IpHb+DX1/BaSRRvrRzHGnzH19ZgAMHIgrAOfz/HR6hyYHycCZsznwGxWN5XN3OV2Ng+fV8
P7Xf/nQaQVwD6eVNshLAAW7d5XMDwREKvEBHYXT5ulSnenqJoZV1P8z7mwIknVGqYPrCGr4WlzyV
Ql9XvUWBSt+mERZ3VEdaUEj20PsvhSC4zoMGAQ8bk0d/q5VTel4LxMgEfQ9bDV213LRjjQNugeyR
HeAEgcvysrs/NMF9jMlVQ8kRsqwOqsfcvrKMaZnKBKV4SNdm6dYyXo2JZD7AbYECCZzczP05rYJ8
XU4q+eM9jdgoPGJXY2rB2r7dBWmhogpUoFODw3VfG5CJnmZQR2V74P1muw3D5VmzSnvTrdljtOn8
rNz0qPnb2sV2N/fnkiXS2712G4dLtLbVaHQFCfvkTmWUN4DfTufJ6IN5+TSpMpvQ9/mQBWNuh1gw
uDtwNy6tWbNMmRLcuOiHovigdT1UEE73B8TFcEHLASUV7QusS7RSeQ68ZupdopdZesG78jFz0yjO
v0Pk7J/7UViuu5o2FgX5Fn8f+nM2FB64G1BplY2XoxFwgSnmF4X0D+4EJuz9GNwS+E8MFw/WN5ge
4tyuNGJoY2zOSnZpyywYk2M5HVxvDts/hAL+Jw5gGRCVZH0mvk6mGKSHGGGRX3pILM5xsnFT2EY0
4LpJ7nPCSbsKxG3beY6pRuosv6j9D0Kf1/b5/oRJ/j4v7DHCMweY0yq/AL3+w1MV37MHCWODp2Lx
k8VjdWtrqcAmKvNL7rvndgwS/A+mzRt7CtQ99GcsJkEuY+7ypJR3UblkThqrUAwFI4MB82b5RR7N
PVzJTuTLKjmcBLsHa+DftWByOzS2ldHuTKyFGXQemK6vfp8Om9kDLuj+t+JOjv8fER6xcH1m6h7c
BoJgndnDbSK/ZEWgB27m65Pflr55okDgSGLxwhTvgnHTNyYAn64wcrvU7ofy+/SgxD6KIYUXwvTh
gFx3ptvFDwfJMSWey99D5OcyNRd9Upr8Mpg1+vrNri7B0MoHsr8/ldxJ/zY6YLc8HarR+HQ8X4M0
wCbUxHGfCqI/rqikk9ryB8M+LP1TX35LNZlphGif6bgumajuGEi13MDSLKWkGGLvyZg+arDmgT7r
/REJA2AgSEig3wI0dpv5dHXsbD0evafOO5nuhxV6kPcDiKYMVV7m+INyr8VT/wYLXPvWIeSp6vWA
wMV+Xfy0KzcDKgHzs9moMgoWd8y+fSOAboCHBwmLXR1uRwRp4NXQm0R5QqmvXHwbevhD+rmdPsOa
e18O/gxu9fDRqzbu8llN/QryLcTbWE0dZJUkS75fluwABowB3w+cm7dcc32Nr8a8aupZeQIXJzDa
OSrhFutlkvYVX3DFiFEsgq8F83a2UfRln+AqTKE0TkNoFl+OP5ZL9tWyD+vWmqNqn/40SdDV2HH3
v+n7jPJG6DGBCIKlp8rzABxzoWZiFenF7s0wRy5p1i19LF6TVNvEdJPKvBQESRmFFhRBUFBmJAf+
DuAo6jzTHDeNyrBgPVBuTe+LhypIaGnBoBWH1UnOMFmTDFMUFt5gqEJCco9JqXLXgswxqsoeYHnR
oSce2u5abkpvdCJitNMlKxu6dzyIjnv1lOzztNGevZzKbo3v15CD3wB+JIr5gKrxzUllLEHL6db0
UqcLiNaKg+3TV8q+tkgT3v+s73cOwK/smgUtPnS6eDyjMy7TqKkZvTgf486HJGh26SRXxvcr5zYE
dxYZg0UKOrIQmu8Cpzz4Dhqs1H1a1+JYxDuwS6L7gxJFROp8U+uCVxX/BhzjtHSht0YvrR66sb96
IO6eYo91uEbTRKddsmhk8di/X21GWDFoRm4hnumGpbr6SR3pVrTmB5wNbvFJv9wfnuDARUHt9/h4
0TpS1Guap4gH+Vu3/263vjUckxXAlf8j7UuWHNd1KL9IEZqHLSnJs3Owc6jaKLIqKzXPs76+j7K7
X9m0nhnv3lUtssIQQQAEQeCcYp3mtMM0RrhpMLauVCoNnjAynPLGgtimbgSguQYm44xCgg6smtmG
L9ac1onYxYaXPeNBAugN1XjshA/PP0jtOc13bfG7Ln6BnMT8GqSnBmRAWS7ROkzA8RHu8OYOlJd0
O6GPiKOaBXvGZ2HrER8xnioyn9VWeMDD+YDPSm3B3+vmPv0hfShgViXiL/9UAwx0pR36Te3K+4kX
PBbsYO4emh0X6kGH17VOoiaRSkOP8mcJaOsNsAQQ/ME3gpQh3pfJweA41u0NBlvwjeiEMg7a5hjH
yto20itFyJ4DNTvHz7KJNCh98bl1TxZ593uvMYcDnmpc/WaGret11XXVjJGc5M9986GqPbG8XW/D
r1Lnx1fpWF+hd0jMc63tjTAHnRhQTu7vKtu9AnQ6BEI0aYC+YO5vZzHJx1YRQ70W1efSKfb5Mdmo
T/qTvI02/hY8Lk/Wz+C5P2srz1XtilobnRNP2IrIjXzGqjRzGMoUQyrPmV6TrsZbcUj8zgafI/55
NEIZTOUP1piBRtfjyP6+h17dhZm1MwdSVfjZgAiuPss02xRuvE1XzS5bYwbVHXbDOlz5G92N1v6D
tpGflEdAo7kgS18lK15D8O3ROH/J3KYwv+GjtYSxt74UJxBSQwu6dFCLD1Xe4tIE6MCNJqyU/LnR
3H7gQTexfWjfqgfsMx7PMUSBghSTrJZ6UQxlWGrP4Ev+KjCcZacHfw/yj0eP5A/J6r6l3e40Eg3k
kUhwkOXMdZRrUxdHU69bWdCf35MH/6eagWqe6A/FAVe1KbJFThp3E63mvhnU9QCQgTY3NC5cS4tR
fov9JLaeZctpu00i7EqVjpgR4eHN3brwLAm0jZjEmdM31oPqrqxRkE+s527d7bq37FQe5B+e2+/N
dfwQrWon2Gd/VF63yeL6LqQyfhOPCUrqHqSOwZf3JPRf6HwgzcoIKl7cn3/pykuY9TFekraVXw81
NFlUtpe/gXFbW5c6aZ8rcQ+4Fmt8lYOfgabCXNfgrIyBynvfcm7uPLhqzy+qmLLXwP3A3ri9QoyM
URm851Yj4VrZxdT3V0f95b6UhWVeSZGvDUZKvCLtp957Ton7Ru//9q1/M0tgLp5mmwuiOOLH2+Oo
EePh3D96LSmIjC3jiJp/itkudFghlIP1BlRM7EhYmUTyIPSK9yw+oclW+G252cn7IW5g+FFIvTfr
ceK0XLKDhKB8wj0C+CyA0ETDH0BprlXnjaKvtprkn4S1vws7e9hZljNsU/fUrsVf1cE85m+azRsG
WFIqZs5RxUR3MW71bGOO1pfaFKhBcAKbN24rNe0jooCBSSGVU7o156RcsEJ0GuFVAgETsyHfmeNF
VgZ2K6vsszA4Zft2ZaSkV0j94IFvk1Oou0k9sHNIs+bBcwPN0hqT8eogaQ0nIY5xacBjwGfenUah
ISB34XjV7T0X+CJ4OEJ3zXzsIzBf71qVe+gLrYPkhJkQc6X/qUQSvAVvAk6DfegGf7TPgYPPcaNC
RiLjYoPs+eBO9pOT9DvD9M7bBLRVTFuSjkfFcBMcGUGMQar9UPqij6WFPhmI9mzUYIxZ33e0m3jB
yGAyt1HujETCEXPqZoA9XqWKuzuz+AtzG/CIUkYKfj4458eaRrZxjPV1+24DowLch+hi5wHH31aI
mRUxgb7zFM+vJ4jsnV/9SyJTPGI+OWaz9ejnk6dwAtVNRs9Im/fwYoGW2E0AMYW0EuaXEO8xal1k
e9PBelR5r8xLsvAAjDwXT6R4U2SUKcmtVUq1jL3KCYaJBZRYAK9OzbXQE/QK3zeMmxogohFyge8+
MhR2WLSnYFDiqcd788kUguihjfraBoIljyXp1sQRGvC0olqzLAxMX6svEBuh7INMPcWp3WmOhkvh
rskfJ/Xp/mpuzRxycN3DaYKsDcAi13JUbUySSGjVE9qepQYTZAINzR/3Zdymhuq1EGZ/0nRSy7If
1NN7/AFzCJ8DN3nLXvXf3Uf8dl/W7YXnWxZQlma0AOSGjKxMlMFxLE3qqXGH+Kf6M+sILtaW8jv1
HuN4owFQJ4l3fUp11LylJ1n2SQUcwI2lER3wmfuEx169uJOgc/7/H8S4XQ/urmhMJPVUvqajkxcR
iYAHmMiuqGw4a5+N4io3mNeOFuF5SmHu4Z0D9IXPKcXUYhRGU0+7nr5bxF//VJ0JZCiBHdKB/qjP
Hx9fIzm1ROH4xG3kvxY8O+iFYL/Us7gJFPVkvqB9yLSjD38TcALy7X3manUAd78WIgIWzDAmGUIO
xanY/PI28craChtrBaA6974qbwtFjDDm9MQLAMqzyHpPXbUWURh6MJ4Vn6xIsw33OvEfu6Pu2QJP
j8ue8p8dvHF7sBFbkxhBkfGrAiwylYaO9GQchAMKqs79Jd4kIswKmUPUAtWAFCEqnOzyadO9CpwS
y23WyPw+E1kMaWjjxoPdy09pSSPZDh7H1G4n6hPDqeGVqQ0I5t/T6IBd6/7SltSIwwBUhyiCoxWC
5TkoFKHHm26gnao9kFp33r5xvAfYyarejat/J+s7jb2w/cjK01LXPPUkroZ9ZJPfjxqtnHzPI6Fn
RxLRxoIS2d9FfS/6QlAdhJMqhAZC9ak6u0pDmp34Q33MdrXd2iZRaPUSOBYwjR4xb8pZ5M2tg5E9
R54L2R2YTEY1tdRTFTj+znt8JNNK+Amyvi9g9wfzgOt9gQsB5WqtjHGW6OME/yKUqpHJFZ1uba0q
Etv3hSxkRNcaZUw0LUBsXA6CeupptMkey4MP3g27gkIV2r0E2/at5gSxhcPgal3M6YTBpirzShim
ucrJfnA4Pj1/8NUBoM3VW+RAIrqUwcQ5q/Vim9S4GZQhUvVTAEYKqXjzE55Xzxt9IwGN3jNNHmAc
2JmM0ErS+YZonIp38ctwowjOLNRkdBOk4k5sB7xM+cYSNAWPLOgBmXvT0ETMLKkKcy0NFck/10D0
Olc5SoUVnJtmgRG5ZoVOB7AIq8+dFfCC8U2AnCUj18PsH3AjwLV9rcxAAeb/lA7+2cg3Jm66JVLX
nkvMN59a1wqdpaA0DIxSXHPZdNLz/KCIIqxPKwNXCQFPGoL6HI0HK7WeNroR28lKaniDWktaRbsk
XiRRS1ABNXu9NgWNNY2O3OeMhiE66Qe8mlGwxBLgAUrRbyWZOP58Y/d4LEd9Z65/IhyD0/laXqMo
QQXE8OA8bkXH3/obyek5F/jbesEsA9aPAuRMW8W+/aXCEFphpwbnYKNuh/2w0zf1XnUjh9vmt2AZ
V5IY7XlKCXpYVQvOlSushTWmrrfloVrHtHC8tfQUbqRttK14vQG3CRCzQEaJsRiFbT9BbL8NHsO1
SrNH6elHdCw3psujZuNqk7H+LGgnQUBr7Tk+nkGyq54mCl0eyjWPNIG7LCYmlrLoe7GHZQlrc2W4
/tb7xIVnKzniOjjwoI4XDfHCSOatvYiQfWoqQZJhWeHxQXrLPjCSu75/qtxcRr93CbBN8Cz04bFQ
BZmCQbpYVIIzEKkdfeuvh7Wy8h5QB7kv5zYfgCC8lKG95psCm7V3FP1zPdar8Jw7kyvTyU5sbdft
dDveTFQBw0EOXuKetOtXjuDbkKUCoxEPaPqMZIvgda3DNgf9hlfI0bf5+88aXlKSL2Ol7iL6LyUx
u6UOEmBUOkhq7G4zEc8tnDfFqXc559y8zQQwQXq5pNlsLswi6PPQm+YlKbg2HX92j79doFcfRjd4
9n/gYYx3jPJUyJxqxRhNQtFA3ohIJVDDad3WRkVV4lwJF9wYCwOoJqCkMCOGCerrhYVJqpYYpY/O
KGvied2WjuaD5ASkPKnP9zfru8H4+iS7FsVcAvNwMhK03ETn0qn2iVvSxP7ZuSlJ16EzrPuCjI/y
g/lQbjQqro3N+Dz8/sSYGG9alvcdOnNPjFKct2WD7+i3yUaCZzR7jD3nRATNaeb6jr8KN73bvseb
5DU6WiuFNhQAPRuuUd0eE1cK0Zk7ZGCWJjJMfEhhN3aNLnAqPDdvv39EpDpUq9D1HM+J/ueGLliy
gtn8uQsYfO864zJxKoNzqYdldS66GwAGAr6KyaOmLT6U++ZjS6On4lC+STzO5tvAei2X8aA0yeZi
FuT6H+pW2skS3pNFjondhtZrGYwxD0UQmpgtmL1GIBP5pdveKXV5R8Qcvlg7BmEo+Hs0NGUjm712
GUEOAeHRqHAZDaOij6P26Y284M1CmYAtAUu5EMIcr4UnFVU7Qoi4UrfeStz232/ytRuiwaJdeat6
Va2l7eQAMN/N7dzt17xy0e1lQcWUh4KaH2DmwMrHWMpoNb4SJnVy1rORDEpHYh6k9bwfrCYvJTA2
kbRRBNL1Kjl3Zgw+7WMKJDaAuAsxUbpnpeEiryzJQ18fkGhkQxR19sUItBtRW2tqfK6Vp6GljYBW
O8fvnwUFo/OSo6EFwUvFTd7Kq0pzI0yVZ2pr5xgrL/Z6kJMid+/HxCVTwg1ixpLAhKUuMqZUyWkL
V5ShYg/U16ivTnaaJOCu7KqP+5JuSx4wKDyDzxczAEbCuK6ttp8A76n3RXpuv+qjtEvp3t+Uv6WX
6MBDfFk8LNH9ChAOPA0CbZpJf4s4akCmUKbnKZlGGSz3fvFH7dtQoG0g5H+MpgFnRWA00x4j5vX7
KA+jThPf6w+61OQyWtmsCBedWkh+15reliuOKualsmZ3+X2MKkI9Gn2/bNJznO+GbNxbHgbCJsDS
gONVTj5znAkqcFdHv7SVl2BAI0bPqaovuZalAwEDLcKAsGT7hDUxFPp0StJzYWpba+hOQq3yHvgW
ZFjIvtDVo+Ax4obgokjT1kcdOD2b4IZcocvIB2dCZ3EseGmzLUzuzi1ECFqYm7+2q3lAVdWmNDtX
dmdPtoR01tzotooWdWuLB++1zunsuH0aQ+gFCKCqKnh0ljEwcy0xk1JVkKUsO9ekRP3Tdyz66HwU
q7XxyEswl3QIjCTgiaFBCgfm/PeLtE8zurJovBw9YPSRV19d1tzFjzPrsLzByMaqyM5e3fYPllDJ
79oYVU9C0bY0mHeWSDO0NpEHo4BNFrUUEBmNsQoddNQEVo2ZSgmti2TuBQ8sYF7dd5TbtxJgBaEp
AuUatImhR5/5wsYzRh/gLN1ZLOg8/xlUYU/L6an0/zSR26Mdynruu00khychsEjZBvZYn/02ANzz
yvdsRXAsBX0OJXjoOE783cBz7cT4NlSx8FqOXkRMtF1vjTiJZaILVX8WynXpS27h/WqB0ldEIE7q
qTcBcql2Yq0kqeGGQrjxOvRtAd8gBfdKTtP3wXpvhD3aVvLE1TUnSNdJ8NUCBs98AAmUg//dVocI
oIwdmswBNhkMVAcmWF44AipaIh71indBdWvtUBa1LXq/MzF3gmP4J+1WVfxLj96tntRoh7+/J7dH
GGDUVOwG5ggxBsDGVgTRJsL8f39O0Y1AMr3THbFNRFeNwq9aBepKJ5ufXSvEzn2536c9o28UQxUM
HqAchLoec1aDIFUPwceLZsDhzdOGzSC64OTJs+cxfxbDR8UgofdqDa+hgHw5IIUlOcWD8kvfyMIW
SOOnyLAj06TRcRhp4VNNeghqdHJu1J1quppuS4cxNGxMyBojJj7DRxlAkoBvKyoyHHJ91YW0VF6s
PzIP1+a23XZGWsSygPsMvH+TbWnOtLo3vEroz2IcoMEXNMfqg6Wua50awLueDm0JntfQNp40qu80
/6Qbh7IaiBGtzGM64y7wel2VOWSyqr78Isa0h0od4jHw+nMXggPT7Us3Lh9ji9Z+Q8FSuBr1PZhw
8CqS7/WNHnyAITwglfAIuoy0eRc6GzPbnrmGMR7GwJkMW06BtIRj1ZbQuOyt4wR8Szodm51vN8Hj
fUO5TTTQXi/JKBkCkhnAG+x7RwzCp2GSh/isEdsbnXHAzdU5jUR7DDh3mTn8XOmJkcTcn2LZCFXg
q8VnQLJrm0GTJFpNQMDpAbLPcbubm8UsCn1V3yxOOOiYg6D0zC4ppyk+xwS4KeAWRJtMNRLeHfnm
vJnFgAQZlWW8TQH96zqo1WYbJejAhhhwAVBkSC2VzYZ3qn3XjFnFIXRgmwy8yxrsDUay5CI15Do/
19UgrDNfzWVaiKEXr6RSzzWajwZmeZJGrVZT0gK9P1GBLk77eIwBIV6K6H0SgNZc0Ew2tZFm3gg0
cS8wevR+FWEdraK27fxjKAhBQAaM7EhEUTz5VBaKBdPU0OBOU30ELXvRTiANEYO4R5StPAsFqUDv
PxILMPtuO2WBAiYfofsZ5lEpULEaDYET2G6PYehcmTnbMeaE3nIWe0JUq6xPLSk5D26zKY+KXa8C
N8QTXXT8UNfJANJMjofc5J+MRGaXASfVTZ2PrB8YfPtDqGzTnoYbBLjJbahge8/c/uIFiVgkWAtQ
zwf7H9st0o4VWNjQEIV7xrFx+9pFd3GP0p9bd06Tvaq7+jPAKAPyYM5Sb+pYOKMxyoxpBrDDAEeG
ySCkwvRGKUzTc+0YRN0eAqpvGmc82/flzIcPY9BXYhiNJkYwpk2LfLql6cuP0xevoey2TMasgzn9
aqsIEr+AAG9l7BqyPypOROj/3tLIiGEKGKLRTUVRz+twShIhzJjkGKAhg95X120KzchhThgNoO61
lWJb0ATjYkmu6xN1Y4KW1thGhDfgtnQkAJ8CYNq4Dc6d7kz07CrRrEJlFmf3TrOR/9Q26V6BCvn2
eX9hN9nRvK4LQYy5BcMUjX0Rpuf3kkw7cD06qcsxtdvniFnGzDuAJlCUrNhnduRIeNwZc8hwH6C2
zT7en564ddklj72UIl+fBJFZlpgpgxSUHSTiSmvMd6K15OWloF+cy+iS0mZMCIypARsJbxLXogbJ
jBMp9LOzEJD3fKCApvDJen1/ZxYOUFT3MOIi4sEUWMPMevLKUkpVaXGTIt5P5SHbdERsVrTmUEIs
OuqlnFmvFze2FqmvIGSQ8z55xDoQ/9wkZHsyeWPgS0q7lMOYdJ4og2KFkOM9ybSm+gMeVByOqd3k
gbC0SxmMNatl0LaF3mTnnacRzHV9DhnnFrXomZcimLgmgOqls9oa6ko28kqkgiP8VOiJ9/Q6a4ON
z5diZm1e7Io4NYoWSlhJtNG3brWfhxQ3RvWsZuQUvPCKp0unwaU0xqAlqZOsscaiMI3wEYeEfnE2
Zlb8neWwpBgJioV6pePm3mxUO9pyfn0xOl98PzsNVGSqicIafl7fzqjwjk6OFV1/jlQh5dt9t+QZ
AFsSNSrd76qgzM4jRcIJDmuBljYY6jArw60LLiUDl+tifNMaxK7Lu2reFyQCrhyR2A1dweZYG8c1
2aJN1OuDUE0wtsYeTh3CWUVD2+dtEs8GGOfMk2HsxxiKK78iV938sXYbDGVqTnwa1/JOxtXq9f5W
8ZbF5Dh9JGh+MUKgHT7/SffbNW9JHLexmFiQe4noKSIEvKtUWqu/wbe0ub8EngQmDPRFKbSTCMc0
D7vJHQgu2zzf55wz7GEWgDYyiTVsfg90jnJVOVtc0QnnxFzMAf5aMiboruPZ2CaCbIArCpY80m5f
kvGzd7drkwqbz/sq4wSDG8CeygfXXaXAaeyARtbT3nkRRdIT9a0OSEZ5Uy6c8/P2pgDMZ0kU5tDm
2pqJ3uDiI7WTbUF5KlxKcC5VyAQDkMdLnl98BwONdLZJK3eytXW1UzHgS2lCOXqciwH/PWZjiud6
y/zaVPNKmd0nJj+VXWTr9v4lfuA50f0zG2O912Iar4z6ZoT+UDZUN/VGJGvOQu5HUZVl8BV7cZDD
CraHi2pzMh+DHXWoafyTm9vl/jDRICvqphcA/3EWvwip3YnSABcDXhS9HxEAYXetri5TpGzUkUb1
FM+cJkUH8ENAQ6qS7iPD/dT4avcAlnZ4F7pluXM3JCpVGAJggmnsA44P1QlEb6eyDzVJQ8IJ18uB
6K8ERn8pSL9FMU+ys3TKnwXabBU81Ear+8bAWwajPqnU+koEBgSy6p8oxbtr5fHfCWBSKVEfQlRN
ICCdSEIyYv6OXu5L+C8R5z+KYtsxrBbjMuMIEYfetHU6HR0lc7Z0/J9bhr+z6b9y5gBxkYN6QYe8
CvCFqBGIrwAAfnhJHI5vcvachS6ErZlq2cCqemoRARNug7MtDhwh/yVl+7sQJnJGRaeNlREhxLjm
KkX/s0DiVW1Hx2TNc8/5VnYbNP+KYoJm0lepkja4Gkb7XetoYEUjHf0xHTK65lXFlgPnX1FM4JTK
pusjLcSr3vY9JPqJs5Tbrh9m+xmPz6w6lKoWeyPVW4NIsi1pRDoKR7zdEGA/EgfYufbzc/wnpMZA
ZGRXnICwbOig3PzGVEInLxMRZK3TiqCdHxOJTIeNRIw1mo2AHkZ5Z91sATfbdiGJCQuY9myTQsOb
rPyn9GmFkk5ALHs3HAq65iTbS+XT+Tn2P6tiIoSRZkkadljViLEXn/b7D+ok6+3Xq4IsRebY/mwE
dxbGQhagNtajHAxhwSY40dK9H4oWo+nfpahMhDBLK/cQILLz688pIM/p79P9318MDyiFzpALc/Gd
2ZYSXcFAgED6aw+2na7HlyglyKzuC5l/5EZFF0KY/SiKsiqkAXmOucJBunrBzMe/k8CS3lcCRpAC
Hyl28D4RFabVrMQ1Jz1c3Oi/q1CYrVCK9v9lvc+rJ47FLu7yxU8zlSh5DNHHWUNB8mu/0rYyUdec
feZJULBFFydN0RRWjOFWhDL01jXOyXv+l0tgwrKHLjf0yEBA8tjR3na4V+jlWHWhJCYaAyGtHwMD
pgqgnedfOX3sbXFfUc46OLbKPnclVgUoJhVSxqf3X9YHMszPf+UMbMgNLKGRWhkCgvO0jlf73K1W
9yUsHlsXimJ8ehybNNfwhHRONv6LSEJuuXm29Dv+rDD+bObg60rme5K6eq1sZWcGc8wIbd6jIGch
bGg11H6K4hJuUR59Ep8zyruZL2w22o00TUHTBhBn2He2tPRwoWiUHGkLbuY5HV2S+TyLWkqOrqTM
y7z0PYyUW0UFKbWjuL8ksok3YKLBzeX1/r4v+PiVnPnvF3KkvMwGcV4N7v+bWWEjz3YXNgQEZmhy
QX8grihsF32sKlmAFrscN3FXTtDOOvC4fW+HWDFzcymCUdY0FkBbESDC+9k6/etD4dYvhSPa0iuN
PwPC8faF4+9KGqMyq8ilqSn0/PzuHVyxpCoQNDpkP9Wf+1vDk8O4ZCWbfZPUsxz0mA9EOVLvyLt4
8WQwXokzRND0Dpobqb7ynlBptNE7D9rA8/21LJyDlzpjK81xY/RGPMsBejLJO24xYSG6gKYNF2A0
hqKdjqVlsZpekoQJugpfe6cm5ibcEAX5It/9lwpZV6IYlXlCD/w2GaI0TMEauLS4AU0pLCBwQHH2
xiv4LO7Q35V9n3AXDlpHoE6M5pWBe8MVaEePsfvFOV6Wo82FECZNkVV/aNsBQmISbXajMx1RJ3l5
um8DXClMxjJqjWUEIqSUjro6xDuA4r9IXy/jG0cQT2VM3jIUU4w2iW+VtR/SWj852c+v+2u57baa
OT70/0vRCXxD9ik476W+6g11viJ7h/hYbMZtevRWZ88OD+EBrRD7H8PruM9t9EE492V//zZzlF7J
ZpIaML+YYKaH7DSgyWdlh3ZdOJ1dBavU8dV1W+3yEpP8FSjebbSC14PdKVR0RgrMkOFHns5YIeEO
YxrqV7o1nHKruElOzIqkB/Mgb2OV+H/KmFQRSX9VClFHEr33+8y3fW/d+ilVDklqEWktfnjmSgBT
25sZ02D4QNdhWJ2badVlTpRswCzY8dhiFg5foFpomK3E2AJ6fpiCdZdlAACvJNx+JbvYgaDoJbTt
++rliWB8oTNwtVWsfq6Jy9TV9x8n3uDFUlZ6tQrGERRB1ke5EbNzXpH30pGp4oNdEnp84s32LkWr
K1GML7SNmoOVHaupnWhTJPQdaIgVLRM6v7sYm5RzNi7E+Stx6nU6YQUyMPNTiNuJf9AKJf24vzdL
IeTq9xnTB2tV0kzoGD1PD3jlN9DRFdCMrF/ztfx8X9RCYnQlickpSnQuKL4ESeNKpod6Zf5e/zsB
TBqhxloVKfo0PyKJ9Jf+WHEWsBAFrxbApA+DVOdZFsFVUBreqE6VkI/1F2e7eb4yf8PF4VT2ody3
MQw5xMydO7bOqKx59ab7G4GuwWsZVexVem5ARvt1yFeqXbx6nE78+5oCOPe1hFiZGtMTsRPeS066
c28RmtuUc8bylsH4vFfqnWSWWMauQ6H+pf9fMclm1Iz/BMabCZxEqgelFPGakpNDSCL72XJi3iQG
bwmMcwNFP/OHekTdR8SjZGKXdsfphF24K1ytgnFvT8h0sADN4SPcok/YlXlt55wAorOvTkMc1rLn
QYKwE7eH+dUEUFqD++LbvNnX+76hi4x/i6jRT6D2hP+VxCTURydCuebG94VXtCuNMV5e5ICBjhvs
yTvuVjJOeYOWe+N1y0mp7sd1nQWawQharmQqFnPegE98dT8ScjTFpriwatWKEvy42NnuRNI/4aEp
ucVkjqa+LeMiVuVpqtZ9gHjYU8X9Oc9V6gTk8bzrLieYfD+5X4jxVCPQvBwGphHXFU/0M3c4QXdR
ggxwbZAZgKLh5q6jm8BH6BQ4iYFuqnwi2hPpPzlZ0FJvNeYy/kphQnudKVPoWzIcZW0Qu07WJaoP
bgN0XQBm58TD43a3EtFUnCOxiI/6at1gFL99+3I+xIctr466GHr+fg1rIsjFQ0UQseaY5D9L+wf6
qzlaXTTCCwnMIZDLee6XHiQ0DbFA577r4a737Xwxul2IYI4ADEMWmZxBxCu2TYeUnMcLyVsEk+1F
eBwS1AY2nlS2GxJzH4DkkHJMg2N/3y8pFxaetEEp9z2EaCToSI2bh/XgYiwmP99XF08OcxiorVmH
ZQN1jfRnNbkWhiKoo73cF8LTGJPmVYMZ1jp25byr9i56E+3qlce8zLNd5iAIu36I8x4ijAe320Vr
XmTjmdW8xIv9qHUjt8oa+4FB48FuAC58uq8jngAmFFjZhHdtxP/zdHrXnluX21e9GJr/Osb3Zfti
BWo0BHE6Q9QDe39jkff4OBA8ayZb372/Es5WfA8KXghqBwUDvQIEZb9z8gBPDz85Pi5xrFZmnLwW
2lZvJex26TS25IpUw7tSRgU8NIeYKe0qajw5FTl98prhOZbMsqdratDOM5CzEiW7jsjbtifa5339
8RanXpsaOJSKsSghI9r0jvn6W1oZq+nPv4sv3y/gF5s0mK1VZAaE9FTLAbtlS/RHdfyXQhi/V7xy
TAC7Ar8vXxHAjukGQ1eU156z9Kp8eYqy04Y4YJuxmw3OHqwVxmE7umnO5Xvsqr926pon7hZtYb4F
XDgSEwqi2uv6robxvXd7SXfC/eGMKcTHeMB08bBVXikdBhvrlGLnC9Oj/7CycfEBTKiIWj/RAAQw
G+HBX/tb9WSSk2Gb/+TG9lcM+3SrdkOfBfNh/S6uduN3kwomCfNf9619uU5zIYbJCabAyIrSw+4N
OBrQB/f54dFsxfGppdeLy037zsQu7F1EsBiNADpDL2nvgL4IrL4oI+JhKZAPESkQPXjYMdyVMYlC
6IUGhuOgQLvJSB6RD9TRQncN8pN/qUImYgR9VI5qCBXiVpq+hKu3j4waj7yKGif2sW9yiSh4Ripp
3y2/A/E3nSM+/8uFMAHDAANfqg0QcUjXrht9ZrVLk/f7QhaXgUHGubPGBCE2475maJVDlZvIFADq
/CMHeJy+Dv9J4LuQwXhoEYe6IIHU+wzmoxhoudJWfR93vCLq4kHxV8rNiV5qGh6s9Tl3i34oT+jD
n5t9Dc5alm/zF2IYB9XBmToZyN/O9kiDR4uotCHStjmu7+/Ld0cLU3HH0Ph/NoY91MHcYPpNDjlx
sTIc46dHZtQxQh1gaG62x/q8izaCa25rYuBGVACoFxPVnCv4cin34iMYn5053/UinBcr5zv/CQRC
+glnyFtAhFVq886S5RBxIY7x3Alk7IMwwlB2BxnTsrbUzU0y8oq3rMXk70IOk+aHad6neW3MVzu8
TJD3zva309fX/R3keBZL5VqlXRKCXhwNFDkpX3dyT3AzwjDKfSlzDLhnJmymP1iBB/BmtOQAaIj0
oKL5R7n+hbKYCDFmaTCW3WyIOlFtDDd//rsVMNEhlBuMN/X4/QGzIMeM29YwZ793NMQe3BgCH8dY
g4a+n2ndX74TbuhH5PDQEJYmGy49lm28CnoZVTEBC5n7GmT6MBF0/YLujdv/z7Es9vTuBt3LPR8r
SgmAn2lLgqfXFkPCwkPwWGwqcdXhVRhjO8b5/k5xIiw7+y6YfTY/Q8+3cOskPHRn4AW4emBzTHpx
eQDpmHv90GTO6hHzZxXiq4Wg0742u3jzEtvcKL4YAS5kzEZzkQCNfRgLfQ8ZO32V7cWtZA9kVOjH
P7tnmpjfBV4loKNY9APAZsWhH4Y59uo1OQNw+dUnITBTcDTd35zFe+aFICam6V3a1qUYzYIM8Llg
OpDXZrxs4BcimHwETM6TlEzx3IYkITsdnZr+GSjOcjsgvCrzoq1dyGLi2tAMIzi2oLcupkeg+uEG
EdoWL2dYPnEuxDDBzZrMqTAiiHmf7Gn/qD+0+6ecU+Zb1htYOzHFD2sGXcG1sdXdNIIIIptbHTo3
/+g/kJfS2h5zorqyzTW5OQO5CXh/xRmz7V/Ydh2BLkwQixyX2ckdX4FSSB4n6r1LDueEW9behSQm
FyqtzOoiDZJEMGI/BLYKXqYUC+IZw6JtX8hhvBWUq62ggDrybIN6QcA5J/yD2WfLQIcGCEHmEXX2
kb/t1S7u0wrmBjRJnc55x1xu5neyL53Xl4IYlWWeN+ip18xuGh9DMGZ1ld3sfw2ktOXfsIh6X54b
+k826lIqo0BRaDx1GqFAhUzvKe6VDUDmO9SEeILmH2Jt71IQkzAOUicMY9rmZwN1weSHSmvynJHJ
qY7FllMiXHSrS1lMtphEop81JfascZHBjY40e5Vb2wWiBY+0YikcXcpioqs2tjBCHdvWzWi5a0xy
5Dbg+u37MVziWcf89wvXNWrFArE3xBR475xRh4Fr+gCmCph8RxsHLGQ+wiAXFo4nlgm26JGVjMaq
5wA1udUGIIe2+qE66F1unOQ4/JRedT6//ZJTX6qUCb1xgvblGHiG8IQpJ+3r6Biu4Vrv/UdAfTyU
GSYVNSd95I4acQ2HicdhpwymVmG5FbSMATZa7AAhA+zYYsUFo5iN8L87xA2zipImupyos+H8H9K+
azdyZNn2hw4BevOaNEWWk6mSWq0XQmpJ9N7z6++i5p5RKcVTiZnBxu7BRu+pYGRGho8Vjrggp+8d
Ya+amWKT6cSSnjWn5utEgZL9XXoQZsdcizEZCGn6JtoB+TNYnefv7hhSuvzONZ4obTIM5dCqKegA
heg1s0PnvbXzo4glEkyfmsUSpU+MOSmDoQCp2ZFR/seCIRS2c3Q9Mp2b5ZeuMUVpE4WTRT6scFGa
HhNl6B1Jep/kOwPFx5y3avjVtaX27tBujO6lKvt/DFuNPCoWpsqfOGoAN6aEMtWiqA6baWm61FAT
kmBM7RIRf25ev731Z/c3nU+bfqFi4HErXNB90mmeB0ew882/6B8FbCYQsgCgrmPAiWKF02WuTbVx
kUPMPi53xh2UF/YWwzU5xM5XDbV6XjREuiodDAbXBMC6BVoBbzo5pONW2Twkztv1E1vVF5d0KH4U
oZnCXgMd4Oj/wapdEnmTY2wEFJ8Di9Xr/3kBtCBeUKMvaIxkOfNFUMNSYfI67v7Mj1sWWpK4ppYu
iVCqYvaHugoXtTRgRV1GpD8I5yx1IsAysm7uZ8tB9HobeLJsjx+xuzU81raW1TLF5RdQSiSNeDHr
eXzB3G+VYvewuwuOHeHJcfDgdukMqV+zcJfUKD3iz12icTOoKUAdQCKje2pfrkvJ2ru6pEDpj1Ge
RggpjErwgt66PjQ17zqBnzuXoSEuKVA+iCZOfKs04KG2xAXUZrZy9IFrRPEy8nQI7iIzJYNzKwfW
+GBbL9vc/GBpybXQ/PITKP+k4zRjDpTF5QLeQIJErkg+WNjuLBqUM6JFGXa5LK5W9+iVdmu/BBaL
jdW85iUflO9RNXk76cqnOGjYfnpGF7HtWz26TR74nXF7/eJYDFHqI0x5ocgW9SHdOAuZ0ZxQ+LhO
Y/mNK0qDTn63QeE3Uws7iUSQ+CKTDKvbsFvBuk6FIeN0LVucZjEaI1AZIHYAd55D8/hxnQSLEUot
5PLY6ByHw7IiOLskMWczQccUq69wVR8AL1JXAV0oK3RIbsSlUBQ9X5yfJWf2klvZvc7Gz9XWy2P9
IkAH4SWHZc5RNYOPPLQddauaI0AgYiIWpIZVP+a1yVyXtqrUL2hSSj2W0iDWKthdIMKbBVExrL14
t6rVm7xjVjf/lUfqrsSqKOskwyHCf5dNDksRxYfUSUz13Jsvoc15/DLg2m8YUrhuIQGuL4p4w5JE
C3s/lBLANgWkHTa9Ff9uzJAnxXkbj8z6x5r7CWjbvylRJ8rJUEaTBEqKCIlvHYUcxsKaN53IHCdi
kaIOc9DUYhRCcbFQTmwlh/0WEPrsKuzyMz8UxQVHlCEEnG+kZxLurElcpIux+1km8h/BNofZYckH
ixZlEuHQ5mWcgqXZ6YE4HoeAlJPM5uYuwogKK0e0WtO+vCvKPDaDkmdA0sSoDxCYJDvbGzUSAe1m
iUrQMrgrXJTLzHBz/aGv6quL86QsIlBZx4LvQVXSN03zWHa3ertRHvj0ge+cjCfXqa1WH5GuxL4v
YC4jOU4daVJqPMcnEqKUG89Bu91w2I/oHvs3FdtLMtRZYgVeCWhDeYnNDdLJRNiVz+or6x0vr+en
LH4xQ51d0gI6XgjADHr6KhI+LcOge59oj0A3vH5u67f0RYnyKTqs/J0bA0EPb2f2e0r2SwjJ8jGZ
l7M4AhehVW2UXVAtl2Ol+0NuAWEfll6yWc9q3XZ9MbMwe0Em9DWZU0OQyW8tZ7Q6u3moPP40vgwk
NmurY6Svl6++ckt0/YxLsXKi8PGKn+aclMcS3Z05E2PqU2f/oCJjhzlASJc104t6vGBK4AA+GlaQ
uAVKT3CeIst87CIzcSU3dMQzOvO9/j61fZYQrkrGBV1Kw6P9QVbLFHRrVDSeq4fb6vbuuuytnt8F
BUqxl+hijJUGFHb+AcOHJvQ644ZYPFA6fcLSe5TLQAFbVzI3OI4+4OFuhsYNhn8zvYsU+dc9UQpI
yetgqnjQwgCfJdzzJN/csaYNF+3yXRYA4o3xagCgK1iPQSfjZTlo08KQu7Plsczs8nnXfvr7dV+/
2J/e8PfPpC5WmbspDGapA6JK42SHwTFZBVfWQVAXOwACeghkHMTr/S2rL5X129RFqmObqZ2G385M
5p6wlfjq+9HQ9iMwuA5g2t1Zsu4bC3A99j6A8T29nR6v38HKzMB3SpQNKaEJuX45ooR4QC0eyA4K
46RaxDFP9/lm92zhvdmWjdFDm9ER+FmIviZMlFXxMVGZ1D0E4OA8Dw/Rg25n5jvApw9Wf3MfWlj3
7pludLLNzjq5x8zyzcAxvLfrJ8C6R8roYGtszPc1PsK5R26UYTd/mprvp0uZmq7XJ37S8eMjeWe9
8pW02uWP/5iy0ztFaYJA6c6Pic0ds035mhJguMcPFsfaoHb92dPjdv/lwLHv8rulEgV/rhVxOfBb
xlWyvpJ67hXX+H5UQZb/8y8vlC+saz93kuEvqgrY0azGzusCqNKwjRPHZ9Ew4asVQggjK76Sp/wu
I9TzzpOsjYxFRoB+f98Ytlg83KX3rYOUsrV/23fADZ12e+mxVUztEL6GI4n3MQuK/7PX7v9+6D/m
6gbBnzR9eWNYZm1KJMHWRWe/5LUbkruV8/QwkY1rf/xHcaBe9qRpec/xONiRmIyflliiRj3ssUTj
Z6LitxGUJRVJ7orN1r7ZT+TetO46sndfzLdTtzM31oLttpViq2L5sYxPoPLc19/kz3VL+jc5+XTN
LwQ8CgWMc8zgZ/fcEVS4Y8s5+F5NRGK/YwvAdWrYs3fVjVA/VdsFuUE0Zm1IIZYV8SyDeKPFvSbk
LUHJtHE54tUOxgozUlRElq3keECDjOJxthc6O29CelsMiPR6oxyf2tzsxN15BKg/tuVm9kEhfEAq
Oyhtd3a7zVOzudF5W/qj3gnY7raRscJ3Y+wl7NMjoU4iLJ8ctxWQLYh+EO6BCkKCEG2pqdelpL1V
PwR0UXqAX8D/Ybai3YhNnVj9tUn3vz6kGCV6/VhbwqnJrfi297HC4z7fl61dPGpOYbb4XO6P/qLE
nx0RcU6GjeRgt2hjFnsfyaVsI2Dfx+G2WPDS3g+81zqb0nk3iIIJVw8VM5PfVvZhANEocUcr7lDT
RkpDeeXteTfeVKQ/3eh2aCKRjU1kqhlapRPr5MmrCBZMw5oV5niDHl6Ha4nnKBtIqpGZCEdNwAZL
5GW/cYEFca9tItvWbGSkD8ZdsCtzlDHu9G1mA9pzcEqUztNXBRv0ZjJZo2Aa79pO9OSWKBkqvsfb
0CpG4qnR0jel7pCgu2uxXnPwrTcF0xk6qQZz/8K/Zpvtr2p3rCzl8Ubs7Z6csD4ttzLgPUkeZ935
2/JBOyslAeIqII2xNMjm4BpvADgsoK6hHvvBmlze9rrtQ/GaNaayCS1T74AbEznaEbbPbk2tBJIX
5trQogEZwTKBZEb2zvfs0j0NRAImbv7xNljijfv2MPxSJELCraVuJ0+/x8DFFt2yLqnf1YFstiqE
f+ZIezBJDs/DlKG6/mBF01mTiFNjdUX8rpmGFx/R6nJD7FNNUruyEgtIXz12HP/qzR57nLaJ9dEJ
gIFya+JtpYM53x0jhyfCff0QQgOe4fjiPvrj0cO/7AykHHFoyFz1+BYrMHH6rvp2VNAZZOr4UZwE
Zz6FVv46bxygs+f4n4K9y4iDXUu/OBT733y7eB0AcZ2iOVcmgxWVtpHaR/eXmb7Lm5tid+xMcApA
CQ0l4U2E/SjncmPcCsIuJZ2VPLzDyk2Q/L2/B3hseXjDoCiRS/LGuyJp3Flztpt0W5B74y3ISfgR
WdOT7zxot1hZXT50qLluC4wcW3hoPBlt5OtdIm22HpdbfgCpDO3OzA8oeG9M5e0lMYEeK90vsD/b
zmoak7gpwdH+QSaU845pS6abZpfadUKI69kVQOINCzPTgS3ecvB3kpuSuJPp42w+oKuAR0ra3cPb
U3bzmDnjXXiIX6x8dGaXx2Po0sNWBf/XFdqamVUAZCRrsiRjyJdWn2oYaxwX+T16cCUHT38kz9Fx
achIrTYj+o3qLDDwhoer2kbo+2aYIyZ9yqcS5kaqU9noAR8pZKawi85nJwKefuegd+i28Ep4ztKt
ATWaHxgRxCdvlHH/xjvldalZGPO5DtrVRJ7PBlAMItMnyFK61w95pbkHEwgXh7wYxAujwfOBhnFw
rj8/WZF9AOqNdKye8FgUrPPV2DWun9m17+SoGCzQ23RWa9xpWZJfv4XHmOwEBw+AxdaK/we2JKxU
kURJBUTdd7bEsg/F3g+Gs0FQ7c95BxoSo/TFLXrdY+BhVbdMBLmVCsDC2xdN6iiTKu6yQAdNILvn
IcwgdrtEzsfA4I3lonxn7fr1s36L+uRRKsS4L+GhWPeMr/yZ/vnu+1AXHQaNUGOd2+KAGySxlaMC
4P6BFAwyIosO5YsDgqzgmhR0nhwAqhFyuOHM58M5sGHqiItlS487myenR5eFr7giYRf5IPWz1nbx
cIKkqYRsiV5QzGJFLyxPmB6A0vSxHLglfHnc9Y4TWucYfSQ5+XWGA+LcE9f2lM32MSQmoOLfJnMb
WKx2mc8ecEoDfeOPcsZ9WUyrdgR/T5Z1uH+7uXEr8huupbMrSGajidJxIOeFuet3voVVU8B/C4g1
ozhqfmzuRtM+2Vt5d4JpILeRdf8BY+1t3933Iw8L9Usih0MIF8zV7esS/TlJeuW76TocZ/QNABvg
BQvOjW8dvIM14FOfHcVtEDZgWC1zJLLHBsPihlXBZ7ymz3jgQiTiWcAy6iXtk5k2S9zkn6W4bw+K
Hr1ShzAfqyWYsM4BOXjLSW9M+/WMlpiQwE3Lrc6y3iLEghNyOou3plgmXCuVIHRi5HY/YfyvHfJ3
HfQ/UqmmXCLiY7B3wfKe7n8Fd7L3tDlYXmXqty2x3Y1JTvgnJmfQVqDaNj7Q3LgnLNkETIbLklbG
Y6QrUFyo6Wq/XDoQFVmmeOGF5tVA+l/CslSMTPwwJeEUZG2GpbkIWGoBbtDwpLsYE+WsZse65TVt
dkmL0sdKiL4yQNr10JqR3bt/fHJa7vL6E1lzLrCq+osjSjdPfpQlo6oA4ck8JPevmZm+YJqBiQC/
AgEAa3hBh9LNRqo3haGAjoaAb7CfpdcaK0GAdpsDuJxDSz62nBL74aN2rjPIOkUqBdo1MSq86ecp
8nbwrMH2nLSBsJriWGT07z5GGBvTHJVgz0p9ImXE/5NBKFK8wOvsrGZ6MKiDHaKi8bl88TshJdSS
wh91+GgHAcNbsAe1yyHiDNEcVCOKyKzAGVzNS98XhIWK8djXKgqX1Km3LpRSOUXVQr27v2+83H67
zt5qyvWSACX0U9rUQiOBgJA52WQVmi365u/A4xvbeJx8C1fHWlz0f9AEPqQmagJ2nVN3x89+wk0G
HvXBADyRuo2RGG/t2Tbzh3/F3Rclyo5y2NbaSTG4s/zHeLYaC8FrYnUujwvjGJnJ1RTQMp37/9mi
jR8gxPO6j8BWaSlkwM5Jgfgej0klQPhrQCUiDObWjNIlve+Vq/9J5HEOMgHMpb9nVzluTBGF2HAb
nK7TWQvFoEm++KJDMT9sfDlCOIRESuHKltQ7nF3u0Eoh7jIs6EoPPvwKxPXbGDV09VhphKVU1tz7
b99AvYMQ21+acLnICQmjxG5dfS/Yp+r1Px8q9R78mOMwnY5LnLBDB/MjWKXjPOjHfzHJv6jnr0Ol
zEAsipXRT58MLSh2GYAWBgfbtTZMjpbX9NOEflGiDEGk6vKUjuBo2RdqADqrx3g6pueOy/ScD18p
Rp4iwkAlkzJLQClTkPNcbRjC8s4dQFfeqha3CUBRuL0uoOum4ItBSp3EcphzYYDQL8PMSLJJgbn8
EjG7icRFxK6dI6VLOkk3sHIJNybfDcioYuevCQBhFBhLOLaG6TsRoEY3PbTnNj1wXnDTuKx+PsZV
0o0XKddkoi/Dtk5m89B1wIxRg9JSQ7v3P/7xmQLfVpVFEY4XQG6pq8uGqawLDsz2zlMDkLAakwcn
lm1dz39cUKFuTu2MeQ6wDfz8aJDQTEYyArE1II0lokkmtSMnOE2vTKorF/mNN+oi5SyV5EyGWPbO
p0+JWFWwkYt0tszNGysXdkHqx6xP44tRUC1vLyM8ZmMVW7ROrBZciUWEsgOCqlZBAJBHDFcYu/x3
jjxZ68p2dWfcz3epvowwo9/NLOGoFO5HfSe6e2jvnGwfkCO1LIygWkCvsXjXYDbZr3mh3w6Ath1F
NuX5csM4a143K9NAL8+rv799L3e/SnQAEtWdCOdNPqpo10V4zWYoAppBDRnDM1j/TtHOFT5I4hh6
YTIxC+jv9y8l0z38nHCntMI3IpRhyoZ4QD8oiFR2djSO8k33EGxVr9oodnSXYKZ3sYnH3HZ3I1Lh
Hx0asj7yOw4pdDJh0IKVvFgLL759D2W/jEQZq0bD99TOQbR5mWxGuz+2aNBijZczz5cyYRmnlZ3a
gJTlL3WYBBjIDyfjNytiWlHv3zii7BePfttUCUHm8Bpsb3WIzEBU+7qsrD6hC1Gh1J3YVXwlT6BR
3vr72padO8TwDFeexQel7BJViAO+Rfb1EN9G9h9uUyME+zc299tpUcoNYzxiXPPgpLIbu7A7G03Y
MO8Ze6Hymht/SYpuaE8DYVRgeIczZpSJtpN2AUpux8JpH8oDi6+1pMc3YpSSM2b0QsscTk+4EZ54
KJKDp6H6KVgOhg2f5e10CLappUKfWL87z8xfFLcwOXNvSzKBavOJWXnb8CChDoUimO07x63b/74u
RWvpr28fSWucsBfLdDkRfcSwwq9IQvELs87a4BS9G6qbTiKFZEX1BpjxsXATTWRWzHA2a95MM9uP
UTxC4/xU2nFoxfO2Lu+aasOXJ8ZnLp9xRWdplM6KcZJq26LswJv+VvkV7MbPyufG5ncACHZjYuKA
Xt8qAKJEziOD+PpTUzUJQxYyttdQFzmq6qQUIS5yMoeXJ9QqB9KiYJ5b0XY4pDrqe7NZzsSOzvIN
LFeHv03IsDOs0mJ8yULpxzFgB6wKN0cXf6zL5EVOCjhsloRjHPdIlAsog6N6+155t6MbYZTpN2pv
p5jIO0zBWayhpnVN/VX84SlNnUu1b4Q9wiqpM5N3LB7NPDzSE4PLVa1zQYVS0kFSqkIe4Lh5s37j
zOQ3svIsXNx1S3BBhFLRKSChRD0GEXgSjyqGdCJEg8OZJ3fXr2wlG3JZL6PRrDu+4mu5BB1gDt+L
JwkRoHudwrpSu2CF0tJznelZu4gnjFp/8/47dQuL4Vszj4vS0ZKC0d46B40JmzMEt9z12+bNjDes
PQirT+2Ll8/vuEiJB2GPmtmnhEG6R4+7V50eOarrJ7au9BRNklUkyGTkaPHMLqhEMh/lXZkMSJsC
W8R/NBJT2qFXBG617qSu+XuJx0R0Z8nIEiiP9eaNIeLrTubFF1AyLodp0M5SOJyfxpwASjDY9jsD
nQvLWF1M+F1+0I/AocTm5XzDjCZWlekFcUr2J0OSuTEB8bHDkLaXE39vk962GUp7ra0V/c+aqshY
fGoYMsVkFIedFCr1gDcmo1Ohj3CnANMwxxy72A6RK28rosxW+6uLSXPGFsFdWUFt8THAItVfyQl/
uiWra2xVu1x8FMU8Sj3arKY9/CbsbEoTUz4/APC/+XVdxNYfjC5IGHARZEn43EVzIWLYNZNHKRaI
nKftjErSb/OBWWhYju+HMdBhBnhexbQBvercx1KEMfTHhZP8SX3eyXfpjeqN92NGcuzqfb5jNdKu
5RMUjMRLuE7kgWSNutAC8+sK56fDOfpIHpe9s0tmOTL3zq8/R1RxAqIdhLsZfTencFPGhHGki42n
+QWoKOoQuqgqkkR5vFPBF2PMZwNU6YT5ivqc2MCs3PNY3jpuTqxJZWFRAtfIUWo1KoQy0pNqANwM
dkNUR2cEhL+P7iuT2ygsOLTPWt8PaiL2KiiahudCjwsEeT1UuQ55qa3Ric9tZgaaqYJa6trm/vfv
Gc5g8ZvHRPQb41jXxEi8oEx5N60/+0XUN8NfsPjoqNovmQ2swH0THZFUyPAxTOLaC7wkSLmcwST5
BdeB1dAnB2mfEiUlvNOylPyaloOoGpKmLVKjUuLSJ/Oc1gAQRzebTiSsA6xys5HvshI7jPmXUXdU
zjAxamcawHoqjn76O+PcSXuJQ5H05bYQ0N6Y9z1RC1cIMczPMz5wZdZPQYv11wdSAtaIRSSVy2vC
U9KcZBuQ4PDuAzLjd2DyblqxYT/XnJFLipQVV+O8l/QAJy8B+a7apg20ciMtXYic/6Sq3nE+GCgI
hWYPHx94FExU2zX/VYRO5A1VNRRVoz4gjDhJm2J8gAK8yv29gaGC0TxyzDzuuqb6IqQved4L9asP
9TS3i4w9AtkdQ1FPCZFtw8lPArDLtzIkwTq+iLvS7HISb43b9sDKca1V4XC9f/NKRw1SL/YJX+ET
dgueee8N79Wh/JXv5k3mvWCKFOvtXTu23XjjH1mJpDU3SpRVFdOVgib+AMSdU19M03JCSF0tWTP0
+jH7WVaGwyG+FzSou5T1FD14BWgc2ts8MZdcyhaOy+YBeUmCFhrOYqU81l/MF0m6XOULVTlMwzyg
EK3sMkRhS7OsfQvA9vDAWYJXvTILf6tG54IkpR19PyknP4aRtZa1Zs0dNnYDcwyjxpAaNhjMKjVF
wpJURZUNWafOlJ/THltKZJh0z4l4M7cAf6TeDPv2Od5OjOTOajSHXPn/EqNNjt9lwE9pQOxRQ64F
tWEB65tEABOlLE9wNWt+SYo6RTVKE2DVisPZ37RvAJAKj6LmNYWD/1R2iHLc+KBsZqQdh45RaVkr
cWI97xeXlLUxunRShwykW0cjN7Foty1Bn0R616InA13hLCdp1fO7JLjc8YXqyfIqS7CvZMkxxQJS
jFBwgFkjHFoX/43lVtRloZ+ka6JKubIJYrIpM5TFAQSUCdqplhhiNP+Ilhva7L6C1UATjoIsIgbD
fxVKOqVE5Tgg0ECrjBIagfWO62fC18l8o2bYgUz6rjBaq8w0gJD2fhVVpE1rocYiRL1Tbb8T2w+J
04Q/14/hcwPyD9cJI7f6sobZED9b/i4OnJ8TrhCGZDynCNlkU+ieJnGbSmTsBmKEhaMDUyZ95gHA
KmCyRr+P5z9dQirpLkWJKH1SXowUPe1K9ZoKd2JOxOkXUnd2Ux8K6SMTKzNFW6b4mpQk4dEYTpLc
VOvN1HiAatBURkV+VXEDIAdeNjChDJqXQol5bZDi8YyVg7H63p/yArCkL8lJerh+auuX+UWJLsxV
mhDUoghKsWcA/huTGMHrNG4T7MLC7T1H4SZGVmvwGGRXCqwKqnP/y+DnOOLFZS3eWgBwshGjjgJ6
7FCnk8xty8z0r3k6y9pktGoY2M+qUb5VPEozz6GGfI6wyHQ+NresXNhntEFL3SUF6jHoElckGJ8Z
z1qBflXOJ+pkT3adYxwk2s770SC9l9+Usqk8iaGXhhu/xFwLlrNEpBtdwLM1pihZvITVosOBRz4t
hrTO5lR6erDhtlgC2avHVLe60jWYodSabwydKPGSLKCjSqGVojTwSVbCkNZW9nHoOVP1Suxbsc3y
vT+w3b41qb4kR6nEOZeHmpOHRQcvkdvhnAMSTLN/LXUR3f44IWnKTHKsScAlTSrHM/nK2KBTfcDe
dOQRb4AGVmC/i+plAO/YJ1ZhwfdzFRYkz6rjeUmWCpHzssuieQbZAljWwIO4AYQCVBGRB3j3srV4
Rrw7oKGx2hW72ooPhY0qJyO9tMgeLZtL0gU9YKqG9eGUbBZK52d6wy/tBa+ppdmz+ZJuWPMWqzms
Cyp0ri6PEcQFlTTgKVfk9YYjKKGYWNXXkvaU7OOdVrFGLFYdwEuSlB9RtGIKiCgwNtny+3y2nGer
38tWcNtvZDf5E9oMbbXmj13So97JyOU8OjlB71Biv1JUmu/zMcGibxRklvjsjZX+XIvFFSA5CQIe
Jo/F3N99h5ZLymzq4ZLJvZ9aoYYIdYza1ORmwDde521dRr5IUeHxMPm8KHQ6Ut4b6alRSKVZGoa0
OID5is4sM6itmhsFEIeyBvBoHS003zkLWjXyQxmcWXBtm/ti61swL/fqLmb2B64f4hcpSvd3/cQJ
Qwy3aMK2zdGbKuJb6C5ACS23rebEeWgaYAnKWmB7yR714vhqHiM0OC+BLW92x8D+01kzWidyZvle
XmTg5+P+mz06CKqroZE4CaTSDHLRmoIcWqlqCujDmrdJZ5V5aqdvY3YoisjsOqu1h/kp1mcyAIMs
30rywRiswUeGcBs1nhIEEGWz7hy/M43nzjinxc5X7T7904ZPTXkwwrcZACa5OyVOCIyxwC4QedW+
sh/kG745xqPrp4x1pquxJTotNUEzFFkCStB3aUHiWNdToDCfn3bPvGoW6Oi0zTvD+igxPmcxm5Q+
vQ76TC/pUdfn81LR9JI/Apt7QhekAeyRR5T2LO/eu9fMW/vXb20ipmKm7rbdAJ8Eq5ODG8wivF1/
k59O14/vQO8H2uxESdFk6juKBOtuc32Yzk9PyFnMAFAFrt/solVhxNgI2RP7JUY3Qb85lWa5+cBm
cdQid3fXv4LSDEB4x9aCJV3Py3D1DYU6/MxPRz4OwnQvF0dxNo2McC8xh2s3p7OskevEqMf6gxjF
8cTXc6kLQbovY/5eqgyit9VBHBqG/mHwpFL5oKzWC10uwJMP0MmZzDyZBuKnZoBe18Icgv/GlUrZ
qarn/AyjculexQhz2hxK4U7VGMJC6YHPkwOom66rWE8n87SL26kaP4Rzlu75GBvlm2ejC0gxvV+/
HhYR6nraBpjyKfCf95mETOhwL2RAxpMTc2Kly9YuSMW0ggH7oCl49N9ffAV2yj4t0v2QAbs+8Uad
KP37IChbjVOcMkPHaZYxhGKNOUQICr/k6fDH8vcXsYhQq9o492W612KepL5X6oET9bHVqAx9tibk
l4Qo4yepgziIWZPu9SY1E35bRG+8KjG4WSWiQluiOx1en075KoYyA4ZoISKGIQ7rvRU3RsBYMbBC
Q0Bfmqgs3WkSr1Byja77LuYbPttrcuzk1XYysHwInSH/WOgEUZDRCMcvpS26PFsPUTophpzt84G7
U4FVqDe6qSm/43FznZD83ZQuTwiENEVd+mBl2aCEzu/1LgcabLZvu3Fhp9JKBoXlZi8U+l8URIGH
QpV10aBrdLrf1vFQCtleaO6SoTSRfTfT6FAZgdMoz9e5WbscxNV/0VqO7rs4j5Oa9DGPy8lTwx5i
u5Wx9H3456K8pCZkecm0wE1dPuLizQRpKPR+KWX7RtXafS4VqcPVPb+Xm/4fgjv9dXawQqgTqFhl
TZeP45zPObFP833Eb9o2szrDi+qaIWtrh4Y4WFwsnQSULurQIl3RpTaP830Q3WEPAxGQHtQEyfzn
V6NgMB0npwJRnF46JAeZGsKw5XuLa9xXIfH+xc8jTkHbqMDLKp3J7Y2h7sqiyPd1aAvKQcs3cvEv
Xj7U8t8kqJffarE8JTE4GGZbnp/ydKt3H/+CC4Q+qiopqJzTrTJJzPF8iSrdPipnEwCRJJNVbE9g
CPCK0heQXAfkkQRQd1WnvJs4F+Dg9KDSCKo1RCh9iXeK8hv7c/7NnQPQHSsMUO1Ehf77S1HTutSa
QMj3U2Eb8nIpff5y/cTWtIvyRYIOBbS+qeQ0EfO9Edwr8kMjIYkeqYTn0Z/MlfZ1YmsHt5waKloQ
M/SIfOcnBXiQoNVGvh+j3IsBxIH3KBS5Fc69c53Smlq+pETpmE7gyjno1HwvkN+sFmAWF8vfX+iv
SAXATlhq+V6JbE4+NKHdZIexZpzVysWgRwIirKlLpVuiqMQCsBjCkkv3c/o8jZ0n5O7MR26WLk2U
jDLACkffaC3fcsERP6k6F3KgNWzlKbJagOPsU4ElzWtUYFsUNPMIqFkrFEe12HAF1+fZnm9zYPtw
AdbvVH9m5LEtjc9YsGqfkkvZzcWU/U2OYmqe4jABmDDIPTdhQ5rmvslqRw6wz6jeyNVZGd+UmkgI
xWJHD/byRsV47bA3pMCEGrH4yeVYJ7BiKb59EqU4sqCIs9jACYT9rsv383ATqu4/FnyQAH4JWv9h
xw3KhUO/goRlXmW2FydsVgruhfrhOoF1Hr4IUA5PkfbKEC4ENA2DDJKX17eD4fw3GpSeqLRamhqu
zvadfuqDh0EHDknGUOJ0c87iG3w7qYXRC6EXOrmPAVuJk1LUzhSFqD3pjaFbqjIG5lhU7Y1UBoWD
DvbQntOkICLHC04kt4nXjkYKGGdRQe2/T+6vM7+iur59F/VMAgB6aMlywLp+yqc3rn/9b79PvYuI
byfZD3C4ajrbhtLsujBhlKBWZQRdZVhFokpwf6j7m7kmUTseHtEI2PMTJ2zv/gULqMnA60aswivU
1fVjogVcgt8XgHguhtuxYb3U1Uu4oEBdQi9FueZPUb4vutrMUEfXWIHD6hnBm+f/CoNoL1iCeQpU
bs72XPwSjVs+f25yhi5YPvKHBrwgQTExSaOaTzVIdOiky1CsEB3+NOkNw/9dOyuUgSQUCnjVQL/i
94ck800fVx0ClKh74dvnRhoZBNaO6oLAJ07FxUud/G4Q+AjBnCGXG27oDpnKH+Ig+bguVSwylH/a
qEkQDyrIyD0w7tGHGHJMIATGWcni97OaBlnixlkEK0FHBP0s6m/XmVi7c0mQVBlRApZt0h5w3ncK
3y9nlQ+iiz2M7yp3LLVgJu3MGiVY5UVEBI+8hIqXTsU9Qi5rYYjtNfumfBx7lRQKC+5gsYe0AGOt
wd8UqBvhSsUYtRDM+HP1kWsJRiIGr6iasyY/jclh1kIWRRZP1P1gWfHcaeLCU5oQgNenHcvsLN/8
kyfJQKcBNmPoBvUouywWUPDSsn0fpL1VC+G7IdbWnKCJTlLN/0fatzXHbTNR/iJW8QqAr+RcNCNK
tmxLif3CshOLJHgDwDt//R4qu8kMxB2W/VUlT0qmCaDR3ejuczpHmtpkgMF4f9bmdDJjdritH2th
pWNTh6HVwcGc82UDLu5SNYl5Gl1WIqwUSF+m6Vn27plWL/PgHpU5bjXKr2/of/I0U53MAu8nAi/b
e88cpeF+wxWs6vvFerTtbOxuromB3z/Yr+6fXzd+fdUkYMORrQBdBNqVr3fL61rXQcaqjEbj4LEs
mMz7ot7SudUjWbITKKWbSJZrOuckeHDVNKmicuI/ZIHUcjLuSXNX2O5uK+P7xjLxTv0wgBekHpD4
rtPFyrtkaDNkRIaiR0MB4H9BPyXz3cymPrTQmh2auUc+sxZ9TeDW5wfeyCfB+deeGW2oxOyGfZIk
O8vn/l0et0DaSoERNX43br3hVjcfjRfIepElkNc2vyRCdbLN8c7qvaD5yc0OO/PraQ+QtaG70UWx
BK5Si8jHonapKitEEkkcWrMf1pA18pfbl25VSS+kaB7SbzuntF1IEcmuHY6Z+zirZ/bXbSHr2/XP
UkAiraehOBqYpwKv6Yi259Y/ZMPnlm+IuLWORYRmj03ChzxZdiuv9qM4V+6DEOFmSmJrIfp9QB7U
SFJIkd2PSTz36rFTx/9tr7RHjMfRRDwMy0LsJ9RyfOs8z/vfEIHBfw6YoG0Kxodr0+FWdc1Zqqoo
ZmjOnTzQqhqYA4T81+62oNVD8fHYYzgRFzH3taAkdiTmHuA5ObjqYI1ZUKVWQAjYQ8eNsH5RU912
LE93IDcI0l56bGHy1jatFraDgq7XAJH9sGPx38b018D4XVp+n2i8sbY173EpUbueBUOrrmjKKmKm
EeT+Syzr4Pbuba1Ju5qsF4MqDUgwhvFO9R+lMIOWnCUDQ6qK3Haf86+3Ja6Z+zdr41HMdUFm+vq8
MJvKrHIf93Q08X4JpjpEi1b1zY2/3JazphdIsiPDDjJK650COkM9UyGhgDO7E/xDcd/NhzzfELJ2
QMhK276JOV/A7mjbN5UlL7vZhWWjPx2O/k3+G9cICTBglODkCeZoXu9W01mEUwHnOKZV+ZUWUoWE
lmnEe9AY394wve32LSNAPNNZ0FAueGq0xVCnjTEfB1bBm/00qJ8akHgmPNubdiRMoJJAYau8nyWa
QW8LXjN4C1MD8ZF7B9Br+ftFTCZ5TUWTDrhXctoLnoZ+9hNA6F8W4qAgj8qbbSJY16N1mvJhtNMx
j6hXkM9KJKC4HZ3xLNo+3opxV+J2BLho813y1i5KPNcLEpnqhoRNeVRn8UGm2QcnHQ+93e5meRzp
Oa5HhBommu+dZ3sEubLfP5G+A6ct89Hwm1vok/czlKIxveX2JqzciasPW9T5YqfJ0Ldm7vd5hBH1
X1MfE0wBFyQZv+N0w1bqTeOLMl2J0g61nSqael2XR3k3HSozkOk5m5875geO88Fy7mIRkRHY/Ww/
5hzuJ9v9zlLR00yAlLFxe66XWnu9WcTIlMBXN8GUvNpoPa69k138eVvOivJinf/J0S4o6oWT3xAv
j8CeE39oh7I8edn0pemrduN+rkoC3NayTdxQqo+5Zd5seIOY88hJqp3nfUtTTBAcyeH2enSgwT8H
dyFGswK9JHEhbDuPCGCI1M9CZBuCuYoPs9X/yHsXNkDu81Y99AmwvfVwoH57dO1RBKU571nSheaw
hSRcXTquLsy4v5SetG9ShMySDrhQGWis7BMgJQHfKP2uuCWYPELQkw9kJOKWa32ZC6OeUOnGnTVZ
dqcqtSu88Zko+VSa3cvIxq3uwVWBGFSH4Gip1PnaXRzjQaZ4ueVRYvyR1t7OnIP6a5cPu3x8vX2k
q+boQpJ2FR0PsTGRkDRNX2zri8HROA4sBWFI9k8HgBFui1vLLDtI7OFfJEUorO71VvLc56nkRh4N
3JxDU5Z874kBLXaOmYTtCOrGUeZAdAF5G+RdgSbvPpF3rqgsTBLNf8SiHXepAuTw9netKhGQryiN
Oq6H6VXXn8UGe+w9E5/VVGfUmQM5q8DuPv9vQvS9nroutUB1GIEcBUDEaLA2nOWKCXcR6FIUxhAT
eJ4W7lZo6hPcougOnpS/c6enbsmkJeIJbHnT/vZilh3RAl7IcmHJ0eCBAFuzoVUM8aOAbfMq55tS
7V3aNR9vi9D7FBdzAxkUwSCiKDhN7Z3A6743aYUNa2d5qhg4PXs8ukngN4DD2ej1kS81kNJlHUhS
fLUHHibjuKMoQAwAnlYTylbt1jetaMrVN9nXmiJtD4U6xvLIz50/52y+K9A04ZZZiD70YfxcYuxy
ZfW7vn1UqoEym9+5XX9zYStzN9sIJlbMxNW3aHapjTnmPSfog0M7oXsifUEDM5/EmXYCEKzZwGyA
ch6Ot09l9eCBnkE2Bgb3HV1LlaViaAccivR4E4q0wevDMufTbSmr23whRdtmM8H4mS7xEZKlR59/
IGA6jV9ui1iLaV20pvy7Em37hqwBJ67A9pWYzIWYykbsZapXlrzGYCZTE4bGUufOkFuUXKvX1GYL
NASkNyAYuFahvLNV1aELK3LNIynPaf+9fTabDVuwZmmxuv+kaJdH1KmcZ3cuIiPzgNyyx3ZfFJix
okRrFbust+Z7Snz1Bx+4OoluNB6R3QLUxpBJaBmgHmK8wUxUHscb4d+6Av33YdrRFk2dVkPNi6jZ
9x+NDX+2rjf//bh2pqRrphhGEG2bZhU0ntxN48+MPt3WnK0D1LzF4OZOoxgUp0sAWE1o0E2vTQpq
fbYFeNmStCz3Iig3q9ZfuCzR6TAeEvthvuvnO+X8+vPnSlOWj7gQ0jb50PEE+jh2Z7nQR8YnBuqO
23u2aqvwgHMw0w+lSR17m3cSue6lZ7flmO7THWAuefPDBwNL/f22pFX9+k+S3q5ll+2Mw4cvt+hw
nrtPPCO/Y5wuJGhXiyTI2082jNOuMh+t/mNNnm8vYYlZ3znXCwHaFUnKnvOWY7OswYN1PZcyDUr6
kZtflsAkARh02npBrJ+PZxLq2egK1TPtpLZink7ob537sjnOTZw8NWV8TNCsX8JYIYrv+MYqV++q
h1cwSiBvmMVrvathBqEQeE1I92vu3zeEB56x1YGoQ8b+CSIupGh7ORM2jeVI4EmGNHLHsOa7AQQu
owu4qQ16oNltAkz+/dwhAB2YwliMvAEKFW+WHnlcvwS1hQf2Zg/TkdS4c9CS1Xq7qouRa+k+U6va
yrqtROQodSzle0xKIZ6eHO3HfukGwvdmIg1IM+2G9C/HORfmn+0DoVtP4dUzIAvc2EEuAhRs12eQ
tRxL6ZZ4nKkHE27p2HZ2KN3B3+ij2hK0/P3CyPR0NNuyRtyE1oHQo0+0xUsjmYLbF2f17l8sRzNl
mI1u9AXBcnLzDq303Ubso4P6/1EmHAoe2gylV1tbhdGg84wrrEJWZwuMJ1Z1yqsubEuUYL5UGdkl
7f4z3USTrS/Ld9E2giZa1NuuN68uStEg7swj235yafJAe3/DKa9qHZJs/0+ClqooKB2BRYAP6Pw6
GB0a2Jn5LUvuDSExMjSNRncrkF6M5DsbdyFRe7dPVZyJaYGmFKlxJ0gKZFy/p12FyB6Ev6l/R4YT
t8zdnBZ/NHIrA3x7R713FSHMUzFzivUqUp3stryr5YZXXXXd/67P0wtCijcI/UasTw5O0M3JR5a5
H1qXBC7fwiZsLUYzcV3ajX6+bGWGes3D1rN169e1kKozWhBnjNgqeR6Pd7fv6/qFApyCYJoHQBX6
LvWZUQ9zjk+vZRcq3h/7muzSaT5Vs/VnVjtDiELqZ+V3n1OVRmm31dW/ujgfrTmAY/mE6nltNhjU
sBZgTIPBB4ENuMqnSqrxx+1lrjVcIn+N7ggw4iFH94a8vbB+vp2WTsGrIkLmM5xRLR9Lazd7eDUm
dliLe7TQtROIJc8AHmbtvM978xAX6V2bY5QoTQ6TJU+KW4dRZtGQkt+ImC6/TrOaoq1Kno34OrMp
gqRhgchfbm/AWkCD17zpu77FEOhpBszpqJMLCSxQWZwS1ex5Jg/9MAGsjegA7/n+rnL57rbMtYjm
UqZm0nLCqtqgy54n33nvhknehaX4EmM78+b1tqxVPbYWRLiJuibchHZJerdQnFoIn6jzUqKBsJT+
qU7Grzm4nuaKPLhgtVHJfky9b1mOyYEb4tf39z/xi5pf6BereVqyZCoi4MhA5ZEfUboHXE0ee2k+
tO2nxEh3I0HjrrqXqBBVQ4pZJUge7Lp0l3bqgCbOg4/Ya47n0K22BmGs+X5rAWYwtjSW6kUcK22H
tPSwOdZ0qLPH8kvebEQXq295y4EQrI6hU0R/U+fEUbWP126NmY9FDI6t5pPl1WGZmJ8aZoUqjves
AQC739r65WR1P3YpWXsMWAU43XvbhPEd5iBrMEZneKzan6P4KcefjgMKlwodZvLeQFhpxe6+2TIu
/5+1L7OIKHAQqHVfH75pJ6zuqYLvNkVI5VPNQLNimGE/zeFso2fdL89Je6+yfsN6r94wZIBckPei
z03Pi7elN/R9MmDTYzsqPeBiGifsahVQ1hxltgViXFWjC3GakqOBo1BZOiJiSD7lgzwa6ZO/iSvZ
WpMW4c2ZIlbtdkibOCqQ0sdAgO9WeS59cbLycn/73q4KAwYLkELknV2iWQ1WDxIoOeiOrfwwG/bK
w/AN85tAIm/ONnzQlixt9+peskot+aCs2vMG77nmx2QEHV4/xJVbw9TXgh/rYmHaLop8hE9ZhKUl
ZsPQM7PsA9p9wwJ34fYWrlveC1Ga83Ky3kxMw0ZigfwoVX2f2/exZ+wTXocT/YHQtefolZeREP1G
hLeqjy4DazW6PO13ANfZIIr4FYyuxdKwHV5VJsNBbAhZtex4ndkoS4PgQe+JBA1cbbUddtJK2ZEl
54aXu7yHMY8Pbf8FqcSgtba4E1dP70LmokoX3oSiu4zkA2T66lTa3yoXKGunPDKPfrp9eKuCsHXo
KaCohb9ZtgtBAL2xqm8lXHQxTsd6Ah9kiy7MXWMmftB29cabY/XAGHKi/5SfmXbd0jZRsh3gh4qk
DCz7uc9UQLaSg2+x3DuHgOZVxLQuYtp3yDST93UrYBUHMF+1rOlOMUU51hNWWHYsaEjxrLhZB/Nf
vCmOAu0UvXVIy/xuBqf4xLZKW6t77MM12oB+Y4+1w1StWXSdDy1V3aNsMH6V1V3guvPe4QgCbp/n
2gbbFvA1YEYEPZQO+U68uO5i20UUhI5TiOr7537zxi+GSt/fSyHaglzbbJts9ID+T8VOVecSPV23
l7FmKi8laJEj6E0Gu00JTrAuQrv72+qPJHWCFnVeG+C/28LWzsfGPBKQUqDuiFba68s2+XhpJwjf
0HxSh7LiZzFOpyZ9dDrchtuiVo9nGYq78Nk5eI1cixJoIUEQwIooJzxUoE9p0F21BQHcEqJdspK2
U5kSbJ7nP1d9E2TZviiL/3ElmjNzY2ugmUPBa9GfmWGFpHow1NbNWVW0i+3STqbKAQYSCttlDiG7
k1t0rYsWvdNjNLqDYdBF3OZpa5g7zj1/BrKwJ/IL0quhmnPMcHLPo20em1r8laT+xratKjZ6tU0P
T20THXbXCgDOVCN38BaNskxGHkFrjXPKBCqH6HRGkvO2tq1uH0H7MGhmgHTyNEUQjhvLps0Bzjdb
+GIw7x0Zd0R4W8qquhF0SgAMCryTrtN96VSpMZbADeYg1+W2dEOXdBb88VAdb4tavamEAZ8OZwW0
tpaxGg3ue8oERNEf3INwX1SaHEZwHVL+eFvQ+pr+FaTX8Vt0rNK4BsxNdH6g+nHvD895RzbOZ2M5
OtuEbBu8mWZZRh6Ng6FkPxT7mBaYWkSS/e31rGkCaNLQYof8Ihg1tQdKPtVF45KkjMDKj44r4nb5
X0AmbCncmnZjgAioIMDXAmiMJqboHbfrCLzPMPX3kwEXKxLxM+2sT65CZbyMP99e1toGwmI7/gJ1
R5expuBsKJNEmkDRSqXCiv3kNrInRnOohqfbglZruZeSNFMBys9kHsymjDiIdkJ7StEx7TfeU+My
ckhMlodiUu3JTfIeOAz/Z0fiJOwc0wD3jh9xQ5KwKZ3kN+7D5Vdp1sTIeNaPI+6DcF4o+9syQfV5
TsstJry128A8BBOIsAHNcLXF20NVpmhOhB3JxZ6058WbDO0Wp9CaNQZFBfp00ee19HBfm0ZSMOaM
NgCBdt0kIF/dJV39jbby3NjGnnfISWfWxrVY0x/cCaAFPIZWKJ2sU3lJW6GOWAJIOTtB2n/EwGPw
qxYmuFW3zOSWLPt6eWgoaxnmGS9RBv2zyvZdwXcJEgJxPO9uK+vaLUSaD6h8NOzYYMi+loTIqQY3
qFdGjj1G3LMiTNDcW017xAzggyjyjR6YtfcReskYencxcQRdgNfiXEu5omzRBA2u3jIgHXlsxj+d
zr9PvXsHLUD4v87+SDYstE6491YIQh+bTYB/oqAd0e4+JoyQ0UgBs/VSZJXS9inOmg8VkgQlc46O
h4ztXIVlzR9MOdyTOQ6yofkN8+OD0RWMwYAA+bq5syeeTTYFDtef5HmQ9I+SO6HI+zsqt6pDq9qD
zDWalnG0aPm63mToZF5bHtAN1TyBe3V4pGgO7CfvgW3G3iuiUI0BXxAmexA867XzrNqK+D5GBEas
emEKk7C6cScrin6B59t6uioIL0EEQqD4Aortek22JbxKUpygtB485n2sytdqOhuE/vqj0zOBNACR
iGUhz6F5Ja9hOdJiQFG4hnlK0NZYms3xdyDTV1K0WyfdMW1YD+SEQNqK06fMSwJe/0bIeiVFsyLO
3KYiXVAAfW986NGTSYzPtoHBPkgpt9kupltjJtbuGSQutD7+mw/QTgkk+4OXiQXBQwnG6ZAi9PMn
4r1MBB5d7GtVB3XSB9L8IwHNHAA6p9tasuJ8wMaNsGVhmcF91zS/9iujH2oT99wdA1G+4qHxO+Q/
VzK052ZDUBmxO8goXRGgNO4wN/DK77+xENT4MS2Hwufo/R1ZUaAWKUBmw+1XWiEVoZ64v9VssXan
bBMEJgylcZTItd3qZmn2si7qaM7c+thNRARx6fwUpvwARi214WlWpYHHFSwHqCBC3PUN7rg7en7O
gA1J5pOyMSFHys+YibSrqq1pgytODaN5FlOL7hggRDXFNz2QNmZuUkep/6ziYC5PnNzT4c7Z4o5e
0zcbfgzZGqSQfB2KIk1bCBIbVURkva/i9oz88EPeO59+XRsuxWjmYuTER0E2r6NmxkvpSMvAHzbw
JMvN1J63gFH/txJty2zWjJXn8Doa+iKw+tcOwzJ+ZxFgL2PolMELcNGPi+xh16RmTTssgsgXCCD+
s9m/3haxEl0sWPB/RWgKTceWzRmQsJEFAHKQTb0K/HZGe8I+z8CxPbo7Q4p7oyQvt+WuRfzI+QIj
ZKG04iE1dL02USE4bKkHko1aOUdflOIoMqcLshjjzEqTwfQi0DqOo+29DA4FBFnQMK+4s2ecuieU
Pnloigmklbc/bO3OAYpN0fUNpCOazbXvUkM6+MjaRracjp5P8RiZD5PzUM9bebG17m8QbIMDbwnr
4KKXq3JxvKPVN3gQ4CpY3DtNTB7m/ORItqeDH7I2NFFKHTL/Dkw/YfLRb71DTIfdVGcfBzaGtvpM
3K1mqTWVBjEBBgdg+cikardGTWCPSLK6jirpyYApNwlTN+7D21u8ZgIupWgXRw2DXfcOdG4cGwX7
qbzQTsEEyeJJHG6LWnWv8K8AETqgxUWm5nqPnbq2M2uuaiSDXqm0wgFtZiJbipSDCQaje2Hdjfb9
VKHR26cnIsffMOHozWML5RmAJm+Q/IszFknJSVmpGqXLM8ZKlN8aIYKNO7y2n3jXUTxFHB8hpXZq
04CRIW0ncWqNscuK46ziXTpuPEO2hGiH5o0lqCMoFlKjvQ3xFwMvtr1FrrcqBMkGuCLQduINcn1a
vhk3TkFHCEmfkBMIpXqo+uE3jgT9MGgCRbUJ+6VZHn8o5xohjwAgv6kDWjyInv+0PSASi98JF9Ah
tUxbRW8ACgbX62k4aOjaVoqIq+bIK+PHZP9lldk9Lu9tPV9x3/AQroNrhSoa1efbTtzMwLvU1mDJ
aePAF8bBaJMzo3ha8GHnlX/cFrdyTlfiFjtyodW0jUvkwZo6Yt0UxPV3K0edqZa/bieAyH0rNDEE
dm8z7y6kxGMpzTQ2odfoCa7a5pjcZV6+4cXXsJqEAcO4nI8LxOSy1kspZgqNHoWIGoMdB9/9mCbP
osseQDh/mBuxq+vvaKUNK66CJi6PaB4J86LduF0rhhflNLDIvrGIosHj+iMApKiKrGtExGpxqpU6
V1vUuysaAoAfcuJo7VyskXa1ULXoio4XIlILWX/8mLrHBDPEnDIN4nHLta0sB8lqhBWokzmU6QAQ
SpKK0WISSI1YzryD9stvXpriyXZbD9cWhao6xhcBn4WmM80oDW4Xz/Nkw174bXEopV2dyFDxQ1+5
VhAL4PzYnLobarmyOMTiqDBhdSDO1ocslKj7DT1I2iKvEPt87jCSlNu/AX3H1rk4qgUeCdKea4Vo
LeYZ/ugLIDB8dmyFkZ+z1DfObj02GzdgZROXUyL2AqahGB9xLapSZoekLuolGf6Dw+j1ztmVXRaQ
mTiHqsr8gNats5E0WNtECEQWjaI4BD7Va6Fj63dGGVcyKmL13UiXFnU/Pt7WjhUrBZQgAO/I1AH5
qNMhZrFnqjF1ZZQ2DwzUG8oXYK7YYsJak4IcGXtrsER/lnZ1cy/mVU25ihyw59L5GSVhZex/fSWX
MrTLy5PRbhyeq6ionfAogf+z8o02jLUDQecAXrWIlnyiZ8DafrIbNmQKXpHfsVn9LPnvgLhBPQVM
GNrkcCb6I9NpLU91jlBAMpNjQjFyTyb7rovvbu/WojvXDzMswlyy3C6eFiA0vtatqlbNDCZPPNJJ
Ein3G7FUoMoWA4S3CDe3JOm3lIsC3j2tAb34TPnXMgbGjnzIja+3F/T+bLAg2AEcDR5r786m4ZS0
k9PDu/+wpqDdepJv/byWZhDgdUo6REQRprPtPLqrcrL73xaghVyuJFmSdljAsG/C7nT7x99fQDxV
wHeP8ApOB2y518eNhoWpFQSfr+Ij9TEOu31h6YaNXJWBXC2yBg4US+/iNmWFxHBCcQLqiWUvoC42
7efby1g7BdiQf0VovsyzVZPIkUBr2RRU/QsI6G4LeK+sYKGCwV2uBRymfi3cykynAgNro7wZVZAS
s4uUJVCVF4KHozHMG37yLaS4vofXArXbIcYBsCRQ0USqD9l0FGLXPPdyr5KDcc6qB6vfUIStBWp6
nFSVO5qoV0akjp2QuTI+jaXxtTLRmOqoUm1YzEVp3y8PLBDAcFOE+MuBXgSOZWykVefMWJ7hDLuq
BdTKRRxgDWpv939Lp92NVm0E8TRs2Lf3DnvZ12UwF8IrD/Dxa8F9PGcUw2aQs+mPpTiUVbLDTIC4
ScMsf7qtM2trXOoHC6c6AFQ62zmgY7yrbARYPlVRCfY7islLmN3AyoMd86BmNCBbQd37iwB0ISiF
4CXgtAnV9rXOawdBjtlEjvOzXSi2N1qpV7bv6ve17atsTofcwe8PY4bEw2Mc8ORDnQU529i8FX2E
o8O2IQJBr5hOBbFQdPrObDcI6v8eikfoggdMXrmZSFpd0CIG5NqIc/TZJ2XZYCb9GDdRSrw7QcGL
8qUz6nCW/bnwNuqCy+ZoSg8XDkEIFPBW0jsdMK+3nG0za+Fbs6AGrY2b4jXx9bbWrQrBHJIl77lw
vWghlaqNOWEuhCTYr5q/9N2haF5uy1jRbMYuZGghlWGBU6pLihaEMmbICn7GvNFwxJiIKTP3qfjp
DHkwtna28WJZVW5GEfIi1sLN0pRP9W5MpqlswT7yqaqehmErZ7yqdHjNYsg9qhTgrbw2DgWrAaar
mzYy5cdijJGjGXewSKNt729v4MpKUB/GgC1QtCKH+24llTSdaRi7KAOFw94ZZH9q2szfciKL99YU
Dn01eLOi8o0OKN1rtUabxn7ndtFUzWHhFy91yh56yzoMeRuQcvg0deUnd67OXnYk+dliL6T/dnul
71UFbVdo71nYaPHu0w09/CMqm8TpwZ0SV/sUnQUHbtjICttDHCg7L/ZpgtI8RpucvHEqT7elvz9Q
SEfi0MNQC+SS9NvdCoSFrWR9BMBd2PtzUGDiHgO2l2w8yd6bkWtBmt21elbFSUz7KOd3VXEYxGEA
tCd5MMjWmS739/pMUWmH40K1EVzFCNKvdbTJYsUa0mMu9cBlDhLvQp5Np2L7CsS5YTaDwdL3yzhE
97kKxJhYB8Ns6uPtfX1vZPARQNPgwYvXCOqG1x+RWSXhLTQ4Kud4NyZgkMBAXkO5Gxd+5fiQl0V3
Dy4KioZ6AnqM42ryBtAxsmHPPzbJApWMUlFtiHmvo8vbHQSgmBqBx4+3fMZFMNKgdlLQXIFV0JPm
vXC6+SE1gHVy+uJ7S8HKTSazuXOL6TMa0Z2NgOQtE3d9oKBpBToHFHNoCsfYvWvpYu5nNtbUijwQ
F00uhmHNmED8UPw98F1+78+fJpsHJsZDdgcvP7ef8EPHKf7Sv1bu5zw+mSQLtzjY3u87W2DMYFkE
LhGZ/2XDLjaktCsPiOLUjrKxEftJmYo++RXvZeilXg1gnkBFZ8MkrgCVQK4HIp8FMIGj1svDfWcX
fVvMGGdE+8AB9Kz0O8AbWQBS08CV/q4u6H6a+V6RXzfHKNpiZgigh0iEAaV3vd7E4kXdFJYVOaWB
KXg58aIma+WX25dmZVfRDIROLjwfwG2q54pkoXr0vyfY1SqzTmZPlBHUgOMFnYOH9gAqgg2j9P6W
wochHkQT2cI9qufBJJ9HRsVkR0BX2qDsI+DS+lEoT5UPfKwztqHJK28WVL/8N74wVPjflf9qhboG
rxsrMsmulKFLMc0tEM4O9PkY8OY/loDhjL9s4a9laqGIyWNPDay23sgwxPCx29UexoZvUU2vmAiw
xEIr0YsHlhKmPTBziUcFMn1WREu3V+HstVYZFrWq8G4pclmH6NfF3BAm2nmXpDMgaKUB6sbbCvTe
ySD2tt5y+uCAeMfrjMFlzBiNHh9hWPYROSa2G8F5drC4oidvzg5D52Yb13JN5hKDg5QN+RNU466v
Bojy5xH0elY0TiyaSPowoQIY1I6vMOrDjBKfbyxybafRrYGCH0X7HCjurgUWhtO4LbgMo6oa/kpT
gBXBNmmXaLEE7eRdxfPQqJtA5mpDe1cuC7wArj+8K9pg9H5dS6W2ykbYPHQJGns2Du332i79sOVN
P2048RVLAAIPOHHgf9Ajq7Oj+2WJQBPTDMDxlHxqe8DYc7nvCLiIEJvc1pn3kSa8GuqnSLsAR/CO
NDcfDKF6EMJhEoCbfpdE9QfbUObG5q1LQaIYTZ2493pfXuJl9WzBAkXoq86CchLdXS6GrU7xtSPC
6x0/BLVAYXDZ1gu3NAxtPRSUOxEryjkyne7VTZM2lOik3LAq65IWqDBab1Ea0X0yblrO88KJ4sL7
MQ7e58lrH40+/nn7cFbFwOsj+ECIDs606wWhHI3yaVE6aLSxQeAzJv5xyZbcCWnOG0m4xYVpUQbW
QuBeEYbDsS9PhYu9m1PTM5qE2OCEL85ojAod+YdUZlj2Hx3DOOKfX14aKnKwGhZQSximqy1NUmqn
HRrxo278Ws1F4APcZm/RxrxXO1ShoXHowETukjJNiOkWmQeCcAISZRcQdTF95WTMNwzSqhB0XKHQ
sowyYJpBqjMFfR4TCHGbztxJWaPsNzDBst8RBHJwXHIP1SQdEuN3uagrT5KFXFOGdlUi7knmqv37
V08Gx496KUadwKwD93etCeasXI4hnwQDUZvS3Dc+7eVdPyEECrpKWvzTr4uD3pmoxaEygof1tbiu
jRU43VIaFVR1QU/7z27K7sivU3Wg7+af4GNBizqamLmTA0ioMxqlhowWKSBh++X0jY9eT2TWMK0H
TQk6vY9flKQujIRGfZs949ESo8pH/5YF20LivXcPiyCw1r4lKWG0r7fM5Sj/xiynKCp+a3LjS40R
R6V7yKytBMGaIA/1bHgGF9Om9AmpaujMWKSgcCa1HyYDGHoTwNpNMDtvHc9tSe9GfQ5o0TQ7E8cD
2qy93X5zmNgNHdgw2ZZvfR+wIFD5d00YAHm9eWkrfTxIIcmJH6xaPYKLSRjNo5VIPFI3sqHrq4JR
wKg90HXrb/FB4hrPEvtn8ywNq8ROD0pkH+uyru4r1mxc3BVDhOYy9FmgyxRtPvrKOhC3d6U5IGpI
UZkPDCt5oeh0/uv2fV2VslTKEGciAtNR11lue3FlSxvMRFzIoHJsdbQQ/P28LWYxzdf+CDTxb23b
2D7ElpqOS2G1iShBEN/SothxH7CdwjCdUBJr3N8WtboiQEBAvQIcCHrtrzWizmyrGpoWkZ2b9SE4
gnvwf1C2UdFYl7IMf4Z5gAFf/n7hYEG7OzOW9qC64KX/CQhLfiBVyna31/JOu8HcC6MNABs1kUDU
OyyNAUR8CUiPoq5MAhW7nzAwbtc4cOfU/ezUzcbW6Q0+qCIgYMBisH1Lxld3Fl7Tsdrn8fDl3gQb
UdA9pgdE4we0Nu7V03h8vb26tzmmF1rxTpxmxcElZVZEQtwQ1gEZgwdSBKUK1d4JrRcz2ttfH1Vo
fFRBGNFw/5wdXoegPOS78xYLqz7u592XaPFSjYm+3jCB4vqB0d039jN/8g/ICH+i4j58fm2/T1GY
BluN5JtSNSXyi67tSwGpu+TToQyaOy+YQnuPV1D/Gjg8xCu+OqYPW/kenQbx3WqX23qhvH3hKWky
7Pv07KRBa5zI2ViKOuGIyfPmn/XHUYbZ1/alfZVTEqJ6kR38L7P7B38E5qICNdeP24qgPQLffY9m
HeCS0rxpsA9l4FTB0TxgEkcowg3z/YbiuaVuWpjf+CZpegUx/S6fw+pkghw5SB5fePC93wefu8D7
ABqq5JMdjqc5oCH9lh3LB/vPR/Nw/Op/R2fEMQ7CsH81D8Pu8at5cMInb+PG63mx/7sXoHqEkcRE
TR1MFhdlnoMKc/ySB/0uDdMw2feh/D+kXdlu47qy/SIDsiVZ0itJDZ7jIYmTF6HT6ciaZ1ny198l
n312bEbbxNkXeWmgAZeKrCrWuGrmURFWvpASJ32+e47TrAOli8XaQ8AiEj5VNLQEx87niX5wxEmb
prS67wJT7FAX5L2ZZQuFlD6Zh8wRpW2ELHGChG2odaZGYGm6Ctf1ul5d1oadlSSyRbrLo7j94IoT
pmI6jYH+CK4yNlJNV5NIg9mjdjIbayT52rcnJ8lJNo9jig6CXAcq+Qz4RMXcCywttR7rD59U/utj
MLLav+SodHMfYyTY9T3RINnZcqVjozcB4NWJhKsnrSOp9aU79GKWs2BRrM6OSGB70/hTq75p96Ho
jTGZXhD3KTkOoi2Y/qutF8VToaAdmVbm9JBuVas6Wcqk+Vdk+1EwNLtK8JA4lluAfDVlqJ8PYeiU
HiBE98Fn7GHeMjaTJiYShjF/yxFFzD0TjWBzwfV/TvuGNMexniV+oXT9s2WsRzWwsUnbMUNddBkb
i4DrhmlhMYmG/kYJC8HvT1f14Im2DW62sur5hWG1Tj6L2edj+RER4ZxoxXCrtivA0GTu2sYiIm/j
l1h0YVwl669T++aEe+zDOk2nl976Ts4HvG1tSKuN0tlVPO+6pZY+66LmiF7Zfwgmisf/PTruTb8Y
BRbz1eAqN7NPeT6msshdErGk3F9OdTEmRVSBgkpYvsOaZ9jQ1mxtUU6ChxH6cXacCXUzZEkjGYR0
W50Q3+wSbFSmbxMyD2pWv56Jbur0sUzwU0d/0TTwAo2xdAHLBe+ZixF0hYkLmmeq1dT9wma201to
PkW/kmwRs8jcPybYK+zP6/qmx11Xd5JCtzmBXqV+TrXzc/aOKnbzbFS5gNCwl4t5uv9yxl3bCS0B
YdKc2sPxw2tJSp8U9hY5Z6d0WkFJRsQTd29G4gcnPTDg4KmvfkrcnUtLQSAy/ObdcMO/eZKSKlXv
MEhf4fOpIgkBkuPCYyOBkRh+x28IcRY3DjBWeelwbP7XEUbWmmHJXMcmZPGvLAVKS6jW94LHz/J1
kpS6CZZf4WkN156z0ehrfAiI81jehh/NGzIcP43sKRUwNOCXqBhapmpkoUBnTw+v4Wdlxkfsspgu
l2efNPZo/gVkrnzhClJMg37vzRdwD0lzKSZeoeILAoQ/tCWlNbZ18ssTHWhvv3+o1g0dLiQOAi+r
9DzrD/REA8t90pkye4u2Z2csEHgBR/xzNUYeXXZLUEpNb32iO9cJZ5hbE9gmERXuvbqkURDUBajI
+9NhSgOWM8m6fH09FpBhC/h9bLwFxEBNgDVaIOP+kTdIl9rxH8PUmWuNtpGZreZnIiDYm7gH98Rj
0qVA9vamMQg2lkY26apyPFuerztizBbj2WNiojPkjKAUSudx7YEW1tP+OkH4VHOpHEX1KBEVzgCq
PqrVgC9qD5PVqCYG8Yi011Y6SQUi3v8Of3IYC9WR6UY7JJZK4P9vnNDzuCplpQu7QyU1shlKbsEa
30/tJjuLcLMGo3bUapB2RCYQKaae5xtaiXppIukUtweNeIvmKdsYGQuYQjR7bKYuQZ7YOpGF7tLT
+78KcG5oy71HckMbNRE0CUWgbUWb08Y9PTVm/SoZTDfd1HwsIIPif0uL0zJ12mEpTgZadbpQLu9Y
xxX5rKtnkam7LJSepiUK77OSTaB9iv3/JM55H5WrJZFRRjAkX+5qwab0bHsIyXv/qrIBgrUV0Bty
Fm+Z5b0PKYgaJQa9Ag1O5tE3R1SaqdtkEaG3ynzz6Ffq0lTwBA36dX37C/CMgHmAGOr+OnPd9TFo
1j9Bu5UFwHaF7qYEWcsJ2++/RgIdGfQUbqlxnoIvxyGwd0AtYt06CymmBJHQmF86kUsyZMduCXEv
a5F6QTidJu2BYaINLd5kQhznyzWna1EYzg8tX73UW1Kc4mdSUIz9EjwdAf1AwrXyS46ZThpTJCAi
njitD6f+CVYGhBYWAKVftYU/q94d5tKaiFzvIaN5w5PCKXnieeMu60DKe0EZo1yOGBOem4gGp9xd
eYr8CL12h5czPS7C9bvMrBNDocuMM0L3SIa9PNawa+74h4n+lnWF02i0KU+juoE5WWxKGpofHzmZ
rax3+WQeFBZ0Zr2k0mLvMYe2K+okSK3NPgP6+CNECsd3iLqAVpXdcX+Lq8wKPerNMNBJHcezPp0m
EVHrD/ERy9wbW+SFXNQXsNzRo0aizZRNyZgGRGMiOGzRdXKGRHWjSspzUAoJ89cK82Y6+ZQF/skV
ROUHP8AVB3o7nlhF4gyIfs4iLBYeQ6+VX9Ummpj1W/MxJZMlAtCdTKamw/blZk/PCySfrI6cCc5V
lE4cfOpvPoIzLlVbjFPthI94YatieXoaW1b9KyfNbPeKZJsnwnkYjBZRGvubac7ChGlTlFoAehl7
OTYsp/nvNaVbEV/9z/w4W1TogcAAHDigIN8/BXHXlXIWqzhbOBbmeXYiVBM9AINHd0ODO7osBEpY
inWlBxb/ijWzcQxzypbj53lNFiuAhIjC38GMO+DY/maKOzujMgpg5YCg9P6ONTLz0LM8stvtLiSn
3jy2N7PDieUey+b5/svZph9b52TSZ2q2X43p0WeH7rewfSJB7vl8dNacLY9CHTsiAZN1OE7tdtHN
BEamt2QPfv76Dt84aRG2tGpxhp8HILdnK/v53Nlut4LLHNT476O9Rus3ROJGG+eFDiLX3ktWRKhM
UMGj19snnhEUHdGYgF1tqHVy5yQVY7lG0g6if9rJ4Zhl4URgInup/kEBIFTow0bJccpLvZeGmRIA
L+OQnAMrq89Uzc/UmzpJIXrxrq7xD1KAkgO28gQbCniIvGaS1+UURb7D6kOe2gDNrEj8ZxfTk2WY
ypNtU3MvvX4V7+FvWtiB+XVenMmlMT8F93ZtJnv0HdzLW1enps6btjsc2QrLSskG4+oETZb4FOxp
IDYtyB7r7vH3Fa3OpG3MheBaxz9PfSoD8llDvxvQ7rDDHbdyIzvnYHrCcE11PoxOBPsG5s0yNpWA
ZAt/WZkG3OvKnjjdv/Br7sn24nZD1kU34uWsgqxKXFyAPlvqJDJFT+G19H5/wCADzYDRRpIeLVz3
ZMbnspDdujsfprYqEXfuJaZBkv2FoRxgEOMjeMpDptBsmRgME3nVL+93gup6ia7zVfMStCJv+Kc5
uP8eTotG1QWw65cAoUxoqA1LNayDGdfq+SuTMoC8lWOguJBinOcHo2v0tXSWNZ9I5xoDVa6Sagk5
K3EiMoHXktDPU8J8LgpG6E/nB8xjLZi46DhALp6kABQg4byQiLyebEq2/kroc7PaB6v09bFp/PnI
9UfxTZQTPEmWm6mrjVEDsPPn0nI3e7hCzmMaPw0jcGHRUIWBQaUPDzjv2Zhgj9M013op68zQPDHV
9ihSKAI9HkiH3tPh9DiKK7/MM9DByjfLf7lYxet4Hc8yUlFRYug6K8Bf1i1PnO88DjstMFLQOs+T
5QEDVJscHRMaO4WmPDvCfMwXHlFJROuFTis2nU8wnGemu5ntnVjw62Iq1oWa/tIwA5dp2/OyIyrT
WECaFRPmKH6+GvcHw11y3YaYnYF8Q7KiWW6uDjrTzMlsSuaZ7VLBNQxJ1O3JcDalkC5qBOSw/raP
0PDVr4QKGRpS4FsanHPtBvXFGCk4/f6e+7F8z6wcjY5Wo3lG//fc5v3pcX5grnX5CTiX/9HLTbVw
LdNjohVJQw/ALUecI+jm0xStmyCSr8Y2OgtEXQzDOogGIuDWoXuJ752MPGyF7mLU+iCp3h/z11e5
ePk3Wv5NgTumumxHXYhJfCThOjNgmaOTmHlMaCZ7Yf2ped90uJPq6qlWjPpWGdXaHCN6TImlvzUv
sSV0znt78YgS92x57kkt2ujK0ca3AxbThCAMPjvCIHhYQb954h6kUpIC2chBCbvXDjmBM34myn5K
0HIT2B7LFyLcl4HMUy/Uf1Pk05ZdHmdqYOAUX8ptTv9c6DreeIw+FomBXNA9Fc4iByclbIwpKmEq
uVgfJya9ucsxRduYxkLBQybkiLPIPpr9JLe/rZjUpoWK7Od6xGrn350com080D3iKI/YMZVGXqlO
rm0m794W73NGdDJC+pWIusIGciM4vhtSnCk9J62Wh+MrKWQrrJSeXl0WWKO1N6OJHZc0F7zUw0/o
DUXOsJZTb+JlCSqKwaxlH+GqnV/QZudZW5HzP2iPbghx1kJzy6RUQmR3c/PYaoSELKLy7LH49Zbg
h/7e0OAtxagp/MAIW9TLjxG0KZoLjkvEBGcgVOxI1twMWdVFNMPybxLOUBnSzcdcyP2vPGKDMw7A
IFPrUY2jSo6F1dH3036FWWp4CRpDV81couNZTAqGfQrokZt8Km8axRpTS7fMtyl2CVkl657C2Vyd
AYL58acJvowPq+vx9JTmOaRlpcwvCKw75uMaH9O4hrQP2OfDaqOt6ipWQOSlScjq3aURfBaVFWyl
P7kKa6lETuZ6viOG6dvSgSV/sLZJ4NNcW5QffQRnXArNd6PQuBoyg0irFepmIcmct3i2fqbpzLem
O5FnPiBcyDqNexyEvqnZ4ITLiNoykLz6fDheLCS4K6dk6f5/T92hxALHou9qHmO2keOr34Dru30b
CzZuWUgnWM0CbwEd2YAFIF8u/Xx8mUPnCJTAvoVawZ4jICNA1m8CzjxMlFGHdWIH7BOnMULOlZWi
qxIOqeeTzgLwNUtsfQe8K2n3mLQy8JrfkeZYHU0SX00UGNP8q2EjpLsw1R6w/guOp1XG3tFgS0br
nOAfJ6bRszV5UvYt/RXu27WyoDRdzo1ZL3meFdnak8B7Gqhh4iZuTobz0SdqU6hxX+5CnzcdI3QI
8TWqeQ5Ibe31tbl21+pMVHIe6LjoqarovIEzgFF/7oXBmHmRJz4smAyKtdnXa6yIedg+RjWKAup8
fybJfMRUkiFiE0lD/+ucVt1R514bNUagXbjIkUv2xF5NzLEDL95s5xnR3hM7fU1F4t7fMU9wil1e
ACRDl94P/O7QzTABroBdlRSzMattxA1EnY/m/RsnihuuIxQ/qAGdAfj4mLwCp/fCXkR124QaShsI
ubSFZcnWZK6RYFMsAEK7HtmZaTpbtJMTk75hMemz0FXuz+/BB/Bw5XAq01PV11YqxJ5jeA6xjWXG
q/RM1nP0wspngvqfwF4P+XwKMN8NIDpgzAjjvPdct5dpfMpkHWnQybwzZctCYm/9hKqm9/uxRg8U
P7CY8IYSp9EADpICH1hSh9Bp0QsS4Qm8WDmJqYx1MNQ7JGifvtAn3zRH7wH1GEaYYxJQRzuMn4S1
+T6JwZ/17cdw+qt2UpcoTdEdDLdt50kmh+9KmCsky5vTAtuHferqMYY3pLiwFYCyOO4ZLe+CExF9
BKfOGD71Gy/H2cv7wJhFCa0agt3KjVWrLAIE9xtgiXVSRzRDNymAGENL1ZkEoyZCMxs09LfHwal2
DYxuLDbUUDnJ2WiptDSVbS11lJBiz3E7XwUn2nVrzZv51QJb/GyJdh+azB6fx1BK7U5COC+zqCZY
zDU24KBAEtmUYahg6TKcCZ0u4EFsReWVoTf7lmvO40xijHbqCbiuWAqP6PWtsTsiYmrA67pjinMM
EuRrERWAKXmCxZ9kMs7IuTH9WanRDtM6cUiUy9PYeK2Nz6Cxpv7Orw4S5marbazWgqnmgdz5vQ5y
Ni7sh4KjpNf2S0pWMbnU9N1fB7NVMgtmxadnamamMX+m2TVLyJtqT5ipx5SJ8hsD3f/4EOy+GcsY
z+oha+7NzsitJFf1ve7w0h7f9dU7aufGr8heMwJvuPeIfSZKAg6L1w1NTuczN9AaKQBNaavCsIz3
K99RTDkmTydWOWdcD6alXCpKFwy5xHe8cmo+Ond/ibWmonRdOiPD0fZa8l4ZttIyLAxH52SDJkkr
DmkeLfTEknVgPT3L4zlQheX4FQNEp9IyzkS6LLSsJHm1qsJZVlBv/1gDB0IwgBT18+F4bnXAvN/f
SilNUVnJ/e4gWwodUWO+FmVpRBQ4bbhkZTNqz6fuEDsBM2i0psbnYx56I/HDst/wwIn4WKo7Qyp6
Hoj8QVtbJEaDRuPv30fX0f0Zudg2O6k6cMAuOKRsU5E36n485uHqyHFMAO6iLx0CvwDoGpw9jnLU
ZhAIdIdyPrEVUwWlXbg06J8p2uOardD1GLiWO3qc5b0oFVD4RqBn7PtsPLLjJbpCpzPPPluGrWGi
TEI7xOExlwOWEVizmNFFrw4KDVd9vYkuwrHcqUWHQl492SYjDBkZa6UYk7pyEg/59ez9MbmBi7sj
x4leXnqpUQUgJ0MNR7pGlGRb6zoNxikx4lcgv9HMF8UJAy7sHVFOGr1xPgXiGPwMgLu/1Ha9ihEa
/gbe5LOPnsPHDPZ2hBeam/O82tyb8+xGVWxEIQq0J684hOmJFd3J+f+R4LxFpe4m3SQCibj2aVJ8
BNHsXxAA3EYPiIR8J4+jbWhYGFj3MqGHcES1lJT/e6drj4nyTYF7BfSRr/m+23UHD83qJ3YWqO6A
E3/385yxj2S9llsZDPiT99EkZAYeWkCoksfHNKSvt0xw9qEc1Zmn9fegYvWgXgP1x8U4UGJQI/qt
ikDbB8aM74+Msw7RONL8SzzuDovF6lpyR877EP0+pJTMyO9lYy7DJXnDSCdNzPkeezRosvpEzljA
tOhoudfJHU3aNPDxGdKlIaX8+9yopMpFceCgFt3IB2cmykjFSHUkdQd0S6Mi6J2tdjoRCMkVXuOH
qt4Q4cxCYPh1lyIGQRvdyjrvfIIonhjrlgT73U7Gnme6TMic7H3sJ9rsv/Td18I4fC46+7EYDWXh
b6QVkF33j5k2qsKmjSGt0vb01M7iXbMZO/GnhyR5Kri9wXPFbte+902F3ze5J6X4cQ00eNyeWyRE
lz9PtdDRGnxQbkhwqq0Guj+NO5CAS4Wi/GpzmR0S69AukPuzbXN5Zhk6aSuE8Htj9vUpsPWD4nlD
ndP8U3jO1UDDnRrFUc1fk8SMS8F9DTKI00MCEB0/wJy4P8O2C9TWb/zLYTLpfgNEg9VGS722/Kxz
qTLHYYC1IWcRQsggX1haMsXKH+yg0Di1U3I0el388HIo8pUbrovqaTwSLa8R0eAYq9Nq7ANS8HII
9I+0bogxmY88Efa8iAindIoRuZFkBDBdAAmX5VmTjc0c7r9ApwYFHftVAOfU7xrjBf2iZZd6fEkv
1yraQrdHZExG1LUSMrJT1hFRbWYocdUDJAPgqwfjhDd1LxVITHSa3mYXeLyrBmkcgwDA9TB5+dik
W4vkbKkV5K3YxU8F6Wb7hDrbxxwPZXbuPoB7HxS1rfI4Ki+HxbH1iQdP7qkzVx+ZZcV059OcmTXL
cpr8MucTVqBC5W9QlBXldK5F8R9G9eYcOEEtlYs3lcv8cnh5WWXL95J8dCn1iD2iNob6vKf1BKNo
IQMaFQkQFgjUf1A3b6hzIqxfRqO2lorLocm2irfHoqyllD27KvB7Gji1rmjhsfDaOXFuJcPtgNaL
U0frRme+bwzro1y1ZPbHp7YZIAdd0HS/347YVvQSy4Oq9M0sv4hErcM6nhg97cVRt9+Dz3fl+QJ/
akZsszHP7G3+az8/O19zidC3xjSfAyIqhgyqGcAzx4CFloG0yJnbSjl7pxhAzYdm8icd7Qrl8Fiq
Rb/PaZXnn5VR1kCNg/g91J+nI0F2e+j3AUuDDe59nAfw2HutLYJJOW6r6eWgTdOjfCqORtrSxywM
3RKApI1+SzyKUj/aFMPmcslP0uXg5j4xulmtvqQde0xjKKvSL1f8m0jP503UcVGMMgjUC7ROtaZU
ijCIWewPr/GEeU+VebbQjVnHRDsIyPbuAq/sAGrEWwi0PKDRcsouaUE8SWu89eegHQUUexQ79BV5
RpUS5Yx1DFgrCuxnGsswxotpZxgrPxhrEQGckeKS2s8iK4+Awiiw/pOB78JWNCDWAwsYe5D57/Kn
5yJBC8UY1n80oSe0cFn5Kl4dLqgkjJ5Rcg3I3JgDCmXuOLXz4vzvx4ImYBlgFcA+kQBKdX8bsu7H
sRdcxgd2XCnUn+cMLvnXVmDrhhoPbsnw0Py5Hha6egGXuRkT9PTE74XpvYk7bfrP5W75jg6nJK4a
nbr4DDojB/7cavPRAlKIXmwTxo3st47oDRlKvKBVBG0c/YMGBEjOhZQ9L+8aoNce0DaaktNmZsOY
LiXLnAt08+dzoUE6MAOJvnAD+Buc2ujRdJL7NQYumVWS7m1JLyJ3Z8C5vyfBWTBX75L2XERw7ueX
BTGX8/VetHxtQBDuaXBPv5f7l1Gu9XOjqAzndEaWHTMFRzVQo7onwun6xId7carAyGJElLc1Wggo
Q4uL6FUTHhj3hI8kNCnCC0VSeiVjTiXZiSbzRZfOaafbVWlWF/2ll9vuuJ/uBMZY8PtXBm9ssdFO
YfFT/H6JUDIhtLL3AvvSy/+9Qt5dBd/e4csNOgIaUFBJPwnv05PjOJ+imxDx0RvZGz687BLnjYqL
CH8Zv4BaJpr9GGjVumejZ/OGwCkYxdUFXcGIv1UntXFUc0hVR7YidJ+BZvp7Spyeq0GKfLQCSpfN
6ljT4/H9RJ1NSj82KyvDME+LacsNvDSBTy7SGT6DLGUeli/2yj8+vj81hCxNMyDPAs38aZ575jAF
YSCFC2vJKUwSTCvsV0gxEoJmDBhmBBjk8vZY5AbA1u6JcEpzMfLJqBwnV0v5vNsAaKt1djtvVVds
t9yGF2ZkxEPrKrK6AsoC9hQuO3Jq+jn4CSiflvUOPS/LMicny7crR8eRjndL8mqmM4znPqPPVHv7
8i6YtdKpLNSHgXLZ3Rlcu2Vu5DUbAcepkHDQL/rzywovhjUjTxpdFuaruaYiof0HQ/j3vfKjpqVe
Gt4pAbk8R3UDpbjFlv0rU/VNgtPAVplisq1PjLOchCl9BSxeINqHMVDWvj82TvmMCqskzhUucMUs
y/ozebKflmY/5hXQl1jgzwvviHtuW+2kaV2GQ0NO72JtrDEuyS6cxFmiZpOhA1SMMfTTwb/nj3t9
GykqzhlqKIfLoraocXgs//9gJb/viHt31SaRky4uwdExXK8wdXxAaZacnGzNhH0o/af+fFi+aXGm
JERvXTBJcXps1QINAmu/0NVFzL2PDjODiR6AgUL4/clxRiUNlNKVFEjGYhETtsJ1zWZPDbX/VM4O
3uUcA8YGBjxED9s/+Et/s8kP12AxCmaRRmAz9qj6Poco6mgUKx2BMA4/oN9kOL85BWy2ijFtZEJT
Is2mG+acRY0Nk/43HtwYvxC3izu/MLDQ+LBgR6uk6GZFrmXKiGnSfWZjYlMUdIiY4kyG2p3OYZfn
3WH6rCLKtGYx/aMwG0Nwbxh5FR2h8Ko44yFPx5WWqhCRJAUwmbcqj3NM12+3gqsaaCW8E0WVsxvj
k5x5Xk8HYgibgToAOmNtk5qOMTPwoAiOUfSeqpzRCLT8YkhRhrckRoPu9S05/CG/kR9HTEUdj7FP
gR352ed0zyFnR4yTovhTDxRDsmLnVWnhTdkwARHBY80vIwtcpGLrDNJxZOhhO5AZcv4Y6cXs8EI3
RXo8kHy7Z4mzH2VYTs5jHSwtQO4d9E7WjvxxLdtM0B8Ivf7afn5KArirQXM/mejqGJleoPVwEokh
qhL+PSRFq0l6BJTq4yMc1uib3+ckMTt3ias20GiZvGCC4f19M0NCTyFoBtJxlI4jEMUBaACc4g1B
ThRboAaMkfiHiqH8BZSyPrCnlm42b4856w/mh6m6ocMJYASEcLWpcXCqo7Dz6+MfH8iA3XPBPV3Z
tIi1UXQ9NgB4YhR6OZ7LdO4YT2cidAUHjeANK5zg1VpXTpsRBr69CGkDFAlFiYlhe/RNgW8j8LC3
BzumwU6GHNIGZv1Pb46QPACkiMj2DVqGG1rcO9XIHZogsbXsYFjBJnNQ7TyR7afIuRDozTVnd+M9
V9F/r1/e+7ZqP77+gerH3fVf7e3Nr3ul1NRR7yy/LP7T0foeOtYht2c2EvHLCz0zc72OWWw5iPJE
rA3kG++pczZB07sK639wggs0LV9m0RhT6AWG362K0vIDcInOp7N/lhbCkaBeZx7oFD+iGEdFFdV9
cBTUNHLfKlJ0m2ZinWSB0RMI/NUS3xyvkYyS0APO8kHb6DMVWVOBDA777TcyyBmHYnwZhVXanyBD
LQNe7gaxVYVCxpnReeeI6hYic3GVpxuGigbo1ICo7lNmGsYZrP8YWWaqdM7+VRbghjfOWqhGomiJ
3sNDYEpAo2P7jc6320pgXofjxW8y/HhioSpaFvZH6LdEgiicgViIGfiJJojIRQ8Gj69/NvK/hG7B
JFN13PkmPz437xhjEr7wg+7tDU9cDqr1x+k4znuxiMlLTqqlpS7hVWhIBwPgyQyPc2HY3f/kA5Xi
k88doHABH4rbQlaKsJK0i2JvrCQ0u4hGwYYj4xvuOLNR5pM6VgNoFaKfPvj5AzQzOC8mdb4WWxGi
wHAS7IYa51hIenDBmgwwxlArWFmxidah2a5k9tvcnHdk7yA8WXwK7HIfDvw8zX53tar0qxK5t2XS
tNMqGyN6lYGbuMn2hxnik8mMmLg+B2PBX1/na8ZPQHb4sfkmy8lNdpJHmT65kj0eN1OaYguBCaee
quveqadf6OPN0GcuOSjLiIqKA/WL/jn4ps7FSD6a+KNJUaEsRqtlcHhfzUhLQf+wXovQuf7BXfym
xclQIIeVp15Aa/GyqFjfGeYTa2dXKDXAdppwvB8f7T8I7TdBToxyT8mlog+e+4gTZhMwrFNmI/+1
na4FtIajpJuD5FxTOTbK6VTrX3XJPmKmb9U7w671apvrXya8YZM5Au76X3wkr9w71OhNELS9942X
nMQQGbRu2L8KW4jy/w8+w/c5cg5rHktllo1g2l6q3xqRoR0zO3Eu8PRfsSfkQhULsFEC9v7hmf0m
yj1F2qn8K5lamhVbnNChoi+JjVnXmtJPdbb12OeLqCNMoA6os+PMb97aqjopjdH7sgVjR4muNGeD
PuqStXYt4O8fnvX/8ofNiPekJictjuM+lnk3Ni6bEQU5d3qNqEWNZnJ/VP8sKVhtfE+q8s+AOjj1
wSez2KZ30XexbfmLdyQ5kYEBf8ul6Ywp3TsMOGuOz7bRsyiFNpwd/FtDNH6yHiZdiwutfyCh+9bB
J8jHkMsc+QPh2Q6/xd9ny1maZqSNZK3oBRbIBBi0TBwE2Ppa8GJMRWQ4+6LLnnwuziCjh8Q4Yfrs
2FH5d0wqFmFLI+rBDcPAWklmiY7PmP227eXbfI64aG+aZHayXPb79ysGWI7ohzW26ZJ+ugia53MT
4XOdisL14QTVzQVwJmo0dcvA7bPbDLB62QxTziO4DVuBWRoO0b7PnjNLPqYwW7dPOqQYuaWjd8mi
W0cE6tVbnEcSzVkkbZykuteH0JdZzlzSY50+ZmM4YXNzWJz5abxJNSlbsBESJA+3R/Sq9Nh5O0yZ
kQqqujap/wRoyf12IUSpfeyJYJz1Xl+DTHUNqY8QV6BaUsOUftO5VxEBi8Pu4983dZWXG2MX6mUY
tH1OCsCOvY8Fb9VuyBIJ2YLuAQohKuEITLp2rUHeEEy7FpFvgJTb4j3vR7HhYO2epkBwmpCvOXYr
7AP7MYsikb/GBzcU66xFO9O1Fjidu2cy3sIOqGfEG+z/SYizONVJyrqqD6tT233Dc4/tBs5eKBiP
fUWNL9IGUhvqcgvBeFlkwEAx1tKbv4/o9uobPuboGo8/ULErpt3N0TWjieero146XlarMZ58LNYh
dkgTB7XhPXXkN00kIIJ36vpk3pAMVf08NhIc4uKEll5aMu+wFZmnx14Tlrzc65YHJPsqjMHWivkO
Uh+b+PiVv2K5BkIKIfztdSnOo0PkrMipks/JOIHEtxZ7X2BucrU5zHb+6s8h2uzQm9TJ5M8fQmiJ
FnMgiRnLxT7cd44jOlmBK4z9dvdsByWi06RXvYItju8b6/CEnT149PdbbRZRgTMsUrtrJHBzkZ3s
X6K8Z3vkWNmJuI5s0h6bVnCZgleAz9OpfuBhTTrUAVC4DVNWekYuEZNEui0iw8VIQe3+VXCxLNVB
Id2gO0J/zVHDh+6JXFCBDlxD45uju3j/NSSLFSrd7hMA4x4rtsjx5BNxTYUsTzmFlnU2Q0JpMwus
avEbVr8fdBD1egssFp+Na6NMvegtJMGf/8Go+KeAF9HVcM6GmsWyl/c1dIb27f45Qfu4bfY3g8rb
i4BY/2MPlJlPxJ3aCGuJO/ACJIL3A/Km7nJ5LXMs4g9ROukfMld/P848FGyXGb6c9bJdx0zCItep
E6hO1C4jYy/nkPVcsZNq12HgraSP+RScKZ+cS5pwLDVjsLk4f03eivWXQGsH5ptvcw4/ll7WtR8F
Se82x79W6D4PqT2zVoptQRR3no3yM1mbGGQ6ky80WAmkX0ici4WyEXqfixLcpeYR5YrDu8UWymqc
szO9ZKZbb/UN7V7Z1vnaR6sghdla/D+tI5+2q+pgetHRKQGzxQDKDC8Z7R4R/gS8/kOa9W8Zus7p
3diSIpHHban0N+n/QhuZRidHdK0JqIjEhQuCENUFadvHsXlKM2dK0kMn6hkX2ESZC1y6k6b7Uoi2
FUTl/lyzHZGVEsX9/HK7cWIEqleCwnEVryX6TjLkpAAIbo9mj5VLFAXzLXC1rFT1tAcSOVNsvlh6
JLR39tO62KFyLyA1fmyvrmmBm+v3wjo8n/GcHBg7T8kFPeTkFzKZJ4GTLRAAhXMtolFeV/4FHCGY
TAFri2BFEdR0BNk1gCjfuy/ySMr0qEOS9EwBbMM22NjqkT+IpwmmSNfBtQ2hxFo2EUj8cMgiYyOb
oWKITr8Kzs0ZTryxq3m9GTacFys0D1P2B4kaE1X7Plsi7ikedE9v6HHa5LajUxkkuDOVLFrHeA4/
HgvFcC7vhgCnSxVGIyJMmEPSMQVkvX8g6EPVMSLkbY1a2Xbx76TwhiD3RCeyFuq1258gmc1s10LX
FHHNbveYr0E/44ZKL6Q396RncdKmfu/WXxhw4kQmezCpcfPzvB/vRdHJyHtVmm59OyLXkoDAkIpk
jffRsVHir2DhuABKV98c/wfh+JIW1NkjMyTiaTDL8M0T76SfL7J+OvfZ8dPyA1ejYQ/0YgosF4ON
30pRJW7QhN8Q455dVTKSyeQ/xNgqsqTfDhPxM2jubkhwbno0DQ3Dv2Y5FTrevSLLjwBV5J5fw94f
TuANFeVe0OqoKWNfxqlF7B3rfP60gL8igOdBC4+XmY+FWkiMswa5d+46WQcxdjwWy5gszlRBZ6il
vP0faVfW2zhzbH8RAe7La3MRJVmyZXmR/UKMx2Puq7iJv/6e1r2J6R5GffElQZCHAVyqYvXp6lpO
ieZ9vfbPnceRSH/+LfVYeKgLGTR6kJiCKb9cEWSHCQomvrbmeTvvczG4gH1fCKVpQy+K6BjUQUvU
SkPJ+Q7FEjxLrfWAwdeX29rxnJABCQHNI0XZ0lOsNkRIMXvCLTnx7McAhRJbVW9RJyzW8W7cWvaI
/uEvGtwl+B/H5ZdzNN/OyIbq3TTqtWVB2ssOeX2YEByyziMIsPBfVJ4owwLWCnREREn6timXS7Qz
0cyNnMqpkFwsOEoDmlJKVGogTzrY1rG6D8nl4ffg9Ztpo+zCFCG079+WvjytMJPOwklal31O+1W3
7/mfs6fBQw+m+8KjzVhOZMzkMJiiTpdQLicYWCEBKO33+YDlOxv/GPOSscsJmpkkBldiubWGRKW+
uaPtgWCST3EWNqir+Tzel+WOrZksBlbUXMk1MUIM0DinzkWZCxdzS7CKAmNyKAFxvhXn1P0VvZch
FsBS6HfQ+vgRInBbP6IQgtYBbJzn4jPnpmYjeU3XAqG9QFpn72oSutIKC2445245iJ8ZkAESAwp1
Nc2cd5vsDmsPvpStlpMQC/v22KHzxY2heEoxqDJ2gSjGBuRdp6czx3oXHm5/JV5cyEbxU6pQpSDC
u89dJLl68hstvibZI9V78JWn2+I4PsHG86apF6YSUIV2mSPtC6I/cjMonJCQHUrp4uEit9Ro6LIj
j3/oKIKLbmX30HAuTZ4gBiRK3TobRgVBO2ywXcccDj7eX2eAoUoUWTFpwnqrg8/0vL79IXhIet2E
MQucM9mqirOMP9/Zw8YZ6cLz39OmXttbXohOD8XfoYWOl5Rq0QXXDGbHGjqk6gRvOPNP59ilg10O
vI2Lixk65VsE8yUCQZdLs4AIT9rKDxmRufDCU4L5GucJ8755gKgFLc+7XfeeOAoIG14vpFhhExu6
oZAv4nyh5UDpWykGrU0zHRrlApHye4Y1wncP7tvG5lyoy28PFUuhQGcL4lx2zkSazEjqq47GfTm5
2DvEY+iXaQnmnzAHiGuIEz8sAsBMHhM+SIOSt3TU8Wn6nWFwR9kANzl244lg/E1p+rjurZ5+KvAJ
oI3sHrMSa2QbkW/DxZryqhHL0Rj2+yiWYoFsmeUi084XtZwoPWhn5yQ+k8mndCI0KnuPHDPeBr83
R8xoxF6xU5LtgdfAtuiaM/GM81/0oOi7COLvwwNClK+Qc5EvJ2FmAhjfFyLd7KWAMpOS6G4X2fde
4nTPa/IofqITcFwdMXyVPfNSMMtZzJlYxv9hbCO8TPr4NDoTyZ/jFfpszy2iWo5+i/4yk6P/fNkV
1iiIuYndeS8vBr6a6Vzu61eOTy5e5DMZzKOHthi2Rg1dtk4AxiK0v6Dsrb19csTQL/EX1M7EUFeZ
gTr2szaRSvcO1o8xlrU8XnsYUbI6XngK0UN0SxI16kwSylVDZuRQKOnBSdaebeKlf8JVqK15T6tr
qeg/i5LZ3ixZM6Nan+B+WzSF6n9SGXzXarxqQmTPy4hgcwtl+Y48cf/pHIwEs9lbjeMiy4Hfvw0r
s01bRdyezxcJhnWcrCIEDX4FKR6PR+66HY7Xy2zPVgUultQKsG5wW/VbVM5yYIdvrA8cT1mMLmYK
MaAxJNkgpGAFe0oyLyxCcu4zkoDGt1+rIpGkTewo+jZoT8/C9NAq3mCuOT/gtqv+zWuhtNFUJPSr
7kS7ejvH+wz8IxcDOcLANSreu3W5+jlTmEGTCQXDRrJgVzVem2JBpNTuVvLv5qVTbFElcU3G1Ub+
HLeTq0UnnffOW4xQZuIZkLEGI9AHFYTK+VeckvhhE/Ku8uWX5EwEgzEhVgIb5wQ+irli0DylW1zl
BEtsjM0vxT063KEsnkoM2KRaEYpGRr+gM/zCjmGaHh+c0W2Ib3OATebJYuCmD7E0x4wh68Whex5K
F7tfnHK/e+8m2zyScn13V7mdp99rDcgLUoeXeODIZzuz4kYHyfYZ3lM47cfexTV0+zjwFGR7srq8
rgYrpZfQ6RRs1rEL/PbkNQp3NMXhlP7W3+iebzvcVAf1vBvwyjZnjSC7jkt6MJxd9bkeyVP3JyRe
5QeqDWptX3u6renyw+PbTdnWLDNN0GE0XuWVZHAj7MVI73SvQJqMI+n2xS6zNZwq1rC3lWIcjcsu
NlbQ3lX+74zQjtv9rxILsB1OdLucN5opx6BMWeplpcY45qX7on61myojG+4s1+2AT75mj2d3b2bF
506dEPBhAl74rdrjJu+xF/q29TgXxBVPZ0LG3pyqhJ5u7/Hr9l9ebnGYGYkBjqobsrqi6wwapzOc
S2ynj4a6agK3r0n1Yu3QFNX5JY8Hj+t4DIaYtVAWfQuzRRGCPLICXKH3C4k93tAM50Sx9ZxOacYx
pd8n/ZUcp1/+bfNxoIgt3yiFHiviBR9mF6w8w8s5UMtxLra3yjTSOlapldD3l6Kw/wZSttsKcDyL
nYPULoIUViUUCNaY/jhztsByXmMgQP0ZmUp911+MgZ6O027Y0G7s9q6IvXNmg1ASraaHo227b/vH
VaXxAGfxxf7t2GyHFdYQyZbWUsDZnMwDXkrV4HzyZmGXn+wzKdT9ZidTrXqMf+VQECzLkvdOCQ5W
IFVG+QT7bmxuByG114374XpzzcSBOiQe4pTaM3OaltgygR2RLUZhkhtm8wzIIIMkhJjDEoAMXUNO
pzI/Vn7yMgXHiPfm4wE122aVCnrbdBTeGu+8C5DsaFZ8Iorbrz5s9/75pWSpDEKFbku5YNHSa72r
e2If+GI4R5YddizGs2x2Mt5iw2an2+ZDaveo32Ge6+LAclvlgdvfynsPsdy1YqqIWa5CpOEjY+wS
TDP4duh98tq2eHcF2zNlaWIinemRGjSnxBrd/fFT+0RBjdYJ/8s3Eds2pQ2KONUtvC9FQSt+6bGV
r3d6rBK7gOOtIWa7cUXvNhZeY5Abp+tKoDo7XWmclmGQQabSgTzkMSO/W1A1gXqIc2twQJctxpSd
IqtCgqVKVkvigJx5oP4f3lfoIsGmFtNS2SmfOu77QrawNAVsIU7hCY/p7s3G3rfNMfYcLv/ictkC
pJ7/EsegfGeUZocN77SQQCcKD+n2yVyrv2OsKrQcf5MQ/+gfOFfjf/hY30KZ6K6rRMnK6VKS6X7r
rT3Bnh6xzP6Li/D08f23U3zLYRD+fMl7pReoLbcg57xfBw5axikjVYNtbeDR4wpczuZ8C6Qxx8wL
W1BZVlEAgQ3aIen8GwY0KYEmjZRxr+BawTi9w3H95UDmWygD9iJmkjrFhEu+bCHS2w0Ddm0+BEfZ
EUGnbx/qLW9z6H9A/W+RTAhYi3UbDSI+IAhmzsR8uKNUdyD54mi2fGX+Wwz7WozAqDc19OHxkt3t
LvbkIV9U7i4xXTPMHQflOMtV59m3s86CosmJQJeDed578aT+SlMSeL/KzuXoxTt07FMxTMW2UOmK
KswNhVvN8zB67q/JBr0Gx+d9t1YQGfDae5aD6W9bUvVn6gmVFKhmCS/JDSfA+uko5mjFQy72mWgE
WD1t9BRKsGtVJid1hcruy2CudA/pdIdzy/B8g8GQ0krDAcU3APEWo37x623Xu971N6CDfRv2gRIW
qXaFKOckb7BFG0tGPyjl1oiJk9huMV5+l6/R25OBfsvJVpj7vP0TuPZkwKRq1SpOR2hY3eX7j8IB
hpzv7l7vcB34vLbaxSe+YZjYcmli0Skb7NdYsypXVYL+0DP4y7BJwQOlCTLAt1VaDLBmUphvlo2D
mg8yODKF1s40ty5dDUvAknVSbfOW446Ljeqarhh02xG2rLEs/WAiqCP9QqflHWBU/1HaoC8D/lv7
P7rzgPbk0Ou2oafvP0MQnpou5/Mtnbe5eObuKbTaRJ0L4rFDtURnVvTnti0Xq0lzAYx7SEF8Adk4
KoDbnffh/dHXrU8belHaLOCMny+Cd1vgYkZ9LpC5ZyQjL/QhRz0QPEVb1a38+MHfvtwWsuQhcxnM
xTKOrWqJMWScTp4zgp8qqTmv5sX0xUwES6Wfts2QKPTDbHfVMXmtf6M/Izzbn9ylyEv38lwQfaTN
ELfvpN6MKV0DxhSCTeA8oEEoI3c0JvV1l2M46k4sXs2F0chkJswcu1GJRwg7uxjXdnm3x+JDxVA0
DcT/EurbbLZECjsJtNMibXMwMJEttcQE8VoDXQ5CRTB6wdFnyRHm8hh9ehlt3EMMeUpMkteMRIcC
vKi3nW3xCM2FMHdiKDXD2MsQ0ninLaK1zn0v3mJXfjtbJF63GpL+A3T78gPRTlY1lxjieouwX23+
A+glN/tqQ9jGuiZMAIkU+ZXdR70ieAZKKzK5vi9xWpS435CB3/MgaChsQF0Ic3cOuN31J5q8u0BL
DvothviGKqO2LOmGIpvMk12RJWGqB/r9oNhJ+j8QTPbk8srDjOvz/y8rzmQxB+2CAYM8OEPWy9Yg
3nv1YPjJ/YhanNOArs05Bi6aAI+27oEnEJcaN4+8bNjZD2CcNU0xQTdI+AHO6T0ADyJeGD6iYYMX
8ywd8rlRGX/Vw7xU8gpytuB+qV7D4+3zsHjmZmow3limwhiMDf58hneSuO4c12+4HM9LuZy5DowT
dlFZgkxDgq3Q7fW+JvGqt1Xn7rXANK3dEWk9cALFxdTHXCK16uyQTWFZ1kEJiTQdcfI8wT175Hjk
zkDxNGMu5DFWBxkbYijFE+a9LUixN+rj7U+0eHvNlWEuYdW4jFKGvDWNajCyiYX0KpFfOcC4GHrO
pTDX8FBJU4gGAkip0J08wR1yu9iu3OeNH3o8qKCn46/jixgNTVOmiTEhRpheFpiz0hQIa+kSDVdC
4dMHIHIsRx3rhhg2iWgFVqKKkgoxtJ/pNDrGXiXoLkdt7h+Z71sjNpF4HjMtMCeDauTtCge18MZ+
sEmEkPpz/H/05S+j7UwgA0BhJKeyFsp0vAsjZKcPxVGdDJ2nXzzVFtvWjZkkBoLyTEysNIUVcZSQ
bYgezmA1mNBCsn0QUbkGvsZHcQu5n7rLO8gcR2HziqVZnc2g1kGx7wQP0+ruuPG/tLVp8z4fvS9u
eQoDUWCgt9Kph5ztsLE8jAS8TgfJPmhoWbztk8sByMyaDDTFsZyeawvWfEmRp0eDnTdintGyV6vV
Hmft6+Cb9m2RXFdhUKrS23KsU7iK0zjatbFv9BRHXhcvsrPhWXIREmf6MWilRHJoRi0OgtNTHgNl
X54EDSjPbfDmHW4GQ9RJr4vEBMaLSDr0a2Gfbc+/918Dcpc1d0sO77OpTHDTC1KV5CNsWL8rr5j7
UhXSuuTZXVUI8FtQYfimujog0Q6oqbkZ4sVr+tuobO93NSZqLDWQ/nJ2sVI83Hu7bqXkBDunpsOb
+Hp44XUeL986M5EMvgSgBC1ErA+mrWMAzcc3oOYX1kC8cD8k54yrDL5kOWZF67MG07qU3rVqieCq
r/7n7VOw9DSboZiq/gwJ0BIplMGAc1crq7hdCZinXIuvVru7LWYxXkO/NhaOYZOjJjLHG4GxaU6y
ic7j1bT3+aOhy8b6/vvMWU5bUdZ7HX+/dh3wR9NlGZ13cTCHeluP5QB3pghzjmOQUPSBBUFocred
9DHchLtJtPWONLsDKv977WnktO3/B6D6Vo450kbfZImkQKYG8m0iuljkjCL0b5Nsopp8fnJZBRZ9
QlfgxqIEu5mMMVUscu4D6nkNItOP4j5/1jBX0SIV2z5Xdggaa/7IJdXhr5tGt0wTHf3IvV0J0mah
qYyxhNYKsF8UZArg/xaI5keSLa/HBgtyLiT1/ENmy+I/ugNmYpnjHDVTb8VyMiFSxRmTEvv12fa7
ra9wgVmj5/WWhsx5Vlrs4pETiHL095IoXuFg+Yj3iCGJ1z8osD64r28XT7ID8rzZbNBxeqJPG4Qw
qH59foLLzd6/4S11ANBw7t5l/5oZgcGAEAn/1Czxy3aKrwHR9ligCLoMac05O/Tv3LIAE010ImjW
RPqNodqu3MkKCdd2ZX8pD+VWdznCFu/BmVIM4gxqr9dyBqUQeZ6w9QjJhL0EA2Y2Lz29SIqIlW3/
9l3mvART1Jv6hYoCC465OinYSRGmbnDnU2Yf37dBbtsSfcCgP0b9aVyIxVIY7+i2eI9z81OLUDv7
NSxCGVGoZSKW5p6c92mrdJ5lX6//6FkNCXdi6Rpq3vqoDDi1gtFKsgJxtEo7OZG3flxH92ZhIysW
J44PUAxsU/YrsFLAjY8bunHq8MKLiBdDgW+t2VymOCiRlMbwLXyCwX0/Y0NYcKesMF2P+ibd4/X5
z55RM5E0eJ5B1nROzEt2geZBSrx6IyZEQAyycmNs6/C1t47bTcD5sgYDVmEQYdxGgMCtukLwIeWo
uWzEbYwNVOCr+ORlk5bTBTMFGcRSE2wKnXoqD23yyfFy7/sg8+SgDwf4DQZ80ioeS82AEBRQc1CI
okzLzT9zoNdggAepejnp2pCuKd56lqeJtouLDLyvPE4MHpQaDOp0Au5O4QxtXhCPYqfKSELw8NOh
d47ZrmnmG+eO3Y2dD0aP7t6Adg4MdnJnYC4JqIOMrbQXQd19Xn8dUMoJbN3lRqYcHDcYhNGC7iwK
DcyZYlmHEx+URzp3ifETuxDIfwfjBgMviaqHONhUVkO2p51c2OJnhRI7VpgSzflnb8Jvl2eTtVVR
tEaR0kv6/bxKn8MdCBiPoG8aiHDHy/Ysh1n/vjZMBj/iIsqroQRk7YBZ3keBF2+xBcdpfPS3/zBC
nmnGgAdmci+pAHYd2sQY3U94UsOCvMExnv+bDGSMoyWbZUhh2EkPo4G6CBokHeQLeNsnuJIY3OgG
2ZS7Bv6PEatrmhH8R3coFmy5OE8tc+OkmQx6GGmYKokaTSgooXcG1FSUhBtxC69nhoe3JgMeclFl
QqLA17en864nhV8R8BHJ3Hnmxa6LWcDCBviBWhZF3sN2l1VUEgRjsSu4hmUHd0VLqotTNUQn5ztE
S5/bKN5bvX37VF+b+W6ZlEEQwbDKILnATZDswYiobitbbFLOnNgFjdo6qO0AZMfegMZQOXZD2/Rx
o4aIJeh7h8+UxPUlBmQ6Sc5Tvcapv2w8r7atC1bFg1tZWKNCgq2Kt5VfTil/n0R2g3E6SVOpiPAn
JCh3WBi1BsPz7vHVJNhdZq0/OdKo07CmNlWswdAVE3u4rw/aWZRSd7LWT0aGcFBxyp2CQcGVH98X
9mey+8QzhyNt6azMpTEuPCGJV/YWpGGqhhRObL9eEJ1wX6hLecm5GCbinrKyR1dKfg0aBJKCD9K/
fPBqTItuMZfCeGkRFXExaNf4Bw3+MTjcQE6Paha3QL7YgD2XxDjgpU6ktA+gT4PyYDth5Rvm2m3a
6Ij3wxfeLBbWjfK+1dILaSb0+qNmnpFpRXCJNPqtTk4vQr+7iPIk4oH0yXNCnijmqtPMqQDFCkTR
5O7JsZC+GMj5pOaQ9vKZnf47L2QnDgwJ2YuGfrhgFR2Vieg56rq02pDw+DsWu6PmRmQuvAYs6KF5
hmaXVY0Rsq2HyWITmy/Q6xgSzXJqdNHb4paKN9YGWoyDa9KXyy+zGA/OfwhzH6aR3EctPXnOzmlb
AulYU47/fCFngATs5wsnAF1sgjFV08LrTtPRTcecjigXtFiozgiqMUENb/0X0xLnW9Lf/Td+fYth
jkZotZ1g9gXwC7NdGLgHXd4zLefwojGOHPY0qNIktSY9gniHhIcQ64pikB0SGO62QouX78xu1w85
O3ZGhIaAUIFCuHc9yrQ0+iN44JHNo3cO0gJbXo53cY5zLpKi9kxkpWGPlZlBJBqbQWXzvlO8fKPt
urWISlyMe9W5reNiV+xcIHMqlL4XzGGgOmb3NWiU/cNlxRHB+17032c6DRd1yrqugk6n6S6tiXVI
EC3RvlHnk7dFSFq+RP/thOwYTqbqqSj28PWXEyDL0dERAHojH8wLHK2oN9/w9uvk+kwrzRRDXY5r
+n50RPs+ssuaNL76ZGy+jsYb3Qv7/9gMy9OOuU0FTdbB4wSh0/0L9jnQFHPiVNv0Ln0Crwqv9XGR
M2ruHAxwhG0ZF5lEvfHk9cckcBDmYWUXasKvn19fXOL+5ZDk+9sxACKeQ1SgVYijfCQnB7Gmb9jD
ExdAFmMSU5HBiG4h3hIZh7yc81FvVBOpZLCXDQfN1TZ2InvZivv+XtRoJol5kHRyqoYmlIIBtdcE
A1QYnhLW4CngQNVSsUtDB6ykYtGLZGJV5c8zJkd50QatimOsrp6qD+txeGtqtA1tw4/bfr9UR/wh
iQkQxkYXhMLUIGl7uvc+ntrXR8v985vgpQ8S+8weiMaNjBfOGmbeJFEyLZ0WV5gPFohRWZehNT3p
yNW8CKS068E2Qabr1s7zsdpVq/+b5fzkgddSvIcaGMgBZENRRTQS/jRsfLnkUqqWIgDZCzZPdL01
ebs4+1/YAsLl9rtONDGg8kMaA/9hVTTZZezEa4q2xEoynPBflncmHyFJvEfw2GTXnYNvv5q96WHk
r7LBv+Jv8dS6/ZmXnj66DMVlsFBIhn51gxm8xb1WdcUQiaiebXeyW6sohCOqFiHR/7LWdBETRyIF
E0b3HxKZj9yKl3gcsbrjKXtAYdgwwLeKdDB6ni6vB8TVL/xEy0Ks+0MiczovvZCEU5CItBS5U5zg
iTKfId3CXW68FEn8kERxfWbNIssnkPym8KIe+dn7aXLkz1ff7nzr6RP3oEwJBm10i/JuKXXhwtBl
SbZQHQbFE1z4p+CmlBU88zI4lEZGr4cTT3eg03Gx6t4guCETm1ZHkZXBpEC9Mt9MdAV8ZK/Wyk5G
e9j6WHYDSmw7eqke7fz+6PS8tOFSy/uPX8h8hD7KhwYrsfALuw0KE1hVsYO/Tc2qdcEVCNPYxDbv
cpVodNem+QFGxp7X974Enz9+BPN96lRN80iEmUBnrREM76Im4Zkk4YZb1N5/OfnsezAXeJKEVtlY
BbTFq7s/ym/5k/v8VX/wnvdLla4fGjFX9zBNCO0iaNRtHMe3WhCPo1obHHZbjSgkwmBj5aU7C1MF
iGhXWOG8w54SOITwYqS+za0aLz16fvwe5m6XU9zEek8/s+N8qG/Th+6AhwVsly3pMfJIc0bbwOIk
cJbefHOpbNOLcA7kcyZRqdvdZR8f5Bq0gJHzoK5X4d2INAE2c0XuhWBxBNr3ztvP0Llsuw8etC0C
zfdXZ7tfEiOMRsvEz7igiIgsyKrxA2/EllULq9c4MEoD9hsexjLuDWGZWXpWi7ifcdyDxOkffSQm
uINuy5g2U4p5OchdpDZCdxXkIS2eKUQKkRYfbQHjHBjosKFcWHB3jV2NdUtBBtJSkDGJZV9BwZJc
3HRT2pMfko97L6qIhtabfZaR0kGQWq2Om3Fl78HZZHcx6LAowtJHPUr2pp2+/pPi1Q9vY6CsOpeT
Fek4c8DTE6pXmPHCbj3+vcUBkSvoz24TI0lDsEzA8sHhIlUkD0JiBl+5EyZeVP4aAhJOjpAQrNOw
Nhf1neNgCzHtDy0ZCCsrS+3FAPZHMkq0hdhTP9UYXaJT6fHODef2UhkQw8BhVkgG/dQOXRzqhpjW
v6PPuc6PVjzIpL/7L79SFF20TEnWDLbxSeiE7jwYsGp28SySDXs9+CVuDcP9J/abyWHsZ4xSAOtB
zovnBAlBlkRE7zD1S46gRSSYCWKsNyjjYEXnhlqPXvDppvPeItwGt8UsddciPPy2G4PsyBi2WhBA
TGe3jnfZK9sA5I535PcaN0tB/HZ3zVxkO26yZNETvyWzo7aJaoZ930HyiLVor38CL/xMyDTaGQCI
u4Zt8dDNhDEPgU4HF4ZkUbiT3bMd494KADNYnnTkVvMX3qdzi16jldn5zqo+wnoV6KWQ3VZCI7vm
vjUrXgKDZz0GvzUj0DS1ghThHtHVG6ah0e+C9gv7tn8spbR+aMPitdWAAZb6u27YjvwncMCnrVaY
Uu7WguN/0laX+P5w4EhdvHJnn4vBYlMu6myIqQ17O7s37zpPPrV7p3r+EpzPaMVdX71UgvihJhNC
5mYuNZUBgSAlkJzzruvI8av7AFZx145Li7g4U46BkPO5EM1co7KwlOq9Jt46JBm43o7c/OASAeMP
tRgQEacEQwg5RFVO69Etp3FtY7DYIrqdusJjHm8nuzl8Tc/+sVh9GbR1iHMLUAk3cPnqX7PTgC1D
kWVR/6Hv0NLWf7/wOtCWHvlzJa//PhNhgoUjr1uI6OzrBmC8toUJo+1fPvgz7U8e1c1y6IS8k4mX
tShJJnMk8lQTzgNmVZ70TVORYVf+SXf58+/I37Spc+zu8ebd0oImx5JLLbG6PJPLHIrR6BKpaiE3
utuemickpJQNEhn2EU2EnAO4kLL5IYo5DmI4NvFZgKiUZE/SHuX+4yfniC8i8kwb5hSkQdhUpgkR
lbO7718NF6NyRz9b8fKFy0/UmSDmDJi1mGmdekFk0PhITOYk/UJVCHN7tIdQdhuTSI+N2znpk+tW
mEH3hMOAZz555vU0Lx0FRdJFrE9DAQmpGRyVmZ/GRiQGmj7RZFSV2kpNHF4QtJj3UWQZrzEJ/6ey
VPrnNA3PYmvS0+Y9Br0boKm3WdlfhwFNKBgB5nzDpaBrLo4xraKVyeVSQlxKnPf3idyvwD6dkf2z
z+0YWnyCzmUxgYpwEXCJn6lqeAPvTvdPHuiuV4GvguEEyXNu/LX4tb5NyT4+MyR+TS37X1Pq9pgj
GMJL+ylcjS4oVj8PES+Xcn3bsVA505B9Z2ZKMOFtYOB8x0T5SKeNILkxdrVvzO3GXWG87w+5C8h+
QyjLkK5vDg5SeZ/6I2jRfoVgJ3E4X3cJBOa/h4YgM3+VzUaoJWpxMXeb83a1eozA3/v7zb6gFfLL
bmXvHw3x6nOZTFgjXJREy86wwfZ0ipAkJq/7jewHe074xFONgXBTEfKmziAGp7+TsNoqHg+t/CsU
bLFZWcbdbUvyfJdl7DcUPQzRYYeT/xQSugjNtRJ7vVoRtIDjqVfYyR9geM3l6VmKNBQZDSmSRJPB
OmPNHrVI7A0J8FgRwKxMTiCdw7RjOZKxtlGa4TnMUkw6F8dYNe9xO53PEIcgqr8bEzvx7UOAMbb1
bXsuH81vtZiLMDDKsj9TxzQej2hQxMTo7b+/eNPOFWGuPznIYhBuCVDEGWU7Okor/bRRP7D33g/v
ucNdizH2XBxzFYatrCcmhRosxc0cp1L9ixfa7sV7q9eb9t3njo8vMS3imH1bkAHuPBlMjEhAQRSq
Cwfrf7CDiFJGrh7o7gCbVscHYrod0V2ebZeeR3PRDI5f5DSUzSySnl4uK1zHWN6YDkTnuT7HRdg2
9aY0z0pZwaTtcXBAToEGAw6ELL6cZ4oYVNEZPNbnobpMWPOCAIZSVYLg3KbDlI/mHcgjsJvv1xGr
mj+5326p5j//dmx3utLHl7E0QxjQ6VwBXw5ZuxUvbF8qHv+QwkBHMcla0xfwkBfnPUsI9jSHDyJ5
Fgl6J0KHbsfihbf0L/59/f3bJ9ky4WiOldJYsGfXEIkE6ymnvRqoIKDm+sX5eIslAwV7M1BXUdFZ
w1L1JFOj16OWS0/dxXbEZ4nWq/blg216PPq+pW5TfS6KAZO+beVetzKJXmmOGK5jDE263f3mIrnc
VrNFBJ6pxSCJKWct9mcU8I2Tk7qNr9gOeMs4j4PFqG8mhAEPfRgH+dxBiGPWRPyt+8f8lQPA9Kb4
yxdmIhiQ6NVqytIGn2eAL/ih+3QmtW2ujXfJ3rQ6l/pl2du/5bFwUVei3AwmvhHqacpW8quHKrer
unIFy4ny7Ti5/UAaz0odEOvLFSY3lcQtu4fbal/D8xtqs5BSFNiZoSBp+rQ9uxh1r3qgCp2Y7kLy
Eqww40CKj8dHFJOdxNNAL6U/xSfMkK03br3WS9KtEeVze3IWAXtmGyYM1POi6rRLIj1VJkkHf5ps
pJou5EvPOdc676QYDOZYtYajIuArFLITWRgr9aODv3ne1BXhcu9RD7plaiZW0bLOyOMLTE3zIrvd
OgHZWU9Wd3dvmw2XpXGph2+OAexgTCxMOVK5kLYbY4Jdl4mtnoJXHoXcYmZC0QwFuQlwW+jsunO9
C1ulS0ocGzvcK069CtbKY+GPjypdutvgUYt6GeonymdK9Ofbzrt8H86EM2c2Tno9UItaQhQDeuPd
vW7fI9p9bJHbatzRptV531Ef/9G18S2WJdmoMqlusQ1LetIqv/D39hja6hZtFXS5yD8qAM8MfK1Y
zu78MZBaJZBgYDSy7HqvJFi/ZfUO8v9bLvnZoofqKpJM4MdD0w5jT00B+URwaei94cmubuPB+/ib
YJ3Y5vgFotTbX2/5QvyWxpoxloOqyy9nCcklWpQLN+MHHVFNKwd9BBxZixfITBYTOVm5VU2aAs12
uyR09MFVZTTR1t5z+35MsRZmxbuxlvMiM4kMhiVNUGhTA+0U0nuFbN9tQG/rjq5soXjjfE7H2xpy
Pp3CAFnSVEE5KYP05A2rwle9o8jZrs39XAx8xXk6CdkACY3gXB5a8Mum2KCz3vKmBpcxeWY55q1V
RImqdAUs5yBNF7soEmMMEt3yfHL0xZB9JomJk9ozuAu08yghmXRy6Ev1SSJP9XNpr8271S/bTu/9
Y+YeEX3y+myWcXMmmg2bOm1I5aGFktv33bv3dKkJNikSO/MjItJe/YPPgy3eGWCCqCnNq0BtoS3s
qkm2WJP4udjS6f/jpSXHZNN9lB+3vXKx8ABWiH8hCrtdPpKMSKksyBRXeKGjPW1w453V2MLKPleb
zOYn0Rbj0W+JbBKtU4bCiDS46QvIeyIb/fLTql6fP0zes/J6pP66z2eSGExJmn/ZUyvBSoEKh0fR
+aV/Q1fSrvCsR+3xz+MTtkp2z6MvRGgQKtf6gOoV731L3fTWD2GgRi5btRkl6ktgdWjuM68Apd/p
+lEpxSl6OThflXNuWP4SI2yaMktwQlt07nvv7doiZ6TttwMiDW+jf6BKx5G4+FKb2ZoBn6zpYksZ
O3pSpXssuL5cW9DUp6nhvrIVnjkZ/JHPkSWaE2TVbuPRpRCn4u5im+BmLgmG6KQVSNzeRtd9Xamg
FMJsDRbiovRjOc6WZ2ieMzMApcmqrkchjk9xR33s42zr9w0OLPfFSHW65UIMHElogc8DCzqDyF5d
gTYRrGvJa4U7snDt/9ZfGSBqA0kqFAPCkszebb2PWrOramXuHXSlJnb8Txi29RkIqUxYU1LuRl2E
u24RHeJdFxPLxg3pB8g23fbTa7h7w47shszqfFG1MqY3yotTbqL7c4Kpr/X6vnBqW9BIu7IRJG4z
O9qBcTPbfXK7Yq8bNm79AgaVwjxIdL274Jr2dltsfdndn+2PmKSbNSWFdzN/UxHZe3s+cqfOOCGI
xsBQmI9m0YeAoZ2DftzzK+8CW6JZmX/H67/PQuGgl7C6VerxHXtvh141xau88nmwXMtF5xRebcfh
o7DtfrVBC+jqd28/PD7kqw4dqc8ROHzA0LGaVuL9vnex8Tyz/ZdxWI2cB/ViZhVrWHX6GkIjP9sV
FJ9bQ6gvIkUqwccAc7YenXPqaLEnZGRYWy+bBuvWtwdefmmxJj0XzBzhsY+sVgqvgsWDRoqYYODj
tBMvIF/YdG9ivcNoPS8luRgVzqUyZ7kOM0uqQTb0hMzg6X6XP6ahLeXoplM5R2sxLJxLYk5xHrc6
mJKoJAt97qpdtHYPW24UV9oZb7fP8WIf6EwY2ykEXu1OLVMI22IEKay99D2615/yyOnWdmngzqld
HyvBcmfv7hV7U7g+DrZuEN69Rwu07Gme/w7mNIsRHt5lQ5VuIkd4zC7ErjaUxei2vosv6bkc5uxK
YVGPuTVB3/9h7TuWJMeRbb+IZlQgiC1VKEbqysqqDa2yBLXW/Pp7mPPudCSCE7Ca+za96LZOD4AO
l8ePY4zs/r62n7D1akdt1zrCt63z2Yktah1v2YtLmVzK0nflENULzjb19ruXoBkAwPZRyJEuUtEP
IM6F2aj19P+p6Kl71nbfQDn4aNoiT70GILc+FBc05MkSGvhYuEB2fz6nmMUGYjdiK6z1l7hnuX6O
W9K4uCAZytqIAkgLGgvT9cfjsPtRHR8F2rcV5l1+IM6isHjoii5UlBc1PUhP6EcvkR1IoonvrQEh
41IMZ0JIz9ShMFfdewU06R7QpMOT9fDVBbUSGIVOYkJq0bfiLMkyKUmbZOu3OnWOQ0D88AX46vva
iwjwt8KqylbsenE+HoQxjVmGCXCIA4sS84oTRiSwbwbgiNtveLOFaBiYejKIriqEjz2UhUSKBgbD
l3LZ07WMm9jL+xg5X45o4SeIPYQVnK1I+VIiZ506pZSiUtEQNZ4agIglABaQTKIS9vgoCRram7p4
cTjeQFXR0vfjqiS4Rb2wCS7x9fYFbtqjCxGcPWqMQcK2AVV5kXqrPpOvYNzp7RgLb/8rT3YhaNXP
C4NULHKWxAPOMtpO9lDaTWOtc7QnISvbVlR/+X04o9SFER2CGN/nNAQWouzjHbY7p/ePzyt7kLAT
tKnnF8fijJKkSV0ySTp8Ff1ZfVOwECJXnFR2UDwR8iaKNI8zTVE0dDr9UIeT9/1+sWqoAzrIoDcQ
Zg+iY3HmqZZLBoIDXGLlgKVoccod/SIdYSZEDcL1tVwZ9Yv748ySDILo0uzIWjE8Dy/K01F1vqye
97aWb1aeLpTC4DBhZRU3ZlxADArK+u7t/P37/QFjGFh16rvoSH6xT9HutkiRZeIZIIdUKgY5hWaA
AfLcIJVV3ajxkrtTlVhIhv6PF2lwtmI0m15jMsS9vkmWfgC6AIiN20cSmCMe5hLReuqUBCKixBp/
y0BN2IMq0ohtz4iOMV1nqilhnEUKZyySScH4i4wq2ME3HrzD74fY3sExgnzJxkJScf1sM+K8kMkZ
J2xw1LsoNPCKMf71ffDnOwkU/6LY7yPoulb2f47Gmaapm9SoblcxGN0Erd9iVR6Wa6NWFdgicM1q
DG7J4gxT3oyDmSN7eAEZv/IUWEdh0retDv+chjNHsdoQJarpavqQm7yda/c8RSD11c76W35f7f7s
xVHMtnH/RyZnl7DjqAF/PU6FcuNbo1pdZFE3+xFW1jPq1QLfuG1v/xHG2aZF7Yyoy3DAVdg5Ptx+
TZtlYuPfSmfInE2a+jFJUg1nod47oNRPT4div1bDgfsrsd/NFojbDJ8vxHFxS2XqY7AQiJMQTbyN
bvWcnZpXcLk4AkFbJp2iObqSI+sAb3J6IY9Rkc1AY2CM1wm+PeQOCvuYWxRI2fJQl1I4TZgwRZDm
PaSglcBQ1NctV3OxD09wmk1M4aUcTgmSrB61uYacjz0yIBt5OQAPi3nfHz+wSF0EBt0Ep16I4x1V
qi6g4c8hDtw7jhcinnjx7qnVA8Nynh8BVqDW/TrKYD213+aHilgP7uw3WJqKkeB9cX6sv4Lv6PZV
bxZZLn8Tpzk5VkLXUbt+0Mk5v2DC3sI6WICGYJFBRvqL+YJ3p2/ZrkuBnC8jE0019NhVRB/qLp0t
/Tuig/wPOgyje7634vNTaWfey+HpCXT6k528osZHbDC05wxAVldx3cK6s9E7E7H0bVmEyx/G+aaK
TJLalPhhrw1gIEzMN7hl3y4FcI5oLvqyn6r1qr1za2eype3+xWyofBN5o83yx6UszhsNbCpaeX2n
AK1icBAVkMI5vIDwVv72M/lqWOWhwrj9ax2IIGiiW1z/+0UqoHfjRIZVxzXsnGd3mXtbXzerkZcH
4wyQmmdRO398pdPb9wjLn5+o60NbE2yaF5YltrwgpYypDNvowB7A3SLtFHmeELK8NP0RfE6q160f
zUx9kwqC2M2I8lIUd2+D3HdzgZGYlxM4Br9/Lxyw2rhslzuYXBaYV9GpuCsE9XA0kQKi5N3r+V1/
ST2BXd2E6lwehrPfC+kwdp5BQvU8uJgsWAklBHqw7SL++TSc6WYrQT8NIcJZ7QYWth4A0BFjYDeT
i4uj8Ki2aal0LWHDqs+eN59fovvf1s8V4YSZ1T/zfp/sRJ/nP5jkfx+NR7At4ACa5KWHV3o7e+Bc
hC3cPSBEXgf3RBWPzf7O5fk4cxyo5mBMCs4HYoyX8jG0wmMWAVxvoRe4w7pF+7mqrT8gPpceVjTz
L4EubtYyL+VzVned8kkWFfLnHRALMIoAqyILEPneVR34iPlSDGd7KelosHRQF8y9tFZ47tZ+iUAn
/4PR/efDceYiM8E2kdQ4C8og2JptpT1IJRMr95xq19nHPxije/wTYzuA4C1sRX+Xh+NsR4VYvelL
yIW6wMab34a9/N6+i8SI7pCzG/P0v6b35JiPb8w69z+6vd4BlZbgq4F5eLeiZwRn28reLs/GmZJc
maJMjXE2LD04Y9lfaUU/RAcT3R9nSwwjSKtqdZallT3o6IB8DK6JtGM78Pm3dvB0zaRp0t7UoILQ
c+Id3tMjpgYWH+Ees/G8o6e7o92f9JN6woyE4BYFJ+Tpm42CSLD4MCknTzmFR2bXXuydQLUokLPt
/f85I2dN0CpWe2XBTZ7QyZw6a5RWEIWDWhYoNN/zDt1w8T7GzUmMCx3hiZwXNsky63G6lTUN2KMP
okLsPsM4xs+Hnf/NjdyPYYxWmKgIngQ/xipXZEZrer3XaXG8A6CFYN14lh5WfD8Yq4XdeNF35CxM
Oi4zLTXcL6AZ2B+r7bGHvbWB8v+27moIPSC7sIP69kcV+SOe6jlTaYXqBg6J2WDQQMLXvvzegTLH
dzGSL7rSTWmmIptE0xVktIbOBZAsyaUgXY94XjyUiIA2sGrnK9kdcULAbi3B6bau9FLe1ZV2pp6t
CRCY8I4oHrbWC6DhzqxZxL6TvaONQUUGIIyohrMVhWH6mapEW4NLonw+p5pV0TBjpzOU1uu/UwDU
K9Gz39LOSxHcayRJHStaq0A7Hef+ffSeBcZ5Mzi6FMA774WFKskgADWvNckALAP5M+afXMycYJ+R
QN6WBb0Ux6mGVA51J8W4MrOxhhBY898CAZsY10sJnDL0JJow/gEJ6Bqjc/du5WsEBBLB20onlMN5
bNCRDUE/QA4y+zcwZ0b2y44+IvQBf4FA1PqT+cjn8kic147iOUOZ6+NIDgxj5ik7sObhKYkqapup
2aUkzlX3TR1hr+yyGiegBZUWFO16t1r+yDqC2dcRs91vBQeXEjnHbdKhbFBUweeqLf0FAZ3Yowme
KV+zKbsqSskIEf0K0EPsiGgcFeuvwEg8/nm9/a0E+s13FYqq1hIaT7jA2Y1iz1TEC6G3rd2/rQ7f
SSilvC3zAN+IdK7cvKbJjk5WJNlNbNcK2CRp5qhONb3cPpjAEPHNhbKZWTGulwi2jgS0VMe9Ldrm
sFnLu9AF3m9kBaaR8a7Wisfbm2HroKmEKfLd+OUOW5mF2r7ZyriUx5kKvU9Tc1iNkfOmvMl/Sqs5
3AOpmu/00V4wXrQ/lor1pY6sx+dfwqcm+oyc/SDtoi/jvAp3RuxuWhkbRXZjK5S7PB9vN6Z6zlQZ
moLRifaptde1avnD3R6rZIFyFmi+yCAanO0Y5mBWs2jVkLfzBGpG78V0nnbWtPvySxDObBYnLg/G
GY22KrC1VsMrA7u7tm9/km+/bmv7Zjx6IYGvGSwDViZgtzQOc4bf1faxheHg56d18gSwBSD3ds8j
lq2eRJ1dgannCwcFmZZFSXCJ8e5RCIYUmXd+ZlbRhrSWe/z1V4f8PEUH1KvRjRxedGJnGejuUOYR
dtX+QzT4b3vFj7NFWWASKfzwKaiLYaUJiGDfQ/cbOFt+uHZ7EHlmgQnmB2g1UI9PNFkjmuYhfngW
8UmLrBQ/xJYqtMkA1Fn1vER8kbr5vrXOVhxaWmjpA/ji+xRBgOg1C++RMxhVmk4aKCFWlcSW62Uf
Oevi7h9YNrx/BHLn//ic+YVP8jDlxlLhBSC+OXuK81Jj3zDBpvADTNUvkakS+Gh+x1NARlIn6sd7
I975e/QrfEwf0pfyAFv1/+EhcAakMtQwr6dVnIMg8e38Ku/emJcodlhawRMaYjG2Tt42KaLHxxcP
aBMsoIj9sMaovHj3Tzv9Zecejx8DekKmN4F74csFtRlrc0FxwhGgmrfzOUCbuXT3LHEfRfsvBKGB
yeUodd51i659fLvgofRRHhD1dTY78xfmmC8PDGYJyMGaBoEtHskyGNW/obf1jHaByLdsVlMvRXEZ
SprX1awXeGbAdIGYDLk5yrchlqA+mL5l+d+wJwXberCrZ10MJKISEhkXfvkT0MRRqCo4KAghvMxp
9rud7QIhhQxmRVYIkpgP5uQbmQVfFxhIMpB0hrjeRqEapXFsiJ4sjFg+7KyvfvEDcdfz/PU5e6xW
Zn7hxNkmicPlZXMRSpZTY6IU8lOrAAJHd4LY+oMkQHBOUcBgcrEJWGdiSdJW24neeu5GwNqLytNC
HeVsymxIFFuWVh1FirHstd0XIEccoRMXhSb8PicFpc5YqSGn8d4AHkHe+ZKhEx04T4fO0h0LzVXb
tfepZIuKESJ1YVzBYwDn6JJqEP224nC89wOWoMErTPt1s+xuegy8nWFN2Jni23cYfLDak+T/ykZL
VPHhLA4UQsWGKcoI0aiuyR/7vi47lFELStCy6fws80i9/z6nYMBqNXvU3VgEzOCC6A9ZDHusZI2p
MiWESxJIuXTTHHS9n8qohCrMZgWzc08PZ/u2g1gNy8VbXAUBZEJlhrIZUQg/LRtMLfhvFLX3u354
Dc059xiTNIEQtnF1hmyulPi4OR2UH59rVr06V2XYt4vfkFIabEObs9DOikF/z4Ks6hySSIV2N2EH
TnZKkqR/Ylpksl06GBk9l0GpE8tsNHOxsFg56p1Wn4xfWleRyg0Ijb+bJAGiDsBibEiZWLdYE4YW
7rRxRCOllpT6KW8KbE/pqpK9llOk/Snnsv4JwoPlPkvM9KVI1eYx62bJzcIgBz8A1dCAVKcBK/20
MiudaunHp2Tu8/sR+HZUoymTenfQxvqnWpTpez4H8UsSRFlhkaIqH4N00TMbg9bGWQNhLXiyhybS
7LqJo7coVeXaCoZRBjQ5GmdPXdqB7YB7y4iXD2Uav2B1HVbWaRmbzw2YonUvilXpOKEi+G6AdL+z
orLT5LNSx9njkEtLcVfEkpLbizyHnRvVgQ6oUD5KL6Ecp28Lqh3fR9rSA7hE5zcYpDSz5KQvSlsr
GvNHkWRZ7bZ5OSiOFJRZ7GZD3z+HtTrI3mRqieLkRKkTTJAWJQpBUddi+3yvGl/aBZOIblskZWAp
CmM/orgk6b6f5gR79vpFehzQ10KFMq670mFtpHRuWoMW01oGMn6Li7BcDj3uzrDIMGrdYZ7CXBEo
Hw8cWVWcYggJaHDDxIaPj07ixbvF5uuoVcGb4huYtptsZR7K1tJLY4w8eWFjBiphKj/1TYkKQ56x
+LkrOxrjQrRCt4a+xKdQaja0tjYr+Y+gyiZm0TRRfRUbzXKbKEWT4FaIbjhqZZiDm6FIjRkOI86p
paS0O5splXMrRt6N1dcaHWpbl1X5bGIljdtUS/2zD5amdhg6IL+lKixSpxhMhPbmSBmGelI1Oo0V
C55pnOfSXumzvPdoOzTTrmNNPztalk2FhVUU9GlqR1l2pJmEmTtMy1xiQVcbLpXV1xrFYqmmMWfB
PPyGraKmoRIsS1BgSPgiTTIPVVQY8+iPRmV3487QIm+of0tZIcrA17IwZ6xQ2NbB+8lMGBKTc9wm
wLPY8BFOvpmEytMiGZPFWGt4c1LJboEYyor7qUusujCBiZJgKfqASl5J0VOVCQvdUa+TzvprC7py
RIAkghLsmzQ4DzxpU2p0ej75QITNtkYl8DMZxp/bQrj0Ejqs6RhlgPNRKbwC4Qzo1Pdt2cf64huU
eOZQ2hHtjn1roHw+/2ZBJHgzW+KILJtwDgajKu/tl8UY9HIJZb80THLfB3ri0QrKmzfz8FDmC7W1
eJLd22e81iO4IFlXiWno4PngnURmtnRsJ2nx4yphLul7pLhN2R9Jq5dOSYgi+HBc1ePjTomMT6Yb
CsVg/qptF3ZhaLGTWVYj2Y+SmNphqFdnNkiDQ7Dd5Hj7aFyi+S9RiinLMNEmPDoX3tNR01ijJrIv
Y5nxgRjFD7UzMXIZg4pQD5blrjCUzs4UqfZuC+ZnBT8kY/sukJeMYE3ER35/cUhZKuIQm0wWH6z3
NqtVVzaH/dizR1DV2LOeOOr0MnSpvWiHuGwnKwYPv1UFiSDV/vh4n5+uRhQZgYwuGzoD6/Dny2ay
1jIMUSm+TjTZxjYLTbXoaAxWMhW1GykKdfuqMWyYysmel7iyWTK0Xh73Kf6XKbTycfhdx1S3e6Ur
TnkvS2dZXpYv3diOHpY4NQ74RLND0UxsX9RR9VwAoGnNxRx4RZ7Ud2ZYds+3L/c6dsKZ4Fzw8RDU
ML72KFexWrVqL/vaNN9Vav21qzTRsOeGkoK8iDBcG1iNTZ7EoZrjpkdEM/lL2HVnVZ0CB/ocv1O1
F5FNXYvSZYjSFfRPkfJ9lBIuVCUHuV0JjgrVL9Natxjp5n2bL7mto4kreA9bogzoAWEYOIfH4DIj
uTDKZEL04DPiGqPdBrsxF7zu65ATVwZ/j+09cKtY4/NZ4ajOIlwr0/xGjuuT2rWzKw/EeCpyrT0h
IjAsozc6m0xGaLNlHiKBfB6ghJe3/gBCEL1jYME0OGfVsKwhWqBpvjJ5BBvTrYAlzpi+S7rusNlt
zWqnL61VyaM3hKVdzIfb2rn9AxgxTU1nOC7lfIaZmxrLjfUG9Nzpp9BNexD8y/WR6surIn+plfpQ
UM1PJPNeHltriFv39k/Y+MwIvXS8D6pTbNDkzF7dQ/48KDB7ZT58aRS9PCY0M3U7CgKlEVz4xgdX
ER0oEIPnAprnzx981GjSJXon+7msAYib0AVLSgdd92jajq+jFAduqw6pV9Akt7WFlYLDXrsvXTU1
INyZqkLp+IafGU1SAG2S/aFV2InM8eBCy1vEtEb2vSikUmB9rn0K5BGqgF5Wh6eWOfcVKJK81IzI
flwkxp4qRXEEADDzzFAdHrI0yO+kYNTvzZLWAmPOFzZW1dbWe1Z1poJTm49GVBTXR8D/ZD9TMQdb
ssc5mV9LCRxn/Yh5RPYYldFLmxB70WvBV944NUSbJtLJ1aHxnjQO9WgyJZy6los1KLCD4VuZ+Nhd
aVW0suN2d1uF/8NZ/xG46viFVdTiQFX1HgJZPVpS/S01U6/V8nuzwkRV0h7jKD4WdV1YI1UEsjee
j0YVA98XsRgSAvWz6CXNtMiQatU3sCLBAXerYqf5AGZOlM8Eoq5dma5T3cCSQABKFFQdPoua4zjq
tbpQfQ/jR/btK+R7CKu6XP5x3ofFVQ9mRTQF/akskYRbxdQfzcI4L0H2S47bOwCYHSmtD1UdP41L
5Krv4zh8TVjrhrLkBikWuMqLtSR/1Hp2w9F4uP37Nh6ujtAdUdkadMIFfj67ORu0SqZO9YkW2YNR
2nH9PSlQwcY06m1Jq8n/HAThIi4kcbrUL+AkKUZIopFbSU5CLekhyk5fbksRnYez+3IZG3JNRtVP
08GRh3NndF5ADhWjzn8hiCkEFl5BeMkHDEZVs3YKGtUvWnY3Nt+TrvLMkVhEEVRSt04EB4pJbqoB
9cRTK5JkmhQTm9/9LMmcwvhRVsZe00ZXSqlAV7feAVJL5HKgLJE1vhzGAkoHooeaT5Ku2Ic0/4I4
YtjfvrcNz0xUrJNGyoGnZqgf8KgLm6KkkqGEWar4WhuE9mj24wG71sLFagy1t8qYLK5hTO2+MWl1
mKu+d2eEoefRZN0XptNBcL3XhyaIwmDJNWLCb/JxbBdJ+hA1qey3rbpY2ADc7tR6SAXacm3NCOIA
VUd2J6smhvI+P7M0pfCe+JB+PiSHxQjOXdcfQkMQWV77BwSwMJUadtSiKsHPmXVzLqVrQdxP1dbt
8tKrK4Iq3nKa5elHUKuP2iQwndfKSbBPAvcmmxShNz/rketsZIOuILMBheyjUrWDkxaBcTSNfvGl
0Zj+WkWRRSF0IybWTOCUnKmWUPAxy6VBWNepxSkqjdYfjKgU2aprpTBkXUcujgADQTSfsCUNLfVY
nnS/zHXidHra7sYy/Pv3RlHlMrE0DErBoBeflSKTmnSIWkiJ9Jw46YSKTtnnpuDKrlUPUrD9FhVu
hsoCz8e00LwIpk7TfXMKah+po/KOt88e67bV3Ntv+9rEQ40hDSU+gyAI1D4fqM2VJU6yhPhS1SU7
UuXwWHIh7/NM1XZzMsyvkdSLvPfW+TRk+fCzqLKbH02iC3syBTTIi7IjftzoQ+5EfZLMlowKs27p
bRkSgRu7Vg1qomzCYPNhJJHcfD5jWcxYST7WxF9yUCmYw9J7fduJ2EK2DoXyJkMqinqBxueIrEqH
pQYK1qfgnSiXe5aGeyVRBVZp63shezc1EK5TrIXhmku5XnVE7XLDj824tYdBzw5Gpo17Mygj7P5E
M6A2h1CgJBtHY7g3xO7oKBGVcVpf6sY0sF4nfmpUg2NG0XRChlhZs8I6gaiN+JVCFsN6axXpCdhX
Pn8sbSZpoweM+LVJs12Zz9IpK1JjbyhN7/e0CQ9FFvX7WTI0Wx/V5JRPsyLCn294PIqyF1CcOgqZ
CjT186+IpyEEcrUwfCYXyAqmY6eHrl58MzLfKBSrVDorNNC5sLT8mQqThq37hj831zK1hrrD+t8v
3kfVMDkMFpn4UUpjK2mjydGjObIQe1eC+94UhVwbvUKs3EaO8llUOElU6nvT8E0jMuUT0dppfEjm
OFMtJg2TJiCDuX6KJgJWWdGZoRo6/Sj/XZwsz7Ko1lvN8KUyCF6ajLa/qymQBS7u+lCrFEQHBL3C
lVbn86HaxZBgXWXDVxuz+aEOTPMyDe0uK07bXvAgN0+EOA97lBhMKA9vL6lEskzKqM+6aAQdjNaO
pTeWwPsLnMKmIIMaaOYqyLJ48I9Sm6RoB3wpOOviNQtovpcluTrf9gc8tgLJz+rd0BcwUZXAE+QM
TJug4VMaceAT7C9+YxWmkc2kle6bsRmO/UjkUzgtyrGYpNlNwM/opYmc79o8759qJTvoCagh5TTI
XJrUwc6UBv273KXd16Saq3sajYYzNF36i6K1KDDzG19dM3Xd1PEpZFlhq+m80C06Nkj94zbwaR4G
dhminGrk5Jlks+CTb9goPE5oF3wX4nvCs6j2dEIHlqiB38F9KZYiR9GbAV+duaibxD/r0qhf9Kiv
B0czhqjwTPDDvA4pmCYER+anadevhQAV4TA0Ai1xvplTZhi4kJPI9AMzwSBtIk8geQadoGOGqVcn
NNiDejFw0hxhXTNKjdvNwV2cs+Z+jMb0nKXmq94k2imD4RekqRufA+EL4rGVsgbhMxdZyEo/sK4P
Td/sjfnFCNGWLPOwelxQbBE8jWuniGzOhIeH5qIczyM2u36tchVVeh5Zbhv5T60LraZPLSywtYLq
r40Lw6ymgheIFFzFPz+r2ayFbU9Kmp9L885gWDmxWAYVbN69vru15YDqIKrosFN8MRhHQXctVdPz
UqAzm0/KL10ZFtsIUbO6/d6vsgENpRpUUBgOhYyKb2JpKSsApiqzcwBnep+l8Vp6jaidBSQ54ukM
3m15q/v+VFJYgSjEXNNvdAdhyz7fXiTTvOzRXT8Xuaw/zyizOIPeUxDUjb+XoCNAp3SLo0Qae1Ll
qRBIv8q2IB2BOwrdsA/oTnCOoa+DTmu6oTwPaaifk2JZ3Eqdpl0bdb9TKYrvy0hu7IilyvPtY19p
6CoYga6GaAK+gu/daX2uhUvOyvNUD2yxNC2sdIAXglCxZhX9Ii9fuuZ3Uk3z375CCIaBQqUZuR76
PtwrjKWkxYqXqDr3SwGcCSJKF+oUW2Y2doKHcW0WV1lEVohqwgIDdvT52yakSNRMy6szqcfAKZqK
+d2EMA07EJSHJZKjP+aQ6MegmxKsMA1j9UEBfcP+9k3z61kQU+BXUPRJ0USE2fmg2b1wA6MZRoAy
VNV5URrjWZcAW5HJtKIXqIYL6JdzMs6FJ8tl/5wTsLlbcZbOj+BayKyFpcaxkwj1uoC9q+FSeAub
vcloJBuzetWP27/16pl//FR0HNB4QaGNt95VPBAGUq/qnAaJ7maqeVcgyt5Vham935Z0FTxAEuww
upmyJqPnzrUz0fZJFUMi5XlhSuzUxpBZKDDkAjt8bUzW1wUqV93EpB96c58VIDbboI6NWkMHNMB6
03ooVFR/GyN/7Fo5GW2j6Mh0uH2y6zsEQbSmIlRZe5uA1X2WiVx8zvCqDb/Wl3B5LuoU/E0F8EX1
fTVh5aT7t+J0tIVlaBbes8lk7ogELPVL12emn449gFYUXVvzjD3jMrFiOQrbv0ZrrPAzvCj8BQYv
xte6Kr1pa2k2qR+qqRZbgWwmWEphsCgURObX96jjSJChwH8i/OMeL1RmadIiNv0JED+bmBSLJQEV
S5/HICKxQFGu1fGzMM4LoIIXETBOY1cz8D0WMiosRJsS86+tPVK3dZUhXA3Wm/KhudmW0ZIPEvVj
cBXstKUZYGyJMlixvpK/jRTBAul0TDRpRioAGV0bfIShqHihEYNgASE1p5ZBMjcjiZi/mJNTDcEp
nmKgA9qXZVB2tfRyWys37hN0woZBVUU35ataZdjN5ZggQvT7OpupNRM5k+zONFImCBeutETX1xyH
QYpM15LR52PpJpZ8DmZV+rKR7mMKf405eMllqqhvJhLEeWqjNjWsYSlLPzMGRy3+lOMjrWKBr7i6
NpwGGaJMFCwoAGsYl+sEwdxGcTCVgA11iZeU5Ush97mgwrsp5ANuhcI5Q4by+cqaSMqkwKSl3w8x
gIwk7OM7OSyK4m/f1HqYjx11KFegoMd9GsIylIyYWfpTGAeHMWexjb5yK5DC6zW8OnQaYQxAXTIa
uZy5jbocHI1IjU7GbFdKavcgaQ8St6Hzbgr/0rRDFmB62JutohCDh8nd3GjMlFQkIKdMfjC7ya4d
2nXO7ZdzFS58CDHWhh9DAQQwks+fZ87mtVLBjJOcGBIwrFHyuui0eB2QEh3rmYVvHXLV4wKM3i7U
ltg2tVb/KvdG+GhMTbbrJbOwGj1sj0WVNdj9q/8sS6a1lpHooSEIGPj4df2xBCgQwwQ2FO5n/ToX
sQ3yuyAxl8I4ha+0cj2yU9zhPHy7fSU8dh4AEPSmUGnQKboD60YpToq2zI2ZZ+YJgWxuDznDJGRd
Kx4g2WCGDYrJKeamdrupNp3EjNM7o22nndQZRYiSYB8cS9WsXWxeje4oVryeqRSXL51cdk9smIY9
JMuHZYmCxGnaUHa6TmFYHjr3pHV1Cny3FSlA9AosFx+b4FBsrXSbFJhP1E05gwJwdb5Mi2GedFCx
l9VOUduD1H9PUd+4fX0iQfw3kmfgOlpqnoblBGiDrY2alcf36fD6X8iBG0WFEFVtNDU/f6VFLbou
1iGHkhk77A2XFfH3Sq/daaHebVEbjx7p4T+iONMC6o9SziPTPHWsfwhy45XWXjefOwIWI3UU2EuR
MO5DSTQFw0mJc4EzTwqds9Q87TvRbMTWR2JwiApAftByPh9Tsz7WBqC+T9mwYK+HlheHtmzMvTn3
dzqdFcG3Wr/FZda7Kh/gH6AfwKdCdMUFV/KgRdgEB3FjwyYrNYreadRYRE/N8zIhg1C0FTiuUHVV
dB6/lKLmlTDQHPqjGle1HZMwqNwh6oavbThQbI6mo/qjHdvVls5ZNNlTO/e9LU9qN9tpyfqX3pSL
yGnCMQwt1NW1EOx2ZaprmNqcl/fByLNHA0TlmlukuhogfAo15adcNRoQ+nPfjKaDpg/S2VgNa1FX
7Mr4GQpaYisXJ2qTQBdyDyvX9GkhCZFOgPDXXwZqGXtZsaVkF7SCJ3yVyeIiEeGqaJR+BI78FGLV
Gklhmn3og4Cj8+q72ire58Y5ghFW5H+uVANgXjQuVZTKkHxfwbGVuY8DqkyhzxJgcgbzEYj+vd4Q
LBMrJKtTvg916JRags5Y/nXBv0rw3PV+cGdJhN28enmffwrlksQc5RqljMfQ76RjLicI7epdpu7o
aFpUKnZ/aVM+hFG4M4DEQTzICRu7ciZRN4d+nH2NNckd5j9D9JKV2WmY3m6L4mNJfE3sdEHjiuJr
rkM9ny2l1IGIswU83FeS2lGD44Q5hzm6vy3kyqIYCB/QzgRnI2JjhJSfhTACXjK5pLHf5Oa5D14D
Jd2NUY5PJcgsruBJOA4k4SwM/hdxAGcgB8aCIMongMgU6UQoFrNpyDO6Wiufx1qbd+lUTm6mkNAz
QiV9mCKz9ebITK0xMocd5nHUR3kEbL1UEFrXiFweAoT1932hPZUDo08AKGPX2e3b4XmCV9PE0P1H
O3sNtBEIf74ePcDsSDzGiR9h9EY/KKE/kQP6vfkDOypYsvOj/RUEjhc8Fr/xm28LX//2J+v7IRsZ
NOwvPg5fTTWKIGoVNCb8PkfNzW5Lf3kEZwVLdtNo1QJwylXr8F8n/V9p2L/1+aRzDAg7+E0Sv07+
h7Tv6o1bWbr9RQSYw2szTeBoFEZWeCEk22LOqclffxe1z/We6eEZwuezYe8NGFCxu6urK6xa9SsM
qm1UjpY4ya6m6I5moBNp3PeJbuUvsKWpNq2sdVE8isPoBEA1EJViRnyF9p965JXYE7KeyFUBUJqP
8qXSE7QqkYqneBaUe0V5C+qXrpGtMAZC7/Z+L9gR4/wTmKtQCEmiJIqK/R4/gviHhhmFPmf1LW9K
a0irhTcBIdUMnEadbw7zLzc7pJpcIs6OPX/cDNUX9ScS9O8ZuhzF4FlJ1lqsry+5iHz5bKtlRMH8
d+vWmf895FKb1mIXekLk9bpqgo/fyoEJV7LP21u48AJBkojwB9AuQPXZsET3o0CM4UF7vaMQ0awO
KYZahyoprWZFYa+tI7JmgC0gFw8QCOonl1s4cCWvF7KEUa6DOHdckIx7ztaEsD3MuP+QMk/WwiEh
SceWZGOhmVBBDCJvsKnn71TzUZXtwOIw+DBeeVmWDulc1KyeZ4cUp3nb9SlEVcVvjjODh9zYt/VK
JHbVqDIvCIBiHUYNPpfE1pzUeGyiIm8iT3SrR+mVt9GNR2rNeag+UwqcZP58WyOWjulcHnNMSTUq
YtxBXgHCqbS00hClp3EtvXltKi9XxdynRBmbmGsgJZrsyHaAcRLs+sH4La9kG9k+8G99mMNMWGQN
CVzWAee0QNJ8VYnQi/KiSdk9HxRuoYWPep045WSYUd6YtfxqBCUlelsfp5H7qtCHynWb2/u6YDAR
QSEwRGgNWAKWf6kuFdzoUsuy2NOOwlH9of9SrZ+FxW9qM8Dv28KWVPNc1nzIZ6o50bE0ZriV1+S7
UkRDk/ZZVx0Z6NpIlyVtwX2Gh4CAA8HubDfPBKVRFVapPsSeiiFT+RCRTsFE+HjF57kqP8+XAK0S
SPhr+IXI41LMDAcI8maKPRScH+J7dQdMaPaYPfYnwatM3yqSnIwYevb3uwiwpIZ2AqT9kfK8lBrK
GF40yXLsBXxHOPgqaHcmyNH08oqrtWi1ZryfhFZGDPFgnVQNcbwANY28V8VRRzLth3t0S2KsNgKg
Fau1qIfnsphXs5xiKqQcZA3mPCbvvSEv8BLIPDR0WHmg5w26dIhQpDlblni5gU3Niy2yw5HX2Ir9
P/1wAKdQUQYCB6/X5Q/nhV4MAx89Dk3c3hdCBjZlOGbW36sAMLl/hDArQHQoqBOt4U4qAVHL9lhK
BUmMh6DWV3Rgca+QxdcMhGnXNJ2iXFHDSLrYi7UsJjUXH3luWKvyLD73AF/BqZg5MoE6vtw0WhVl
Xae4r6PYU7cOBTyTxqRYNQDCKE/oP0cQc6BmqqR2m1PD9gcjXlGKa68NbUCA+IEqAlcZMczlJyCc
pxhPxsMORgomFhr6vkYbuh3y0tfYlIpFwV6zovNLVgojclAxRk0engdjDv0J04/9ZL7IseEiWTNt
EPwmZowZWyuLWzC88G4AcwCeD73YbBlcLfmuGvIg8QTlq8D+wSWQktqcG2lvK+bCki4EMQcZhF1X
yjEXe4qY2sCo7/xB8UCIYd8Ws/BOz7Em2l+EOc/DmsAAXfp9FiWJFw1GZZd+HgxknIxPNc4aE8XI
kMS6L5A214cAXf7DKgRqeZ3/fgBzdBMX1QhuisRrBP5V5Hi345VjOnIbn1cHQnX5LlallyqoNmPX
BAQlTuAn4yo1s7gLLZpmPImATF4xC0tfNVPqzuEAAAhsATovgMUDu0PihbVCNBrb6fSolcpKhnJJ
mVBuQ9UZaT0kiZhYtoqlsAOGbV57c6iqj1A6CmK0MZCouX3KS8uRkCLBQQObiV6fyysZIQ8V8UaK
5Ui1LYBjFP5CU/11SUdFe9yZFNZgd5I2+E2WeJ2tAgMR5s9C87tAj/Xz7dXMqs+8OqhQKTOsFs0b
6MO7XM0g9UY81FPqcaKRm3VfFghJB/u2kKUtOxfCLGZU2lIOCj71wtSUbBEsP3//8zWk65AKQw84
3J/LRWRBLTWNUuI5aF7F9Ecsbur467aIJfVCJQoxJuZBgkaBiV+EKsOYbaOCiOAu8x9psu18S822
t6UsnQZAsHhsACoQFZalqOp8paYKLKJUTOVvNK+B+VJBn/OK4V2KkwCM/VcO81LXTVlwgxAmXvma
whvkQuILOehkfMIHrVlXvOtn6S4tKzKNXqqFd7kgr9zXpdf14huYQyuatCtBO4VxJmDQ+oWqlfpb
fyv3tW6FhR0+3N7YhXcUzcvIvwO5AewB63ojKowaZYgTr+C8McqONG1NtdkMSWiH5Vpr1oK6I4GK
VAHKgXhEWWR+V0dyABrHxMvoRFr1K2hykmrKyqVa0Ei08AA9i5o/MmjfpKZn0UTPVeHg1yPOUP/k
0xZlGQc8NDjENTzr4nKQDEZ3GBBrKs9Y1jjQu6qhIp7priZiEZjTtBvzNczjgurPRdS5+2nubpSY
CzZUedTEmgazqqvQxsDkm/p/2DEcPWrWwO7IQNdfmol0aOKgbdTEq+qf0fTQ9xGeZwzKqJ9uK9vS
yaAxD23TUDU4bsyGqbEvAxdsYCnwg6UhBE9QYEqpC6qulYu8dDQwFDN2EwEf+F0uV4RCT00B5009
JcPUKPnFAFOPFv99ZDebihnHOxOdsBj3pK96P+sbCFHBJavbRnAUwkOVrqFL5m1hniKUkmYk11xM
AsKWWQy6SmiTQU6T+CSKEruuo22iVlaL5rQi2IWdvkMjxIq7uxTiQR46W6AWeNGvuseyrh6nQcDj
5IkP6BjoCO/mRx3sKlb3q08AyVs5tOv06Iyf+Fcgox4lH6PBKpkFnkQ7tbjnyc5taXtbB5eEzOg0
oOEQJKGt8HIzE2Xis6wfU28S7hNKNFMsgfdzfsnly21BS3ZcwauI/CFw/sj3MrcqjnVMz+6lFM0q
JLP1/DFx0oRoP6bfQWKOazWLpbt1Lo3R+JwvKw55UyhjHwBV/ikHHen5xlxPjs4/iVXHc0mzwTqz
r1MRCKHCydjBbj9p6Ya+42nMB7tVzSIx+2QfxU5TWl21S5zbW7rwWF3s6HzrzySXqiRl1BDR1XQo
Q4/aza+mI/rn/00Ic9v6YJqiQMOx0cZ9jz+St6kw/cfbMpbMExqhETrD+QdkhZXB12FnjGnmNW38
q0DzTTOhm0ltrP+bGObp4BqehiOXZV7ZKJs8D7dTOr5rcrzmNi0tBy7gN1gdUQZrCAF186V8SjJv
QBc06dBe4yRDMBcalLVs2tJriPcDIKeZVxGu+aUKADUCAJSQZ54hxaop+GjUVTGl4/a+LdwlQO4R
kQFHisQQ60HQoDYMzHSBwW0iM1RAJNCIJkqjwMStSFrKLKMTGEZPQPEeRRrm2mp6paedTlMv7nZd
ExKlvRPTl6pwuxLIi598vxujzyz4QOm5EhRzbNfci8W1ziQ+SObMPDpMCBL7dSHRAepe8BsNQVsZ
OYMfzQNrbu/pQk0VISFqKnD/AFxDz+TlyYUNuB3xJ8NYZsmRzcn6zHaU/CYS8tY5ZkkmKK+siFxQ
lguRjLJMSTAm8hBlqHr0Dr8bbN6OSNiSe2FXbamL6e4rEhcuAgSie9xAMATMx/xBZwZKEArF6HmY
Rj/N3AJ8YKhOceH97WUtWEHws8gzedx8XizzUKeW6Pto/dRLJBmtu+6UYkSE9ND6P7hmJWW+8FjC
rQVzh4z+E/A8MQa3rYDPURLcthzkN6TPghiUgHHmZqNMt2WHeDJDD+YhQgfm/7CT6MUCsxrSskgo
MM80kjWimOGXp8le3//uvLj/ewAJ2s2AV0eNH3oJ4rTLw5J6vyjDIAy9rv0sAcPnFbRCdrsMrasG
CtG3D21BM5CRBXAE+Le5vYy55+Awa1RuGiNvCkszr3ZNIJN6XAnmFu4yvEO40ADwIhxn87Ig+czE
RJFRD5MfsqmzeOVLNVDT+Hv0yNzn9a8cRi0iLYRjKKMcpimPqq9ZHfcRF48Ada/YjAVNh41H8n82
jdBBxiHUBYXWoK2NPFCe2joCBitSBJTmBTifWfI+9aWwckyLO/hHIjDDlzohN4JUou8g8kotNWWE
/2L8mINjVeXTlbUtKsSZJNYcpmWcC7mPkmLjA0o18Fig+kE7bSVIWZPD2ECjq+hMGRh5WYUKnhRb
SoYwco0YZL4rjE8IRwbpGRnQQSTomLuE/jU/UfQcIIpaoa4hJJteGtbC1GUhQCaiWQeoRPZwkqFR
+CFGNgtV2EkNvrRk/HX7li7YOyzjXwnMofRBkHSpAAkJ39ip/AEGX7PmtQ0nHMBbYCG0M28LXFoS
ImFU5b9DfJYgoTNitACrEIhS7zEHMwI/1j9ui7hWAGl+bQFkmiEa2LxLlQbnj0+FDDacK3WzCBPS
tp90rTZyvXGzEFDDzWzAwKYzQvpGS6YOeXKvKH0nNZS7WHqOVHkfUnoMsxZ0Ldrm9rKubyqg/Xgg
UMuFMYJNvVxW7XOyAQx35qFJm/R4iOh9oJ/6+K8NwqUY5vrInZG2XFdkHjoIwK+sdXdTeaeuoeTW
FsO8DlHpt2Gdl3hnVTtNlYhEDTKMWZWS2vh9e9+ubSoWNBeWUL3TUCZmFiQaXKrH/JABEXT0o/JH
C26bkjZYFjC0oWrdlrakF6AaQAIdjjQKoIxe+HzHwSuEJx3GqOxHSI5x9EeF6aRV3X6h32k9KXOl
7vPtRckM3uzcpMiy53GB1mJMb9l5chrXVgOIpgWmrmIjdXSNK2hBFHwHMDcAtwAHng0TNGCrijEU
ei+JfPmQ0fSVxoHoTJrSube38cpM4EkHLGKm+JhbmdhMY+2rIldVfe+hpGpxWmmF6UpaZH5KLwz4
pQQWG5H5qdrUJdaC28qRruM7GxJrZ8qTdgPwXmxyfC06stIYFk2o8Hx7gdfJplk+nnjUTQF8VVhm
j1AvhBxOaO/1P2XxQTa3gkZAngKMJ5gzzRozhW4LvFLMb3lIYyDmQnGH7XPSs0JNKh3rpY1Z/A6B
hgIPfWdN3Mozf3XdGDmzDp1FBH3lh2j5FCGHOoFSEU08BVYt3YmrRflFbdT+XRFz1aROjkXfwIqg
8dUPEMtuo9+G3ZLajjCjmrcSZ+XM1pY2//vZ0oIgCqseAArvMP28Dy1h99f4o3nvwP6NzCeqxnjC
LgXAYw+aocLeTT+LyJzMQrTs21pwZXcZCYwxLEpkHLNZCxp1n4LW1G8UUJuCIfnnbTnXYT4jiDHw
6N7uxEqRcL2ix7ixovpelkm78fyelCnBbIgXKrmJ8muN5mlV8GxZzg6pVKpgSgMIVo6iURLeHJyw
Ml8GR+I3yu6t/ijJyp4u6uHZqc3/fiZxaqtECAWcWsv/SKSDHPxIpRXalzURjKoXfsSPUSxjN6X7
nn4O+qGQ3ldObPb0rwzi2TIY7QZuccqyWfmSMLNA+2WEpvxaNiSx0BiWu764YiiWTDwYEdGQDv8Z
MSmzJrCkxxK4V3uPjyjhfTzGUrkiYmnbzkUwS2pCtFPHQTR4IiXDVt1HK4/92hJmm3t28hjGkEMG
ltDG72J7jPvHlTNZE8DEg6EkcE0lh4PnI/tQbtE4UIV30sdw6g/6Hb9/jo6xmT7cFrqyaSzFe9oG
gM5qweCleWUVQmUWwCfm6gpua1EK+DZAdDhnW/T538+2rozAPZDmOBqfmiIBEKBeCTSW3juQTP0R
wKgXSHSGtGmTwct/Abthxsqpydy+t+vIlddKEYtGByEa5oLoKPaBHOZyNWGe+iKYhAZvFN75mYbc
QYYKExYxBko35Xcc0srqlryXPwLnHmlGYJ/QttZmgWYpmXxkap8tWFoGjJZBhmxFzZe38j+rg7Cr
Z6lLBj0uBiQyxy+DEPr18ffaACIkxLjox4B7zProeqcNaGaDzpX1Qx6f0vAwxqfbar2wiAsRzINU
FGWpJSA79UThrUh/4bpWxbFB//+9UKxc24VH9kLUfKvPdFvsSnQdY8SLl6UNEh0fkv5GMUFEWItB
l+Wg2ItS7PeMi0s5s3Ebegl3CCpgDLqZ60jkYTKMbKxpwILngxX9K4kxdDMDhjBquExtEZsJ5vXI
OWcnksn5lKgru7dg80AarSOlggZqA1iey1UF/CiOepkOwLh3JJcnMiD7dVsXFjcOs3u+w2jwGTLG
RxGkqU1KKPTA77IqcECZSGR1I9Nsc1vQ0r4hYY2KMrpgUJdnNEGvqDLIaUfR9N+RiG7T8kXP3+b8
mtD9vX+P9DjK8/P8iBkHcrltaREPUSQVFDj5/tRwJBfssjKBN0n+GpoEIr1zScyixLgIBl5uqIeJ
B2CikuLQ7Op8LZC+ribPYgA1wB9UDuEYXy4IdE+BpkQ99VrJLD3e9guX5zZUJVPqVttirTt3yT6c
i2PUbtAzreAojiqUkr36ixMDKxpfxMAWBBco45UGi4Xn72JxzGmNyEsaNMHilD62soInmf/Q/yX3
IUBqKOjhVQJeGEAatHNc7mBscDSPm4megOwKT5KSy1s9UNcKF8zGXUlh3r48CdNISgV6Ul7jwQWV
yiCAZvExkT+44fX2dWIbGlhZbPecGtdSxjWQlXAel73pGUjJ3tV3MfciVNXanoTJJr4r6JM43iGy
Xat2sWi5f+SjGAsSK0TuV8XLMNIrCZxvFGN5RTDLWVlvE3DMKdv4gK5f3flxe73fOKQzn/xKHnPV
cjXXIhwyPclu2j4pk9VvxtEp3a8ctbzcHTbjJ/5sImfE39w2da21YZ7fYwhvfQJjK/s559QoGOuj
82+pfmzR5FPkvV3EmwYtq/FeQ+PFIETHLmmtunhT248RoL0p36JgaOrFPgl/F5WtYtgg3bdlC+/k
ccrdpFHudA7zDvXBLLn7pq22rSrsBgwtH1fqActKA8SSjqw/8AestfdbVe26UKMnTJfgTd+df9db
yZn/G5q0dqjohjvr9tExlv+fkwMk75ulFiUdxnqVo4EeS5GjJwqYm2yVRYWCTjDKERnA5Gz52jiB
8w1N67fFLmvMmVzGjNEqaFU5UempERHd91aUD44C/0D271HgSeTEGbgXoXSD/tAZ2yEAAZhBIpGo
g2KF6muWAPWrDGbkH7h8X6x8Hduw88+uaKjkghVTRdDHuK2pjuFbU4+jqOWYqNGvtLxDfi/VUXXa
gqNIGzhS7/zVogPLmvqPXLAioZUF1V1k0C8tYcrJaEINcBpK2DuxCvYXMI2o/khKPbd8YyRBkGLs
nc35+xo5A+FQlidkLQRwQExdRLJJ2msBeL3ux2JXgln59qEtbQuiIIDOkFYFUwjr8vTqkKt+qXen
mt5lGF1URo/QVSpHZtLnmBN4CkoyjJ6y4jIs6ChatCTwAaKtBbRB7K5oVY4paVx/mvgfjVC4k+o2
ReXQPLOl4e8ClvkEIAvEZeApQWmHBQoYRoZWB1nHmHZ6LOWQ9MOPhHNUEVn5PXpl5MeVLWWyGf/I
m/GjgLOAd46lN+1lLlcmzIo/jUlXPFEaiHYJuWjxlk0ebUK2lGKQTYTDfBKDQdulOeZX3v6GhYcR
JL0AAIFJE4GNzBjvUk5TsY6M/vSohyIyzDLh0UTJ/Uqn2kzXumq/C46MnQYEGJgk2DgeVJKMtHQy
Oi7P1OGUqGN+N8kK95hqLYfphUmggkKlLXa0g8ZLZT1aQQu25Rx1/3w0OjsaJ9HjJh1DFlVpNEcf
JFtwj0un02Ld7Nqq23eR/oy5kZKliaNqThoYv3u/zM3KgDHDkNvWljD6sxaa0uW6UHC4AXM/5bGV
SQc6LEfmR6SCm06CvVGkalox8UuKDJsHDjnUQADoZRSZhnwVRFmCtEiav4B//UHmPrXhoa/uGun5
9qGyeftvxQJgGIgD1Bcxaozx3FK9HcDNUgwn2bcNeYtZpVtDwLytsCTl8NWDdBBosJexGcxM44Aq
Xiujs7Ci/3wA3GKM10UxkEVZln0XTBpXDadKdnyqu10VOvMI2LKwQH64r6dtHu0yVPJV+SffPRUd
CI4rTDQeX/M4uL+9G0sqroLPGbMqMdUBYeClXVXySellpRxOnP9edT9H45iUpFaJVtytOuhMyuOf
daPwhFo4gNtAVF/KAtlYNoR5N5zENv4EDJMkmgofLDqqP3uuNDEBuBNX0EDLh30mk3lNg5qKZSH2
w0nyuZ+S7sa+W5R4QoNdkTYu4C3W2IFNR6DEzydLbFfRckyc8J9FY4vnUjMPFunLRU9lCzZLoR1O
mbyX423VeUp6SLojpvW2dkTNAl06dbkXYpjQycoP0xoT0+IJo5Hm/38Ac7XqLqvkcdY2KeRsJc0I
VXLHv5dBHt6BWkzL5RUff23F8wedJU/whKtxrOKY41G4o0KzrTLDU7q1/OPim4sL/GdhTNjCDRih
ZsTY2ZFrNkJSWTyi8lLdRhwlGGOHbM087y10YoVkinv72vwXvfojnM2x+lTUhlHGItvUOaiqWdrI
tuuv9vT81GxWnK7lE8RkRDz188gGRoc5v0aSvYEsLXur+E2bPOXAd46Pkv/DWBG1vKkz8aA0S0Pc
eXl4URhQMeLr4TTkv4fooIKp2kf0nltoX0MurPCdr6L9+l82E51Y4KueyfGvvKeizfm2xyXt8Hbp
oNtxFIRLJWYtm5xBemWjd+22azfh79uCv6mKr57cM8HMU4B5VXpaKAMu57QVwkdQVT5PPOAmJWwg
7GA4zy8uYsJHGGYXYEzGdhgOZatvDDh3QxubGEu6jeVTWN1X/JPod6A/dpHrokiqdWJPEnmj9ysR
5Wwvbn0y4yU01dDSrsBegVso3erIsAXDpuXWehaXtgZpNbBczpyacPcYuxXSoegmDKs4xcZBcUI7
70ypKUn2w1dcNcB4aysFLwCYh9PP5tmoT1yOxofJJ4Xh34vcARG8WhxAZLargT25p5M7SBuK+P72
CS5cDeB3eDQBgWMd0QjzlehEDoWSm3fDzaYd9R8UaYsh6NYoHytljeFwWRgGE4BuGK8l24fhRxNN
uEzBPcxBgLwJpAGTCYia/OTRg5/38Yr3uXDSWNu/4hj7Bsi4ACp3eTgZpPZ819HG/2nz/ghgARQx
VRTMGueHU5k2ZsWr9ph/BLvAVSb0uA1rxPSzYjKKe76cb8tz9ixUXDnIzYjl7BXSr2zVN27l1g9n
TKRcSm2S9/jhYvzkAwgnag3yLfI2DyqrlluraY9cS7R2q+Om+JQHUZMMJE99rP16J0btIRnXUtRs
+nN++bFg9NkBnYdeJLYdF/zLYoD+NegmX9wbml/ehWM6T5BvRc3UhzF56wXlN5x7bafETZ0Tpcv/
Enj9zzegTxIfAPQrZkFdmvNeLjsjlKCyZfUQio+opWM0uBoEpiyuhKJLL+JM7vJHFONnxBUtjFpS
cTsq7Vjlm/a1Qj50jBqP53bRz1qx4oMPHhZ/bQr8omIhcvjODqC4xVhEKfH9uhY4CO4KnXDGgFnF
NG7XVGzBrZnD3j9i5n8/09+G5mU86v5w4seNHo1O3+wLk5Y16d6Czq27Y7fXJwJqonQE+WT+Iaxs
8Hfz2pWOn30Ac5ZtKcR1qoRIBm+p058wfiMiid25jdneHxVHct45MlmHmCejddenm9akbmsiiig2
D7et7vJ1k2V0m4MJGbA1xksI/DHrUE1CQi69o5hTDgwKDzLR2krr1zh24f+RRn6sXtumJdJk+tOd
0T22Zue/3f4QlpDzH/0++xAmpKiSopiyqEBa6NgX5BX7Lzw22abVMJzAzTBZNMWJPGqx2SNuFQdv
Sh6F2mkns0k6q60cMIAkxxAdqvlf0kn982XI3iPAmxPNLJF3AxfY0KOInqS+eI2M6tfY7sPs4/b6
5zt1pRLox5op5cEYzQYXutSOihDjHHIqcMjqgjzZ5yNLrXO78FswXq7hBxfv2lxIBG4aDy5713JU
PIasi+kJZB/xTmqm5GMM43yln3zxqp1JYa4aNSQ/1YQKe5d0soehxcG+lMLQKZTWeLq9g9+jhK62
EKUVODsGRpyzFCl6x+d11GIL4U/1TuuMO9EVXTTNP3NO6Jav0BaH/rTiLb9r7HE8Fm7gvSTb0THe
OyfYlnbnCO7g5F/hh6KZTbfF3739FDmpueYQLDnnBgL1P9/KWADwswJRUMICxGJIipFQAVkB/4CZ
P4koEr3a+MFje/hfMnEXYhnL7oOPI1JbqDJXHiL+vfCfemmr50cFMLDsvhRgZW4fyuL5n62TiSCL
RBeSUE/pSeujcVdQWttF19dbVY/Wuq6XkjFYHFJY83RG3FNmcTVYnrMgqumpsIdd64hufi9Y3E/1
aT5d0OJ7qpO7zeb2Ahfv7ZlQZoE9R+e2hBz2kxv8PSaCRWZZF7JXN6FCwkIKCADA2oq7t/xCn0ll
HMoMbHp6HmKp4lDYdKO0E6DNx3qDeWp1fgDzkegjq2tz2ZrVWD7PP3vMBpVCB0/TR2X7xCvtUUTc
gAKTzg0rxvC/XI9/xbCPQYpJcV1botBlIM1/nxi62fO7yCei9it46/OQaMITt+Z7LpUmkPYXZy5J
tE4rLGA888VE6ECjd4r4TZAZpoacaRthYm5kwRhvFTqZre8AnuzWeWABgWTJwn2TvxnNR6VtuY+A
+xLpHpxrpiqvhSxLpbOLj2PUW6i5Pk8kXKXMt4PYbbqHNj7psjUO2wytASaGlxeWkuzjTictKI6M
v0/sXshnNJ2LDMy35nD0ZR6YkZ0VXqLZbVmbWrlW/1+Ml/DuShhRBwYmdmgcJ+V9L9d4NXz5VRw3
avemcmDbcW9f3f9y3P+KYdxNXw3yaQZPnGLOkUHTgFKIrD+12RGtPnaFZiW4PCKgIrqVQtcUKIQO
uFoB/yPTNnxxpFxJ0mgvJL0pRsLKHV/bA+bljDi50sW+pSdwxJlyEpq57yhc8dCtEiAuG86z7WYe
I+oXWi/wHV6FpHDiyEuMu6qK30rj3og3eVDuJ/5Nmh4zfhe3G7/rLPBe7jjdq4w1wPrSokFXgAdj
HkV5Nc030sOWKsUI86JV9EOO+lmOTC1aqoLXZ5mytsuz0rI+w7lAiQkFWkOOwwogguCuUe8lviUg
wu0iJyp2mbhWLlh6K1Ba5EHqPLMksgwk+thKIi183OCPoPhswi0PuvCu0tzh87ZmLwlCjR3JHtFA
SzDbdeVzyqDPTGYnWlXWVMKIcd1zWQ+bqYiOurxmrRfqe0A5IamJ8XvzfCnGMowJ4nO/R2l0KjQ3
6Z4HmmFIW2/q3U4y9kYp7KToy8j/sqv12y8/F8s8goHQSokSauMpAkNIs4uq12SN82FJPc5EsDXy
SaFjkXOYydg3r0N/rGuKeXtOlMpET051sva6Lp0bsqYCUAhAZIAD4FIbucivJK7gxlMbIo2TIOzT
HsRuow/dJkSl8G+VBI33oH6D/UOxG5P2LoUFek3jMMQUTBmAldrpxQ/pvRCJlqy8G9d3+lIOe8X0
JE6jAHI4Y9dq75P2WqIX9PH2Yq6jmUshjClv+xQDGGMgY4B0qExR9vkdV4y8c1vKQuAOMRieNld/
kE1l09sYdjjyPaDyJ4UKJtU/4f1QEZy09sRZQYPRIv22eBWjX9z4I1P22vhrRAahDDlLAWqgkuNN
2P4Mo98yoA3jLtfLjShvxcIK8NIM3YBJEyvbcq2/l9/L7D3Q4pGiDUCdZcX9OD20m8bqVYJWFjVY
QQ2vSWIOIANQBe0ykFRr21DfJkplJ8EL+vJMPuaB1ljB7C1ga7AyPBBIh6G/FF3al9qLRXFhQg2s
LEkPUh9umtKu+ycqUVIN3VMOtiDdGRqeDMlEACqJZd5Egy2JfLflt11vCvlHnIOPcEBJaSuuNalf
+8kqzDzqH+AA01EeZj5v6EGTShtxRB1E8G29rkaSlOAX7pP494pOLtyv+UnRgIQDN/QVr5VUCHoD
mI94kms80dQU0OtV2Nr4ZCiPGHVTVsdeDUnCPdWBgi5IohQPJffQAmYUfcXKPg7jn5n+S0PfG2Z2
d68YQsl1gVO0Kwqy8pnsnJBAKGHCfFk89XIiOqCktVutinZIuCb34diutYN8cxpcvux4/wBwmalM
52IbE0KAgi3NEmBZT/uCIJ1WkaNqfn5+yubnvffy8vL29nZ397F7RoqNfA0kNX/99bFAPvI46O+b
eXbYVtAyVNUBNK3KKfSAsyCqSx3FASPSIXAjt91Lru9Ij5k7bdStYBdH1eZdLSbpLn5epe2+fp/n
KWTazL+OsRtXreuREehqiplnJwXABOK0GDgVgNyKe2s2axDFhVQ5ypp4T8BAMkOF2ckzQhhrUd1p
6onfhW+GM21A6nKX2yo4wm9vsDA/7+wBz3Q7oJdEz8pVWm7kpVgaO0M9FeQ4mmAGN1+PAfktk8q6
9952IRnIj9siv7ErVyLRJgUOmdl/Y0nJNLRGlOAiV0/W/lDfn47Ou3OwUnM0jYh8OtsjWqfJySEw
K4/N/WazMTc723ZJjMVbD/uVd3UhIMRWn30N4/+EE8rmfFGqJ41EdtFbzTOAfNEp3phm5dFdimzS
bg3atCZUYvLF0GgMoqXYAgScP8z38bNKbelF8qY7TDTrf7SYJP0UPK3s+/xM3dh3FsDJRzFC8LDC
vlsH6/1wdI7H3HKOocmR94p8zpvuZJg2R4ptfWdh359iYn6IpDhuHpT7jmxWFIGdKwPXc956EMMg
SjFmbrzL16fOUzUYaaOe/EP3eHBqL40c70V0DNtF348p/H4AvvNr3Glr8MRFpT8TPFvZs9IFpgAh
PSxC8CRYolkcjKe6d6sE8b/TSq+3t30hy4RVgiDquy9aRkvQpTAK+o4i4lvcsIxMXm88DxPIO+5p
cPBftMiMH0MMHlvZ2msXGNBgjHgCIxTaDDCH6FImiIi5IaKBfipxoor9XLrFZmVZ12/zpYjZlTnb
wzzCJOXB97UT78o7AG7t2IlszuzJywuqaRt5swrFWJPI3FQAETopDTjtRK3eGsxgw93V++RZeBSt
woGCbvKDv2Iev6sSzJ0BkSuAngZGDINzgVFRVahGMUgbrBIc+f0+NA27Mj9DC3zlZkpQ/ncKJyeP
lVvtKrc5AA3hzHuQuQHhncfUijaxRcm94tYktuMHsGSThMxf3+H/SjeyUsKZL4AvmsNe+X+kfdeO
5MiS7BcRoBavERSpK6sqWaJfiOqubmqt+fXX2Gd3JzOSN4nZRWPOzEED6Qzl4eFubrZNjty2ob7t
0WBbgif/lbP1lREt7oyrATG7UU2rNOS0SruYhe0/u/nTWh/f3wIBM2VApOugZwRB6KxIe7sxNJTp
m7TTtEtjylTae2fupbAjGzNmTZv4R2BOG39XO8J7bVdE3+d2sA9I4zROjEX0XkTMA8i9N96pX79X
F1wgajV4vQBbuUD3EOldmOlJqF+gMme11o9qq9nTQbSIf0lC6r0/PiMLqTFgI67MMWcE5tJkyiL9
0lroTwc039Ys5IGIYX3lZmhHTmAhpiaa+dgu27w5O9Ybu8xJ8b06kCsJw1Qdfdds81NIBtKBRuC9
3HZOd/KsxwYX/OlftLUB0QqwkrC9m1MFIe4oGfSL50SmtGn2WFib35QrPmfNDBOMShANQ9YUZhAG
boat/2w40aag2ufj0SxUc6HNAvD4fw+HeXYkkHjWyr7XLx/ZFg04dvwMROyLf1QPk9NCIUPDFYmk
5qewZnj+YfbogHkOuulopQJfKzNAFaF8niijfmkO5U79UneJWVmyqTnja/xLOT8e5rz5WGOQXkD2
QgbmV2PZd/jIK4W+C4yLVFqhTOChUETz0R6wps+xFM0i+/yPJWY+/UYKIIYXGRcjsHqqBMC1HmrJ
jNtX1eoFKq6EdLMLux+YCnULsAvBbc/b6OpmqtG60kxpZlyyQ/SqvormmuTZ8sz9jwG22g8hQWH0
ZgPqkdsAGf7iH3hbXtnsy7OGhwa0shSwBLLpe4BSDK1TS+MiH/mvcid+V39AZGaJL+LKm3LREqKE
GZyDJlUksW4nrE09udWa3riAPqN8iX5pkE+zUcwEu/P0pa1su0XndG2NyXE0sdqFitcaSM/NcDE0
yeTP/rNwrPbaiY9p9QPSk2JK1l74CxffHAr9zyCZmzxCA7MnCjBrPIHX4FX+Fn63a+zHSw7q2gZz
uRp5oQlh3BkIaIOO9F/oCHuq/uR2s0KesVBr0HGHo/cHr1E0HrGwAyH0oMKUZt7FjGuSnHt3K55H
kyq0PgjWLnxK3Me+YiFRBIMAcAnIxaDJmGWRTPgu4/QGBvmdRkonwJNU2be4PwNUhcEzT0Q7BQZA
ohAspe2+/7nKgrI4t1dfwMwttId9iFnhCyoTDV3PRLMCW/pZO+r2/SSaIPf4TNzIWRNXvPclwEHM
xTNgSsDcJDMPtVGvUgFkUN5F4yfbE7dlJeymP1zT248neMkO1NIxt2BKnCUSbo9gpZZ13RY1d+GN
Yoc49Fc5+doGlG+dVYgDvxIgzL924yFlJBcEZDHwQgAbFds8NkoxZD6KWLwkHJxw3FeZmUOdwRKl
VlqJN+W7dUMaHpR1KEdBPWtG0N6OTAwAjxknSblw00kod3yx16NtYRANnWge9+553yGUTKIjD5iJ
/zoNZyUniugiSqOa5AzfvP/VbjTvtUjo5AqoYOPfv6uvPN8Y+mtfUR49T/5+HKA45tmeb7a12aB5
QYV0Evj/UtK+xwlpOkstEZinqIG5Q7yX/BWEzt2VgFHiCkVcOQsb3t05MuRZ0mx+UWaB7lllPULo
VEMaMQJxgpWEUbkJxMK3ynb0VnbOkmVdnpn/oUEDsuN5Z13ddrIygB2Qq9SLOnDo6x7AL+9LYrGt
B0xyqBipo9Vx9qwY41qhf2lp5w4lJGYRKqHYwtwbPVeVPhQUVMBvgJMQCOdBYyPeKZkrCaQ4poHd
5jsQpavRcfJ3kf6UGTEthSPfU17YBBydQJb80xj302TXFfHVs9ACjVn8EP1NrFsSqJprm8vfkj9h
eUwbDz2cTpt8+pCIV0gbU30vfmQ7RX7m9ckOI+L1dqUfJPzX48N5H8f/3cFgNVOQ+kNzITNQVQZn
aTMhHQcp2zPeTxWwx+CSbMvC3xR1M5pVl4hmXEndtlTq5yZRwdU1lq++mramKHg6VQzP7NPsTzqP
EHoxOW2kVAuJKKUSKcGHR7pMG7aPv/seADJj7Qwg0xDPYghsPCkFYq9Ovp64Uq0nW1D8pSeRU7dB
An2DEAD2boBinuQNtlHgrCEkLmwljf6tuDXclaYokCnGY3DOJLPOrcsBlI+qybsUEaQcGiF/jnBk
5aonoDAhJVYyVptzoL2Fwor3uU++wLSOlzuoxiGKwbOxoOypUslXvO+mueP1VNr0gt3xTt+Yods3
O8AxFe+3vNplNW+IWwcLsxgzZHPwDlZYSRY1ziU+rjPfjVpDt3gO5aLe4z1rzLvAqUMBorxdXW+m
wJN3YsB1NvpKSBtNhalDuN0y+rJZCyfv3hYyGFVEQ4G2K/RBEPUzfqJrwLse1b5bxTIybVFNVT5W
6CyWbVdSPtotIIVm3JS6Y/j8BE20OrObMIq2+iiuIRTukwT4GpDNo6wO4Rq4Dua+8yM+LECx4bvC
qx7QND6Of3gQc00UDaUR3lmy2fdWFlqS9yTIVu3bgObkckn49CnJf4kHEf3fxSaF3lZCIlTHvsfO
UaJdrliasFck0zDeNNeXqcatzeMcnjJLOycr0ZuDexrE1vN9d+VvUwXiDHnaY0e9eSoJfLx3pUP6
3GqnUjZI3Xzk/e9xH01Oqk4rfuhvhvbONl6fqFDhf8Ekcmt7lHoR2gaF74r6Cc7DM/2XkQM0jgTF
rtWp2G1i+dwoNu+Zoll9Jc/8S/8mW+NgKtFeoJoli0Q6K5dUN3vP7DjLAP/+mtO5v/CxtFcfyV5I
baloQZn7LugSjSeudgbJkrSdf1RQN2yeBEveQ1f+Q/I32jMHr1+ZAuWVlWX6WxhipgrMCDiFM4h1
xm/cTpWEztC+VXTfrfvYyp/H8i0rrcF3vJyq3u+GO3SFU7af2RQRST4E46+KN1XB0YALGhQiZA5y
DJ0FfUQoaxO+sJLOlDlnGtGacEoSK/LOEMqQK4uLN61BhMRSnqVvVEi9V+OlibYVqCQaJHe537L6
HICCoBWO7W5qPjWDDJB5DbfhazxCjiXbNcoahvMv7fmjwTN5BJlLOzmFUJOrHmvVRrMjqYeX0D8a
HY13YfReliTbpPE7WppwaaM5/zM7R/kmVswpOPiNrSrv4mCO36q/9bkXGcjwfKeNZguPbdRPqpcQ
qXqBtyHZ4KINfZy7R2jYnzXVBp+99sOTt1rnJvG2zJ6AMgxmDfKDqtnydMyKfQJcaUg6buvrtEDh
OH/LKrPQrHLYV06oPRcfaFJ5fBMu3OAoNKkA6CNEQ25FYRLio1Y3Ps+pvtvEtlpSYONLfwsm/M4E
WCshYujoDR2PeYN2NQvtbzXN0M+1U3Wqjkd5TdRj6Vq6+Zw5qLtyIkkGMaO+9nx3PKYy2n7tOjZ7
FNEDnuTBWzNSWbZkPjZ1cY1OY+F03lhm3FebiMOUypzvchlJ0wQ8RwU1ao0oqg1mpSpLCTrOV2b/
/smP2BjRP5z9zCEMeqrb4aK9W5Kryg/chj9xuHmiaTgGvk7qAniKbKZJtOJ6JGBO2gkImjsdxzEY
t4a+Smt3987Cl0j/aUSa82tsy3UaFWIpt1Lg5rrSg6QvNE5KKw5O2WkC7cc6O9Raol9yoT/7Dd/s
M8MfzDwdQQoWCOJHrrYGHfkkNsVSyL8LzluDet8/7fGFECaFyoAIEjzQ793OFfqRtDCtg9BtPWlT
hZFpaBUFlL3WnKK2g7azam6bRR2U5F4i7i2pDkZlxxrgyj8fn5n7IiWK3WDeQliIhdM1lXHkaiFL
o5rmsas6MSBNwrtmj0c4q1imorcVlU1FxM/4CVRB7mPL9wCh2TLUfCXcsIAwKkys0gGLIdZGkLhq
ecoMu/LBybPJ47PmuZL6K9KOaU08tFvwp0a1ar02M4//KMTLAMaAIJulNHIATT96HsjqxKN6Ee5g
ClqADZWU70AHV0yw8gC8Sy8xnzyHDVcnWpATmUPcFbuimkruADdkR31dA8WTQEKkijIqD3mwctcu
7GYU4RCJQF8DSVw2O8FlwPiGfJW4FSARh3qN3Gbeasw1cvPzzDUSin0FnDp+XhhP2vjWf2vSrjh1
Ol1L7P+tCd1aQhYC/ToAIyH3jRzT7expVerlUhAn7phMOz86yuNOqLSj1x5Kt5xkq88/i3HTUcQW
Jid7l8f77T4BivQOEC7gcoHooABl9lvzqcjJrRd4gVsJMw1W1JN4RMen3SXHrIpIWjn8Wu/K/X65
NckcrmQEV5TQGYE7i4nEYksSSUAD1uc0Kb85JJkej3AeADO/SO5qqHmBLAiUesyBGtJ8AFOlFrpS
0Cdm0E414XOecr0W08eW7ov6mEvIQgLZZ0jwGmxkn5e1PwhaFLl5th/VZ7+bQPuDXjPxNzI6yhf4
SpPMKm0hIv1B1Z+Mxp6O4OchbU0ycR+vVXDvAS74HvBGIoUO9ulZuPB2bbWmiCKRSyK34Y79TC8h
0pR7UZ49m5tIkW3TJx0lyZHUZ8k11HM1bPwCaT7IymUrU3NfV5o/RUb6AHDRmSCdOU8FP6RVDq4s
t5K/i+LSVc81d5ZSSEIFlh8S1UNTf+QqgymhVizvPMj1IbwUWxHKlNbjZVrafrPDAP4StR9cNrez
Eufl0AtQ4nBbSUI4ZLSZU0lRA1xuPm0irUxMBAlr75cloyBnAqcP1gI3C2NUietASIMwdpNA1zdy
V/Pbvv0Umm4PFNKEJ15krLyYFjIgf/kTsPIQGJ+5Im7HOZYexDlGzOok/5LH7agJ0GTAe0OuSfo6
IBivQ0toLX0NFrx04BTw9qAFn5+zY0yYJfZtEeERHrma2k1HAQwncYpel6aaVnzXfK+wJ1sDAZWA
BAtI/NhmG6nt+VHTgxgJDsgfSSGc18ols+ScxWsT87JeXW0efDO6/KPYDWqBCHpM2glx+7cE6MIb
n32OEoGmVB0fooEMK6WppR1zbZoJhlRfMhAOlbGrF4oGapaBo1EiAJJUaHjuarkO2qk0df792dDw
wkfvkgrEIxuBTUEgTLxRx24zRmiYvXhSaQaST6OhwHlM17bo/S07iyPJCHgU4IRwkzPTm3dxMOUY
I9pVBTvvdREq6kO5m4TpBaLns5KDFps+YtWN0BZAhkVo1ZWDNjQbrgIVgj5lVgyMvd3W6rcWjRKo
rbhwn07iakv77KDuNhvKTUh0o70LBDq3n9qAGKNIJwHLke5bBWlXtOoRXTrV0IObdmhN5WsnXuPr
Wdx/mCLwqkPBDJkPxoPzuTJK8qjErpHWJqi8oXv+yk00zS7IdUuV3eKFPuj7mjfR88v7a1HQfFTZ
QaOHbq6NGiDVYNlmGt4Ti0ksEpfPu/DI5TpaqPUkOUdy4MagsX/KJii4KbqX0rHoP//1XkT+AnU3
IDShLv83Rr86e4rkx8VQNIkLaiJ02+4lxexLS85AyfLjsaX71nFswWtTjKsEsyoEoKQ6ccUjei63
H1piN5713n6EFAQCVmKjCXNXxFSD1F/6FEG/a+M/qavV6PuYFohfHc4MUpSzoDVz5CHHK01xmKQu
0tO1mYsCGMdiSEz/+wvwxgzjoEs9T9Koj1M3nSJ0Ke/ANRWIe7DHDGu5zoV31M2I2OBWLP2Ab3WY
kl5FZ8qJ9q5/QjxZhwoMbSykwEJ76AlqX68rKyre71xglQECRCQ2Kykz8QZ4/KOuCovUBdzMQsL9
a3TrY2T/jp5qYkemDnBJb9ZndQ/x13GP+2Mt+Fq4nG4+YP7A6907qiFgilnqVnxmkFE1EsuPx8x+
PM6FbAom+GqcTFzhyzmQ+0WeuoWpeue2N0EdJ0KtF1yYNidu6otY7dRss2J14W66sco4Q1WvKyie
YHDa03f1KyWoTcWm/DFQZIK3FZV21Bp/Pj82unBXwCaosEFNhwff30TL1YTyvuiDw6BJXS7GixLU
qD9xaUDJou1iGnYh57S9OFA5y9cApfeNAPAOODDAQvLAQeJxfruUqOD4KBS1iZuAne8paoZCwFXs
yy31C04AGEspJ/11zr29+Xw8NmRI8ko5FHne5DQc4/Qt8KPuO+aMuvsesAvapzAsuJ84goq/kbqW
AzmHoVcBGklKcMpWglxUJh+p2nT0lQmMImFVFyrKEr3xi4OIsGIPcS7nSC4aiiUkQ/BTGkI/NNsh
quIjJL2HjOaZirtBVpqsNx8vxOKhnunAcF/jKkR56XY+xLxTlLIoExc5hYbrTL0mgg+iBO9ZM2h/
UFC61mkcgheqp+j0RY/r4w8QF64l6LX98wHM4ZZlPosgj4Unc7RpFR5g0jaESHW8q6HLLtEY3LO/
wFM52DqApiiS2EFNlD3Xgmu5+VNxH8EbZjlpXhofMx4SI30t1SPqLv+LzwToGUSp4KBHLofZNz1a
YMcimhLwiP0Ov/hNdOACGfS8lR22ZtfbakU6neC5REu/pZXywXmnFJjsjhpVQgeE6fHW8ywULGOR
VvG2G7ZViLuflBrh1xQV7km+sMtlFNKB9gVuE2+021VtkSrnpkFI3HzclOq+LWMSBzYyhRK6miPp
d9uHVoMsfxcJpIs/RnDRe7sQWiwxGoFQyiy3uvRmjFTt0df2PkYvI4AOqVmVHOnXyu9LvgCvKTzp
8bKfH3G338oFVdiPkZG4qO93pt+qhVmmo0cMTLmFwqpKkiTNN1XFrfFkLTxuZswgGJTm1hxo3dxa
hsqSV8aqjFlSeX9TD1INyME4nZS0LFau6aVoACVIiJAgDgd7GRMcF1rpK9UUwrVLggxm63a0IiN/
Q8Fnx8flWuFk8SZBeAs9b6D18Yc5VBwizbAFo4vLp2h4Egw7akkDgqzmoo42KgPhezyZY7B2gc3O
ggkxpWuzzD3p6UHoRWWbuqVK1PKsKceW3+s2DigX74vBGauVJ849ngsbHTS+yDGj/AooGbOEg1LW
QgDxPnfskI0Axgi6WT9FwNZr0orvKIvo5wBxUWRxo9nVVLN53KmA9xtgtZ7+COPOk1c+acmfATkD
wlsNIBrUqm83FV8KXNhyHKKkwOh2YKQFiKRRXkWuVo6Qow72Ql76lOfSkLbA7q48NJcSBRJclIEn
GIrkYM26NR9rXgB28zhzIU9E1OhDG1HnkzectpMkJxsaJ/GfK722wjXRt8W4G0ZFeVaEQBaS8ZCy
kAJP1MFyr5ChfK75zDQgEeJFVtyltOJzWqvvXXNAVz/xU1tRa7hGvAoLCw33k4CSXgC5TjCMnYbw
TU9M3qPg43vsxheOIRRbEYwjSYjsFXsMubFRIiEVMhea1ZSTtn7dgR3jaKwhbRYqRcAy4e1tzIlK
FXCR22Uoy1bVi1jK3ORQvXLblNQUMlrk5UV4+VURcY3VcSk7eGOP2XX9lHVNFcBeTo6BLf+Z2zde
fk+nc3xQyXsBZXO3hm7i6u29cOJv7DIXTZYJtT5FYuZ2v/AiiOV9FnxlmqPkBcgzoOdU6cRTjmDr
4ofXmtt7+JzCTGJrQBNRu88LK09WMKUL5+/mi+YtcBVacpOseniAZi7K5XO/QGF2fIpdPxAh+F0P
q7Qhi/YAWuPBVIn2TpZnaByTUKsL2BsHNFJukHYl29wJXgesOTD2lCe0OM79MlZXUrrpifmd7r2a
vD3e2X8xE4zvnWOT//kO5vilHZqPAwM7YA9CEmIQCaVhAmJX7Lvf7adTm4cM4NaC7NzX/ufz81oi
dikpfGOfucbrrJNKoZznnQDYCjbC6oD3Sx45wy73MPwAz8PQfPZ/Ph73Us3j2i7LQRSOLfgmQoy7
paNC0G6P5zZNPAhdOKa0fWxs4al0Y4u9VuU+TPQAY9S1fQc+2Kg5e+Pb4P9ehcgsJYtuTDFXaarH
cj5KGJb0lKLRBjkZ9Ah3+7rHI5dU8in60QOsePTWctvLnuuffcSWWBTfR1AR4ESPwiYvSZtT/si/
8dMu/g2MzhSbHAhYcqt8FdWVzM2ic76yzPgwbJ++TybMLi89qwJAdZE9QIJuNThe9FlzUht0r4BQ
sLwaVa9ysuoD3alw+xn9qNipgLYHcOFvOSgQa3OVJ7arL/GdV1rK67YRnZCpTFEuNKo1HvN5y9wf
238+hnFXWSskwSBgnaPi2AXWgHcNR6G/gIb4BAiefWpyaxmy5V38j8n576885Pz8Bc0M5llSDkJk
N2BIlT+AMBZWSUXYw4naEHj/r5SimCWthqE3RqkZDmJ1ArhGpXhUdic+PeIRx3UWt9IxwzqhO3vM
ddR7gtr3CqSicqtDe330lLvIYpgeaYiAPsSAfKdmcDQ2j90CcwX8l1WgQ8Hkg7QCe2QqAVC6uqmG
w1juQ68CZTCyYuVnVRLJ+9YTW26DlTiGWcLZooY+JPDOz1hQhNy3SziVVZy0WQ8FLrM8FuRrt9b9
OC/M1ba8M8DcJrWkdhwXDsOhl465EpDK+/dzdjMC5rqQkH7m5RYjUOPB6uOItgUBD0GsSCQRNdwX
hV+Yj5eJee6xY/q7Wa/2/QBCkrjlYFIoocqnHPEwgCzHysqwjvvOCnNHjH7iGYUM/TDgAW3pQ7Kb
nwdlN340loe8ZP7+eEzstf9f5vDggFwnUvusvmUDEuRU7rHjexqcIfK1hcAlkYni1LbiyGaIfGnt
gGbxcJoGiLVx6EpN0Wb8/fgzlg46lvO/P8Ngnx0R2r/0ArLmhzjadqNPJkmlJRoXulYlcWTyfku0
iUq8uhL2zPvwfp/+Y5ed7YSvYr/D8JNtcekt77M9FC/8yl5l70Rmkg2euYxBtRJNqQFdPb0GWb4p
tETsw1nL/UfZfkhhbvHAWubGTzlWyIg0EEpffbyWQljevv8MlXlSeODsBfU5hno50zU6wZVthLTR
rUPx8qwC3zV+3BdlwkHFGLQsphocGww14miNOH7STC99KQMLhEdTZtdQVSlJAswyNL5bpyvtvPO2
clzQaXLQx9AYpxrqG4/32bLfQxYNpaRZpoq5LYFU78bGwBFueacGoA0N2AaqjJYnWP83Q4yDrdRI
r0CZhlNsQ/lqu2s3axJP/59N9c9YGBfLDVAviQMcmQbcDRFOrWBrRDCDrw7khs8m1L/p4zEtH1Lk
SlCGg0oekCS3i6wLfit7ET8cQgFgRegwVE1Fku53C+iGhsZq7xQ1dhuugReYuO4/p+fKLOPqJ5Bj
KGmAuRz4V8PPSfLuyx7h/LVTunhA/sfOXeojMFSdr2TYkYwvPXGSM9c5o4vGwnkHB5+d/6M2i04i
UyPi3yFd6w9eCAOQw+QRACAZBQgYk3oRC8WP0DEDLxHy6N7hrL74AzUOewI1vRh2Nje4nLddWdP5
1N85wCujjANM2r4BFApGodr8rHPACwbo1sp3QDUoyt4H7Z74JmvJlsd5DTK8ivKVmIsFSv1neeHe
kbzS0AnBFtMFqFP14iTA9Stp5kjNpZViq/HqH0Jpy3xntdq4LfsSqVUzAIldBlGcWHjt0DYlBvk2
9qGL9EMzjm3i7VJ/5Xpg02F3Hzfvmas7v6+gLQfGO/g1VbEVLzUb4+y1jjSYXnXsMSUvwrgtvH8p
X/EfszMrHJwyIjX2UZqleepN/WzW8+nkO41Ek9Q/VpzxNQ2Kpevcv8z73Vlk9oE0BmI1tbCovHKb
i3cWdsNOPJemsQ1XQo5lx3U1OPY2TMMkKAeYqlNLsC+eqZqKc7Ig/+okp8MaJ8Oy17oyx9x7WRlm
EQDQw4ETzHGi0PZUD9wfLjWL54yupXNY2PLdPDIXYaAbcYjG++FQZMp2mtqNXwJrKxLloILmIjjW
soC/epOQzsyQAfAhi4hizoTrqJL+N/Hq3AkJ+iwDGtzMkqrQEssLX8SntI7YHRXxUkgr22b2+Lfe
Q0VPHeR5dLyG0dLGuOa8LgbJz4Xx8AGQhAWPuBZY3PtEGEDNHjlQ/Acqr7fnbxprKRwLGND87MJV
tAYdHfIZoWyVZQ4N6U+x6FZi0cUxzapn8MFoE2M7ZjxwMjYT6jgH6aMHkiuiEDA4tzPQ47Hr/dtp
djd5V4aY9RH5BuJ5IwzhdIu0+YkUo7QZ3yRTIOFOswYr3Nb278qCGFqJlgTTOPc/X9fUspZHix49
FPpwmfytBF05OLQGqINSYYJFlfq0ovKeM9fgD/cXONYOGpFzVzB+j2VwMLyyztREHQ+pTj1of+il
JURmvUo9vDiWKzvM2YshkjdVsjIeoguvkqxyuJRU7xX/3Ir5SizEtqDhnN+OibkYOCEJi4bXxsNg
x0S3GhssPw5kc3c6HU9kAtmUMf+hlQWeFBo7BfzbLiO7is48N95qBH4fvNx+DxPZlrGRx0Kq43vw
VEoi21NraPWtjHrZCMgmETCAboFFkZZDl0h+DyOqbDco844TVrFZcVsLDnseyj9WmNjZAAiwUDlY
kaP3THvpnQwSw4iBEulH71uGllJpUFZGdv8wQB8hZJ9B/oejgHNw62fkQB+hygObWmxHxq8+crTm
VBjUQFvy42O/sElRXpvplOdpRIXn1tIopLJU1OVw8GJSXTyQNO69p2pnnB+bWVgqkK2pM0E03vVQ
jb810wj6aMR1PB2KiMectU+FcZjC0npsZSE+QtIK2I/5joER9gJoi6YZ+imaDlr+lL9UhwKjSouN
1BIAAgdQx4PqPMH/WzF7v1wzxwCoKLAJBfWuHK4hYNTiDKPTjxx5yraNzVu5NeERxFm/W1sK6AgC
kLWk1v3S3Vqd//7KV6IHaOoLBVZrWaFivs+AqRmoIl38KKJNuFkZ5ByY3N4Pt+aYnSLPDSJKA3NT
bHvBUa7ARFNdun7nvcSJ02qcJUsWN/MtBxA27H7+38yzO8iPVSgpNul0aH7pbg/EUY4qsA31oMrx
bVBLhAjA16oHK+vK0qw2JbpA8iybDllYUJn/KNX38YNHLqjv/zwe3rIlCL2i9xrYEZ3xl3LdJrgt
OGyT9jXiXN77EVR/JO93vsaFs5DQwzLO6uTAF2Cz/pX3vdo1utG1YTEG0yFqNbOMQisuQ4ILl0Mi
se7sMqeFl6AJ+TAK3HPxo2vqFXZj4f7+nb8AAlWiMqOVWWz8lAC2OzbJdAi2udUEZh5sgFqrLO81
eDF2Hn0Fw/Fz8Dt+fzzF97HbbHbufgH4H8wLzBSLKd/who/9OwLNoQJP4QgTlBFI0yS01Hbiy2Nz
C/fGrb15ya8mWkzbJq10+KKRP3LTa/2VU+RP0c4c6qSYtsiXrFwayxOLCQVPPXBAdwyuIItIc63I
wWZpg7rAOlZPgB/Of7Yy8ch3hOKtv3I7LvqgK5OMU9Bbaaj9vpgOPBX2oETbKVuNrGUiWFgM9gqm
8h8rLC9rpflxF0yw0lrZk0gvEwnotHl6+dmRTx996nin08QBd58p0ZXwe3GzXplmbmINXaVNzMMF
NFNJQxk16KkCPcgT+mBX9sv9FXk7SJHZL4baCEoOSzKoO0XfVNPJVCY75i958gGCpSJQQALuiLxP
i0LY4qVAx3rbtCuOdo5K79z81YDna+Bq21Z1pteDgU1keJ+h8TMeVs7Foqe7+v3Z/tXv6xP6mYKg
nNcyLV507y2RnsTSjOW1t+9CJgc9KgCr4x/wGePdeWspqxSvTirsmsEGucvbtBlIsWk2ianZTxmR
dgKFI7DBVIM2mfdV60vX5bV1Zh57v607LoJ1dafYqB7QlEJc4VhtNCukA8UHUI9WpnyMwC4q75Fi
JyupLBZF8/fYAEo2x5F4tKoG44FARCbkfo2pbuza4p6AObV8WzFrq9iKI3KzgEM2GkHKWUxsKIPm
dDXZseQewFyHBjvI3aA0zUwCyl9j3QXddMjfmpbGL9UlO4tfWmdmp/5d3KPvFyJkUCnd909rHdvq
4gJc2WY2mqYkeibz7XQorZKMwABX2+o8bL0/4Px8RtpFNoEjcnz69VnQNwWvoJZ+g/bTcp2T6+ok
pAZ9SciXTz+dS022ID0iHHBP1tfBp4N1OFUn0VZo47y6/V59WYspl/zO9czN3uLqmLRTool5ipkD
v/qh2acHyHKsOJx5/7MnHXBRINfBbIkHJBM/FnWWjEk9wXf7yVHJgxTkR7W+4Xg+AfJw4o5pj+5P
Kas7mqug2tDycptWbYTykC/Zjz9myeugSw4vEKDL0GfCXM4N3wljGYrTISx/acFTlqx413uvg0GC
fxUgCaBWeTbmSADw8+RA0Q+NTAEiaw8ZKMQfD2GhWo8WABFUjdjuyD6xAUYo1nKi9ZF30N3yjQcP
HiCCNLEHytvidjRVAj6+xOrfH5tdcHMwCxZA4N0FYWZvv90pSgASwFqsvINdBNb0npZk2/2ULwip
IJfrFGTcyu8A/oN8BqQq3HlYedktXM6wryKywgGHm2GJtLnUl/oWNGCHvZFQdSe+caf4R/Y9EHFr
/DCOvZlfynMDSth6o1DpzJ/WGnjvnQw4CUDKL+s8UNcSC1kDgsnzClH1Dn4Kag6oIYxnhTsjQYaE
Zi+uPDH/pilvT82tNebUCE0hGLmieahQ54R7Cr84MhPqiE5vKXb4At5HO3ZUcyBIC5LLi2r65Hx6
B2rxJND03G8HizdFu3N4gAImC5I05uP9cH+SoPqM1Bm6vYHYBWDzdjsYwRRreex7hyAriYzW5TXZ
FbbHAtfKrQVmw4GiMPGagTMOssPZykft5G5h1W73brjVKX/NHOEcrGUnF6LpW6PMZe6laHcFdbp3
qF+a/QSG5snKaEwyugarWPAUSIeAnA1UWBAOZS9NvS+CdNDx/oHAPPSrTqklxc+yEMPTP16opYNr
8FDyhDGsk/g3nL9y8V7e9A10wblDCn6iY3DuttI+ec2PBU/kLb/1NsFpPCiuvPefvBN3WOPQZAeK
iuLcYo5mWgMEPGglvt0oQvr/KLuy3rpxZvmLBGhfXrWcxfbx8RbbyYuQ2AlJcZMoiZT062+d+V4m
ziDGBQazBbYkimp2V3dVpXYZ+si78QDREfauelsKuHWaaKz08MnD/tfFkAQApcOzAsr+cLHWX8NU
bx05TeNR3eF0OUiylbkChXf7RFThYzi4PNe/L/Vhp0yrMaCFcnKK2vYIfzuw9QdvN4wA6gjc7Tqg
BD75rET5WFx+vOiHRGdZSQ+RHjyfeTrnXc1O6ZEj2mKL/vj7rvkjqfvfleJLuEePEhO6v782QJGR
gukS9gNsTW/Cqt+JuqvNNSBdgaQFTquNKfVOnou7z+xA//gIP1778pb/tWPTcY67GWyAmwJORDN5
Sre9cwdyYsel/0U2qEuy978/7n+uK9J3TJ2jnwMa9u9XXHXYZqOHdQ2mfZjUw+KX/munSZm1D+sx
Y//flPmfJ0TQRMcbMRTHyu/X09yFYuPYPBsTj2LR9WBVGYwEsNox+kLlY8i+kPbCax70uRP3Iuur
EdrtFzkt8I/6n+HGyr8vwR95xYd7+ignI4LFwKgDa1DQEgDjub2aT/zL6hAl+I2+ASHidj5eLG/L
TwcQ/+tbggoF2nVIkC6Y6u/LQSenZsp7iMRhnPLUvfUv7df+PO+zisCEZYt2Iy29m+jLuvOOn7mx
fBQHw+mFK//r4h/efeCGec17XHyAJ4BsluvpLL+nla74id0ktEJyvl7bxn+89e4smFyfSQB8TMFx
/TjEJMBFcKBAfvwhBdcxwuMMU+cTUXs5n0d6v7R3YfAZbeuzy3z4oCPl1mCYcZnxl73aqk+i4cd0
4J+HgAguiPoX2vY/VdK/Plk/CZhCgoTAm9uvLTNHMvNPAL1/4Jd/p0SXa0QJNE3RQoCO10d6FoXj
CepsS08Qpdz3u/xqq+XVeEoOJ69J38eTBqPxqqi3U38PNdhzC5TmcEC7AU0qcSrQ0///fzC/3c+H
E0CoHHwVKLqeRvNs82/oA5YaYnlQL/uaD1/WscbmMTAQNu/jDZ9LC9VV+SUBtvP3+/iPj+e32/hw
JuQFyzwWYlkEBHgLjLYX0X3sQV//KuL7Lvnkan/0b/EWEjRY4NsDlZ8EZf/v36qRFKw8vbAT1bCL
4lXwMqlyXUuo+cJHYJMYGu6b+Lw0ABx+rdd+TYdSg7pRHf7+2H80Yf53I4B3IcYJ+OWfvOdfW85l
Yo1o6tipWB7DpFTRrSMw0mVLSQ/8DPDzlHxWAvzDxvqwBROkUNAEv8zBA/P5/eGDBQyypVgZJMhu
st2wgM6/M9lVF+/Y/aIOUbGLB7DQYSfyTnaypPkN6iGdf/IO/gDXL4/+79u4fI3/enQPrmyOpBs7
ReS7C8aqx7xoO57lXQvZs+V67p/Cvu7hGAaCtpe8/H3h/+OsBPPzMkMN/XD02D7Ey8VQqFKQrDvx
9CWHcG0LGdmgLfk3De81Bqc+1X+qp/NHXoe5BIQWUHJDILR/0IXgcTT0XAzLSZYaAAnUa6uxTKuw
sXdptb3if3/7cfd1raElXG3liyl5DVcZ4Cc95hg2ZCs///Em2qqtwkDxYS6L2qEwqmofyf01qXsA
ZZCkgjvP39fqI9iKUjlHqY6+J4CpFHLZv7+orS/4PGME9mT7J+aREk7PCf3kQ/gj9F6ugQz/ws2H
ntNHBqGg1JJW2+U0Z33pIOPIQVv9+2MEH2mK2eVBgO35BSijEZ7jw0ufJ8+JgtL1tFbfTte2PlSv
pt7eICxxAOoZVj+W8oWV3yRW8DVuyvNO1dDmx1xvdX46QyG1LI/fno5v8FOpXy5WNI/391FZX93Y
6usvWV65XVym5R2gIRSwojpchmpugz3+1dS/bPX919xwGACKylW/0nMMSlaE/3y3uwQ/W5ndY14u
VV7yoyhvAbIlZ0D0+5to/+Lqr6r8ciPKZq7+viZ/fAYfVuRDCpcbH5OoK8GK7LfxKfFq/21R2Jo+
1EqOhfoED4guC/xb5Pn9ch/7kp7Vbo4zXO769O3kVzUvn3V5PL1/O+4fTvXpfDQN/rpprq6+729+
mv3rof778/7jQPy3O/hQW0m2dNIFuIP021Sbm7Q6fjvvfu52d03dIOaXj40t92m5L5tDc3tTPR9u
mrK8K6/K/fc6rz7bkv8VEf61IT96l6ZrHJNsw93wcmhes+pTkdZP3u9H1XdLU9YVDheYYHOBeQUc
cr/mn95bOjdgYSps+uPWjNfxWbB7MET9Wr3C2Pzva/5nTv7hrX8I9GOeQy18wE3o/s7HcC5mncML
ga5Ejg5HZfrutdca+g0giRLM/qB1zBW4wZ8ld58t9ocUVdm2JSrGbeyeFT7q0+tZl351zcsTdF2q
pxIfX4U98LrbPUw4/2/2zd3V/ubxJaqq6y/3+ALfP3v9f57EEFeHqDvaDQCWwRsPf4+srbXF2jNI
NMoQ8zHHcfwyalUP35h6gb66Hrta+jcQBFHrybWVP2LafgSZvwQRoeg+MyX/qI9yCY+ws7woq2Py
EDK3H76NzMs6l3ibOL168HerpyO5VrV3K85LrfIygQ0crA/qYG8O+RELNO2hbdsiWNZQwK6H3a/u
NH1Rn439/8cahagqkKdBfRdDxv9Aqv9OEwZPjYGi44kpjSFmMOhPOIx43fatvy/CdmrChAz7YF2m
Btp001uswuIIdWJ5yzMharEqulN5yBpVrHLvRu2d/Cwlzcb8z9gif56UuNcYWvkXeBVo1YedvoTx
lumwG0+9/jpHsFiWj93yGeH7zyB6uQje1EXSNkWp8vumGbKCDrbARdILavsEov0GeZq8TD9TDYN4
wOV3/R4u0V/AnkgjDL5e9sfv11p0qIfIeMsTshpongiM6G0wKYHPejyT4DuJbfe20UX4FQx+QEn1
vOnnusJkdg9qUgvn1VWqG+OgnFoz2NB8M2oIbtfVY7+04OnFhdYVKI0jcB9Fj3TcFbo9b4D6no1y
PdS6XAJZEmsspiit8SxkdtBU2TsvJMs+mDf1RCGdllRdSheYULQCgzYJTBb364a9VLaL9oKjSKx4
GazLoYcdmQWEbBdP78PS5c9GDzQ69hChnSuIOEKqOMzE9uwP4zhCJmyQeu1vkn6ETFEJaTu/+0Wj
rCXg+OUtrK0wYjq6bafjROkjmwu57hjPXQjK8zx3P9bZS5DMRZGZ6i6xGzIJtkJsJyXTtppy5RGD
dEzPYwjvpDQdajGyLrmNda7lcSwUCHFBz6CX10YzJKHSRGxttW4dpi+5HSO/sRf3sCoaeC734ZbO
7IBbwfiNR/T0PhHsHkwpx1pU6O5CvF34GInLM/xiqL+k04vO2wUfdTKx9Dp2HpTNJSQ1jmA5Lw+D
4AY8fZ30N1Skk61tH4z3i/TJy9bJ6YeJZehXGvK6p7DjxYQpJognDVlYDPvO97VXijWeXB2sNqkT
zaHuRPqxg5R+n3MIEc7O/Fwg+xXUSaaNqOEUNeCAitau260s4i1qPz859pMMfw6wHvH2KlYe+s/K
g4aJzpdtp7LL616iOUvKXMiJQgTNm8gedhDyqc188JHmKQGXNuV+us+UCYp6AmN/A2zLXVxNhfJl
c+F1nMR4Eep2hvdnpah4xE9pURKQy9lOmr6dym0V5l63LOiuNzgT4sF6Ou2Z69ug0p4frodsKKZr
t/jrxRA+ID95qpl3jDTEJ4/MTOG406CfdOWq/eS90yaDj4jTomhCLxJRaRZwn00E0YyK2qRdDjPc
k+fSDKMf1EXM6ZuW+fxWRBaspM4bJxC0kwWcGq3y6dkbAwsJwXTDSyNkmuFxnoYGGgj5ZmUjeujl
1mlsC8DVMTdfOA8zH6YtBSTxPTmyqDZFSuD3ZQETQkIrWKt1tRAK6ahPfyXgSkK3xKzJvu9oEFSR
l2lc0sc0VM7wSnY6AO2hnlmOcfloC+b1ysH82TtlIMjmp9EDea0JFNOAMZItDiu0Y+z3xZniaWn9
9N5hGe9nfyr2Am9praANvrxb6CTCRo0BJ68Cf0NDjukpet5i1n2RHtTFSZLStgyXAoDWbAmeX7fY
Z2W2zOmLL12GNwoXxJ8gSCgUSgb6jqRj+P4nHIG8jCYQijDCP42wY2oh8gXpkr4QZTYKDeLQ4vhz
MPOJVwCszY9FLcsx8OTKoGCS0GuV0WJo+tySoroQ1g6ug19D6cDJIXCBbv3KdBSxa8777NUbImUO
QTcLCzC2a7d6ayVt/MFcjnmdeKe1C4BAQGF1+NL3iZxvbB4KrBZn3sVcJ5TvYnIDdGPmGTfKtlTk
1ZTIgEHYg4Vwq9U+NJ0mGMQ9YbxjQFekBYMAupsJCjbQ2pP3xLQOqhSOFnjoNJWYSGxN8CUDh3Gt
gUOkP0w2IfnbRg0PE+oz/qSYXL73buAUFN0ug1kJvbxUUTA0JrOuh7KVg/LIZZMhKhThZK68FlSU
kqsUUWsKRaKaLdv86NCBrPljhp9TBvZX6ydNFAyE3WAKdoQK0tqigYOi0JXOj3gA64AVL8K6wqVN
EHRrAgeiwqFYjrepr3zoK76mwaRjqKTP2paFWf2iUQsJIUTIxvx+7hQSzY6T+ahS2j1TOWTePpuV
fClU5JljXox6v/nL3O+h1aaDEu/E4zuhZZGfKC1Ydw/DFxLW3ighbI1ujLteZtJdQCLwuUojUnEa
t0Gn+23xpsei594tcGEuHh3kfqAQ5s86wLhgfPEkigi4dgj9r+hKu7WMgm36Mc5ZMTXACdj3BbOp
j6vuxqgMbZ7cQyx1GqpcZeZpmwRaI1G/JEkFanEEElMmfbvPkTlujShmwMqMLLM8xnE7QnwnJ73a
e0yktuzIoJ8MR/f9EKSzl+7HZG3PS4Djpkq5xUN7scx+LKMa+HlLBjtVUoBo8OgnBi2LOGqH/rSM
fX7qU7geIRJlmtaRFiGvXD5Mcx26hKzXcJKjcBP2AzgEjWukVKPIVKCj3uLuqwD7s69SjDFhGbtO
QNxwgeMy0g24bcHGNtmuJR1gThCbOIdieTiRvgpCQMkVjcz4FdPQ2YNmjn5F4eY6nNIBFIKTgi3m
ZnTtMB+49JZ7jknNbjcwH4mQSAqN1s62eo3vz3DLgPCWgyo6zUN84zxPjiGZejgphZ1fPIMvsnll
TmBLUyfKzLbMvWn7RhIfi9BioSHS5rn4e2R7L6oUJABgjNjLcEcVwNyyDfx2OSaDgTEJeoSMIU2f
V/IILL7gtZxHiOdZCkEihCWdiiuycpLdW1ZgF/XSz6bK9r6F+thlRLtGPE8w6eRnVIGyh81dtcXY
P+ck9SGxPi4e5qQFmbp9PPWxanxiyK8l4UvfyC7JzpgqusAnUeZ4LZwnpnJM3YAPlGFkrG6BiJra
czqc4fuceT58miNcZT+TAUMPoYe8ZjGGTld4F/7ZS7u1vR6DWdIDDCY8sl/awqZ7G+jpKWO56irb
9qO/G1LJh2vCmHfttaR/V10iHtbEwrNnogKzBSnpZ9YUZHIQBBt0PB6LLY7ljfbWi0QCUZCGgBYA
8E8dhTbYQX3d3ot4suRRR3ww57wfKXlKpin8IiedQ/IaDbTxOp3C1eI0X6H4BKrd4LNnNS0+IN24
Ra8J6QfCzbQMq4PxDVLVap22CdMdUz+/aGiH/9qs6BW0Y+LQHTAKy0iJ7L0Idu00CCR8SEQxziMj
S1Eq69TuZh4wmN1ACbTR2ZD34B9PLjmQEAKpD5sqQlrn/aBQsHGIezy2SxuQ2l9bKLf7mXY18VsR
32Q227p6G+ee7DdqNMZAoYRYHFHVoBIOFm7Vd48UGXls8Q3J0vMwG1a7OXc+0iyOJArZQp659VFz
bcNbhbvStc2W6GXC7vgWtmnQ79oNf3N0IvJeM9SZZYGZ3tco8BZaRWDVPIwe2d6Syc9pA3s3eS/R
PrzSNkfBYpngj6RNOqiAztJ/iJYcneDLoYvcUoT5O1AF+g3drnV9kC3PyU5JMiB9mE1Cdz5VW1/R
OaBQy+816Sqm7EBLjYzhBGOu5S0WNs9Lx8ahgF0XazFxlxq8Q4NDLCphyhfjT0Mi3ykMBoad1LP5
JYVuvwyZDcZmQGgUVcSSHBbGOUh7aDkZwppWZhEt7SbR612VhdCYifyxYl1GbjuMHCFx8YfwDmdI
Kkqer+qrXpHmlGNhUVmszOE7WvgGJX1JsMpl7hgtUIQIu/4Mpqy7D3i7gfE3ybcCUe1ikmgRGGGN
CE0TpBrFS6iSFEmAl6oZ/IJoPRVspChg/GiTTdjhNOgnWtzPSyaf+yVo91yFaOt4RbLnm5+/EIhz
31hP2Xs4vrVtJeIW3mGRNcG3gvqAb+g8dHgdUx5DWDSJ+QFmaxleqJ5Tus+IP0wNHeZFXYWz39uG
JfBsKxd/gwwJmv1xXI/xZNwtlghJOMsNsHUBKTa0nIbeuyIJquMmWfjw3IYzkHCaI9cvNwFPgtKj
C0h14xTmSzMtvMgabjRFjTdAgArJSBuzOpm1r2tUNJtC/r6hWwRUHVQukdGeVl6XFcPP1WVY82gk
FGKZHZPd3nbFOCFs4fg5oQbTZm+6RB4TYhg/RJ6Nwzr0TT/eZxjQlPgwcWaJfUw829UgfUPuJROR
qJQ/Q/XFxsBTfHLJNMJIIEfzFxhAVvCLz/JSBzlcNnF2pq+zUslLNHWoOvrYwcLXy7sBQzKTdbfe
bApZupTzBI0AzNth6N8uplo1nAhLTfqtSRCp4fts0HWHr06igME7+EaUaRjN1yQB7VomEk9VxE7f
hDOTBTKrIL8a2LxgXDLFtG255V6/ldwvFnQcWfZKQgbprlGtM6ZvlxUi/0msivMS6bgvxUBSdKfm
hKdlPEoO70hxke1Ee2R9a0km/DKyhehqOqVWg/LRq3vNuffu53MGoK2wEjqIkxGqgkAdtIwt9pNG
qsogWJaY+H4UbsqbeDTZWA4eWUhpZJidPFokrFpjdEtKMLfRJBkmhkzUYZb9l0H/BmIQsY2vB/wZ
vO9sIs4gmqF2lxGXP23o+G3AKVFN3ht8kl2qclYJZE2kEoxHGWThswREik7hnpLYrne+Tzuz80ME
GkSUIXvCzqOP1tEcgJ1PiVcHhYDUs1ChOS+LJqYRG2jJ0KbCAuB3aHcnSex3DRk4QwllcxjtbCEX
lZ/2ylWpm9XtnKLDQIIOyqhI3DaCWnaxUA23zoelJwgJL1Mkugeo7KcAmxjSYV9zWPtJdBRDuNX5
A9ye8DXAwy4OsFgy7PnPTpoAPtoJQRikNi/Wpkg3+rbO4/YwMRevddQC58CPdN01VtZA6DZI9a1M
ULli1TPvcQ1F/D3QkfYb33QpyJYBj9I6xOABKQN45z0jWi+y5qTj06HN6JrWOSq7r7loYx92b6k8
S7YtaVN4gn5dUa0CG5qTKSmHHukQ5HxFfgY7V0GWQKyIuqHxWPHgkjnS+5hxCv3FNPHnxs0Jg90e
QvBBop2K8XqjRVCGcU6+BnFs1RWKCR0gJZwBXrLcQ7mK6coN3gatGHSTrQEJGhKl/NC7bs0aaHzR
t0FYeacBStNDOPBoOAxyHPrHviACh/Xsj7pyVmGSRAxSEthYKcN2Od2muM41l/Y4BdK8Qjg5x8k4
JtBqlrLfqssRmpXx5vcog2EMTCsi4z44bGIZ+B7WwFO0Cyjy3ZxBHLfSUI7ZcHhEAQynvSA4p6RD
5F6UP55NGGgk19wL8d3DPAqSdtoL6Y02gZmvEzOjYARPEE0STMkWyPWB4h/APaYbxFKC+RIpQ1Bl
expDNZlOMurLFFsQePvStViuMO5tPdIlzivDUAfUAIif8euWPRg3gJ0oSeaXLdd6qabBaBRjHvqV
Z+n5I2CYCZhUWSygeFxFSbAwZFSTyWv4amQgdmEnhFVgYhLAzgLkhDLLOlgbEJTPAyLUGKrrtAtb
v9a+E7dRIYu+RHGEaLf5Ko4qF5G4q6KMYOidj0RnTas3DqEVqQYMacKHJEDoY1Hjgo5vj8pp5JLq
wmwp16j1hmoUKRoJgNnRvc9Rnvz0N+193YZkCnYpsusJhyaPI/gmg+JeqnSeinNPSdEC8efZuTfE
FcAKl0Ahu+R4DJgqQZZEGxLmBxEl8lsRDNtz6IUraB/WW36FcltQy0RzAO3yGJLVebu2D8XgYce7
kOP8yyKCY3zGWMGL1+UW9UXCgYEVwK0GfMlq3fU5QnRZQAUHUW8D2XKHerrHhJiIx/Q0Q+UL0uir
yOAXEjLE2BkO8HkjOg+GIXTN5rFy3eLnVddCBKSiSzp9jUYFrTzaEROXKK+B9lA3b99zN0fvao1S
wDcqCR/tsI5QJxuRG0HzNMbHrDOqIyjNa44ztIjkm+Vpoar0kuEDITQSAXwk0WUmQ8+qmqYAlABR
CMQxx1A8tXL1PNRdNgPNJ+T63Lo135rcX3pSw2skis7B0i5TxREOfoqeF35pY1+ftFER8EGmx5cw
SAQ0Y/1tOuX5oFm9auA0JaOQdj0VnKf0kGZ2DHbh6qJw13kWTWHKpcJHFrSR3aHh4yBIklwE4Hho
fFJ7Noi6g0VsvyuSTnh1yFIATICSMlYNW6LZOVm9jl27qFOkHIMAMirGwewITlY5i6t1mKe3iE5B
Xye9L/OmCDEVWvWBZDkENuPwRw62K97NxgcLvXYTh80WkdFU1oTuJbeZvZVwr8UpAKX9uQrJYL55
s1cgex3nBFLeSsDfU9EOLk8u6NNXl1xwyAXjkEddeNode+3ToerXINKNp+bkUADNWWsJbkBQKiKD
QzajAGmKQki2V6uUeYn+T4FYSrz8dpg8+CENFFmVLu2C0FDDbjACSXTFge2twGdmYsTDILkAbux0
mu27CdKeVYfEKi/tmi8GmL+OwNIB/wmWJV2ct1UgiQ+EWaK9uisGA3h4QF1G4f4I0UJITHu8xkSn
BKZnaHw9xkNmDoRcSouBL/jEWhwRmHgHoImhuUyaqQqGJRvqWYXLtw67TMOyXHAkvX3OAHwWtK+d
Dbsrb06lh4kZLwIIg0WEcjvHCYg0K+6vYQoDKGcBWHoLdXXYnBeo2g4GFvIjHCsX3wEAl/pmorOP
W0hmTBVASQIaPZtmbznNEQPJ6j8D1OFrHUAREwmTAvMTqcyg4XsJzuUEFz9kbUCKpvxXwAoosXva
jv4+7DMcrd2Kef8aSh6+OiARkboKsEffLF4XsoI1ptk+W6OOvs6Rab8jI1tpRbuFweyzH/pwPOgl
gLN7NvjSu+oCNbjdZvGPEu0kNOLyaB5CSPwAm7qI3uSAhdZ5zWqM+Odml6gxfeRDwK8cESm4xn08
JDCrBFH2mdiF9/eesCTwS7f5LCzzroAVzMIxRT0sy7qibzW38OAFqlIBX4mS0hfabrXhLXRtM0DE
rytbkCFp3bkHuHS3rwndkreh7Tb1yhXSzLsRR0jyFOLQXo9bywN6h7tcYBXmjwmONojVhdd+0obt
N6fNhhemhv4m6J20lSoE0RW+LwuFsygb4N4DuZCvBuwpbIZY5U+Dy8EZaH0rkZz4S6se1547hDUp
IbWL1GgluavEpCUUFPIxBQ7f+nmszy5eRn0k4aQDqF3pdFCPYvUCvIvepuzMu67z6gRpLt600exB
CM0wioVqyb4L1U05AHJ0DFDmY9JDpjcmUnAOaunmy13bUq+ocO45SIzMNiHz1dR5WYiArahXe8hW
3RU0QoIvQMen05ChgNtzZBFwLzO2S07r5swPInKzghWu4uk2Ej6kEiK6SiDYqBZRehc6R6sev0ke
Jbd2OEzpsoh6HrPFXlm0rBCmLyITyNyC+SRHs/bP45oKBuRBp+DwAoEH/XPs44NYZl8eJqsxpFwm
+TK1e0z38qAZujaHmB8UEygMaza8rtl6/lfkumlXdjn3IfeRywRNoSDaLvcEQ/bK9T50VqR2uL1Z
ptk1ALtxbJCZJlBDV3M6lnFgMOLlhYA8Kj7ZtH8wqJFEw3LE0RpWPe2wg042afcgiURf4gxZCpYt
Z17NJrF+ozA4RQ45921rmw2DZHCbdVZ0x6kYY3W9BPmc1rSDeV6d8kmyF7chJB67FulNC4xvDWhQ
4piYkp+Rn/oYrduC9DiReErLQkf5V1B9g1fpjf36ziaStW9A6pbsHsdrhCJkVZfxRCORJNEA/lKx
1hkaWEwgi1VAapDaU+8wxrEG0GWohshpC2gLXQFMLK4LwDETF9sBkcr41VbAZOSXsXqT115CpdvR
PlNneJsPmI3ztghZmhk3yApSE4qKDb3aHjjykGevQ4JXrWkqntBJRysHsq169a4KVtj8pRch5JCG
DbnEBnUscVw3vJ6qz33Z12T0dbZPpdPJuXABg6BIz8cfAYtSjOWuTvCyh69XesghbnzO3Nil5TpO
QZN2sB5uQ6bCpm+R8jWRltv1on2TlqQtMCMZw+jxPaTcz05WD7MPLApAGJLUdEkrBJyRQgjeGvOQ
6HBBn0NLHyzLjiPZJVzGgKSXXALhnHKKUiQEtcIquR3DIe+e6EXpuhFeihnQ2cJzY5j1+mCRXbMj
5hoALyicjWnZ9xoVEW398BmLmd+hwlhOfHLpN1vgZZU6pnafsa3NyyyV49ctKaaolIlAykWHNCLY
BdmASf2eTQBInUnvA+CYEnhBmoH6MQz5UgIEWGFt4FLviQNy90qMcrYI9woOBFBfJCifi36FaQW6
GLHB3WhQUjKc0fiKhnBtMkTrJ7f26rsBfHfX2Ql5mOcbXcXwrjwyAeyp6VdUelXAJ9wTi4UZYCdo
/V9KBtFUxv0QvArq6e8k5N5c9naRDzESrLieUXQvzRgac+8gQQJ7L9jnvcxCIVXrc5U0G10HmDhe
Ekz0L1L+TNMNRblMKVo9aUjbZy5gGMDUBaifUHg3CyYfGHLZoXM1XSxzteUiLfA9xOaxQCMaGNXE
VowTAkhR1Uj74nWlGK88CiT/txuYhI+EWfTw2mCAWVPr7HoWngEEHazUfidthnSfMoHpjQDI2dWo
Op7uXKC6Yzs6iASDJbVBqAJQJt4jCnnsUS8uDmgBJUhoOpnercAAnnE4RG8Y9kFnKEdLHD22douf
vA6nOyqmuX+OsJAQhJc400vPSDgzJIqF39N5zG9HMfToYATDwCsvnyyCWBSa56nw2/sghghDPm3F
05q33Edrx0KROmAGQL+YBRC7hQXmHty2pGsQHZGVSEKSlzl0lO2HDNrvNE58ePKgD3WzOAU/Lo+v
8NRdigndGR131lQpMsDjUsRSQ/GymN5Jhh5ICfBTfklJoACEATR8gB6Ecg3m/8ei4nr1oW0X0DGq
EoEkGjWEbfGm6RpdZdB968phYfaN+gpkShzKAGqDxA3ugBzSxgDp0c+uQJmXaJr18dLt+rH174Z2
8LPSLcC5qlwveL9z7Ltpb3p49sCUHcSgxYUSvWQrli/ctt0v1xeDqoiaMnSRuil9Up7SEXTaIv2M
lj8sqguHGrhSo8j1Hk8d3hIas60cHSv2XYSMAT2I9v84Oq/lSHUtDD8RVWTQbWfnNB6PfUN5wiYL
kEASPP35+tzN3jNl043CWn9auJ/7un5V0xbqm6mdWVQxo48GmkSi39jk63AZp4bp0cxpad+qSW89
EzeFk8dkISlq70dr/mdrItxnS1/YV1QC7XPPYz4tZWJZEfrKatAUz78Gbx7uAQbKv6upNK0jVdv3
PEXbQ9+GQDj5mt72wdXAYmaRvEVVlWDbkF36n3RbKI6mWVL55iKoNtbgOt4sM8tK+XH4QW9xhcxN
htDMlHK4m5aq0wBuoaYe8sObqluL7KijZEWOlrbVt+jc/MKgOj7qTLe8nsAnXbF3NnLfXiylPK2L
Gn8hlaDqycukTg+UlR4B4uABtzZcydW0tiToX/o1Q3TafrXjqaHkfcuqaJs+0Z0ujLFRyaD7c+Qh
pN33mTedPFeq6W7RAqY5jdbrKmsms11SG1bxBb4irKDL/b6/WUbD4DGXOsZ5VLO3hZemE/1Hw1aL
QWpVEv0Gi52Dd5y1kfqktiyRWFiifOC/o+oUes0Q7Dm4g08AeJmeZ6dr/9gNduYLVC71aKP41YD5
GQqzZQmIb0AHPSfPProAysG6GKfbZKOSPYQwwp+phBo/FJxR/lF2bYxkAnofPTndR32hLyvsPne2
EKdtm4lnilvgqbNogm7CZLZOgBSZHf7lAgIK5K2Zf2Y0ZTmrPeWLNKgX2z0bYv7T5XnfoxDf8DSJ
xXrB7URtr05RvwCC7/pmku+yhKT5k/PX2d1Y+169VyNDR48McMsX6Iiyjw4bs+S8erdCfWQHtfED
7znTYnE3FrphLhj4OedJkT0naxr/t0yrXxznPBiDXbnW2VfOzAuwCH/xYYNh4k9p0nj20lSYRdBE
05CiaPLJQV51bBizqeYByIDRpp4+JtZxyDoPePKERznVR5YdqABcdYyYblslrnrjsVHl6vXP0dDW
9ZNOBrDRFPQEJUSMxOaWujUmJaweClJb6xgZUcGV2++7JK7lPlLhSuU65cmbH4iNCVTjSiuZ6KmF
t++zydLsiQooLfLb7oQMBqv8GqM7gvXMJFTdkgfvbRhceY6OoJ0bt9oi2w25SQPObZHM+64SND8L
FX2+8zIgUivgePfA8flv9rFDNDIuM4ykm3V5IKokX9/DVnHj572dvSP6qbG5VbXfsDC3ClrMIKNI
jyala91zoGYLVqlyjQ6Ep9d8QWvTD4e2DyP3VFodwPAq+Lnt6IW62Y7L2K/Vs1NlSrSRhoF6TiLU
fxXnqcmWZwuaZg8yGbbqdhhN3z6p1K/8s4m70N4IZYHre9343jO6Kldd6rQTGe2mkw+5HsqZItwT
pnkHwGsNjc6ohtdIrbW/wvjEY/0jKJJW3ORDBumydF6S8A0DM3+U1RhMZxn0YPRi8+2PiPYs3VVE
7V8TeCvdHdwq7HoWxZCB3zUeFvTBG91fBGPAYcwTzswJrR8j8UAro+HUtluuT8UK2TrEq/1tIm9Z
ToFXyOEgh3x1e29TTN+w8YBKb+W5IFjo7p77yizlxZDiyv0kbeHuUN/NzJXIYWb3VWKAI3wgKJDL
3kqxX66zGPfUHxYzUh9iluvnDUQ2n9U4vpZ9BVLPRWu3Y9AmmCemWlyFRb5N13M75fMnXU75krkS
PiTMah3uNTqGCeSDDK7j3ErzoOD5t1PvTWVJkgKFxa/GZDM2vXrMixMvGTWc7GB/GZ42lvNhtOMg
UFWEmwD6kMV0LxrGMO+YEWWbY+0GFlM/Rw5lmZoG96tDr8j4OBVq83PjUw4vukCed1ySPqpezQJ7
/qvMvTZGiVaQ4p0EQ0fN7brePCm8Aw8TU5rmjyDczEjoUjqx2wyX776YahJky0CTZzuWBJSKXcF0
uPqt72Fo9kWMxwAYGHIXUKvaiodVDjF0UZa11Q4eI5U3CCZdfCs1WtsjgHXtTuMiMISaUbjgRIWa
p0dAHInPgFde3Kx1qZ48SKzhsuJpad4WAZj108/HKryVXD3V30Vm+XwXrHiXd03mJ+6y2ja9D4Zs
rs5l4fptL6s1IKo0RYjyULgOozbSSgKrlm0Dnau8fKPfhlSo3z0/izRjG7JBPM7Cy5fPeIwaVldc
2vB2o84h9bWIldorPmx/2GbbQEciGFkIh+oCbq22yPJ7IpYycV4c/OKl62bRgpWmVHP7WbN/zjDB
etlFfRgHJ7Ism/U4RUkhWGVzhiAj0XF1K3PLqrSIrNx5GvxU/gsmf6vRa0UI3eZRiB5OTA/Oe89j
xjAem8UrmjMqDdcevMQE4xOncvc89gHX4BBko33u+HjiIpXrip+SmY3m1SfknUfnuioeWltQ3rre
lH8CD3P2fdBmnMwpGLV3B3vIrIIOvJekhrEKmr/WpSGTH/QQqWPphhj2FBy+uGlqgAEUG5uDkeLg
dt1xc7YLGEKWJ/MPD0pnvtI28H3UmzmaREDqorpZGI/5ByTCSm+H6CZaD1KtRbozcHjdzQITAJss
ehWePCk8e0r8hBz2NWzy8jb1hjk8Jwxd/pHJot4u3tqE1dkY+O+dVnHxp01L5DkL1vMOloRre9iB
xQDsInmh2aA/XvBaZd64HGDGkeR7Zk65PgSXNeI0FV6lJDqbL96weOqObY6QId/6uP0tO/qx3RpO
QXK0woTpITZLAkwUhGNKdpqTzV06ZOZOTA0t4Dp7ZDPN8RY75iE2jHzxmdZen7y1RTASJUMc70Od
IPvlluRa9ceVtkAV1NJTCwt7HhAgu11P0aN2vsln79BLSfL1UoQI8GpAH2gMBFrYbATU57GRU9p8
tsPsf8l4MhOYg0KHh+5CqJ2yWfYJQxwzviofgjf6I4KO1qmJOfoaPdWPkCa9PTsJ1XPTyOi6l2ff
sfeb3qXQVqnjmlZxOu2nVimGVG6+P9O4YQO/9UovZBFsCeB2mLTNthvja3+lljBa0a3IIL+RuADW
i7cNDZRsX1KQeXESXSsITS+KBzsRB1kgm6AN7HIyiZatZAblqPV//cA4uzJtmvTYw628bEMKWiMW
6eMFLrLtJycHdqOJPvQlEpCh56nQ7t16FS5/MUj9CqA/Pol8qgtaIL2+1aR62HM9SbWdOpr7DTXh
FP2TrKZkB8xDZVMH0RpDmW4p5GJqA9RFIp//Szy9xpcyXQI+PMEfLejQWhPekSXeNyTKXKO6G9NX
vcK07RfRqH5fyBlFmSp980BQhiGChQoluASrEAQWzuvK3Ew3Vx9+LcJPurPx0fQIvXeLFX67N0iO
g4uCdvvrhXEzoh5Pe7X3GbZdHuBdNcbCrJkeSDoucVdVDSKfFeLgPUMIOFyyFY3QbwXcvSANzFi2
iMj7+haYIp6Iv+yNv1vckKMqK1nzRzRjdqYCDFlwrZp80AWdun+Z6TamCzLe1TvNpUFV4Zg0v51R
kvn3ht3THqRILCUs7wLmKYkoXpWuwzMpoAJpgMz78CgjsLXDgmSXeyaO1vpS+IMagB/aWZ7lUBMA
yHbFXp2lcwOkk1f+zRblHvdmFnWGzIY8ufN9gU5RjUwj4S7g0kJh4KrylC5NHu5NSNHBBtNyPM5+
iBzRpRC4tFhX/WAaLg5/2oBuCVbBBivjOwoWeGFWGh5qI99ddN+Yxwq5uASKo4IgEashDkMBLdsj
pXFz8YQIxgcodPFDwP93xyxePMTyuk+T/eJ1W3TTIEd1tzAH7AZvQ1Z97GtLLWCjSaJjbYCF9mld
TkwPHDP3nqf0R3tQTgbU2rSDw2+1UPVRpX0c7P3N+LB8/TK9qoaZmrsky+WnTZMRSe1qivQSLjnP
rJx+jOY2/5cMjfeGJCd7NoVCazBq1H63PAz4l2vCrtuPqTVIzqecQCfagPXPnE2J/OXU6I+7TK6h
3rVpUybPkBVRRZpe7/UhNEsZB+FNB0fHsoNcDpDiozU+Kl8n23uVA9/uQKBqcqnniKjTNh6X7qTT
LXkMeDtiPySqnu6vWppvIPG+2/fbVOt9JIfytWgUFX3PyrqFKGHtRwk95UnWWr9VTOph9MsKmXie
59ID7dR+8YvzfstPlKBbceiLEWhOaXb4Pttk6z/ILFov0aZLtLbrLCm16xl4mU/eer+ybFN0nm2N
c8bYKC6+Zpigy3WSRIJQgyW8nhO/1wj9VevePC+e173JgTy+5Bwp+pVxIoWPMFsvIIKfkxgoo11f
+mKVaLxSxRCKbMRccoqCULnbniPuBzxM/kclqBtvulwvXxMaiuowJTG7K0RfbC+1ynp80plezcvA
rCLmS1Wrrj6y2Fb2xHcrOQbnyPtp9JSlx6bkHN5P3Zy4WzuUhcrQdsTRvcXSYRBjqQifY51kYgeK
sJlT1hYiPZm6Ha6wTCu+sjHIf8sldCMqYBn98Hqlf8WTx4hLJjGtzVGmxbLul3rLX/TYNty3nDTq
1KVN4OFiLwmaQsAxQs/KvI2KRwSZtT7MJievjLIjmd5gU1KC9gYK0X1mU3Ll/XEE0Z7X3v9aYlM9
N7qKmKEVrUCNXUe79hiKjdnSY1k71DDWm4gYl3MeHq52jwkEw6mfoZXhtEcfUvywTMcaEcDWdcmV
wEF2pDPu7/pszrnU4hIUmroKFwZwcvch/XH+S/3cuoehVWA2mTVLfvRUOFQ3NW/h35yMbfsV+3hC
wKQ4eQ5msaAVkVJcoWJkAPFBJ2U1H9NKl+03L7BCmk2HuhwcPngicLmN+0Maxe33yPX45FvffaHB
bZN9viXol6bAJHq/aT/9Xlw0JaeZk7OmMUwn7z1or1Y5qGduaTkUYv0d4WF4ake0Zr+Vapx3o1FF
+wf0evV01xAuuL1tJVTmvk4bUAVYXvDgI06avrsBTS70X8qg2D/NeerC29Y5OT55gVKca26z0c5E
Fn4kUSoKUDoERRvdzWuiiwMCwSUlJGc28Wsyuphsj4ZD4LJxLzCBo7Q1WrwxNNVZbdq2pyrWU3dJ
dNlnt4Yr2rsBI4YAZTQsPHwaxHNw4Has/FMZJvDjJc0YmEdezq+1FnTrfhJPP201putuTHMY3wDN
1Fsq5jo4cBl2JKeGeNuRVlTQoXOfTxzuWzo+jisT1ymnVGxOSLADnrpYkcUzisMhsNsiDg3IcCPP
k/KG+J7lmJVHN9PH78sAIHw34bSIz5yD27LvMdF6F+EHqPhmVGF8ve3IJHXfel8kOUxvnZrV8iJ0
F8XHwfrF71SjOKm7pCsOVhbV39LFRbQr56iuH1y2egAy+LKq+5Bc5N8gG+K3GTJa4Nb5Sf7a0e37
SE1QtLXnFroMiTFM4fJWYIJCilH1mvIzSRx7ccsK/6Trea1ubIL8l3PKr+zBV9G0njqr8+Le94uQ
m8vm4fjMjJSKoetKX/V7TZrp/Cv26BVYpN36YYe5Dc5BoBC858UognuTbrA/Tm5r9FDECGBOQRZu
FBpBEJpsPEpMFtOCwqdD4AYKJt1YnZN6TUYEDUMwggfESUbEY7Ot/CYPkbHsRew9BAGwbMnuDRK8
yBDR448eylGeegCBbT/pIuRsEH37t2a9Vfsctnn8qZKsJkUAIwRth9/Y6DtrI40NSEQW8xoj3jXx
FbraQJ6pwqw16vcIA/ZPrLHEQxiSa/jquVWW1W708g4AY1zVj7aZfUH57YXecDf7bcvh1JXjh8Lz
Bm1k/OFzG535ofx1iV6FK5kENYyL/BWqfon3pp+tv0uYEpv+YrDAiGa0Rse7CyvXs/Q2OwEiNpRR
4d66ZM1PUU4OBi6dbBtObtXuLowVjQ8Cta16smBUAc1yDTazEEI8/InHDch4zoeZuer4NqL+qG2+
/VwrkT/32JQUlXLYZA8+QGXPrOdiLu9NWDX5Ef1W3T7EvpLli4vkFikKJ1H3aBgorFakk4PLX1bE
zeYdSjz41D7c0JEID687VjMqFw7oKuOKBVmwu1IuxIbIIKl+EDbXmosJ0FdD8DjXP0VFeHXaYLmz
tH6MyjgWncd9UXRV8wdK3QfYQy6wiOdUkRX31uXkRe5Zg9wsCKvzz1k3/Y82g93BQ9P3ALJ0rsFJ
tyJlHRXVHO6RwM73kL70rXqI+0eUz1dntdOh3YXBmnyqzN/6Z5hP6iZHznJ5yALdf4FYRdxfsJCo
fpZkwDMRALmbtGEocrLVKW4JeZU2+3Vg83uUCJBs3ZJpdFG0X92+bOtWcCOPsP5Fwt/+B/Bbljcp
+NFwqlNEStQbSOw5v+ZgOuD7DPqHgrGXwbGm1kX+kncGOWTnR719KqkV6xubNdty9n2pvhp4a5JX
t2g1dPyBqXdZU03/XOLSr8qfRg4IGTT7xuTt81DY/FeACeQr8xqFBLHE7HwIslwnB7kMuENVMLRf
yi5ecFcnAQ4JROy1OYal0DetnRPGFaOSS+6j2dbLr0YlS7Fj82aM9IBGVYcsrdE2L7GH7ncUEYH8
jewiWPDJ5R8U1MwPTbEjEPJUlDjS0PqjhBTF6nhD2VK4q1tjrXZ89VRapp2TaY/7e/YpzxPGb466
D+znoiOAQYbeu/KSx2OMZVRcPXfQSJTyew/yqML+uPYhzrhcvSTKRA/gFPMCutrNf6TLM5w2CRgo
QBMGmu0flZL76aDZllM5jhSipzJDOSt3dFH2EKZVR8gbnR1td9y6ZZ/XBdMn9DTI8FBUCoOFjKv+
bRBpNSIa6VO1n00zkdofGG9AqVHIF2ybLDYRGv+WEr3ID743VW8MOIi9uy3sA3Vo3FKsjzqteqpe
NYr4IID3S4qvlLOKTYGsQ6lg/mCSlk73SwbXV5BUY+DmcvdR1EtlPza3AUOrMK0XRF3XZWrLNv4H
UMN7aHBeFhefAadU3Wxr3pLbonAPbZjwJmPDUJEYTdYhm2KPqA17hTaK7VokTWWEUVcL+Eyk9LV/
t9YCZ3vY1/GPqZwmxjfmIRKctCw1SFrpeQvziJblB5SvRI3T4T4A+a+L4pCFyt4xHaYBEOWbfKIv
b5/SucBMBAY19PtkWOxyZHK2b3aLvpqkE8+HzK0xesY7CM3wDlRk+TJtYOzOmWZ96Gn3aq6+onBn
aa5iTfhn/8X5fCmPZoaruIFQMyMZgVr+QTY/0qAniXzkC2wc+ByqVgiQOlKnQLQDDIOJA6xFCBpx
RwybetbeMnaHshvo9T3BQxyTWOXfUbRgNAAERX/ex+FCEV6SPcvgzg3LN9uhn9AlXEWd1utpHP1c
+rh3kQfuATTFR5qJ9Lf0m4H/Bs/+mDvfv6eBrbf9AN/0sywolvex3QZMA0vRvmjsa8EuR68Ivgss
t0NIDrLCpYTadwRg/sPpO5UnNPSYBXklLjq5unDBLom6lf1eCpLAqZOW7KHe/Pm5rL31uQoD6R8g
p/vpnPbC/ddPeFF2TTLDHOY0p+8wGOM75iOuqTzq2uQSaPT3dwrO8k/fFvgVtjYyybFKq/aVVFVD
sz9Fy2MyQtBfhQALdIee+rfYqS48EpKGZrLcXHNbMKYNL570iXVJxySj7Q+iQkqO4HoUD5zBHrKv
IglzVASBV49fMUokAnDw9+jmu0YLiVSRFdHfBrE32YNKEoFlpGTcwovv04E/x5PM1S1nl/mP0IF4
uqfFWqrz1CfywzEELUHZ1Qz6RzPGg3eqZZc/1iCT3K21z4vlgyCnMz6gCEkCESKEsYmh8mhQ5/gu
wA05YXTqXGyPvQTD/Ln1SflsHZTePSCn/9r6eafuGpGCZ8/RGNWPNtOJuitkdJVkLyKojp2jbseC
1G5/MBDDHNHhUNLQAEI5QxGXn7mmauJfFMl/UQaiy9utBqYi8msgdWfkhhe12VzsZRcWT2RL1cvR
OKFfrMcQ5ZsEnjj4Vagi+hHPjf7e4sBOKJSWsdrF3UizilRBzBnSib71qt3SCsYQZlmRrjfK7/zt
Dh/MkL/grF7fItkihXDNhOv+WpLNt3rMKsdr7DD44fOAR3Ndk3uHZlQT0snaRsUx9HsuCyRUxQWS
wLzPoYw+AF0axgYtc0Ouuk7zfF9Wpfra8jxC3m381d9h96i/1SbmTyFbjw3oYowoDtnp35AKCQJR
g+DsEUY782G9doHEWzgVT3A+UXyvA0dHjJtovu+wvWKOEyXHEe17exDr4OJdmfeIpQ0QxMCdsEEO
LlHs45cgHDM9xT4V/ouwVojnDL8Q+r7Mlq8eeKF5cqkVZDNENDUSvN1DaouVsyCVypPIaXrsqfPe
nwYVXeKoQoPW0k1khxVKT+ynuNQ/ZJsYnHMLBiE436w4mjjy45tJDyNkTZWpz1F5Wp9N3+FirZal
OwSqTlNO70JO6PIZJ0i55X+OZvNhouU4ALU2UX8JQHqvBjbVH8EkEs3+cVu/N01IB7fEYXWxHYfF
LU74AmV73Xr2F9VOT+oSNFf92CKdmf/RwEkyNLqCbKAd6GiXca9X6+OIf+CnDWdks3KmlthFYWin
tzUWMUq+DTUpj5sn3U9q0qW+IdrL/G0rrEk7pEoT58OYRZ+J9NbH1l9ZhEM9jO3JTMv47hrXv2V1
twFG2Gn9Wris/xoEKunVIrU8y6r2xgMR3WuIrt9Hz5vlLnlLihX1YKLy6KOrxutRsGZFv8duJzve
B6UeCkBUlbt6mgnSmWMEYQfBc2a7lbPoZ0LUBForVZc/56Jq67cIJRfMP+dq9zaFrnpv+9ytqBTn
5RlcWI0sxQ0bzVL6ublABQHBJ+XcJyc/wKi7G4Ee/2UrdeZBR1vzOK8F3ly8ZhqtC6a4Hx0RdAXq
3JDkFiaNrthr1rr7mrcxx2ppPYSqXI3fPttbHZCPyq8M5J3wKVyI5oCNgwQDaf1sDzltPwiIW2Nc
iE3zRFy/YPZe7nv+eabEfEAVUX2gQ0JLn4xbQ7oqyR0fmLuMOpFQXE7nAr1TiURct9P3xj1ODea3
0RsdZl7t+0ii6vdrrV5Qnbj6FsVSyf9OrZM3Kdkyw/3W9ctl2pRilUAm1azdOEUCDSXwQXA/ryDT
s3lstyH+UiFy013G6GMydJUF5PYEVh6kRCl6KUBh/SOmPf+Dx6Ofz32hgv+I7ZjCo2P0E0OBYOcZ
mmnK69tYwhptPZlm2wK3528JNpFxhNqdxnCI9lk7rqSn8wG8x0xtw0+gMUifsrDyg0NXPjpqAn8P
QptTLel6uU65r+o/nABLsMMO5sT9Sl4FVHHYiFuQ4ii5IILt29eYPADDxxzAAdUy55SJorUPWYwu
iyNvJES0niipdnXbceCYLtHpuyGWrfrGsFJWZ5ma5h7hVCRAFgk2YtGiyhiBKt0FWGWaLrpaCFRI
GuST+zRsGKm1xn4W7rcxs7gCEin+XrVVDwb+wD9vOrcJBfu0qrsrivxdE1XRIk7Iovc2CQWoubNV
/jQEVk+v8FS4y/r8Gmrg1W2gHrtIzu1xyWTya27KlcxhqrOnAs6JWh7J068xWLGzmFBu0OVevUom
HK+0yMK0Bux/KDsJZnRVbYC/sxDYChPmRt8o6v1sWoNHqbfyieCe5n4JUhzYOw441b71GPbEY5pZ
GVClzQ2e770f+17gP5LBQhtxGpopKXJEvUuif2894/jUAdwWoeyuz+PMuhPjXo23vCDED6bgOV8X
nFXnoArrHjcPTsC+fBUr2QrTXR6hCaZTpN+KymOKlz7JsKbgC69vGOaXe4xtToLOo05V1fSdjunm
0wGidzq0tRmxpMs0K051wfQceRhUGJJK2uRU3wRAGV/+N+pyQpMJX23tgzeIWLyhTt/yYzhYS+Xl
1wQoRMOcFbslCtZ/EdEtw+1WUHBALsSj/GHroh9vK07C5LAwfOJLkN3kP2uY/KtPm0M+/+uZ3pbP
YbYKOJs8bAUBla7ulpvW67PtLCPL+OdrkgiQiy378ntbU9XfrKOtossM2lk+CEv25y2hf5yZod6q
/mD9JnNvM3uaOcQyS1NcGWQh/JyWsNnudN4mxQPeIpxWIQ0q/i3YUGQQAbt/DndI8TBk7SS7K6Fu
xTxyBPlQ3ivgCaYd10Ld3nokbLqdT/oLu2cjnYAYow5ZTjmLlR8LiW52dN72CvFNjMO0vUQMJ4Lg
mQzfFk394oINE7GAIEBx0bwnRqXfIfYZ7ovRitdg3CTzjEPAzhVqEZtQ1zdUNtw7kkZcFMmuzYr1
OS6S2DxBTXGHsSPjdx3lTOAs2eOPxjOGqANet7j1EiX+uGoqf7d8AduxQhLuAzSA7BwXleo/fWUp
H21cA4FmPfxREVl+Zl1sFs9cHG6f41Z6xSVsR09doO/cTyMze5JpGurzrAtnHqVThK7k6AnejADi
QzaBB/jiihG/KeE/lrWStYSfGlbg4zZww95VGdIfZJOcDuQFNcURoltdtn6bp+MwT8Pruv7/vosC
9z5FkHAHFVawmFhnZLqv+L3ZvrIicGDkSYvLZFpidymGtvogbqSma1h6cY+RlawTG3fDsYuDJNuh
tEClWifI0HdAt8tw4XgfObNiQ+7PVlUvgF2B2tG2A9Rpnw7sClwF0VHjwXyDwoeajqbOe1qrCshW
lT2m9cKI5T9r05n2lA00Hhv0FLTqIMUD8CCOtMcSc2hB5MMQLDcODOUu32ZE044R7cxPJb0nvFui
MUdmXWq0Ez7U7MSG6l1zrKJR89HKYt7uwwwYFFu6KszealBpckWCjYZEkz783KnI1edc59XVoDVN
/n1o8BVAHXjgdqNyxh38no5rT//ro51YG7RY2aCxkpSGiAUYuWZX6jAaDmFb2n9I5+n9CgSnZGRW
2RKfB52VWEi4r88DyaLbkXCw5LWaSEs4kNlhXnybQ3EvRUHjhD6Pddahd3ufiymGLBZaH7IYrBnp
nK9eiH6pwbOwLKj7jJyxn+tgXfE4MHT2I/dXdWjDcDGfawTlDY6+ioa6F76e/Q1Pi1GWPFD0jcqI
HbSOL/ekhBLtEjRAkUc0J2hcI8IFEFzQmgV4NVXyMV7bnkOREBPME6djfyPirXhXfobfGeI2ectG
fz1gKjdPk1HdaUPoWqKjT+e/2PfR7uAMAX8npo9mYwP29Y908f4TQTPi6lSGJ92BQLZ41TFvB0cP
fxOhHeiQ0RCimcBWOm4Q7WGvuo+2t11xl3ed59B4d/6hb1KCAkSQ82cxJoSc2cRuDxNN+58BmwEm
dc82r9WmkhATHbaYHQrkJYKnRFt8agIYftaZ0HeDHxQhg0+Ekq9jXIKjSF/q/2Rgxt8D0DBPoGRO
kw5isP42Sa+yYy4m99QDbdldLYtI/Et9Dwopgps/l0ErmN60BvMb8RHpiGc87+mK5lH2KAWm6NbF
Cg5Fy6Qqb4ZU59tBQEGNx3wJGauTo7q/C64RQ8d1qMwTB6tpjxBNqNACjgPvfB3cFj2O/bLaO5wA
GCYs2SPBzVTjDRM01egAfa1/p1km3D2OEZE+g1+LGF8slo7MCaKkjNex5XAZVl5zSfsFE1gdZ9U3
joEGRbAWdn6qSpfqh2hxV12aCeqHzblxfCLnPbQPvikchAlWlro9oWPIWbi2xRIY4P79U4MBfws8
F8/ohlB7U1CYjIAggdeRP4fDQ4a1wbuhazEhvuB56I4TLNRAFgQWGkCJGo3arqCW8vaCEWPtSXU0
TuysGlZwX6vICw9pV+TFLaccQZ5J5F1FRGTrkUNjNrs8I8gnx5yFP+aEmZQbir95n9TxEj2V2pNI
WHAS15ZLrcKbofYBh3X/Cga04c1k8lhysrMoh4tIWoyJkG1LdNqI5ozvVgvpdkWCQxYv1++B1nT7
H2nnteQo1kTrJyICb24B2ZIt1+aG6GqDEALhkXj681Fz4h9pS0ecmZmLnoiu6Eq2y507c+VaOy86
KNWvts61TaJDa33wnJosz/KMziAkVKkpB7jM8FzlT4BsEv2rApUERWBDktotKapd8Q5ackcrtQWK
QPf3wF1Aw6iUB8kNwqiSvkdWY/484GhAf2jUKKyu0an3tCbcj0DarIPfFsDQQYNTeB0nWVwFs0Nr
NtYElp6inDgtAQsXIhgOx5P3RZyBdTYdCDVPxb6eH9OEbuRdU2jL0ymUQ4cs9U7RPrpULxZqSnb/
qwWgS9lUQA8h+OrOlf28z6o8WDg0SZK9yCQJmvQOM5Ochlvpq6KXzRE5X37by8Ei3z918oJiPt0v
KvA72sNjPfHVIMy3lVSl6qwmt2BDvqSqL3s1CmGCl1WC6zxuQfZIfStkSjFCnhPzhvvZKeTETnes
ynNVKLwynaKCZCCx7N13HpincgJrZr1pVCsvR1Fr1g0w5UoKZ/QUh7KXNccz3Vw0ISjSk03yHrqu
wNkF2yDO1J/7TArzWWbnmQ0y3eEVQmuv+R2XUsEsVFGsg8cptJuYZIOl2RTPSiAx+ddjxwWY0T+X
7OL5breXq++2TLxNboAO+NExOufayoCXbjc97kEiQIkGb5RrkMhDH/iwD+MvULS0YY/RNeTnY15m
xzUSwChMFJpelpvSyYG7dSyZPKNPKCRmVyVDy1/1OjMpUdclSY+mhevNT8qdnmxIm59Oc80E9iM1
mkkngKUfA9rY6kYnUjwZ7RLO6e6XbjdGBCy32n8McODe8lurMBiCIjFkletXFbhV4yZRbJBP1RLc
cB29qIdklIDBwyDgJtntpPA17A7j+qjM7GnleazUAPmyco+c1FaBF8logyASInxCbqZWdnL4BETt
zrBdhyMoRHxwIctkhl6FF44HxQV6/lqRPhS1ZKNn9NZoVhT4UCWG1RyssF62h/w8agoEUAogWNSD
W9QF6SMAVOHg1eJTXo8l0/qW0rI2k5udug5pUQgGmIhv1CMU1QFNity9JcOgKhKZGzU8OrvjsV5S
/hg15+k++e2EXyHoGljsW6bh3g5c70w2rD+2MNNdq9QqvUn10t6eqtejdz7NrKUhjSrPUl6jdFn4
WjhJIGLwjog5rpMhYZY7K31lX6AVJgGyU2FXoPf0By/qrELQ1BjRznf+ZSzbMdDyKZWTnTLeOQMT
rNwdOUlMB3FslbGLI7cilPjkqkZ+JfO6etXBl8FjJ5QncA84XJRGRkfBH56dpJ1HWQ85rmZn7Y/a
SuPsGA9s+dt5IAEny/1y90LTn0LwF9TBRUWDZwNn2ZLqzjrMx5TQlvv8+fFq3zWioN3A/rZMRdxU
1Gi104EGhqWiJ1uwfE9a/bzXX/6FEZ6qlAGIzFRReTxOQ60y9aBZwmX77pjKb7rWt/ZOG+DIFsfC
sSAEoR3QcsgrGrZwXk3JKWXbyGBRir4UyrNqvdn5gAlxh2BCkQGXQCZsEDMqguSakjUOwuLqfg0O
NatGBe2k5rQ4TEFXPJ4y8bCLhoStSAhtVDZR2Xqfbav4OQ7+qM5HUa8fW7kzY1fDEY5ahGRBdyiU
/bosPtTol+2suyGNrqEZE/iejV18oFbJjB10r6zXGpfXeQQA3CwG/MbQWITVz6RTsDtF2n5tRW+B
sQr0X/pxQOZhaFH6T7g4kZCwnXSnYbraYGOEKxZF3j+fy394WsSlF9Rddo1Gk5WMFTgEvYMCTYb9
VTe3/23l+2W7GEpEn4AOAHS/1mg9iaXf0AfSeDmwvfopv7xA/xoJgaWmyConRxgJ+IBMymRzv+5Z
yFwKZ3O5ohH38UjuLopNMd7gUjRBuV2PhIcceGb0UNa7bG3DJbuHbFSJfhVtNmDo5nroh6MaOBjN
IpGiacJpsZpUkXfn+LCOqgXZjahc2DVszuAHu+zb2SBrR50Lfsxxp64D62sMv7eW2N6JyswO7KUD
DdjjoYtc6uIHCWfrVHX6WQr4oF2njg7Qn0WGSqk39Aspo6UOLZUvjw3em+vLGRDOGAoYgVmSFFo3
zkT9kcIsmdjUNQdnul8zceNc2hEOWmflJE3z8LCO4S9NwCzTaQc6CLo3ZwKdnkPrZXwaW/Q+PB7f
544UDduaxa2nKcC8xR1b27Ei0xdyWDuptKZxEkTdBnI9OgEg7pNe4mfrg5dis0jm5iKBrok0+JDM
yL05tnW7FzMg2NNNYY732s6oz2D31pm/q0c7CSkVOvuNdGio/Q1yM1RDMVU6DAyEfYQ5Pit2AOiw
Oqzz6pmUrwtb2oFHmvItcK2tPoZQCyjfwRuYYFHSw1IRbiKcMWUCLFM1BZcQA/EqSDCdNypEHjLv
2BJWCPSZ982z2b4qxycSg3sSNrU1sdWPU37Y9GsBAOYMPVg2JesxNppk4Ktu7ijhowRnWEXR+QTl
23lT03h5Pr1GECE4UIvVZC+U4/jxFNw4xd4YsbUGsY6jIp1x7a8y2D+NJGAGrPCZzI9bFL//uQGT
398rQ0HAJL6USFkCMTKy86aliqdpUHRL3x5b+AxzrvYOY7g0IYxBak6GzdP8vCEeck17sdN/MeaV
Ho9aaLspi8+gAGlyZ2Cd/h92eYlZlkEA5ghng5wv3Idpc97E6arJvkGH6Et9256zlmxokD5ONXST
Q+JuNweSwTKNFgKB6JwQwl4vWEkrS05Nv9tIkElXCa0RnEmQK0t9N3Am71lCGVvhtYlCBroh15bs
PAiKNszljR5CvQ6lVLCfwRsOUGpAwHrIkDiPTnqK9fAgb2rYBVbw/EqkK2HO5eAeZtXZsf3HG+au
PUslP//5mLGFO/pMcoEX8UneqGXsHqoXh/gJdvw8mT22c3MhqmafI9BVlfSoparCUhkh2CRwLzIN
8Na6MuJJlb+GeQGlkk55Rt00R/nlsUX11ndg0iK2ISvBo0N0aAm97aXenuWNdYRX9aBLH2Vg2m9J
R6knge/rydC147ykbDfXy075RbYvn+pkQX24YstVsqek1Sn0B7tBuE+eThUod9jbjDlMIm5dZd8r
Ol5ozTaqaQMxhVtR+vCkVloltrGfwem5+0aL+W7gpN2bSI0uGAix2PGqIexEwDRHGlBUeaO0L+m3
fYwf9LrGr4pVNrAV75xp3rZwRJJnwR0qog4r5RjpWGYOxwvW8DhTxplpjqJurtknL4Nd50SPTtvB
69SdR4/X7nbpejeCpLmNk7QI7K6P27GMVVQ7Tt3GMqUx7Aewf0jjJpnvwK+V2vfHxj61EK995rU1
YUpp81e4+ZpuU/wEmF59634pL/LcGe/Hga/P1FkTwoDoOj+SRfhav2bzYvz4Az7Vbm4+QOX5zbvV
MMxPfbmLkF+XoO4BjNpt2nn4TDnhCa1IaWU8m343yd5X0SZB2tWZldP9EkTWgPGbaENl9Lpmoyhu
8Ifae4gL4zG0SCCErW4TlpA30Vv1tDONqb5PvioJtV94nuGGqz6OdErTM+ZXWvf133yBQ6KVfa1q
JAmuv+CkGqDh4R3ZlKXE4SreydvOgpPf7o0ZjerfaZMGi2/asVsT1z42fm+nEfGgvG0oPSur4Jfq
KOz2JVX/jZaWr/a8tDwnTV+S7o+dTf6Tpc9deDHPO6ruNK6Yn3v66Or0zFOPnyfdYSa1dDjZ6ftj
e7eevU8bEauT6DS4HoV1TTVgT04cyhtGOK/NYAwJNJwQ2bPdDFi66yhI/9Lvy2XM5S+YIum863Q5
wSetc/NI48fPffmKLNyeZjcpyNz8II/yozXkn+6O8MKssG/gFtSSuMCsZJXjoplEVeFJZrY87IPX
IFDBlI92YbkMswKOaB+Wr1pq55ETjzKy88WQ+ngflYuHmNuGDKVlQM5mCjvppB6bI/ys8iZtD9HE
aU5/UBtqp6cYgoDHK3tvz/ICMmRHQcfIEHdSoqYGaFbGrVN/izsImqcAJ7P2zaB7+bGpz1SmOKpL
W0K2qytOWa4fYnnTGjX9XmjKeJSfp7qUvgGqWLWqJnl7/bTo8mJLUesp6fSX5NAt9rBZeTBM70dl
AhjagF7ftRzYulJFo5lLXofQRO+6ahtGCvyFUtH5RzKIcFtQmAmUXzvbmKjAG71cDUZm0wLKVssB
x6/cBvyUamG9sB1ZJfvpCIOz8n0E/LQgKFENGI21alXH9RfZ6PZeckhRedLSD6iQZ8dc/05tcBnZ
u/mhOKp0EGtTcNndwN1+93s0bgCSpWgIO0IwRuhJBjyo5U1FLOG2hrr3wNbqA1buHFebAMFA90bj
uUeu8trfZrWD3FYsKZujC6PrvJ0c29F+DR54n48hvXu8g24P6bUx4TFb0MMvaVqobuyC/olMXSTW
qkNhDeS2PH1s6v7AkAwwqQtpsuoIDkGDBFLLaOjZ0BfSmuO9b33frSDiolX+7fSvBmZojqrKBM+O
LAwMQHQX1WSkORm8R2FT3MGcCtCAVpzHw7p1LMwgISye3KHiJUZ8kAodOvOMoa4u4WtR825SoWs1
CY9aOBCl3zVlyhTOHQhTTLUPPi/uKEk5J1nNA2hTUP/+Q8tY5IVRm/40I/Pn40Hd+jAG1T8HgPqp
jmyLSwUhteGEWEoBZADZ8A7NHDhFAofW8TBQGlD6AO7aiWHMgaXZMW2Fh4jgmuODHpcIlqiAJjLI
gEHdWW/ISk1167WyvieACKLonf5HqFanMR2e2m5Anf32YFM2N3mF4K5tSoTCXkl3dBDmLRIh9hko
OyFOQrU9Mf/FRuEVZ+mEMgrYTcEK5GYKpelW3RDUyyBjdPCEauqpz4+X7t6JvjQj3PZ6QSs+ys3q
5njACc6laAufK1iwx1aU27iUOetDGEbEvhdrvFnZZVIAGd1mr/0+g42U4tcKKtU0mcaH3wCWXD1B
XB2M9/ax4Xtn4NKuMIvnjPy7Zp3VTUgBV0/0J6udKlk1fmxFUe/syUszwixqZqa1XaKom/QIp4Ed
aP4RFbJRWZD971GhaHlUzYxXULGCxjuaQz2ZLGMrjhZnyAkGvqY3JhwQFOsdXefu4VowhdOoVykN
/21obc4gd8g18PKFX8cNC0sbQT5cjx4Pvj9vgjnH4m3ucP2wsqK5gDKKGevQ/zX77xp84uTKvPC0
VTN2bEVnT1g/7fJy4AzeGnVkWu0N3TZJ7/HM4KMufButNA1tbLG1iXJlKqVu93LQNu1ZWcT7Z9uc
O+aAvTsrDFeF7hAKajxkUW29NqgF+xOYytbZqEo9yuH+KKNtHs+gcIeMrnDzBthJ/aZrimfR84vz
GJjlO+9aQMo2LZm95yMu7bfgxYgdWmjsvX7ebZP6h+GsaVl19f1EARIXn7waeM8J/kWmHH0DKdmC
X+zOS4uuKaigcmjDajNBkvKXY+T+4+W/NzOWzavE0dAR5c0r7P0jndNAeZRgE9NyA5RKLokf5wDT
G4DxO4RVSQzRbPzVHEdDas03aJX+IoAOXOlf2sRTolZ702kVyNsw3La1+p4Vsyz2qnpMghH++6VV
n0YO1KyFBP2U002OydKINoo0DaNy4MjduZQAcBDE8zgjZOERfr06dN/QJKXE4ZaeSV8z3uWOrErx
cvypgt1YAuCVj6EHy47fZt+scOD6vc0iXRsXLvosNaoG1oxwG6f2OD9DcA7dgqN/h+7dy0D9KcGQ
6G+/26/PPJMNzb7G/STDNS6chggZE9rJtHALeRONhxGoNogknSl0KUN1mjsnvQ8uOHYgC3VLrNOg
3NWdrbMVbs0ltJJ6NEtPK6t13IMZj475N8keOGhD9oSh6XtUVBBpC7dZ3Rej4JVJFzUSfXTz+5CI
Pj48t2lNDeAJWCOSNby3iXKv9w1YPtWEAWW/7c6rcHrQZ+dwqe//NCxgvH+tdarsMOJn47MZrg4t
KWRPOf3c+7AySZ4qTRzpqYQOOYBBNc8kL28ndAru4DI/7KOhh8bNml9/qia8ZxBThJk/rvfb4/vu
Gwtub/Lf+dtpVM8Oc9BobwFQ9YHpuYm0BJOCl2+RjUW3sN1vy/abhqJ3/fvx9N/clMLvF3wqtHJW
aQb8fr2BbsTOPRqF8+hHU3/753Zs1STLa3I/amLIajdFlZ67835btV/0olzZGS4pMc/bKGylgXW6
icUZk61zXggcuZdlYZnS3GgrKQ4Yk5WkE/l0PEA+mvMG7rLjtDzXzYy+z4Eo6/atpgEHItrAHeCN
SdFfb2P5zMMU6rhuWXuomIzaCbtzRu9DNAhbuzmeWCK5qvUPahI0YlicGDQqRk0oL8lY+6eZtIo8
eyxPo4Fb7XZnXJsRLrWzY+2SvYTYdT0/+fEU8Ko69L693dy9CYeiBqiKPn66njMnshJZ0iN5Wc3I
Tvs0L7ml/zPceHPIpha//ukOvDImVobIV6KY1zFt8XTnO566UGaPDdxuu2sDwlE99PHRWf5cl3YE
6cwC+MDAmqi3HujahnBcc9mBHKndyUvrhb6QhKYW+m+eTwum70uwjryAkbV+tCHpvWp/OtvAbWf0
oIytRT1wyG5u3M9d+L+1s7XrtasQ/c2Tdi8vy5FDXcHxnHnkWwPjvX00CVb6HXQR8rV015RQjLJD
/HYEX93Y9vWfruqSyxoYz/1T9fd4hEsPyrOkbvaMh/6zp70vedZWnUr+kJm7fuJiz9vCsYK8mG7j
lBUsR6B5fBKC+In0RzMZ2o7K0AoJHgleDFiEGywFW2daj/pDTH/JNn7LnpyVOtO8fKx+QfXL8bWB
S2voJAjRGPr1MKipWFa9nZc9aaNweB6HRif4ji5v4px+LnnZjZ1xcppqH4TfXvqku4oHUalnrpwN
VK1O7YeD47u/LcloEpABZiVqud6WebrXI2N36LdlPQrmB1+d5T44kjGqTwNe5fZx0R+BC1uCW1HV
AAlCpBqW/SKeR/HUmgZ+Ot1NtdHRP4we+7C7/uXCmOBfUsPWur5xajl7ng7dkP2/vYqYhYEIHqMg
aZVrQAGWDTsxGiXs+9Y/jTze5X705fE47h8z07RAj5AEoBJ2vULw4SSSlOYyGPJ4CmPLKHuKN9ky
8PYDfmPQkuCidAku+p2Gpf6AlW7gw/81T+eBN3SqBi0JLkqB5ljO+zG1o2ZWutGIeNDXF8XkOABw
vesLLyZP8FEZqjSH8Jz1Purk615/XVrz6r9Pneih0vp8tA0GBC/i7DTb+5Wr/PEg9Hr+j7tBcEjw
gTjKXmNAxRgeB7d0nVXsKR66UgO7YWjmBK9UI3efBjEjqrkVDzSNEAN61VYeGNBd5/f3AomFlSCT
as10GM/J7y9fdUYR3xvyPHe8OKhAAnYFJ0ctW1gdoPqUR2lwxsjO22PkvEj+xTG9siEsTLfXkR6z
P7c0PEO+W7nucSbNhm7dO/N1ZUZYlsxB+opGk35Z0Oz1ZC4/1CgG1v62/AbQ7mLCTOFWCOFAiLoI
7e7cpX3fqxYojPp7fHUE8TjNJAfPHjKp3frUK5PC5YA8lw7dFAPT1ua296uSl8Ih79a+7M//DPmF
e/ce5WCH1w05D1BjwjwqcAPuj43V33unWfYtezpxiqwfkY9e38DQbrN9/Wz+bUtEW7eojlpZ9Wkr
WTVwNj+3eKOSdAQqYgv1JVgr3vGX6h7m8lPwPOhse7ct3FZX5oWZRZyvoDfy03zv1g8+8NHP05yP
UWXwdrzzBpxU/xtvLAJ2BKnJ/AIN5ucXsa6qmMoBij4mN3LpL3/KRrp78hB792A3HvDwd/cqr1Vw
oSQQDd0QLvqqJP1elbGyTBKarHeU9c2twRPsa9dujXBeJlsVhJL2ijiu29LybUnm0HjvPDD7B/P/
PqHf2xfjVXZ5FMMyq3Cdqd7Bd1bpBw3W7bdgSl3Vs1fSIvCOH7I8YPezhVCc50u7woXdnQwJSgzs
liNpDad44Ue+7XWLdsW9ulDfIy+BPBvZOj9YVz/gpPLLoQLenWuCwplj8u6lFHqTDYH7hbkH68nb
2kDV19+9Rs/Rc+9l0VoaJwtU29Ac2z2nq8KN/SFHdfdoXZgXrw+pPJBwQ3R0uVsY68pfFgt9Xi2i
6XisrCbI8v5Az+1Px9ZLJwN7/N6pMhxTp8WT5gb+L6y50R5V+Vyy5tt6ZEzL5Y47P5j2bkR11afh
d8JnTu5mtS8sCi5LNptzqEWVsoRbD4XiUetZL+2kD2nSaemdRzwsSdjAWvV0mrWT/iEbTDvPgcr9
J5qKBzcfD7+P1DuhMFCX/02DIdwUeymiubhjGpypsba3VPe39bwbo/9CsIVAffpR/kSEfpJ5KFrw
oM95WAysxJ1I/+oTBP/WBtEebjQ+4eQffFQJ/OMy2KizzttP0yWS1J70OhRQ3HvKXNkUnA7PtdKU
UMZmGbLMjafa50ObnnkfuEr74kwHxthP44O1F5EGVqEZrWYXyvK79rQjLj+xyTLP8QcNDa2n4FIq
VOKTg8zANI7TcVV6kgcnrAc5Suujoj0bGNfAKTKEh0ABGUvQ9eNqR/27PiDISOYNw0s2Af4i/FeP
0KuVE14EvLOsItn3K8dh6Z+hp0XpWc/p9OyDTR+Kogc3ihB69sowuhSwOXeLxk9WSBl9rl7rw0U0
z4YuhKHpFJzSqer54i1cRM1F1MxoU0OHza98uKpG6iyYBjgBaWsQYmeexeZBHZxc1+Cq3r0ULpyC
4KnsEBqDwmRV0eL9zAvBMuU1695Z6T6k11656f2A40uDyTytv2sfnBQxdDXRLET1ifW1t8E8X+EK
R2hsrsIvlQ9Mmllfk+ZbA3mbOijKus388G4WfuehUt+41rz2D6vDCunWf5kDvNx7puCpEEi3HaNh
MxxH7+WoJMe5mRhb2R26Fu9Gt6CGHcWk34OwWtjkdNnH+zpulaW57H5anx4DneIR6iDTwUTuvWDv
0pawwwupbs0S9pPPNKDychq3k2aGji7+P52Gm8q1JodVfy3uOdBQxriPXUi/pW/X+++hClse7vAa
jQPM13N4MD0Sx1x6+yFA69AghR29N7UgguQdP+URuXvpOtr2bhEBg/W/egldTKh4peLrFZjmsUXV
nbxq8xr4TX97snyqq/+7xx4wS1oWgMgCLhN25UE7kGA6K3+d1v3CXkIbj79g8WYN58Ee70aPl+xu
1EbIaMLHoMNpaQprlrRWmKRIOi6RTfxz8tV3rZq95r4yyRfSeQTd0jRbHse75ZGHpjQxhmLWe4uJ
d4IawlIh5hMnuD5Dg5SgpLZ0OBk2OxTcqwdXlk+UPvQ6uXdxX9oSJjevbflQwT21PE94sS8d7/Rc
uen8/+Md1J8z8SBcWhJCEkgBT6W+Z1TWGrL4H82rNd1zodqL6k/xI13lY50iQOCdnx8v5i1so2/K
u5hN4fGDn4E0t2GEyIJuj6uGmNR4CvzijzUPPe237FYwjQzYvLuC4Oh6VBSCnqKTD4JAiQujVrnn
JLdZH+fhiFWc0CctP/0bB+Nc2BJWUIFCJsq7it0y7Yuh0e9yBqB9IIi9d2NeGhEWrzGMQokhJPw8
873rJKyfGAR4jyduyIywVkZRtr0WTD9vMbn3Zg4bvAuKe+CA371/LofTxykXD+LinKkUrBuVwm6z
LrfaUzg6kqlqJvqXaKBffmhIQgRZqa1qdch3f9aQEdUufZSS2e1DKzQ4JuFOjbjjbMrxKndqH++H
o94tn7zAVZb5l8fLdC8/To/V3/tbuFNjVDKPSsigCp9mm1U02lFe2E0J3v7jhhA88THtYFrqNzd0
/Ys+J9X7fQY15Ab7VbhxThcDEu7P41EpzV5Lklu6v9Piqf7jvOofqZAp+jDr+91x4vz6b7NoCW9T
rQmUqtxhtC+5yiRmEq+bw+DnBQP+6LMNTBgeVC2yRqraRhZAxExbCQzIB/2sUiZsV/EUMMNC839W
oABan97wH28ctFH+8hL62+3Q1N4JgK5sC0tYQqyZ0BihLp++Zht1FD91LpzcXuNh2PBgrx0l48Nk
aG57T/FoxMKCVlauZeqJEXcLyr7w5ZK8RwBnkWxOK5MgU3sdWMw7ObbLYYqZnhJiO9U4MEzLXSp+
+JSN17PNKFuVm7fpr4E5veNTrmwJLn/fgX/W9wyuHqEWy4MtXuzdemoMHL57cdCVHcHrO6dTBB8v
Y/oKefg32ZOABXSz2W+Avu63b+oYtk1k/diuQ1A1/c7qKZ8gH9MC6S/CPMsorlTnlDOZer1K8uIt
PsSTgQW7c0erCuglnW4Fut30/hsu7oAI3I+incv+yP9VdomX2VO16qv0g+CK++P525ZwCcDwrUGz
3NvyPlOwOxfq6z6y61NP1GR9Rxp8ZN3bkGBVe6C0A95PFsZXR+eirpVCXe7NkhbIkSR/s5I/pjVI
OnHPkCoDjQU1qfW0atcTWSd1nCh7XV3qk4aXPFVMkmuzZ9CxI3VMrtGXucIHFu+eU7m0KQzOiHUU
YA7YVNbBNnmu39OZPNL8VwSTvGKUvh9WyWu10kbt9LHhewt5aVdYSJ4iRwmlIXUJyyiCDePS+P3Y
wL1wlb6gv2dTuMZRjAktPcaCBBdjz4ds+UH2JAdIsxxHabMqm0mRfdSpNMuML3buF4j/DuHP7/mX
y28QrncINJW0osNgKXvBPH76iEfhSF729xPknbjR1qeMgeAmaJOhk38PS3M1fuG6aNQaOblGU5dI
xY7iVTPTFgotzY3buAcXDuGzb461UeHh7l4Hpn5oUwl3hq5kKk0E/U31sfyAmNZ9fZ5MNhQGTpOX
1h2qQt2rjlyO9NP7Xjig5MhGQluGp5dnTjr/I3fX3w/+DE4ULkeTm7no39NPrfvrv07y56ddmN5V
MFMrZyYZMSfqtJLbzdavk02fBfmBfhLJ2+1Q2mBgT30m6i9M6oVqnSif9u62xeR+DLEo2fahF8Qt
oRM8pLBt9BwAtBppItOhVUgROlFGv39QktgvmvF6vI7c37+LUTFCqulH6P0Z2Df9NSjGGpcmhWtS
q+BBj0Jmk1ot8IrjPCfNU82LZ3OaeYMVrbsu6GKAgrtFEK2qdzkD3O3ISI+Xr+Hn0VC/yj+NueRn
/uPRDZnrf36xbqouWVESYc6Ij24nr/TjfsDC523+aP4Ep+o0e1Qngv+7G3VPH0Wjo8d69SfgMC28
P+gQDdi8e9TpYnWQW9NpLhA8nESKBd4AU12mX0N0CRs/+wLsNtdGiAc/nj/BEq1RAKQNQ+3L+HRh
GoI/U1VIYZ1UTd/GkOK/KXjUNcpx08dGxEjtLys9ywwlbRrfxIRqKx8yJc709O0d2M1+vaOGDkMZ
ggjeHF5NFwGPaTt98VpXSYfeFkIcdWNamEpHssLwYGnp25M/rn/v/A64VDruXLuZpbBMe96fw/L4
0WajcByX3sA6igQYN9aF6TXrto3TioEXP8tRFtFKm7j1q6e9g8pw6lEx3rbuti/UTIcs69en/i/L
oN4ocNMArpnCqY80aYdAdJS8HbSfqFWd4J4385277yJwwrb9Xu5gkzxAbjyD0Lro1cGHqPg+m2ov
Ds7nJ+DjYBYyVUq8YprJ0g8tZOJF8nZCz8uelMhUQ1owUkdnONK98+8kHp/RkIknnT5zJvGyWBc5
lWZ9bCLvvlB+d8lInZbV0z6apsbm8ZYUosK/vo0OTNs24JtxdGFbtPuwQTxRTt4cBY1w6WirdAul
mN5nHlKDQzWd3kfcTAWt6cTx9OXLImXPuVD03HSM5C05nZFjOKSuXqCcYyuTx8P6JE8VDeEyONLY
or1UiM+0c3zUG7NK30xKVB8o3B2lDa07cOnI7/Cs5a78u8zgxG+RW5rHs2I3lopxx33w83Sa0NZj
7f1DMOoSiPXnYYRi1Dz+oi70Z1p8kaIPKJz+CZNRF/u7dvv408W+sc8lufx0YUlQW4m5Our0zTb9
9pTQwYNqpnuAOZ5w6knaz9LcPU7b9VCS+ZMI5mbOrL4dV6Nh44alJopRhQotfGBgehYaAe5rDHiz
8TeQ4Hnwbp0nFaL1bv4rmpRvveIOGpgVyYGf0GKXi0if1cbAMoq4gL/m4uKThDsHxN9u15z4pGrs
n0f66Px7PDM3k5S79Gf2R59ycydj2psmdJw9P14H7Z7noKPtf9MhbKGdUlm7XOnSt/3M3MY/vup/
1tGz9WTOkkXkFU/hflKN/pAo9ObJSzQ2Zit6XNdgRPj7seoPJSjFxOHnVOC/HHrpaeO9IdiSpeO5
OufJ8U2HCDOfIfcFYT/ykMnXplHk9ypCrtPXoEjnpa9G6UvdJfI7PPPJ16PmHMKB++Se3yBJZWj0
uvMGEePE846focBwfKurXTeWy2OKJH3ys6xk46Up5KFm8X7PC1sTPmZYfHSNdCZt9vz8IrxxThaC
56V1fKOjXJ/ZkaKOMzlXfEtCu0nL0Xg8FAd9YPeJj5x+ymFd57UM4lOHhl1I4KhnJVayujq+qQff
NNxiP+JIFsep9lwA0pko52fdz5eF+aQpUwv8RkFxZCggFyPlvz6C+pYOjaulwWN0PXTtvDurRlYf
36SpqSxV1Il1N1/kkDGeXWYdYOOs1EcpEkr1GDrQ7Kc1e3wQ7u08nCjdSPBGUlEUybr0XahaOyM/
vn3wxMy95PvxtaJXIvoYsHNnT2GnJ5LVEfq9uRyyVNU6ecdIA3AiDLTsXvMdmvTspjxGCxfRDMTp
FAOiV8mti9DrupHxHkM6kxv/tLXxc9pBoimQOfS0RzeDRqrzEOopa1+Mq+P8bf4i+XN9sXMJUn69
D2QK7/l8OoQhqZE12YStr/dFF/u7aHbRKTTOx7fYJTAhBHgqED1JPWOFhGztWuk4k9yh0EgoKv41
RNwJtN9QkNMufW0U/QVJqVECfWvlrPWl/Gy5aq3o0wy9QFc6pmfXapABO+zs19YJg0nXyEMlOPXO
weZwsdiEHrZ8w6zfKPk+4OTzDUEgfzlFofQrPWmO5qdIL8KTUBzhmieAal/RmaSk6xzt0loFseGg
Uxo0cezHtOYijXc6hAidn+t6v6CxrYx9+RyrX9JM078glUo/vLwrW/rjrUjhzrCOyiJsD7LjOmq7
ew8y1Xgv0rIBa2hJ+pvWpNlQE/G9u4w+T/Qx4WKkTVqE+h0QQi0Cp5eLBddojtBzsxpIkWIXhRtP
yj/Ub3yONFc197hpc0SOFM/8aL/mYzPwbMWDLM015Wrg3SPiXvtNAFkC30ODOmGgSBCvInxZ1Dsl
fOs1eCxwf7EK6NG0Jic0xOYhHSktYmyH06jTVo/P++fr7dqp069pwE0P6BNa50/Pd7Hp8zrU7Rh9
6Tf/6/fzKJ2BGKhmkvv96H5nItx1SStY7h0pY9oz7nvX9V78P9utN6eJz18scIOUzg7uN8+bbvlv
enZfXlLvJfMQVQeZNJ/PvZeh98Stj+LAaGBiwKjy7eK9BytkkmtOELwq+Te049yymsW7ze40cPXc
HotrM0L2YBccDbuGYPqVNNsoPKxKKEQgEKJj90lDyv3xQohNlOyBa2uC9wmPORdPjLWw9c9eNrNc
gDd/ssVyuRyjQjH7/fPsuKf5yXMX3Z94M4SkuHMyru0LjkhpqqKFryp49c0JWO/l+KP0EB5yZ/pm
80UeZ65JQIXakQfn/0Acc/sguTYtBHm2GttW3JtGtlDP/ijxOkZM9fH83gaS1zb6xb7Y50jahAlu
JXjdHd7yOnejauAkiamZvxbQ0Ho6HVIlsKtcW5BQNWs77Si9JtNg83tymjfzFYSWv6hmPxn+eWC/
3OZKGI9BZIy5XpNBmDM5N8NGK2rpFeos91TNeum1MyKi+UdlfmmNgcr83RXCN/XXlIUMhno9tkAt
9E46N1gz6DooJ4n1rgEHf7xEd2IcR4biCyfI4ZYJa6+tnDvq/3YqSa/HUTxKJvbCdud/QlC/Q0nd
ew6EedHBuUNhwUPr2pAJeM8qT4H0egqT8Smb70vNLctlXv3zkJkRXRgS5k0r9SPSsBhy0pa3GxAK
XUZH1vo/pH1Xb+PI1u0vIsAcXotJEhUsybRsvxCOzDnz13+LvqElilfEORfTgwbGPb1ZVbt27bgW
8emvKBqWNnDOYl2Lm1issqz50ikU6tkChyQmU9gjukUJ4usvRtUTXd2I1kKgPHet4JICeAf+EgDG
JjtZcDkXDTwWGCmNLoIsT0Dc/lgtZnQPDiAz5gZR4QSu9+1hZVFZgUU3du1ILC6FX2zBWlsTz4/1
x3JmbhTqqCBPwXIQcvy1/15ZCFkK2qAZStdOynQD4JyDI4SvSuJ/cnlP8rgxGJZeuFYzWSnlRubk
wDq+8zxOTl17ZxyAtQ+wAfzWIQO/Juaa4LFVNytnHyGmPS94u3+TSpOH/0b0xFwxhSCWVQvRr6+0
+iLqL60KvseVQDTDWCs6PuET6XKXIN9QgP/N4jURA1xqZSJLWK6sTNN+FzKzM9p780WjIlwdgERx
SiBUuWv7vrISB3CNC/Q27xgtLiq1LNmFzZ8VByMzRlUglRInehUwmeywsevaIUiVWd2vBWByrcLK
ytJ44WLOPa6oLzM8h1FlpD//Hv+rpbFNWFYdL7t2vclltXSxoRxJZILx0kP1lGiCo5YOqTCyTVzM
gjqEd54BX/vR5gVJ35xy4XumrezjW3XzPZPXA2y9gNemWNfGpDjzugvQGmGANu83QNeQ6iy8jJNy
1p2wydMLhl0hbEBrb5eDmZ+aLc1YHwISScKu/0+Bp/6XLICNYoYLNQRkHW91iOoqOs7DyLOtmOwG
wjB6//1tvUTITX23K24JnnLOa0Mh4Z+8SU49cDyhodGnbrfBuqksQB6GltcYEhiXaeI7K+QH/AFY
9pEWeZzG8VbjHxj6NVbWbGWhk4kmGbWREh0M2VqXbENHWvB7/gLI6T2//sJJ1qb3osGhm8CzMTMN
jkMDRQ8gxRK4l9/uRt0z7+w44VzpP8+Hg3HaUujwVs9H7XVnrc78p3/wtURdOfq3pLWkJaul/rj5
q/FvB6cdvAknZQPvhZ7NClbAkupSggAWc+SiGkgbYFOnmx4gx2yxZrXo2Iu7/LlkSPdRnahE7aVj
5i0k42cSTrgbVx80sQvIjfh+W+JIBdAdOG8MxeiCsuKcTGsrxRZSIwVqLIfcE10As3tTZhr4dZWf
Qt6BqZ5EzlJVbCY6xAcBpgCEIchKAG7/VqcB4tPlALL0bFqVN7xemsOFffJV+rXVYs1xMIhJL9zY
uafwWuLkWeoTVokrL/VsqViJudqXmBpP+nek5r2lHOb8dqMQwYHQYgQrnNygGhneRuix3TlvcIBf
iDX+XOw9zDsqeruPSKJJ3qGkUQwwB9BGkwhzcM+PX/55cyiIIw8cyO/gEt7ucD0yj4MDFEdemYNY
oP+H2wTuR+uqOYv8bhKsYzk0WUcCW3ypCkslyTnHF1VqABkCso3DUzSxWkIjgqI6gfzeFEj+C4L6
gIA5mlHV0Fh496dNM38WEpuNXA/IBgAOOFHvZgAxbp70no1ZW8MtX8AYHjue1tBH1rcCceS7Vn3w
ebJveUZcSqMlVZBeFjZ8zqe7/oiJSg+ZMgLVDZ5dS+daVhV5xWBaoSNyqvXH0Dv2fakxqQ9gN6Nf
swjxxYJdeAP/GjemhhH9naCsgPkGnNvkG8JsYKKhwjegFGrEkcZU5A3Dpftkb9t2bIQaxhbIL0ze
8b9Z/JhJBn4y6DynM+RdKciVS4uweGqsS4CYojDoYja6/iGo3+mnsJA6nn2j4OT8X3mTE/dLic87
AfLqDZpZi+fkKdSrrbRKd6LmfRQrbj9sKHMP1gewZm08Un9ilkxdOvJxO6fbjQYCoNMgXhUAjnt7
xwq3qNk4Kn1wuJ7Be+0fpUIHuRvrbiRlH4db95vacEtMWrNe7rXUyevnewJwAxtI9TjVeH3feV+1
WaolMcZ38BWRebLuVQmdPaKvP4lEJL2PYtre3oPXixTEPvcXq17QvDnrKmO+HXwQULw7bEEFxMZK
LDme7WemVz0XtZWwbxKGQbuULO36aKmnuz4aFeT2JAbEExOfGtST2RBxNNJ7re4Td9PvfCKDoXbP
Egk8cf/N2wnDMvLFYp4DSLC3h6wUaEDlQsq309rVBf7LlQjH6lkHbBPFqMUnOlV9DLinvxUwCrdx
oIHAWxV5NS7MSFkKvkdhk7Vjd8GMx8uoH94BuaEMlue+ywa2UplitGLoY+uYgbDgYM2EERgaRyYG
Akag0YmGdVzAceDLDuym2lCcWnFaqPfekzx8PzYb498zWQ3aVSQeSgNPAP7t7dayfC3LlUBFdlhn
GrqNgTJL+Hrt7wpu5bMuQZfzQuA9s38cioo8RskAAIHQ7FaizzSiF3ZKBDt1qDa9sThuNKOcNwIm
Frgog95JaghI94OVaOxPZqH3A/4e+oqV5/aTMh5v4fyCkOmGJ4VWkCmoZ57ABah4yON70pQXQdon
wyZIPh5LmSmnIDEtciJsO3AU7li6mDgu2DIPYhuDoWlBKk0iwXO1bbYAY90iph7IqSGZ/pQAVSZJ
9OqFQZr8vHr8FWP4PlWX64+YXHwPDU5uU+MjwBiv85imSt3PxxJmdhM1QnQP0vBNOViYW/Vo2Vpi
2jJHo1aHh3tY+0BEbfOju6CFMwvBo8HDVwEMKwhbxs+4Cp2LxImyPsVCiiZ+kehKNpiiyPTHa5nz
wG6kTBYDJCbe48F5bkfKoWk23NbxIxXsPBGz69NXbjDLDgyMS77YffEPlZ+rtU3exLoAlfKQeTE8
+1A6C8NvORyDfJ+4z0yJeGgdtAu+wIwRgYfLw4gA4hLNJZMMa5H6SpOEYWy3AqmrkAThqe/eisro
WDQOeselePxOR2AQIQigxEgaI3KZHF4jseAVFNPE9vsACLlRhrKxCZokX41CdkFR7gzxRNbkCHm5
iDsmCBObKSUtADGfRxsxWsB9kBzV9NdjhbnTSgiDEz2mJQFDhcXdamWaSH0p+egPAleS4jafTVF+
P5ZwH/aNIsbGB8wJINc/LVVmI+4OwzToU0RjhYeaUPP6ygAqTjDcJ9ayqCVlvPPJMfeA64UWC9DR
gU12clZcBqIWkDhkKH/DYGHsmwIkmUt+REx9D4D7gDP8eIX3of9E4uTEUIcXu5DiMtvKOusT/BBm
g27gn8BoCMjO1GNNvldq+KWlS7d95vTGpB8eNaAK0ugInJye7/hh4Pq5jehGe1csQAk5BnFZ7aMy
lUBbbCK/u3ZYKJopgBCPh1RAsHErz/VTUXa6Nrd5M0WxW/cMcHEMIcl+uoWk5p1vOZE0PrlX1jKI
FaQZJUiq/e9I1M41Tc59v3DTlpYzbu+VECGg2KQZhcSE79WEX4kKsWVHWwiUlsRMnzCRCtnCYXI7
18fG4wCJaEUPPcK8Cc++bzxWxvvuj3HngBWPIoMMg/X3ql8tCn6iAPJbMYf6i+/yuxG/K+W+XgMD
9dySqFlSwTvfB+J41PtpDD3zYDCYLE6svLLK0Hdpo+9VIpb/kadGyWsXMSEYLRTjxRmn+0TLKHGk
bWZZOJIwLLenRjt8VgLXurBRXevJgGgPnD0g1DlIyFphyIB/xohhqkmO2kTnijpFP8OSR3mfaJl8
w0RzGh9MbCUYxGxMU9QjcLiWxaTyVGB0bDadsKCn4x7e+EATaZM9ziSpcXKlK+zCAIa7tQRLOmeh
b3Z0YjHp0pO5VCwLO/fXuNdE2xlyTujyrQu1FfckPS9yGI4u96MVTSwmhuNCNnXrwk6UnSCazSvF
QnuC+Jg7G6VE2yxZSgUuqs3ERwmkTAgrDmrDpTuG0oYY7acXXs9iI/jKMHSDkX2A8McsuqXRGEgY
KlS5N7TKCItX5s5bwnGOE3ojgyIyocLkza3aEB2IVFzajHuKARAlJ0RiNoOjVoBNbI+DvlRjv++Y
xysItuY//iTc/b9c2pVNgA/f137olHZXvIZoh7Oji4CUZDy2qQd7mUi7xAJp2rCRDQ6JoscWacaf
AUkU7BHo53jg00/uCk03XBApSmln9WtQq40mNuc4IzK/IGfmyQAV2thKIMGjwZDHxC54dSwzaVzZ
QXAauJVku8UOitQSr1tA6+DGCzFRX9DCMKjLKKjOgPP0VhRyIjnYAbnKpvUaOZhP9BlJhrvx7edd
UGDC+mPDIvsCdBmAjZnuIVFV/XQufizM1GJ6bmlAcc7/wOcgFwUmOECmTHsohrxXBKcVKzuqVQ/s
n0ac68nWt6TuFye7AmClOShWWK2FYcV6pEW+ndL4vfwbvRbhwoNwn46Erl1/zORqu4MfNG0hV3hU
m28MEgL2D22uBEDScMNQ8SAkRF+ap0ukBSKdtZS6GbVpejQCCx2AowkWHHpyNEyZiQ2V9bVdiGB9
chRuUOMMhNaPdZqdefZEdDoiKh47DeHg3WpA0cacUwNtzS6GgoAhiH2JivVI5EjKWA8A27nyAN0k
EXfQ+dbM0Uxdgv89IM2H3F482Qp4q67V1Ht7/F1/We/b5TNoaMa8/xhi4vfJU4FgPqilmO3sgiHi
yQEftNkUOvcFmKMV2PoG1/R40mdqm28HVmtTneEOUUBieiUlWhtaaAavzZ7RsvLb0UAnzSvg5dSd
4TtkB/Xxt87s4e23TvYwjsI0ZFy6s0uyg1YiwfCOqsHYOTDCBfj6c2Jle0E9Ryo8ie8F4fdO2a3w
iZoiy+jLaT50CFnfI3XX68hZhqB8+ByTp887hbxffPL2IZiMaqv7y8eC/PtO7JF2bWRmQHA0hl+T
pBSl8F0i50IHNw0sA6E+rGK0H4aFloBQwNUE0mLG3lEXxN4brlupk9sRc0ol84LS2VW37wX4Z1EJ
Js1VzCx1JnH39/BW0sRLY8FEyfsl1mfExDho773aGbU+YFSsQvuFrm6Rpf4EJCOJTYxvY2K8ICpt
qbDWZClPfT+LMtnr8Vuvnj8liTsxZ5zOjl+SLXfhASM+rE4RRHmwR7laQeHcbyUg2hFlA6BiLLxM
U+wUIKjdbsbkVg4M2o6YGh/g5t9MZSUeqfhtWPOETd7CIBsbPwEJThZU/N5GQSqDvMxI/A1Y4UmS
hPJdwIEyFJZNmC/DOz+9r6mvah0YIsk+PjgJ3bDOwdlzJDJpl4yolAsfcP8i4wNAlIp0JJ59WKTb
fRdcX2EH2e1tiO8jssNM7nO4ccnph/82T+vobGJWEJPHn/z+e/ULKN6lovz95Na48WhNAtswZkvQ
enX7BRQVBbwTx739Yr0edr71Cf6d/QGlKp+cMss0zb1+7slm81Gu9/Ym0j2Cpt/j6uXxRozHOzXK
118xOX4mqtjUYSPsAxAQi4tUhgQIcQvHPXfhcJw48RHbAn3ht0tF60EmFWXW2/6gO6WkR4yiP17G
3HFeS5hc6aJ0UtEr8t4uY0DOCRHhOFzc0HQZSRNChJv9Ikvyve84lu//LWpyfkwfdMBYTns70152
OxQLUmL1x9fX3bunHp7z3TOeeC1h1FNH1gNZO2uXPHPWOlZNQnTdThlie4C0RPvq0+ockI2e7DEc
a/8m6rf2eHPmLCs3srNhJBPjodMMIU+NBdoYl62NRzLeYzC8Z5hqjuWFY56VgxZrxA5olwU/2u0x
B84wBPF4pzLkwsfUpwznihbRQFH9Pl7RnNaOhXWM0KDRC4SPt5Iyh8uaXgl7G3+oJYKAgUGRbUmD
DOj/l6A7GJ0WexeNl1SJ3xzWqmibY14fi5jdtX9rueNubvMSVLVBDxpqID+72xiBARNe3GypVrew
adMG46YWXAWvaW/XfIcAK8E9TEBHmofe+vGK5q771ekok8soVGlP9RIEOS1iKgV1/rT6L84F/Jdw
cWE6x4miWwWoZZZP6ajo7SasNSZC86i7F4KFdO0UQvrvbbyWMnkkWgkctHkCKUgVbeMxOHndHWj9
YDxlq4acOut0Am5Uo7998Cz5oImG+YzHW/lXL5va5+tPmJhO9E40Dl9AATPt1UqJpMDM7AzjcMJT
ZQ77J+6YkO0HCGHOK/RRROqC6Zg7yr/BGQ5zgehvmFzpnsXk4J/+1x2axNOEyOH74xXOaeW1hNGy
XzlAZRaIbtBhgWWIngVPE92XjFnq0Pt/nCSmWf73OqYGQ4hZqYwgxQ9WMXnZpWN3wmF9EpARt0/t
0xdPWvgeDUAeALCijnuJGYwF+7iw1D9X7GqpUhuA2FXGR1SjfVR+BDtyjf98N1HEQ+yHAUrASUzu
BdN0eS25Pe4FprfLRDCcXF7nylK/+EwkjWIhenqAVoW0BgaFbk8tCgOeq9lmQL8LcK+hk90aw+fa
OtwRHfRnrlpspI9MXS0Nl81kN28ET6trIHNLRFB+DjZHCs8UP/zQKt/pp7whDgbl+JXylH4+3tI5
1wJOIhh38XyipjdRUJopgopLy8GO0cTUJzqPpoCgPiFOfg+DhezNuG3T2w45mOXHCCqNIPl2W5Me
LD9lyw623Cekjs41k2kZR+hXKjgqXLaJ86WZndlg71rk5CSDKknTuOQGBHtWD4xvtAup7uod4FWG
a5O4VhP0PSz1DM1GHci6AcsWFKoYqx6vytVVaNkkDORGHuwhNJTIyDuadGGqxdzFp0hLb+tax7Tq
+vFJztQfGLgM/6SOT/GVVLdWukTJncFuQPIgkqTR0UQs8WpT/zKqEj+BIRcQAPGrw64eS5491yvB
EzNaRE1OsxkEs8qTv2HAXRK+0embx5nFJl5CQJtzTK9XOVGiVHIESUlGYe6xBSW88JOlZtQdl3pL
ptjhf8/j2NlHwwpI8CEn73yIwVo35oTB3u1K1TKQRVo1z7lN6SamGFXfoDWbUb96Q/84xjAR9Soz
fwO9to4Lj9TsgoFNzGOGGRf1L9K6OlYmdzi/VZTBRqaek41qxXkqOKCXKiuzh3glZrqvZVrzSg8x
SbZrDn1OWhiCBAhvsvJSgcDkscrMpqBEwD6jMwgONdAAbpW1rBnQGmcebTNkvab0k6s/Hz7fBQyN
Hj7X69Ma4CqGSy32Jd+/+BKa2VAyQ44OZdQpf1pe10ldV1Rj0wNrU0KmCtySlePuH8JRBsZKgaoA
R5GeKE5auF5e1EFrw6PBSyyqyidj4SUmyWH9k6y+LiA1R//cpqzIeWU7xFt9bFYAzpE097Kwy/fe
9+2nTHYZHQaZFLlha79whDsA/IMwBgI4tBDF5khUR6/Nyxtm5Pbl4XzMl/pU7/uYcBWvd2JiB2UK
uL99CPGy/dr/YvZfPTDEGIXDvxO3Xxf+AGzL/b5Se+K9/6Ja/3j986f97yQmFnEI+VIMK5xE1l/i
6pBLC7XyGS2+XeDE8lVtG0kujwVmGvDZjVeDV4dx+qpyyZOeoMyz3air1besL1JzjEp0+5beSp5c
V7mmW6lIoxaOZQnoKRoRqaa4WqyEagQgF6lcKZHpMYdCeIoSK84Wp42XPmDysg6VTA9tiL3lyGu4
f0cxxtOeudV6TXjN1Gljk23OsIhLXuaMb3az8KkPKHlDFzKjXKuBawacr8h4/jkFFwDib1RPX1FP
KwzLPtajmeT+rdBJqBRTUhCzKYS2qlATAM+97z6b83N4fE4367Up6JcIyeuE0MYbnENSM2MJviWL
+HAzj9Lth0wCpl5ok9T/sy25Pl7nVn9/r54V0owJmp2oPgfayUwsEm+3b6mg72HDyXkcuwHo78Kr
v3S7//yRq4eJVeo8TRMoP7V6eQXeRQ7fSlSNNXCcAaV/+pH0rS5hyp8ljL05Ktpx4XYvfsB4/a8+
oO6aPo49nMoIBggkMnh3eD+wCT4BsKOZrZ4oSb3o+gY7EO2OnrkQQd+/zLeHMTFvfS8LcUNBvofx
Qqe15MxmAG3iJGqQL8SR95hzt6b0b3b8aq2BrNSdMprSXI9R0tvx+mENFpcnndnsVRYPibak9Ivb
OzFuXJlldZ1BJLoSBIPR1t7ZJc3oFyCuPKHdabuNNRjuDSb6L99H7ls8Lc31z6SRb7d4Yuak0KFA
uTvedoAaWGOjAroV6E2xxUGP4NadFaqS+nS5gJoCEBI61xMdPIEJcQ4ZQYs6jn61Wjj2KcA3PMPb
j5qYvjCJc7doxo8CU9EBuUa87Uh/nswvAsPnP8HmA9v7m1s/tkJ/YcMDm/+nI1c6MCgeFYej3JDw
u5ho1XZnSJi1dbTTqTttCXWEKqDLDnHpwlVb0PQ/o3wl2QGyjhPSkMzl+Rr5KqPPUsuvXDUIByNt
WP3xSmfaJm52eNruVhRl6sUZ5BXaa/6x47bwB4nZGijRPWGJZ9fQFg51Jma7FTn12hSPpcIIIjPN
2TmmYPgbZ8UfHKtfspsL/uGfel1tZhT/nxdsnNXa7ZrtkJLDIQHgr0ucrfmElFsiEuApn6FGiwwW
S0c5MVqV0pWpMt4oMTar0nQwcR+DinFYU+FiHmW8nY8UduJ/hbKTZYUCWb2pBT55xROVEwPlJyx0
fXqS1C/5/JbCjmn27xHwBtaC2nKzHyABkAhENiO75+RQ5T4qgyCBl8QDEL9GajNXjVO4O8nPfquC
gGodHteeUVncCVWLFFfHN9TkOD5WK3kYe/YWGzlnWkagZ1efNHm0cteXiyrAJ/VHPgQQyg6mnKyl
Af2jjvFF9kjRnVXEAgtbMXvsV2Inx47RwDiPORwF4Kk0Uc3kt9jPVCc3Y0Z9fHn/uqjuTv1K1OTU
U0lQokbBuwG842PzNQbHNJx/Vv1MMAWKo8e/jPVcQAvWuNX7Pauh+JuiAogpXaN42V44tPHSAAtq
yE9RkRO7vtTGW7AXNjpAgrQjxgSA2L0V+6VNGvf+0ZdPXjw28tiO5+PWrh12X4e0TTHcUn1+piY+
KgC6edHCRI810luvJXeS3Ffk0W1CRkoaPRZkoxzcfkkf9uhIw1SHjhmWVYLimeV+rvLF8bF7XZBp
llZEiUMOdRxYvf2CIWfLRqpQsKzpSAuqal07VKHSTrxnZYkktBRpj1WCGdd0u7E3EqeFpjxpmDbw
kt7WKJaEP0EANmzeOlIalHFB1L11vRU12d4eOFXh4GFxrUqbwsGyZNXaAQsLPoun5Qu36j6+hjAU
SWFhxvzXtMOOadKqaDqsy/FUPyeYd9UWbtNM9+QoQkQdCKcFGMNJztsvMe3XDyjEAl5jHLp/f3dX
gCUYyKU/yDXZq8chMR7v4YyNQuc8QMSAjI/5Qoxb3iqIgppdF1TugD0Esygaxj4Pp2ElaqWBPt90
TVQ70FvyGyyyI8+8wuim5zEYAZggjC1M55idEBEFVQu9HdSbvtUzSQQ00b6s0NIF3Fep+gJgA0my
paTi/TtxK3b8+dWT3LCsx/o5xCJzquNvp+BkbgNXpRZcuHssBeFW0OTqBXkhNR6m1e0XJNkS7YB8
SGg9AycPM3+KVaqfpXnwQQbIINs4cjMf1ludtUA/aANu2LRTQ1w15mbTmCA1Olcqfm1S40wTmvSY
vV1qZJlTb0AcIV02ThkDfOR2W8QqGKJM8Aab6c+Jlee24hth6y2o+EyggU25EjOa5avdZ/gyV4oW
6sZu6mPOY4rjKyKmru/HQtXvOdLVVWWszquPUIvMx6o+ZwqRD4Qp5mWUe+SJprN5Fmcxlwy267hq
pRwcDv1ogUVxMcYh5QVhM4HDSBCssMBoRklcEibRu+IEqEKmqAskW8rKAJIHFaAQPJwk9RM1uouM
UwQp5Q7Zk8Jc6oUaVWtqg6+FTw6TdcqiqCMkeN1oJb5kIpwdCVle9reE2SpyOCDVIvDEnN2/ljk5
2UbxlMaNsWBm22GEN1tJkupTwD8uONKjGnrJpePjA52zIBhAEkHnhy4NhCITR4dpk6jhIqaxpQtM
PiCNUyPnNV7ZNbYTr/GmP5Y3s6s34ibOTl2Ancvt6MbmN4GGmThgbjKxSpVPrmc61QKqxoy23ggb
f351UfhoEKqoxNp4VaKMPtHy4jU/VO5CnW52D+EZjJ28KNliMPlWjtJUIlgCqtbu6Ch6EoVwJ7dp
TjynF/Q6L6h1G8QM4YFgHdeeYgp8v0RFxoyaMdFWXBTg+ANfbeyonTzj6FAFzTSnNLbfaXRgCtmI
ZElt4gt7Sj/zT64l8efjkxRnPIcbkZNVx77IZI0DkTxtZsVb/Ukxn7yvZr5FJ4TJNT8kPrP2ujca
x9xpQrbLk2MGHNvE7JRd5LzE/aFCO6UAzNufUAHXabKRQQva71LnxOP/ViJdhFeCwxOO/TugC8TO
8AYtTtUSJBayGSVmDab487DhUJWsvgOg5m4SWs2rixd9icJX0p7EWuXatVCWauxsxUzvpLW/yYMG
GCeVCmBXsV/ip5l5BLAtMFYYasJsnzCxG01Xo0ZSoGTCZ9ZwLhmVMmr+EPbjSFXqbeoOQM46JwOb
/SnBCPalW+pFm3mcbz5gYkSQeOgjLvGR9mg1vifxb+/9okQdN2YtLmj+zHwBcBVABjoOh8Dp+tOR
qxvG0VnFVniMbDY3BJKBpjkDeZsRHBqjMBIzWluyp3rGYMW2YwwR0oqc6hgxQtiz9P7HjA0cDGrh
3ZjzAW++amJkoqyjwCCDrwK85avgkB3aZsf2WUp/pQDUV/pW7ZlqZi/Y0hlzA0wdWhYBVy6A72Li
rMRiJgJOOOrsZBChorSagOA8QUo5x9he8Pr4+s1ceI6RMA2LotwIFjBxwVCAlaO0zTtbqij/pUF0
Snixcxa0eaZ8IHOMDIw+AF4CRWQ6qyIoqcc6Mtr0JRDWgMfAiBxN6TwNUE1ZQwrJHlBeRZXegYcb
az6HpohWjVpJ5fuzWGzKEth1BbXKPJ3hjMc7cI//CWw3CTy46PrDA4Yml1uzG8gu04eD1NkBpqA6
o4i3vJCRY+79sMDCQLESiMKIpUvNodQ8N12aPP6AmdD09gOmVz0OfBhktI7HL0D4Mt5b/VVzP0Ny
/F2hsrICrmvuquxbQ5O4t/BflnJwMzcdKABjw/RIxYuZ79sNYPMGwVaBcKpA7zqyRU6rgV7TOAyE
PoiHdus/letgs1pY9cwTfiN1onlVOwDPiUXjklUZETomSLjPCQcmo+dTbP5UZNsa2y9JRVtru950
O1td+IC56PjmAyb3DHsB95Qfo2O8A4wBSJ9G6z5YFy1aZ+3xYud2GIVvHqABGKcHKObtDvcpTYlu
T8MDxfyZgEJF95IMz0O86pW1JC9dtpkXlcOsHRqJwYQBnZ5YbhGuQlJ2zGB7scq91h8h2iiQfHsi
ovZ1uewbHeOxgE78ORchVrq0rUvSx59f2XLJo3K5lSC9ynfA4ITd5DD4QxRnID2n5nBlAOwSriRP
ZZ+9fL9EbD3TjwNkJvRQg7JGAkTstMUhCkMxzKoerVWSke88hsjuLxoBLA+RbORsXeEwNCsXtIS0
/h8f8o3g6cKLVgJeU4d4KlixzMYVCStvJb4hKat66UL0NuMeYJIGXCNoSsVkujJ5m5Q8qym5QFhR
cdvmk1d+i+5ZkRZWJMw8RTw7pgVkSQBkyDROyxEhMpWC14EjLz1oHYXX4Fv87baMAbR7VTBy8j4Y
jUarw1Y22w8GTF0mWhsGNfvAK51vG337hjGHjW5ut/pHv2Z0HrRN68ugbt82m98lHtaZa8bzEsD4
WYA7wJRNDKmUNHQbpGxvR9kRcJVKrikhJm0qEM7AaX582jNlIVCJXAmb3LICQ6205EOYtTuIH5EG
uHWbSKdq9WWaOqaiASBJAXOdvbSLBnvGdN6Inmhao3A1WjCZ3mbNHG6RTz4N6/tlV2KKLHpRzM0H
tRYWLNictbyROVG4tswSpxIgMyb5i0Reg/WO2WcvwYL5mAvWeXRgSyKgR5AimCp2xFclNTTY1hQJ
sERLVRExByCl6TUC2BL+l2NUuvwaa/mBWktP38IzYC+el+h8ZkphON2rz5i8iY0TOL3X4jMAGM8A
x3dfYXPZzfCq8wfKbj4xa9lheA+Yr+szg3lCYUG9Ru2ZBGJoQcc/IkYsADcwOWLeKVPsAm5en/6U
wb6UT4/V96+Z9l4AggsW09n3HahDMKCY2pWdjXaOdzBQasOWf5E36N0X0U4QgbXeNQs9XOeFJpn2
GaURRfsdSQIArkY9NRhgrMAeBK5KsnSL55f+78sm7zJC4JyOu6qzfYkurdAV5L0gR+fH6x/378Hy
/3q7r16pqlUqjskKCHHYN5Z165c8gXeJqaVk91jS7HIw7oZWd8Cw3+VW3R6DC3WOjfYC75zLmLXn
lh78JRGjXbxaDCeUQhM4dWe/1L0agwACR3rIjL+eoG28xvihyKlvmzNq1I/XNntbhavFTc+K7aiB
+ZP8ym52xkgompon34TjruWa/sZCP1a/yjpCVWUpszZ7hP9kT9PlYsLJTV43nd2IwqqlX2jlkxYH
/fEK597ZqwVKE8+NrqgO+ERQRjf9qRxN6i6MbwRerP0XYjByMkKLYIJwCn/clQDwabius7PMVeXq
0+WMJjuXCL0fy5kLduAv/BM0UZV4CIGjwvadLTOlHieY1hacgkCDUpJgcNtD43DoI5kWsL9cIKkZ
kPeaBuUpR+CNXOrWLsu/KF28oMGj1LvbePVVEzXiBDTDKzSOckAR85kt5dDwogKNkhX6TzwvD499
w38WlMwttBLOOTiCgKoHZggxtymMN+vq5sSgBnEEClPRZVYdW9bX8/zYDy9Cwlq0spRxn2mLR3UH
owYsImCMh04T0V1CIerPkZd1SjTL+JpYkERBxzgpQaI3fPMVRvs20aUCkgvgOrpfMVYHDsiHC/nM
2bcc6RbMAvwxKk5vjiA0Cohr0AWc/8buq8PwWsTpabMLuA+JN4IOJDpg1RmU1wXlG9P602MeQczG
oprMo353u9uexzYgeXZpNHvQaoo08Y7aZyR+ci7eQg5lLpcKGEvkzURQHKAHYeKuJH3XuAkbD7bG
XBiAmnyaNYrdCSkv9YINnHHG8IKCiAdFQgF+8kQSF4pD4SSoZQTrqlY7rUQHHDico9NSZAPg6Pv9
Q/c0Jl4FoDDwSLTf7l8dlnwVZnD6FTCW7JRucES9rJAMNgBvzMgkyivWU/PB4TsjYiXqM+9457VP
u4YyaTnpROKOgSEJPVwJNeU8ATCyjUilPx3nVeFznYDYEDMSMu8S2kXzuwoa8DA5SaJboumoyJGH
8KM0i7ZyJfmiLma8kuppjOztN9jrHdoAmxwlI8Eqp74q8/9D2pftyI0sS34RAW4RDL4Gl9wqmVl7
SS+EVCpx33d+/RirZ87JZHKSuH1baEmAgHLG5uHh7mZGxMEs1VZMT72fkElyDIhla4KUpnbaoJOV
yxAWFiwdohAK96JhCMy+80K668ZOf1SSNlZOmZb18UEdMtk7ln5QCib1BVfh0O7Oxc2YoY5yALGC
HJ6StCblh5ZpbXZuw6DUd32NbslNWcVKjqudBugRHbtYtfU+VqRDlg9DuZcT6k41BNmlR1kSC4BT
OleR7DSuvBf4QL9/ToYgro4+Ib5mlOD8hpodKUA4m5VBiFeeroL0XKdqUJ+jpMtDe0THWLNJMp2V
pjrmA6AZQwL1u8AVIjDxyLHYWMSVFX8rlawPQOtUiNFrpsZt+klIgk527o/Ikv1O5FyGllnkZoLv
oD6g5o806XR1q/Ug5n/UisYHpmwoFYHLtVxkVlxp8YCpL/tgNFiXZMnPFIxV1AqQMKg+ayZ75ada
NYkH9qqxEtJtk6l6t/cEgYRvYLTxQ8sHCjZ+yaJQjgpeVkDSQdEgCanTthoJXiG/4AHGhhoQQPR6
1Oeo95StjqS85zUadL0rmkpPXtY1oxnj70XNC9Lg91xP09dIh4av1eVe6x2qEomRv7EnBXG3r9qY
+I7QNJT8wI/J0R6RaF37s1bquoZ8Xaq/xGM8DLyHmKFsFU0SZ6ZbgJDZkjHT+CI91HqnLgVoRjdD
KNONl8VB+NDIug+dMFl1I/KABI0QHNzSFdOjECMhtoEDYfihQJgflFFtBJ60bdZbQ5ClEITP3KpI
jKrMSGSwAnhg0F9V6VC+eFA3VEIop+hd+pznuTY+pFoBwZFY7mPBUAXAo7ZKGsmQW9YwSRLPkazo
THxL7e1q6KumYOtOU8lqhFJJDkUmppg8v6sJ1FIR1UiAvtUR6znAkrrA26pLil2SdFJxBgNBrKG9
dyiGYesGQiU+E9ajZWbUacl+ep2mhb/HrMzJxhsEWqHwQYPWat1YHwxZDlrflqgXKVgqpVedkYIl
CWejKfaSP1CQVuQQqN/EVRmnYGwpJP1TSBMIIohe4xFzhN7bl44Uj29DxdLzT36Z+4IjlakUWXHi
FbUlsKDPbCmQxbzkrSjEo+kBjML+dmkqWKBrGd97UPt4UD3q+q+VS2bhSgddMiq+4EoDFmTO/aSO
bYRbOBtfgxoa26F+aMNXUdxpwStqlFwnxz792bKXIvqNfhxe+MHfvs9N3f0KEvC86n9XPmfhzvuH
+UoBgxsK3rProUzGFI0mU6nbs4WaQ7RO2iCdzLhETFZs7lubftjsgkVVHck/1Iww+jlIOtUlVwDv
qviaUpbYisDeCAvsVGxCMxSHxL5vbeHZgSsPMlaIWsDoQWaxsVJOAXgLEOMQksJM68Cz0Dfz476R
pZIk6LRQPkBDDKhavpsNL0I0pW5YKPqAL8YCAOZ4jje5IzWYvhrJefJCRgAxao6HV23FHig19NLM
GDPpKj51dtEjnQQGvgs99VnoHDVZpysF9NQViSejQQneyIFsip/Nn2CtM2a2kDe2ZgGxSMuylFMm
HxGLhw9PXY7O6vvzOgu55xbmMWBVeaNKA4wmR9CCZxqam/8wHWyNPF/rvVuZuPkbigReTDRfk4/0
GCQI+kaIpwxc8Yxhi2z7/WHNA79/xjUVTZEBRMZyzoCiQCmyykioHJPQtVv/QSlNUOfa7pjB9/7R
A4eJtamABW/F7pRbvDh6N3an2O1im9KqS/WEwS6KCeMDRY0eIhQBoCkMv6Rjdere1xp957jlf2yi
PQ1FNZCg3dSIidjFuRT5yrEbrGTbUQ51W92oPnFlgTtAOuo/1kwuLqUK8Qk8lcAHN6fyq9BJpTZh
pByRW2UxF1UzJTz4M7yEr324tpST/7iZUrwKwfaKoFe+4eoNKhY3ECE9Nn9BHLhtt4KjOP1b9BLZ
aEe7v36LA/uPLfCoXS9f1zYj6fQUU0k4WgSkF4qA9MX7k5ns931Ls/vpn0W7sDTzmoIHpRitgyXG
DNLaIH/8mxcIG9Y25OyxcGNHvh5RpJZUjiY7AhePwU8WTuIkYO1sjeg8bMvX6re26zROX+8Pb20i
Zzn4qhRdNiqJcmwTIwxSq1C+EkiTgjDAfxBCxDnv/zt7sxe8j2aW3I0xTDC2I5Mh5rZW8ugcPpV7
4fy/MzU74mKgx0UfYj8Kz9ETeJ0sF0zwL4PI13iO1+Zwuh0ufIkrtKLk1dn3mNib9A6a4yAAzkTy
DElZ2fi39wC0CUCF/a36gGhptvH9boxikC3rx75mwJWIPI5zS85PMRprBajVe8Xaxrz1lKDpRRIA
bATTy/w7O3ExuqgIc4YWXvdIfEgPl7VVuGyXSuBHHBozxblDA09UtlwII0gYnxto2QyCukYfdXs8
rr9idjxyIWy8bEzcoyZ/DdEmS4FTXYnG1kzMjoIgg3xHGGL32KiyHcY7vLM6dQ2rtWgE+SsQfyMW
AxPB9V6RdH1AfNm6x8qreJuf6+Kh0Vc6BG73I5rR8B+YLlUkIObOUSWDAMmd0XdYtCcf0ilXLDH8
U+mnGIiZqlxJBs7CSjiua2szBzlkELlDm5DveIqnG02SSlyo1NK4f5jn3T0ww1AfpxAoAKE+UmE3
G99PwlwLQqce012SPQcqysNGFnM8q8wwf8MznENHw9JHXo67TkEjnpZzMK2fwja3Qtpa7rDGIDct
1vWNd/1Ns6EXci7UERIgTqjq+yJ9Vjp958WPbbq2++dV8u/RQ3EU5AZgzUbnz2zbxM1EHgcgscOC
2iy09zyFVDSCTM839UeR+44c8P5LJysudM6ZM9mFEC1aE0DRh876mzfDGEDeJWtipwFTJ4oVFkqm
qRna3sazJFOwKpOZaOji5SZB5RbNshsKRafafpX+sJU06Lzr7OZbZi5g1MMafCFt7MQyb/0z8GBB
DUCx0vK0ObTSbylKjfSPQjYh0wwGRYKh5kK8RROgLHzUUJr/GSQmaw6CYHUFJ+F7nD4nvimFIfdO
ZWGGxWkgPP6plLsI6QPxXV9Vjr09K9AYQAQIOUwIo9/AFMIxGuSipLFTxNkfsAEjMOqf7x+UWwdz
bWK2J/0cZCt1rMWOh37MrN311ETW7L6Npe14NY7ZUqha64GaE0YAHoHS01hzMbT6dKscR0snRlNz
ObeGtaBvbWgzB620ARnkAVYh4hiJhyqwZHnlmTXPtU+bDDJOE08xmgWQtJ25GbHzPOJWVeYIZWFX
2lkqn9WoMTo0pqaDGZOdDgblroo2frNi+jbQvLY8Wzi36xtlzOrMSdjzTyUrLRYb0/bt1hTZFt5c
15Zmq1fpMk1zr8mcPLI1yfSYVYTofuAd29THgXf+SgixODJovzIGiM7kSq7vvFxJklCvM4xM/SHU
SDFpyH/mP5Aj5IG8FiAt+GSQafzX2MxTir2aBFKSY3BNa4ThSWl+admmBG/byhmYZmnm/GEIHb8Q
bkLpYu6StbAYy6jBevldYVTSjvp7BO0a4AFCeJTc556e0bDlT4dwxRMuLyBDkkWGuiy6Z2apDX1M
GykTisxxx13pCybkdEReZkCqvmriuXQf+nDlIpjXwqZzgc4GcEqjugqhmXleDJygecd8mjvBr9FO
z78FozurkC+0GPy+fDCabfyqrSuI3Ia712anrXURfIpVwJAc1nJnaH6pX0mL1iw3RnxhVQIAwVva
We6nHG5UduxOQ6S/tszo+x8aNLKpZ91f8Hnx/GYKZrNe9x4S+lTJHWErGood2tGrDE7t/gC1jNio
Q2iqjAaIaqwSdBIdH1CUgZKolb2rq7rCtxHe9bRM/34xLeOQoz0xx2qEuxGMsegCQY7LSLcAhH7o
x+Ih3P4FMlI4M0va3Z+FxQVB8XVi8AaeXZxNQigXTNTSNHeyPDMGgtfp4BlRb4cykkMQsgS1wL8w
SCdVPRAKAA00M9gNtecjbZw7FfkAsb4hdsfQ9UzUN6oMrUZr3b0L7gOc13jrQAUdaek5hr/QRsEd
Gjl3ksF3IjfdCG7BM7yNG30top2ukpkDISoc4iSzgBzNDcBUERMpKINiooVxzWiD5Ax/9U7ySkPL
Ugx3aWceOXtU8aUxhJ3Wjl/qlxEs/xIPT4JVmC3kxgULwdwR1QHTtXvj18C9Z99i2wSN/FCofNZ3
a+oaC0EQvkeHMipRmIb+hevNK9I0hPNKCqfMQyPLQqOrVqZ2yQIePhAegotUbpTh5LwJe6KkhVMF
iXToNeZboYay6/2dOQeAfjsE9HJOmmyTktNcW0bP8lYqi7pw8p1sTM3Q0Va0VIscev7gGXQ7WvFT
brx2U0dWbKzl9pYH+V/rs4su0wVU/eUG1llVojckl86yHwwrXu+7/jLfpZeDnK2WSrqkbEoMUt6n
L8JHsMXzTuShCeJ59YHZARR0f6y8XxdHJsuYXw07BJ3+1xukTFsImKLI6kQjGKOSA6qWK05lXqX4
Z+kuTMxCEuKRgtVRXzj6Vt6HnyByc39Qs7SqB8lyDxTKrGvAqcUbFJyO/xnVbL3GSlKDrMKo/B35
VD4woW+hWf5OD8EOtWl9Hz4x27cmRcb723QpWkD6Fy0cyP/SKft8PZ2BFwaVr+P8kzTjSmUgWeSa
IhS4Nql3lPBKYGGxcgD/PzbBM02AWGXSPOQjKTR7IqSfnRpy6LJln2NQqu7XaK6W55QiSsf4dB0V
tOuhxT0w+crQFSCJp5toG9uChUjId43qQYG8SXNQ/kyM/X/DNUH6pRcQgdv+f5a/J+DiBi5B2ZZI
IyyTU2+WIFIiT+h6OI3GL91sDtrKGk7b8eoQqmA1hIoxdHkQgSH/dz1OkmdNXoFQxwE2KDNKzW+2
FGLeVomXmHl/u8zZ2qBge21rduH6rqSHqRcVTtK/JOGfr+GnD21uU6gPg+5xpp4qlEryRxdULDUn
9Sn8iT+H32W/b1+9XTXYsSevbae18c/WuSsbTyoYvokqHyAhlrSdLz0L/o9i9A3R59GujTYhmAGB
KR02Y2do0oqvv30XXs0KknfXK6DoSq/JCr6g7v66W9f9m0CRrTiNSmdWow3l7mx8k4o1SvtpXa/W
fcq6oCwKhClCEXTJz6zmYh20tGkc9IZYOX1spb2spUYMBePa+3N/4W/mGOpoGq5lGU4Cegxz0sdA
U5qioLR0iiT+yCPPTnPoXzTN230zk5ubDQlldZB7QMsXj8F5vT/tSUdiiL871eBZmfIcALTaZSiJ
rUEulsZzaWjmb6MKU5s0MIReoZcwyw2W6MdRzVambWE8AHRMybGJ2wKSzNdLpKlVjhagAOPJnRzi
pcx/1XI709dKzAtbARsBcQaCXKSP515cClTwLXdD6QxvasxVozwXqtXo9v3VWZi0Kyuzw5/TrmWZ
OpaOJqZGFZ4Da0TO+L6N27NEsKdBZ4p0oghB+LkGEnh9cnQnhJUjUQGw37ZQwPUpla2Jd42ZhYQa
UeVGRt5GhaHLXsH7Soisto7WqsBLc0pxwICXmX6jM7ciJm3Z5UQpHFFreUzUjRh8RmpquFoALPxa
EvfWs2LcuDLAawSwExoQZ1slTMNOjplXOmP+Y/Q+s0JGjdtUZBTaUINWumwr5Oc481/73NZ/drW3
qUEdJzm+uCVya6AWQbUGvZ6gXDrpPWgJ7q/LnD0PuYzp+5CeBHMwikzzrRyVUZuKHSucptS3dZoa
9NNXJhmNn9I+rIzoJde4r2wFcR9Hgc2UXd4fK1/bMNca1GMJJdj47f4nqbfOAogKpEpBfAFyKiZf
H66mGaO6Zxpi3KF4L/TAqCN1Jdhc2PGajKYs1EoUHcposz0ANJXfp11RO7k0mnKw7wEEi+iKk1jY
aMBKM5BnQExpOsPX4wiaSivGqKqdLNpL499C180w1A3ZH7mmxCvZ2QWPdGVsdobjzJNoSsvaISUz
5Obk559t/hXQn/fXZvoxM0eONcG1pKio7+CGuh4TKix9W/pZ49D6t4BuNqYDeuNBWE4+yuIrQSnm
vr3b5xYeA+AgQRpRQUUCG+LaoNJ5uaLSrnF8tlHqEPUHLzFJ9VHXMld0p9qhXyzQrOEzexEP0S57
AUmBHu2xUx16qNTt/c+53Tcqkm8IPKFyIqE3dtq6FwFgnMSDEKtB4yTpuaZfLHkItWzlRC7ZQHoR
OlzADqKWN9v+vprFAnhXGqdET2cAob4Meab2f5p3xhCmfAcWcULzzwGYeSrSKmzyxhntGu8DkAeC
qxF8pGvP5dv9cm1nGuzFhAFuTtAPDTtsQPZMtFi4CZNNO0IhZuVI33qNyRLONN7maEP53kgXlnyl
U3MUixqnUahv1FJ/ksEHu7I2C8NBKlsSES6DoQwM3dfDqQrPGwEcaJ3UtCMDqWaurqR5p/18fcAg
tnFhYbb6DS30EE3MrYMWF1DyQXJux+zHtXz5HM4Orw+N5olNQJQnocC5Aww0PSsbJWydWE2O3Qvt
EMHXO70EVDF4TfzHsck/xD7ZDZW7jyH+Cd7HXrUrqhpQvPdefLQHA/8fH7PUUIrnLMge6BjbwDQJ
7tP9I7ewrvhSDQGqDM2fG3grGxoJj5OidVxWCbs6bgOrrYav+0bmkJv/Ox//tTJb2Lws+zIfqtZJ
xmPjQXbZiH3cz+ov/6wmvUFOXgd0qp6dezF9y/9S3w5Hy5PjFf+yMNhvBSVIeKBLQPomW77YxG1G
3Zyl1eCgNZrrbQMK//sDnZM8TAOFBfhURJSgE5v3a7Wp0ol50g5ISADnrnxET+FL89Y/1GfQpmyo
GYNGNDgz3/RHq9rJ/A+17n/BdOJnG5yICJrR9oswEDCn6yMk+FEXCZU8OBX0JWjiG1J2iKvavG/l
9jrEMAHLVIEYwtX7HZVdTCSNsyQbe3dwpLTfUpBGEPBUpOm7vJaQu21RwITKGMvU1gHxZ3Va0gtL
XZ1Ssa7K0RmM0ex3yiF/9sA+3BudmVrDAQjjs2f8DTfj8/0RLs3jpd3p3y/sBknQpKJQjM6HeV57
eU+7fb5Glz97mt2Ln63KYS0DSTI6Olc3v9tDDW47YjxG9lrX6UJ0fD17sxhpKDUBdAywNBi/k01o
Zke2U3fpdtxUH5X5q9oOG8GmDrLS0J4sTdfKVk7cwoFAWA6ALaoNgH3BwVyPdWSjlhZdJjv90EUG
+vu5K7yHYsDVLyJakEFB8dLQXNBkP2XyW1nZWenbUdqdAhdc8khS5nTcttnDOFjymq7a7XWDHqxJ
JxDVCTwzv99UF+tQ+iBekj0J7f9ozzeyESCwUab+Nu5zELKoCbUFKjYowyt0c393LVtGjAz2AtCx
zXMQGsuQoUXy0inRY9Kh9yJlCRf7jbfLqo8ACtT3zd36PTS4KBCoQ68PYv+5V2KaGApjGKpOUNIj
EXIbRDcrEc9CJAmWDRHpNATkjBBlttWkQUtQU9RVp/at/By6qNruRsbZJvmKneQhd2SBRzLvHsrE
VFS7hnigdJbswJSMdjWTeOufrj9mtutCF/qfkctUZ3gUQUpADxKorxCFBUbQ76pmyyCX/DK+Qa5t
qLeyrTe7+xN+m0SFiBPaqlCFEidswDzdnrGiG8ApoTqFKqDh01CkR2ButPQ1D2VOm33sH+VmH7E9
kbg2MoPFdkh+g1uq+33/S24rVd9fgqsXOi5IV8+zxgIptIKOAFBqnyxG1zdX66fIOwlGcCbBKQEX
ibBJimNxkPf+XnXCR3oq9/HT+CW5lszld0nbovVK3yrMAA3QuHKR3MZjYFwiDEVwHZcyqD+v3UNU
VnKWh/i6of5sQH9Z64+J8vevCv3oQsCz/P3+bNzWKDAbl/Zm7x0BzHEdTWCvbzfavntwdMgEvP5y
nv+sDEyZLtprJw9L4BPCnKMF/6bLy0viSYwpIo5ygtgvA0Lj3I+29wSoG7GBeo03HeNd/4T+vjLj
3qF40yVbPrY/xp9aexTsUbXk2h61R0K3qdAbOWSlC1vYBOqaoMbtVXf9pbOQoY7KutVoQtAk03Ja
QBN+3BN1rdnh9tKDFWRD0NoNNwHo6/VKy77Ue1rVEccdjKgcua7iFfEUAE3W+yVXfa6qgLBEkb0W
Ed1CBKY1R4wLfi9pghzPLOsAdg+J0BInKD7JQZjEQ820MlsQbQ7bOjgNaApvxKcxWBny4rxe2J2F
LmRwpYZUNYHneyuDlxQrnv+rtWMTJkdjU9A5SxiUdScMUTYSpwlqZ9SibcvqjUL6ldff5LxvNvOF
mVn8jmKhT/W+Jw6JyYZ0MTW0If8skZSN9TaxgrjJV66shRtyuqiQM8fayUhsX28XKSlcqNmKxInz
H1EJxn+7isgToOq8E4Kt3wvWfc+wNEKoMwGyOXGyQr742l5GI00ZPUqcrk+56r0TuduE7nMK2GRf
JiuDW7qPp4ZbpOAQPEMk9tpYEgCbCrpW4oBnknJhBGtRlqbaigtaiP7Q1PpN9o1yIV53syvZbwQC
OLOsOhTkYikDi3P0lMRvKgEmR7UoNkpv6RCIszrw/mvgpvodpXahTxhuQOZ05UeIZqsanJNNYq0m
FBYDBsok8M3hkQw0zWwSSBOMjRxR1UnDeF8XjEO02RSwvgBo+FTmQB0bBHxzrutmxvgL4gXAnU6k
8Yry4unbnLzrUPV+hoR32zzEwVpq7LZID7cB4OtEVT7h++adCOUw1krHcIWD/5ATxZCh8VtWW9cE
U+Yv10RrdEOegjOUbM1BfK3WUFyLG/LC/Gx6ehUJO2x3BKc9QJm1D07qICwKs/IAIMNsojdCH5SV
U7C0MdF5DtE5Dc0z6Iu+3pjgoNQ6bcCl5cpVtUGCKwTvJXQEV87a9O1zdwJtLNz7eEWirX7mTrRc
ASC4UxArviDCtyyVP+nGw5PH7Z86tz83AT+KBnSdbc0RTMOyHvbv1hf/9fDr9bk5gGv6jw+W+mcw
av3Ybh+324+Xv4/P4A00D6bnfBz2rnF4XGuZWlqOy0+eXZI569q6GrBb67E2+vBVGw6dVtitdJLQ
rnF/fhajlEtjsxvLTbyxYoOqOgpa7PNyj4ZHWXtVU1v6LRS2qlrJq7JnD2F+cEHEft/40q11aXt2
a01611WYYm2U+IeK5GVXmkCx37fxre15bwPMvLvninle95rqHMC12NsTYw8I1EDDJIPoVJv0nKzI
6jkzobDjAde/rx7wPIbkuLn2RF4KQJkGDjM04yMjPD/lkdooShzhnvGGn1m/bad72uP1eAqqg0js
Mk1W5nfpiKEmAl4reH8ERLO9X9SsECbOBKdwRU4AofJXagjfb4v55CJJC98l4YWBN8j1IUZHQYo2
rpg6NvQNjd3LyL+oqfJPzdKML9f8OgdGYVJuhejieN5qu/jjLeFQzHj6swaEWzrnl18y82Fs6FV5
bKexksPguEqHF9hPNEKsbKfvRbo34tlFB34Gf0g1jDjhwx78nR86dAN+V1zn5cPHb/tlx8yvb40b
UzfOn90HRJp4zpFgBiue/Wui8Yrsx0MGCc23xlijjVs6UCC8lCA+AjJpJFqvl2MsfJYGeQPuCDB2
NMO+VbZZ0q7sqsWZvjAymwGB1CVkhCrq9PAVDB2WoEJpwCia/bp/chd374Wd2QVRacgW1zUG03g9
xLe0CkCRIhpW4qPlKQPWfbqIgBiYvuIiMSOWLNXHtqcOeITwUHhoh60Efo/7Q1mKMHUsCfquNeRF
VPnaCIhBWs9PU+oMDC2Tb8Ak5K9aD6QokhPZ7/u2FpfnwtbMocsiuKPKMKGOpx/GTzE086I0pGot
aF5yZiBs/S454/b+1oC4mDepbbqS+gV1cpB5h8quqkRj8Auz7x8RTPUoJur60/2RLdyLWCc8b3GN
6+g/mO1uBlZmL48V6uhkGA5M8gurDqTNmNNjhSwRmHiCFYsLWxBisdDHVkGJMPUTX6+bPqgQ5BDg
VJQSvEYhMjxt9XJ/UAvLdWViliXQgkwGYQT8iRSpXEFbr4q0yWgnyZpmzMJG14A3wCNAnP7XZxs9
HgOvjiQYKoo/6AzxgZYf+hUs4ZqN6d8vNsVYi5qnlbBRRz8xlkbbSv1KO/TifCGZqRIkOgiCt2sT
Oh3auB6wvfuYpuD3GF4oxRNfFcDxFQHGcX91lrYcwF5o3CPgw8DT4dqa7KUJZMM76ghy5lutn4Gz
emQRdysf0Kkk8DdN5q8c4G/989kVgzSxpoE2DlhJLNe10SZ3/UZKRAwRBNFHDVzNb+HmrTQ7SD8W
ENIojJPHITy5eTqff5yZ+cQHaMY9SNCMMzougwGw42uxy+JEXHzTbCISAU2F4HrA7tHrlzromRGx
BtIMKMRAUJm3JFf5/alf2kuXsyBfz0JYggUFaDgKtahnpXwK5V0crFRoF03AnYAKCOcCa3xtokv7
BIxCEnXU8dR5zyNgVB1bOd9LLgQNZv+xMXNaugci9aBW4SfH7rOX6k8hq6z7M0WnqbjZMBc2Zmei
VsSyQSYfkIr9sH+rLLypjRp7B69p/Ip4+QF9qGb/ofDSRhD88pUZwrSxQOXKAV7IjKev3ROOz44C
EBQY0KaB3KTr8x5/nUhJQVWFGOa9NSCNJPItMR//zfaiChIioJ9AM8r8VLeVOvRDpmGxiafasheD
TirJPvKB7uRGTk4UmClzZdYWJg05U4g/ofEPJGizSUOcHkmdFmsO0V6HeIcXUAbFLjmL/ucBBuD+
2qSuDlw/SM6vN1kyNENXSoGGMAYQBjFVMjNuUX3vKtatHJmlQ/pfUyiWXpuKU1IWhAjYz1X5HKrt
m9rL71og1Rx06MTwoSVr35/EuaoRitATBASdNOjw+s55Xpv0YgabQaI5HzUEg0s8qN6QzjFjI8Q7
C2gvIz5VHHxadm0yqzM+ZAva2LTcohhw/0uWzjKCK+isI+t7C2xKCSn6WC01Rxf2An0UxS8dsc99
G4vzi7YUCgg3Irm5VISgRWRovUxzCn8MDdTAztCTR2qGIKesnMdwc9/c4pCg8oOa96RNNefXRuPS
KAdurTmgg+MEeLSM/arH1/tG5KULFVVT5MkBhEED4cyza4OvCsHQaE4JVR+/O3RgzcK9Pfzt67MY
85bZOgM4UjwXFBk6dQPGvtg9pGPF020gPPVtxFHn4L3g8cHtjp4P8iSIejVnca31+BaVMG02HCK0
naLhD6ix683W9XVZlfWgOa6foFVcsf360OGh5+3k2iSSQQHPMCpZ/xfroGER1AnrhXrjzIWXncLA
2qFojtRBgVrT6kcBDG0bF8nGlcrmd2Vi7skvTU078CKAKjvgBIQQphqjtXv8IiiWD+DzR7oCECV0
kT2lux4y0DoigRPCgJ5Hhgfi9xHYxZifvc2XZ/GHALPAfd3w94+PjaH/iyhPQ9sHOjrReyTOr00k
0FMSg0HECUb6giDohZZaYbi9LK6ct+/w6mY6EOxDlgXdo5AIvJ4OH8JsoHLU4aNxU8W7iLemZA9W
xU8oY20l8xTwr5Z/xvwh2+UgeQNJBKq+kgVfxzHw+yfl+31x72tmLytpoqzOPXxNTAeuNqYOrs8/
Qrch9cZNDzRxQr8yFIqcnQ58DoSV0H4P+ZVqN2SW2slgme1tkCxBZQlt2cJBV3boWzZzehiqrRIe
WIjndGTUdQSC4A/J3yd9wJvoVDV2JYAaGK9fgzIuOgFUzdSkMjsKsQdvR/LBoO3aYDGz98Y6hTUX
G1EIwQg+9hq8QguwIYh6Ad28P51LfgelYtSrpzcd8rPXFqooynHGPeZo/bkewdkZvDAFDIjNyhW1
lLEBaAuk7lPzEBowZmcKRQsv8FMsW4lzk/EPcDKZGmIj1OQ4biXQYujA/lEDm+kJghXW1yfjn58q
p9+KCrVliJ9T+DNwZj1GJjIR3AyNtQLKQoYAWjBQ0ZjUeqhCZy/NtpBrTfFD5ijeL3H4lfYVGM1+
FekvnRSWypKV2/KWjAOu9NLeLCoJi75Q6hz2NPZb9I6uYhcQzKs6R/Nxa+cFFwsj6bgam/ohCDtD
72033fkICunwWMsReGh6I5YsZVCwASEKj657ZE2T56owY+nHIBkjtAYTgefFU9y+sfY5cjkZo20k
rCErFq+Fad4mEAd6QuatnH3TZV5BEubEO9b/cMGp56PYtFO3LcTTVadfqbUupcy1S3tzr6RFVPcL
2GtBlTpmyTvR38XGN+iJZIanP+YMnhrkCGNg0egR9IUuGVcivblgwnfcdfkNc1/kg6hgQiM4vXsS
fcNNn0EzzgPozEimrm+A/pDVR0QwhqLZYwKi097SxF9iUD6VPnSdXC6tonanLTN3GajbghoJ5SI0
Is+uyVr0xTKIsKU6rL+jFMgAZZ95blC6j71tEa74jwUYylRnRwkV0TtkEOXZFi4gkSFkXs4cqEEo
lUXOBL1njtf/KIw6qfgI/o9sd99nLRUSL23Oa+DIsucu9TJMOzqgQeFj+0a/FSyQ9/Az4+8p/ATo
0EwIXDoAYpvJSm38FraIY3sx5nk+YqBF5VeTfdLbdUUPbd6j87KFWp5Jq40/VEZdnUCUm6QHVTar
bA0YOvnK2zX+z5x/d6JcXAtN74U16WC/0PO9InwwxdDEnagAP+n7K3t8cT8h8oVEGOqDqC5cXxCh
6pOBuSWO9SBxsEcZemXGiEhD7SDQs6wURrRWLFp2JRc2Z9ceiKtBs4rGXUdRLHXTadCrxuSiEIzO
B07r9/xVcv/e31NLUT5q73geglEIuIjZMBkJCzDHdswJiGjW6YeIbpwserlvZHHdkKsFVzHYK9Hk
cD2XQ9lIalYyzQnDxAjkrdvFpuZatVoZwpqw5vfL+WaTYI+AMR0ZOrx6r41RoUW/egVHAPS3Ge7C
nQhZdBxI7nEVVSKPv+i4h32wQKEKN5oC/40q2JY+nLOHzvwx9Ui5PNk9vHb/h7Pz6pEbWbLwLyJA
b15JlutWVatbUsu8EHJD7z1//X7sBXa7WEQRM7jAXCNcZWUyMjLMiXPsP4mTEcpBjkIXRd5/+XP/
VFYtjFyOwgMHc5MvB4Iu11mPI9eC7GJ6WPAYP8atSxayj8fhR1yVULh/u7/o2kuPLAkoY+CgIDIW
4Ygo5S39cBY1a8XOYqKRD+mhtaBey4lJpI30btW63q22+BZlU8VRqWHQOi6xkH+p8p+RbO3+llZz
SOIJxhtRM8WOFzY8WmmcyUKA6xde07a2E/1XV5/a/rPvf0uaY9LYLcA+MeQ1OkfZJZWOg2ZA/pGD
BfkVWedxJgpooaEai12lFF8bvzlU4aEwD0V/vP9bV24CEQKsP7CNw4HyVnx958FiVZmCHnr4i1+P
MOd/V70XJgftuP9YRVuEVyuzCMDxgJMDzqO1ZC0zpdgyxtxKZhdGoE9cUh6D4DAZx7FS7Qip18yw
pyZ2Y4p0nT1M/I8ylMCftX7j+q/6tRkbCGeZRJFtqRfsS1NTFkJnXiR/F2i7PD+kL23laBQWAqDR
0ku99Tyvmfn7FRfRgJGqfhQFs1sLydX9SfjuZ/Eu9xpmvH5Xcf+tJyS5/2m3llzcrNbL2ygZWXKM
492kEtc3n4fkKWdK2U/6nSpoG5N6WwvOf/7OllK2N9XdMC/44D2kdfgh9v6U/gtiDW4Wdsf721vz
VrNEIo6VN/GmU6m1slJXVHAuKUIlQvUomcdesHVQjBDomt9aYSPAWq3tMYE9s6jNQ3tvcfC77fVV
n4GeAKcmA5ExHwayJv9YfFT2MAfaP9RdaesPc09Csj/HkCd19ufamQxS312WbHza2VoWT4pJicpi
28y3QthyfdKS340IjlMfxpB3hv9LLupjY5h23m9xM635h/crLb5pIhQJXBuslHg/GrGy51xIMls3
iamOCRufdHVbKjqtTO/x+C9P2O8CH1XjwLjQfCKCivaqjEyLnjuSuFUbfgM63Rzh24gG+BNamvNL
8e5rxkU3+WUZGjP6JIxODAJMxknPf09uJ3yPh10cFG78BUWG5tcofQjr0YEHAjhMe1KGz6N+kOOt
juSaV0JPEegbtSSc8hKbVcZWlQkpxeO0R2t3+lJJL6q5C/QfhZCejPyj4uevivL1/jVa/cDvFl1k
bzG9BX3IWLTD5wrDX5CLbpP/bZkToX+58TLOcdXNofMg0nDlxadyfH3ooqDoWYiyxkUMU9lJEhCE
QlJucX6smtG7VRa3o53CROymgoKc9DCmdOLoBnVMwfdoeY9bgIm1vAteGN61WX4TpOfise8VyAB5
uimDfWtE99eEircH6U70wXzxX5MNhNHq1jg67ggZPpoA1wc4SWWUZFFNWT/6bjY4cfVXXX+VhS1Q
y9qH0onIAM7Ms9A3AbIRJkqXjsZlMD+H08VsNkLNNaubEbZv8TCK84t9VEbnNUxHGBe4mG2t/D5A
AmFlryXSP732876Fzy5qaXTM2czHxSjOzUh8qfRRFDHmxkTobpIrO5c/JRM9mOea8vWWZ14rrwEd
/b/V9EXTiX5IIoOfNi5ZbZ6U/CzmMEtF3yvhJGU/A0i1PKfS8GxB8hglgVtUEhw/08OQVDsE2e0p
/jrU6MXXJzN4NYbU9qwnr38OcgRUHAG2+4Eid/gYo5YinuYx4Kl+gHfiBNe52XFxXxgRhh3EzgQm
R7IPkFi3oy2kL4Yf2vLo3j/ZlSf4aq+LmiXUz14I+YVxqeXgpW8Opi44QOKZpHpk5Kc/NdJWy2nN
LpHmZM6T0iV+ZHG6PdEjkld8y9SInCgTz6ZQnO5vau2KIdzAwBy3mkLKvOl3D4Plte0ITaVxiXNV
tbtEthxDgQhATKkoFb5vbDx6yuwgbuzTovGK0gBEn0s0lCEGcdo2nnE5f9NsF6wLUMzXucL/7cf5
V+T+QpXb/sY/fZuWtDPX9VX+ddATp/tyf+srI58E6MxMkYzReIbX+3rvQdAzbS7zU9Rhp7R2arip
/hgHR709idOpG2KnvzQ1TN8PImC3KSBv2RO7w5LYbNF33JQVAYgxnUftl9k2aMaWaTNqumbVB1N+
kRvAqD5jkol+8sLwGMtnULpO15wBgNutpDupJDyp7fBYp8pjy2TE/VNZ+g9+CK4KHpn5SaFrvbC5
uA6aQNXL4lJORxnOEDLj/GAxQIaAZwsna/siC+FGgHfzqsyLIkOL81VE3dDeyE3eWWE0NdJUz3R4
VW4eO/+nUD6X6VfDe7Joo0BHr0XNMRw/+fK/7c+/LcxUugbUxpRpYl+bgDnmkNhKkA1KavZPY/i7
SOsrxBu2kOhzfPXe6ud1GAoyCOBhgqJdfr1OH3tx55lWcYljqGnUJNVt/dVLNH3j6y1fmrd1oD82
eTGpwy6nYKNEjKjt5+VlhGAZ2UHbnHxH68O9mnxWtgjGl+7pbTFaOHOVDhWkZc3XDyFwCwUJWi3g
Gs+SkGUH32ysDbe7tqUZ0UiMTG8EKNb10eWUcz3DgqOpUBxqXEdzlA5l5J+7+ksvbsY3t3vCAue2
JjVl5gWWPoEtozIG3OlC35tahmDZ5sPYItTZPGmHFBW+Hx7qY5TaU+NHZG2Z4+1e0V7BIzElPF+F
JS+JKPb5qCtRcUm60jb8H7TIHAUpbx2yoXCLPGJlq1eLLXKCNs4Z6Sri4oKUH80Dms3FRop8M9rC
XBXleXB6JmyCfMHFEuDPm9TozJixcGufP0iP6qn8qx1r+DDoXEOubNPpLLcqL7NFXF+2eVXELuAQ
nQd/FuFWbOq9UsmsKonJbqglJ4YLPqq9D6lRPN/3lrf3+nqpRTjcUkScKz8x1c46CqkdvsTJVvK2
tcb8Hd85R6GKBKgCw+SS9Zk+606EyVkLU2S38qZ5vb+fFQO8OrrFB0vNpE8hoY8vaMvZU34qEwzQ
fBQVJqPMDTDn1lqLi12BtshCg88kPuf6XhtekeLNTSdJjd39Td0MZv6vGf6/Qcy/5N0JasOkF1HK
Snp0zCdnCAi/Zxq+UQk+BUHlFsKnNPrQJ+AAPQDNkrm//wNWd8qrSrLLeJeyHNK2Gq8NoPDAIHtU
Dvzqa1T3e3EM7MT3iGK/3F9tGafOu1V4zbA7kbHw5ahzY4yoDIoxUgsl9dZzWxxUVB20oxCfvfpZ
Ff/cX271dN+vtwghjURm7FVjvRisl7jL3KeX34U97SAh3ihKrcQJV1tb1m/lqU6sKk4SXhz0Ih/T
AJwS5fMRhue9XxV0AhntFSq7GLYgEWufkJEk2BvmDwgz6rUJxdVoKkgtwYQ6CG4IzdJllrKsst/x
FtXSqtN8v9TiXgRxaahVzlLD9BWkGZrftix3ey+nF3/M4/GgQJY59bYgAxanyRd6e70e7Jru2P0v
e1M1erOkd5te3JvAU6dW03M8z6m89LvOFSRAE/2ufcmegif5u3/uPza7CW0yBDqYc8kGp9waY1q1
5ne/YRmhqXHp0zFJLqr/jfdj+mZ4F6bU28/pbzHbeK+21lpYspcQnfVmkVwM/5ABZQtA+gj7En25
P7qx17qtAtFbNLF8qeiREWgAUGFmfJFSEr/JnmSg0DIxh79ntHMQfiEUjuThUZpehPaP8tBN51Cn
r5K6U7Ub273ubV2qOaJf/ghIUyh8QKrBb1j8iJrG/RjpnHBaOrICJX76LZXt1LPLP9Ng+/+68Ddb
FTUQ8C6z1+A2XV+lShDi1GiSlInrCnyEJlpk+VkkhY3jR53UAm0yysY2ujb/J41QUbYTUUwyuwRo
9h+eO6qBhI0046CFWFy1OhqGRiwxcE2t92J6lLnTY/KY5k9DskVbPXuIm2N+t9biMpVipPsG/4+L
Vjz7NQqbH4UtbN5t7sbJMgcnq3PUwSe9PtlY0Yu2Rd7+YiFmT6+3zH03ME17rN1q+G5G2oaDWFsP
eDvnN3P73XC16Y2oTllXJkhZnP25zPlX109+9zjqP3rreN8ZrT4zDOobyjxqyDjGIjENg9DMR/Rt
L179Okaok9qdZNlRN0B7J9miYGe+7giltpOn36O+4RnWdopwxkxtA4gb/Ybrk82VKguDLk4vAnib
NA3Ogr9PDcp3bewI5o7O5f3drq03J4uA4AgbEO+4Xq/yFSUcpCG9VKH4oAmPUjXPp7/4qmtkltO0
7VYBYs31GYxIcw84WmTHrxdUkw417lRNecQLaCoa7/nvGPCfX/36s680/8FwoGuaJWWw2BvawsFo
JxPR8xS/56FFbiORbCegyDSUtLvsUx54H++f5w09Kt8OyQt6/YyrWdR7FtZjoHwtVWhwX6YpfNY9
3rBcuYzlF6V9bJTPndU/J6Z37hUbStmdOIKg+uB3H/1UPBcTow8lWszhbyF8aL/e/2E3WK63H0ZP
lhuEMoex7AJZfgFWzktyJl2iU9hpj1VT/lKs4o+WHU0tsHsMTgOhp9bioRRkpyIRDWw/IHwF1bH3
Kt0Rq+mjEB2aLRLmG3Kh+bcBrKNrzK+boe/XRqHooJ/1Qcgvhv4XEranSY5sk1oy7Dy+8JJFsVs9
61Psth3jIt5RNWHZgk9c6E6TN9jTZhtrXm/hQiFRp05GZkz7/g2J8C6Oj9JK9YTeT+EQ9BxNhQtE
NbJz2EeyW/if7n+YlYDvaq2Fu65g09W9SZ1jAVdoD2hgOyUHXyduaugbT/DWvhaXL/XDxKzNWRtL
CXYK4lvyJ0Fs9lm/ka3e9NzePigwSaQ18CsEs9cfNKJmBCMYbqzq5UMWM20opsDKLUBrsei0segG
ibKfvMA10i0U0sr7x9Wj4qpy/SC6WBwoQoRjlHZhevHBHuShcYrH6otFyf7+d7tByc17nKEo0BIy
/Y5/ud6jhA6kUXt1elHC6FzVw04M+w+t/6k1fiW+5Ta6Pemq23vh0a/7n6r6JbG2gHIrlRXYyWDk
orurQ7u2SBbKtlKmyctwb7qaOLKZMwZv6X83Niqv3AYglwxMzWopkPleb7RJhjjQKjYaZv+YiX9K
g3SnDfqfMRseNCtzjNBwND/7oPXa2RQZyhjc+79gzWx5EHkU6eCqN3NbctFpapmU6SX3Wa1RT5B6
2mjL2bU/bvjvNePBZiGGFdkuAnzXe5UzhY/VN+klqEXJNlsLrQik0HaSB9j4/q5Wl3p7JejXUT5a
PL01rRg9DNp5qWw3zJpIY11/CCka/KeF5i84D74RtF3viUy2bEKj5/spqu03X8LecJv4X045zrcB
9iJ4blVk6qkpXi+iCGqQ5haBhCD35q4z5D99lYugGfWt9tia0dPGn+fAVEZXl3wTXpoXqAMTQVRC
T7HoOQ+HjQNbiVHAbUHOCe4XErdl60jrOtMayjy7VBOStkxINI3keBD8HgphbLxTICjkykhAWZEr
wJRw4KESt8DzK+ZBJZp2BbNmJpOji1tXKtFYBU2XXaIYvAJVzda2aA3dt8G1qAACZLA+IJtNxiQW
jjrNk8DUS0TiUL38au26edIFipLLl6+7kcnN1xaVsi0g30oPijz7/xddVleswkzVKGXRuK7c0nJK
Ol4j5s/MahWdGssZOteKdp56LGKIxh4EYStHWgl7YaMCmMeIF8NFy8PtcuSRVSXOLnEl6nsjDLxd
VaiDnfY6cxBKsa+YNtpPSrFVeF97NaDSRgmEoWtwMksi7TQccgSYBkIdQyx+lmLTA48ZVEcU8/4U
NuZsUVJ0KMYQtHNa6k5vyb0TSlH6nOmS4CRKVu/vG8HaYYCNAYJF/5fhldn9vot2BkbBkgKC50sp
xOZjlVvSriYuepCLUnzwS8vfVX0xupoaiC/3V16zcfAQIK5o6vA95j9/t7IYjF2amujECdq094ru
mEXOWIqH+6usRFh0jWBDpaQ2M30vXJNoBdPQTChLtt6uLH/K3fFrr/2zWQ5dW4ZZB7BxOFqKLAs3
K+bpUOdixTEWMV8xiQgdB/HUT8pT3k0amARlC0a24qhm1jVaEIQfuIrF7Z3SYEizOC/Qm1EepOxJ
IshC1vWcK5KrJcfuIG4qjKxd3vdrLhn9s4KJnqajb9v0n0z/HIo/OvOlTcRTSlUuUZ5URCBq+eMU
qm6afa78/FBs1dlXXoC5dYYWA9nMLJJxbTaW5AlVPnXoPZaTIww/6nwrfl0JeZgGBMVOg5p4Y/nG
iInYxxBr0pyOj1K0Ey23L0gad1332iev0tjafvI5iXf9xmjmSqTzxuaJN559/5Japxv1wfMUssc2
ketdqjY/lbhVnNgIRTstzC0y6jX7mQFWksXdQ7NzcZCiEOdtOo45gVU7AbQMRcQZvTx4ljr6P511
KkGFnKouKu1YEsSNWGvF7xC0EtepM0UhhZ3rz5hT2DaiUKAJadW2VgdOfI7iZF8pIE6z2RVvHO6K
2TCdRxzE+BZh8xLlonhj3ClFRR+y/SqhPhz1/754Q3WVwW3m1GHLNRYRXZToqdxNXMdIUaujPxaB
nWvD+LGGkOti5TKjOoLsH8zSNzZaXCuOdK5UwZAFQS//WAQLvTIw6F9NxQV8G/Uqq/nQteMxmv5D
Kxdfo8tg10wGopRFbgWsp5X6EYGrcRqcwNeR8tzdd9Zr5TdgEqBkaCnN3enFa9QxrJDLFhANPxMe
AON96uCnKw2XIR3b7/KXAJVZOwbp3s8Mi02yb9J/Kw1BLMvMKHQd8xZ5ohc/AVI832pDwBpeHNJG
+1y3f+9vcs0S3y+wOMauhkRc0xKkJ7PHQfw65J59f4G1BhaE/TPEh3MkyFkkp1ohBErq8aGyZJ91
h+pkea7q5jXc0FrqSqVtbvVPVp4/g1CKcIoCmEyAc32bM2YVo3D0UYTzUIkIxLORPnoMGSnukO/v
727t+ODjxvEzCodY4cJtpVMhmkVeI2lrgPODOkd0/CTcuMxr+yE2kQAVMBsG0fj1fnQxlvO6UMuL
WlROO8mumKM/UEfgUPtnMuKNnGP+6xYlJ1J4ifx21tkAO329XNVHgzl2OQphCc0vf3gwWvWg4KHt
YGNja76CsyNxmsvMN20YisoiWU1cXZiiZOrXKp/6uM3hxN4w8rUD5P0UZ9QOOZS18ElTMrZD3aoV
wV2y74XgIhWH0ehp8xcv4lYzc8Uk4OMghQFhBbDgrcL4LpLUiyqII9TmL7qXv07W4GRRuUFIsLYE
URaQHYRjqJUvnqs47SH8LzHwqu4SOzO8aNe1yVarY8UOkHDEiysUlog8FmZnefi/RAJYJVfmY2eA
5J6Gk66nbhce7t+ilZUIVkHLAK5+a3ZcW5xAv5VJxLy5pCAB1fBPk7+KkWqXwsY46e25zTN6pJhA
xShTLaFispAWmdqhta5Povk0aGb/wy8pb97fzW0owyq0N8HjUJTDL1zvRgzlqJd8Qpks6D6ofZa5
cudJruI31smLGh/Fb7NgHKoWdmYzbkkw3p4lrpaYFCwxDgOimuvVh6opcl7M/FL3cL7XSaQ9q56R
uF4+UCMbjGBjtyv+ffbtlFdBelDRXAaKg9xIVqAWxWUWvJLsSWikD7UYmXYiCcaHoc6ip6kmFDCr
1POgLPH0b3pXgArPem0LyXl70fm4eHx+EYbEZ7jefKinfaB7ZHGhNL7CDf1BEb8n+r6tS8cwttzy
SgLNajp8NQbDARJh8vVqTR0HfSUTmsc46NSt66L8jofRoBEAVfw8MIgV7ISs1CwXtLb6DdyzKn/o
zV4OnD6ucrtTOgGhpGEyio1Xd80KKIDNsFZcOOXn659WwxxuhKVYXOCwGf3nJnquQqfqN2K9teNG
ERyUEZxxZLOL444qX4u61CPWq2v9OPq5d9C8ELx7HGnQTYefhKjckgdf3Rn1UK6wxcEvk75uFLNI
jQgnGsRMREFInVxLH4wyKpxSr3/ev8q3ecFcfKVjT/xFoK4svrCUNlqeySwGzb0990OsCK2c0Rk9
YPextaPivfH4rjkPwnXd5FCp+i0zg5zwmRgAp1vHn2TxRyHtAuNBYV74oVb/RPqWj799gdngu+UW
X7Bva0tkjhCoS9R8NCrhOOjfQRVtiY+tGYpO0WPu7M5zwLNjfvcmqvBYlkZGvsMfH/rE39fDeB46
8gM5uYi0tu9/ttXleO9Jr/DzNzW1dhDCthixfjOWDmEAlnyy2r+TAvXH+DsotkBDqy6QdGsefdUI
2PVFwClBeFmpqlRcqg9x/E/ryvvKdOPfdWsjNyN9+XJ/d2vfjKbu3GahqQvA+vow47gVagjkCrCe
g23UoOMZqoG6c+MQ1y7aLK6skWIxhrm0/cD3Ssto0f/2EtXJarFwR83/ztDuJ0HVX+9vaQUVxGAE
U+mzUOwcA8wX8Z2BSLXhBUIssxh1WCSDj0Gf7wfZmUQ7VJxJI8Ur9vL4alifRHhDe43grX8SjfMY
7u//lDXbwatAfwnoYWbeuv4lWTPkSlIiKlqiigTDYPhYV58N/6iJGwutPh/vV1pYTawlXu4FiIXG
wO8Np2WyNPmNfkAW2Ke8t73WDmt32mRSmV3/dXjPUc8zrnAwEEMuAUBhM8UF4UN5mUTdkSj6hgwf
JlV/gkjXThBKoZH9JSqSL1OxVZVYwfnRPkANj0R2xpovi1lVqmZ6Ek0lfM22THKRhW5Vnpvqe2qo
dh6dE+lFk3+KxQQa4zHOI7dNhY9ju5V3rHxjAiMsjWlMquvLd0sOk5IeESefjjoEW6kj99xUxd0I
jVYuKk4cJAFzNsaMwbg2JSM3piTwBPRpmWdqAAyG8mMSpJ/vG+zKPb1aZeEOxryENS9FpTdKkgdd
d5hDsqm97Jpsw2BXt0MZggObp/yXc1O9n4eaFpbVxezanWgmD20hnxpl+HN/P6vLGOiFSLAbzuo5
16cmtH45eBP7SQTFciuKo05cJs0hoLaw4eJWHts5D/i/pWY7eed1BLHQOj9mziLoMID4rEW+E0TC
p7ARYJ5ldjUuIejytpp66zukOwnl7Uwlv0jfws7wKkWLqotFkJocw9/eVg66ahPgDemgzCOYS0CA
5uWE3WUwJ7yRzYTFLif6VSNrF+cbKfzaSvRxJVYhTCJLvD7CtqzrcYyq6uKDrAgT3VXihykL92Xz
975ZrAA5SHYJIoDmWMBUliGtVUuyMPh9dZFyqX2O87HaS8U4/co0GfKMIo/sQlIfu9CY9pMoPzRh
Lm3c5zW3McM33wAOwIMWlhnpU1tJPb/AiBNXT2M7Hz77wj4U1H25xeK2ZiPv11qYpi6kXps2HZft
0KHW+2R0v+6f59qHo98lkSfSuSDUvP5wQl4YnhejnJ7FX/zkoOY/wGZ6W3Qss/NZPDZULnlkVAbN
wFMttuEnWtHXioSEeHPIi4OifL+/i5UAXQLCS/FAgbGBMu31LnSrFvQmJkhRhCB9Ctjn91TIH8SI
/1aaoblLmkS0y7zUN2xh7ftQHCFQnymr2dv1wn5XC4PeMwiWtLvC+q4Fz2a90ZRY807vl1hcrapL
2izQROKDhK4HGgyoJR6KbHxRrWYnih8TcSeXh/vnuWbicymOXA6xbFzw9bbaelYKFdkWN6jTOrdT
f5QQu3Wto1b+RjVm9UbDE0MQS7oDHGRxn8TOD6XO1KtLVcg/hVCU9hAp+U6laqXLRJO0l5S4cfLU
z1DmAfDWJr21keCt7ZcReAAc5Mk0nhc/wUo7f4h8KoNN/VCE1gcSmE9+GB4kX3pq9I2y3ZrNoFlG
vRP5ZUxnceUimiVVFyImFkjJjtcmZRrGkzbetLV7/X6RRdDh1xnAWTloLk3IhDbirdZHobeL6T/4
fZiHaX1ytUGoLJYRmOwMvLYgYLcG8SxLqQOZwEMdWaoLafzWVPjapuA7Ac0DCka9oUPxmoypj4Ey
O2ZQ2lXUNXYjVb2baOXR05stCd6VDzXzY+G33vAuy6q+GBn0shOvvlRNg+3pJtRraR6DoAuEDT+y
lgXQpLeYgcYodJKt6xsnKV5sBVXbQERZFAxe/JNFALtDX1XccZgsNJH0YW9OgnpMWlHZ13KaPfWB
ke2DNDDBwRbdxpdd2TyNBvgNwPtw1EuJmzI0x9oYoppXDtiZb9pK17q6suFo1i4/DRqmv+fKCpnI
okJlyUPZBlXQXvSDVT545i4sHxujprF2yvN8LxshN/9037utmBFrwklOnk7mZS6MtjaMiEHhpL3A
qmDSY74k+c+N77lyetQVIRAirGSNZYyQeemAm6m7t5Cy1V4KSbGjVnT+/Uber7Jw03Xil0o1Vd2l
n+xifG0bN5c+9nTK7y+zthnixxlaSlbOV7q2TXmIvKTJwv6i53/64CFAH675fX+JlU9C2Zg23Wxt
ZEoLn1hJXi7SW+hn9fIo/FIAq/ZieWdl7e7+Qje6WNQwKIeDvqE0Pydki6i7HsWhD4S6v7QR8Psx
KD5U5VcK42PgKtDxWAlDN5SpFQsJIemlMh5V63vnO638krW/ev3HpD/lGZRmfNBKpU7xMcme9O6L
HupO2IMSa2LUusvn+7967XiA/dFGsiygmUtQXJgiJjd5EjS1YeRmllsyrVNrX0I93LDb9YUwWgNn
xAu/CKTGEeZp3Wj7S13MTN+PXam8+GH+cfSTeGOplTcXWAL1Wzh1cOdL7zpM4jDEsdJfxoMfnXpd
g03aifTerjbnvW/DQ02D44YeFuU3i7bctQGHXTIMYgQHgd6Bk+G9aB4jNwx+l9I/hfDP/U+l8ndd
h7oQSJjAx/hUdJ6Xoa7SGUAvQ5k8XBvsAR8+bJEP3F5HtCLAVyEEQ7GMUOR6N9VU6n6dztXopJJd
imh2r4YJMxH9RqByG3mykDzrBtM54GYuji2qJ53gL6I+kuiNLQY18GPzIIY6s5ipMyXipX/q4mQj
Hlw5QKpC0GcC08ffLCv73mAk9TSStEpqeU4q/YdkZRtOYKVSC5yD9JEZI04RRMX1EQ5ibepxSMjZ
DtPkJpNkOLmB3EYTQPxcNpHTqWHlxhWdKjkwa3eAS9iDMmPjCqxt9Q1QC+8HT+BSI6MtksLMRUop
eSztYIjeqd6v+9a48gnpdr+xPmL7oACvN0rjxOuCmhJXURR2Giop/YqOQlflnQtValzfVP/xZDCd
4tYkwO31JpSnMTZvjOKGPu/9fVGl0zTqfEZ1Cf3kqFFY0YOzP4PXYv+Don66v81btwX2Ds4Whfoa
lamlpcoqiGhGZbvLCLjxVCiZ6spmELlB04wnQ8m3GPpXNsdxAnEE40joshTIktsgl9IuZ728OYIZ
+1p4cmsLNewY6tg9qLG6v7/BWw/GBt8tuLzz8Zj6hVx2FwjdjzIzW0iOGaCrJiw09uQD02SH+ysu
jpTHHgwcCS0JNRQWN1mKpPpKP5h1fi4jybCBAWYnVIlNR5Wi6TFptK2G9cKrva1HJXjWieT5Z67j
2l4CqTc1T8yLs8GEn0rzNKTAXxo/7u9qCeZ6W2bWvENYdQZUL5NNQ63NhMYhy0TMpsAYrD1IXpvY
TQRl92T0yu9mTOKXrvchHxlH49GT1MGVs75/GEMv3fCwCzuafw1goVlUhSwDpbVFJGoV9CtDWa7P
gjrWe2kKv2RG9FnXIF+x/BTWYK/qN3zfyjnz3IIKoCPGOS8rFlla+1OoKPVZwYIZPhaCh6YPesKc
KdgwoSWW/217vIBUiWdRcrKb62+q5qnSFpPcnIVAio39qFke2NuWAVYrDgWC/FCPS4CWVfU1yOPO
3AlSkbV2rgj+b0+LtW9t3QnPcTtWpp22U+XZujllig0lSF7tqgplLoiKMzGwmTAuNuouy2bU269H
SR3dZJCgM8bw+tczAcjzVJr1uZKSAmkxPyqPvjGlbp4biFXUHTSkjedn+7rV80MsDOJPII8NCiRt
KeyFMsr2mSi0D1Fo1a+qV8A4WXjVxudcJlBvv3Luo4BWp49xU4GK4ykYg8yozwa8HhBfRNVzLfiA
w4ZkcnwzQdC+bhNH09FFkRpdsH0zkzY+9NuteRf08CPmJJl6xtsULanV9VHlo1cYPsWw8+TFpuSm
sqf5rjxM84CwZ6DnMeVh/cr99tp9ANiw3VdgQxs7Gwf/V49qJwCzvimJzKSufDJTVJsqTYseIGXJ
fPol5ggdGnKYKIUEgZ79Cseha5wsyRBm8Dpf+awxCgQFh+JN0y4ZWq+GL2wQP993HrdXBzkWqAIg
FkH1CXjy9S6rcBr1uB+bcy5LUDhXtcRYMqlDp1mbZe450F6eKO8K8TEemO7H4kTbck5SRZG1oBV3
PT+RFaepo4BhDM90c9/zvgxGDoRSCMZjpbRcBHn6nihMqdzf9LzQ8ofgLSBwQUmXRH3xQ/y8CgtB
w75yY7B2EGp99vQkPmZ9SKknskM9qt1/vyIFaWZdIYTiLV94DaNWtSpWp+asT0Vuz1zSbjOpaI+0
ur/DzvoDULjmdH/RRaD0ZsFUORSSAx0miGUdIux8k+EpqTlnXVg90zYMoTXKctco23FHNFgfWilQ
kRoYUZ2Y9Oy/LA+0n3s8z6cukREiFEpp2/K59UKvHFVL+++ZV8L/b6l/4rROTzpKj07cVTDK6/oW
2mTZkJ13TzuFWI0XcUajL9I+TaTdbXpCd9bFOvyU6DV6Dqo42aU56IewzMKdMoTjbmjz1vGJ3vd1
UwoOYc4L7KGe05Ry6eZZ7381umarO7cIfd5+G5k6KFQge1A1Lm6d2A6MZkl9cfZ9Kg9mwxRHpxoO
2YlklxTunk0aaR+hL1ac+yaxct3pPc65HMNhBAILy6eXVHS0BqtzF2VoqFd+zbCnJeitePBULv6G
CdwGXMwDQcpPIYyiNp/i2rtMRhv0EXMk5xwAxHOiMvOlouzlmFrBdAeqQeHX+/ub/8LFzWbMAs/I
mC4TQss8MvSjIJpCqzoLcjTthdnwqH1vdctWtzUXj6i1ULddDj/TtOmBofn1uR08CLwbqVOq2KFs
VQgfQy+ZiPQEZKunjSxyZVla7jprzqodN2GOHk5gAOfNyeMPSQOGBvg7FeDx8ZuNFGvFPgmjtNk6
gRtSMr3+bkYhWWh2xvW5bCq3STTH0JudPgJaAK9VGPkBrQX7/pdbiWIJSqgw0IRhSI3iyfWaRV9l
cde23RnPZH31teTroCf5rkhSzQ20eNxZgwJtKGGrHUcCvNq6RWM0VLXCHjpvi3pxxZA0EF34Lf5t
xgpd/5oBHlqvzqbuzDiv+hIM/rRPunqrGr/ioSkNws0pwfGo3lAJFzQYyjCUu3Ospk+t5e1jQ3RH
AXYiiGgrKMUM5XOvBhsR+oodUTViUhmEJ6e9dMyDNGWZ0VfdufLbzg4A5EhN+kOsg2OpHje+6toO
eeqBz8JhzPzTwgOkOVl47WndWZSa8JPiCa1+TIWos5yo8aInPWqzl9gzC8sOFPy0KyKah+hPVaZ/
FF+N9z3s1HbMM/bkF+HwkeL39xJt4CMxbn2qYkH62CmBtuEl1w5o1l2fS6mEB8vW6/9wdl47bmNp
u74iAszhlKQoVZCqyi7bZZ8QdtvNnDOv/n9YGxtdogQRnplGtzED9NJaXOELbwjAh3VjGQzHFlbM
oFk9qJP+pzJWpVPW6f72El05a1Q6YSVAR6CNvL4jS31QMrTTeafGunemesYeL01/t4H8I+xbtykB
ZartVtx3bVQkoqCjUqDWyPjP93fc6Z3RldFwrHXtc5M9ztU/fbpPfOKQdqeJ4QYr7Mo24M5aSm7v
jL91UmgOcSmMbTEcm14/jIGBtOjXHF3WMtlZSr7Pf/vDtHWhLFNYvQU0KsgJVdhaixft+RTNCcZP
IqbD0VhsnstsMu/6VO+9gJdj36piv0eMtjgE0ZS4mWa+EWe2O4lap51Z4R7Doi0e+JVttTyCXHPL
XxfoeSkwMDTLmuE4UMd5QB+13U9Upvfo6st3QjpvMXiujYegK6AOzh9v4rIHPpSr5m6UhI5n/iip
s1uAkrc5eT8DpXgjFm3//syAbiSaoSS3AM9WGyprrVaf43o8dkH8vaKEY83/ltr0JdCrDWj22rlr
iZ6ovYFJpQlFxr8WYIx5hGLRirrjpMvTK3qaX7om/i5WfemK8Tw/BHJquWGtGK/wVAonHZr6KRDm
BNu0KAptK9LiDHua/I/e6biMjqNVfm6YmOdTwbXD2JftuEjGPeopsjdQddg48et+DRPgjaNJtzAL
mMo6fmgKwTDrJhmOsWrEKA4IXXpH6mB+DgJE1vs+PgRZW7+kkRkcQgOBZkkGdT7oOZkuBr1eGeLS
NdFTcVu6Jvu6ii2vs7T2UPQ5Ot+J1HqqgKOkmJqfcNsS3NDqyHNgsjkZt5CblOl91PegT/t2Swfj
ytfBSoBei0n0Bd5ijeEd4XNZddYOxyrpShdgUfQ57pvgNaLnthuGvs7ssFG+QC2enHZWBi83pnEn
T3Xs9t0w77oJeOjY9O09Etr+vckF5dQ0uPaWFuj7fNJ8OxejFM5bJe7irlA3NvLly8/vX4S7F5EN
7qwlhP5wampRTjpf04ajP5c+9FWhRKUJT4/bt/7l2WQUAkgefa5F6713/mEUE065mOTcBWortG6e
SPNjIBeDlxoilpZjJ2/M6vK+pxwPwGWpERLOrPlBkt4ozTyH4xGLORnDd2N4RMBqXtyO+52RFKHb
tmZxGlJtS4bx2sioTVFFAUYOvmwVSSU9ssV+yS3UjKW/j+TgSzwj2Tr0GgrQojw9tq2yL5txq559
+eTQcFEWgjC1GxnC9/l31LNOx4utno99uycCc1EIGl80HcsBYT+VTrOlgrakTufPzTIe+iTvhUjk
98/HM2gqTXkczcehHPZyFNmKlOLp+lJJqjPnW/IeV2cHDQCzGUIUXrnz0aZuWXCtm4+oO3RubVXg
OCxB4aRrli1hfiEAoHSnaqk66fq8sZuu7F4K6RCRluyaMuJqriO1GcCIrO0ge9N4F4fHvv5h/k+D
kGVB9UZgag3ja0slLfIJxcxaan80UuZG6Y9B/xP2WwrTV74cs8HujA+IotxaRwvimiENYjMfofuE
9ZMYn7Tui5hMDgpht0/9lSRnwXkyGVZ/wefK558tHH1BF1NrOgY1uYsC3ngXhW6cOA1FCNVpv7Vt
atcywEjN3Rh6OWer/anTuwUSzq5ZeILnQ/t+0bdyMM9HOq29Q5muHRzeINNjt2gP1hhWtqBFFOe0
MHMnA4GksOqjjdRj3aVcnj70kSiF6awBsbVy/itStavHxuBX5LKrfPNfqXy4ui27pu2AUL495Wvf
9eNYq9wjaLrQrFTG6qLZxaRlpqoj3Wtp6PDGbHzZK7ccaTJlImqbnIe1xOMsjfI4Fqp4pO7ySAPA
HIjrNP6pIPrXvsllvRFRX1ZyFrND8B7LoFzsq+CO2vtYJNUkHSMtvRPIGl6zootsjFS3wJqXy8hI
GNTq9CIRr1mD43Wcsptm8KVjg5St/GJWv3v9XmzpZuFjf/uLXZsUlzU1Q6I6WjmrScm1UhtWGsnH
3Bzah7w2Q1szMYfvylb4fnuoy2degcb8/hTSZpDWuhhtJdVGoE3KMe7zcke3p3PG2dya0OVFCc6M
2joB33Lo16yQ0cjzTBxE+dj16mcZ7w2xtuxIm506Vfe3J3T5IjAUVwo8LbIs4MDnJ4vMQtenyJCP
qKg9K6IriY/VLHrBJO4RWtjXVG1gu2+UpC4/2AJZJLUjyQJVu3b+RvdpSKy2V5Cw95E0pZkhYE/R
o4O5sTPWYEIuDkZa1HB5CAiF19CavJ6DNM6YXqm30lHr2x99C5mvy/XSy4rgWVJLMEQC4k29IQVu
IlWzzfUT2vNcPVVR+5cCae+/hwBeo8dJZEMl8Hy5KfX1g+KLyrFMcrvO/ij+19vf80oB+71NssTQ
LPGFjYqpBTWehJJybFQxjm2pUxpUTXxUw9WJ+0ts5PprVEVD7pJnkNcoWp2CJAZB1zpNJHTjbuja
UXBCWStCJ8X1Bt/drs02DtKVbh3StuQzsMLxKIEvfb4SVjWGZTzqytEoG9VOk9TYd0ndPxSBVbkT
RA5Hm9n1iuJ3jlSZvzqhmza24ZVjhsgYW5D20tLSWb1tg5YY3VB36jE2fyrdIqd1yK3My3x549a9
csjQQ1pMWKFHLwKG53OdfCWY4q5R0eGfgLb0TWqnhqDbdZkWe00s411ZjaknpG2470dlU9378tYi
W6Asiw7NEnetVbYCoYxrqR/VI4SlBxULrViMn6e2OYxi9BAkCBgod2r0M5Ii+ggocGuSW2bP/dy5
tzfnlXMP7IywjHAGqs8anGL42thReVCPXNcwRKTMxtTlASL56+1xrn1YsrCFWCtp4DVX8ZIlJm0d
y6V2tBDAtpp5P2ECMvQBGvUbI12d0YeRVtenHNVmEZiFdkzqGjDdtyiL7hvx5+3pXD6l5JMQrunA
0IMhsj3fPnVZ0kRuR+2IQnnkasM4OCM1EoR20BToYLhNUlf/D58KCRdgzxrg4Aukq5r7DXGiqR3H
gfLuMBlAP8xU9cq22vJFuvK16L3QaSSxhYS5brmloaI3/E09BmX5rFvg6ULxUat/V2hr317Iy3CL
oh40T0AvdBZJK88Xciqj0CqqSjtiunQvGPelErmhiKq89Eup/+Syd3u4K0WNpYgIXAneLJIAa8wZ
kLu+7NpJO2baLHZuT+Qgs+WlaS9181g7YxVaDwFivG9mliNk3tKU3BtCDnV/UisUgQZp0k6VZEWi
3et9MjuppiyGTtABUeHS2vC3KmchOHwjHQpbCGbxcTKMUreV2Ih+3Z7NlSyE2RCBMyVicIrP56un
+JLeKZGsHXFckqvINvzJToVkX0KCNkUnljBREZ86QPLTMNrMfOPrXckClruaeiGj84d1sVBViL6W
ws7RCGJHLfxPQwrHrfmmhPGp/WaI91k32G3rpaG8heG79lxREV08SmVmD7zufPJjlQC4QxnqKI8/
o1lzwA3+SJpnINa0CmGdK7Gjy2MJ/fzvAzSyKgrAAM6Jp9dosCxZuAdapR/9HqiNPwb9Lsxa4ZD3
FgYRMg7aZm1K2K6UI/rpdLt2tz/7lRtOp2RKaLgAroG2nE+8QsWY+KonFkXR2A3GInU1AMROFSnN
Rub1PpfzZJMninEwbYJdfAH18MNZU6aQaC2e4x2ytW5sfa8i/ykBsukrzhQ28DWxxQt6T69fA3WR
GT9M+aHUTmXwJ532VhjZErLjDUUU1FMppnhGi0aFcnd7Ua5th6WKQZ0SGDWKTavt4KNRxv+aKkdV
+u5XkVs11m86ka4pPy41h67svXpUDk2yJQh6BYu1dBjfCcdYArBU59/DnwvBjAmciGiDg6wEe98/
8NXezHJ0/BRY2KNYpQc10faG0rp+dwij9uDno1dr4SEN9U+3V+LybVp+DpEmrzo/6j0c/VCRjGCn
ZmE66XAVdoPpCqeTPH0rtqwQro7CWaL+QbPrsrpqJLMWIgd7FLWgcMoZEf4krtUdySu5CqhfKiHm
Xz/ti2IyIMzFco47fF0rU2Kz9P0Ixc5mHvZ+45duLMuZnfVTfLi9iJfx4aJbRayOI6ZKCruKImqx
1PW6VXWiCMspUwVtmsYZsuI0j4pnBh15n0500T7fHvby4WVYBULAEv1ywldHuwy1ECSbrh+F/HWq
n8PxnzSg3rr16l6d3YdhVu+GLOTpJAamflTiwqPO/0cCr6Lk3VM8QBshEkWs0B2EDdbW1uRWJ5SD
m2cdIcCRdzU5jMbRuDe3WuJXtiULiJo9MSs0h3VLqQ+7ujJ0RF2reinchHrwEI5ldZemeebi09ru
zBLtzNtf7fJCXr7af4OuvlobzroRJshU9rARXdpElOP74i2o/HZ3e6QrtxxDQd0gb6YGeFEuzlt/
0oaEfZlbPyOsRwzrwM3kyKl4yOWHpL7vw0NYbu2XqxP8MKp8fsNVZa8BYmdULnNAw8S6vR1soWKW
a/L8qVmmtvCV+XLc4atVLHEQDoNM0+lsuNJ82LSsuj6J//79q02vlyqIpZ5/PymenbavgfRV97dk
fbYGWe1xOa2bXOiWkzVKbm3oth9rj6X616kASwUejx4tBqbmupIXWLGOIJ3F5WsFwa6heuh0Wf6b
6l/v3d5wVz8K0QYBJtuOlPX8ywd9OVayEBrHWANYqUtx5ZSANf6HUdBWXLqNFB8g4Z+PYlZinSxK
Qschl4o7c5BoAJvEb7fncplrIGVLw57If4ExKqsNlugzQGO/NY+5mKGdnlWik1qpibuX1dwjtTPb
Q1H9SpG72QiTrw0MZJQu6vIgW+uqBs4k0ySIo3n0hxnvMj3TPTiFGYbC0bwbYyM9SK3c7LUkL3a3
p7z2iqO6tbDLkCIjJCA0WosWKcoAAl0YzKNWvs7iV1yEvSwaDnOGJmP0YwSRm0gHVRN2vXbfL3Ud
GqTQ3e1YnWyrKQ4QjO6x395HYnRvNAuocbPPvLzaq3OPh817yEZtFWW8848fZGlcGpHAuW/T+A8S
LuVrJ4g+gZtfPamCWjhmpSQuZRR1X+ozxVCMQhDjDB0kCwXXDJXOq6RBe6IPKjp1rJpfYmvQwYLq
ldtJwq8xm5NPkSgMG7v2yisKJwT9TJIf0iBjdSuWXama6cStaMySE0+aK+Zu0X8Lxbu5+KetniXt
++2veeUwEpEQAtGsg5yxxgFP0WSVk5+jKKUJ3U5KjR9+C6ju9iBXQA3k4hz1xWuac7KWFDaqvkAt
1teP6VQdC2uXGQ8U8lt8TOxktgMr9Obpl+7/yePQzsKnAKKR3z4E+kmh7SblgxeZw0NDOlTbybCr
zdfOPFTyY9FADt0lIQ3VXq834qZ3I6zVJmJRQJEAPYQVuBY5F1RaGz634lGcpYK9ndb+Z0mvrdeo
1dvMGRNF3Mud0WcYsKkccFUOrQBscD7926kRzMuKPt/sIVcWAWsIq+K7X1tRYBuyLyL1baQ5KOcB
OajQSOTWlTMkk0Ita/8ZZ23G5GxIIsWVkln9JwbAEbqyEuWi0xCHN2iR+j2EvaLt0p2goYzqlmHc
ZeBM48XaJ5+sH1rVGKatCVl1XPyoEwC9PioCcqqh3dGW8pzSEJ6ae2JG/xNWiNKbGiY+JYhGpn5R
aInUcZf5gmF3qZTEDrKo1j41B/VbMCv1YFujVn9pw0yM7bpv8m8pvjCtHTRFQNKiWR1CmEGZuGA3
AXT4shA4ghXxODbZ1HTuNKCHd6/3BvllXVOk3WldoUd7FJ308q5pm+6H2AuSvBNQtFH3ujZVPwpq
4d/1oM9yjyXyA8fo8nk4YCVrKHY6y1q5Q081/yx2tIo27tt3zuzH3QBhl6ocbWBQ+rQz1ig1umiK
IHCxYAsaz62tJ0Gd2n4DWtmR5Vga7aSjkqogoTTagkCLVg2t9NkQcCe2w9maHooKvq84m7Kn9EDe
bKmXht9WnQZfs6xoNnqp65gV4gYmMCgs8KIvHMFVYBI1htXOjUBhLxLLfSGhwSqVY+xaRe8/RIPc
7vxQ/NtA+f8NCjCW4hEO0MYqwRFrKRKLPtKPU3LovpqF6s7FTmq8NvrbcsUyEpLGPO48RfCAVtOr
xRBGnVKS01iK7Yf6V6vq7qgL/WV2QTecq5G8Ce7swqdexRBZVKqlmImUgwQOrObKPjpjw15Rtigg
F0WvZSSuGJ4TclGYwKt7P81Lf+77VjtO8e+xaZ6UuNoP/WOUZ3bba0+jqezF/KVNrJ/JsKVSuX5z
GBvIGSDTZa8w09XYWmXNwuwT+fnTIjcWe3Ra7TzX7o24tiUonhJCfd1G4LR8ofPjdD7oaq8o4LWS
FKLgUQl/hukXAeu76G9zqGVi7H6WFe1Q/rAaI7X0JgEMqB+7KrbDNnZrOCUBJjMbr9s62mAcZJ6A
k1IGoYawBm50XehLci2ZR6nIzX3amBDFQY870NIkT+5a2Q1SPXCQ/miAw5jzW6M3pWf21ltiyN3D
lA3ScfKJlNIaaeBJa5WjoGPNKLRJfKf2qOv7Wq57vhRuqRivzRJhYaKDRUcYdTt0Fth754FSNGOO
qDaxf4zSwFaSObdDIfvSB6In+o++ua/UB6s2HHFRKPGFx2Gqd3k5AbLrnDJzNeGzMQS7OpDsGkxI
bG79votqNOVfyoToMvLTwCytiettnQQi9XT/KEl/Qj5iXHlS85Ls1Cpwc3HGF4dimMLbJjWPRb31
ZdfB0TI6YD+MgJbCjbY2dZBbDH+UJvWPGZQ3u4gE0Q59fSMCuzpHRDfpHSxn8MIpQJBCo0RSmDhj
qP5VDAAHsXzw/wi+owjHyG9etWDwtEDyEB3GN3cL7b1OL5kk9iMK1mRUphAjX6UwYSHT/CGUPZpq
bgdi5okQyRs4K7dPydYwqytb0f0wMPtJOMrRZLfaXih/S9jW3R7kopaxTGbhLuCCQDZL0Hm+n5sU
54jEt4RjbSZ7eehtxHb1AfiB9r3uEQZPG98xy9ZJp3Tjxb0g/y5DL05KJILQAuBcnw+dxa0AASUO
Tr6ELp/hCqpxYHRNf/alFunk2p4V7Veq9J+Frn3GgfWfAX3jViVEG+/lXKeA/Ryljjl9ur0mF8H3
+w8D1kUBn8WhR3z+w0JK5IleZcGpb3bIj+De4SiIAFWFl2p3Blx3aEJB/inDZByfgBb9R7n4tJgI
4cLmStlBApXbxV/iYmdZn7rak+N8V46HOO6pQ9dOVN6bjbphZnf5JpEukGTyKrKWFwomwNFixZdL
frPgTeC5GYnWVxch6RgbjimydKUJkQqi9O3VunyXloEXuRzCCtrX68UKY1WDwR2crEg+DcZgT4hJ
YMq4S7Lw7m+Heu/zIsImU+IHbXT+XVLJCKQUq+FT5Zum2xqx16jSvAvyHxA9vL8eixkB8YVwuVSC
V0DblMqFlKlzijUWsAT6e4cg9+/p9S3cy40Nd/ntUFH5MNaqpG7IaVlBasLqfEoXBrs/uMU0uRZS
BF4emm+xoM5eKCbRXSDGzeF/mKhFsAaemPbMOvCtfLYTlYv0JMSPYuDpxWNaR67VbXWxrkRsIHqX
YpkEaQNU3+o+o5pdZ1YWZydyM6cL0PGtv5TqvxQedjOd3rS3h3Bf5YKrFcZGWHr5LGl4RrzTZZac
eq3VrJhj6lst5rj8svYzor7SQ6YlysvtlVxXmEh4UNEn58HeFNHgNQuoQmrDNEYcZLXej+5HOnQO
8NoSQNEoR0xOVL5k1BFxsq9rf2O7Xht70Uvm/OH/Q0dydTRQx8pHAcNTH7HAAfsvtUqcUECnBsmq
RFZeSqV8+/vpAiamrMXeWQykzoespE4WrE7BtBZ35Whmzyp7I35jnb2kaaEif7093mWGBmaFjisE
Hs4/Ivvn45nyVOTKqGWnvIf4TtljCAPBLYtxyJ/rsYjlvZWYc30AbZSYv2+PfW0DLXJXWMmye6kg
no/dTkVaNc2Ma20Gj3CeWrqnipq7fz/KAkKFYsSFAGXifBQZbzMwSSJG422ecbeJ0pNVStNGOfJK
+AR2BWAtXEVA57wV58ME2SBmSetnJzqLtqGFTjtAneoPIhyCMBw9QQt2rW6HmflZ8Ltjam5FNleC
aLg/gHsJUhfd4fVuFQ1aDJY2Ye8KTcMW9bj1KiM7iUb2U9Y630N0KbSTwuA6GlvfydX5p1G1h7gW
J8/HQmKft+kr4mCZk5CM2QtG0QlaudsZSqZ6Ea3Xv395QMdQgidRB+295jBWMx73CRI7p9YSPISh
nkZe+KZ+rjcVma+9BQjcc4yhtAHNXO2BSrQSq1KXpak9Xbpv9sEuGu5jWH07vGlv77flxj1PKTUY
FubCD0ZfBhzD+UaASyV3othnJ7nzk684B/suLqPj85BaKjtPkzd23rUTTLbMGUY6SEZd8Xw8o1Os
XM84RWL6x7ISG+xPxmM+3OfBllPxuwPoxdyA75Kukcte6CXoKF+CVhdYR+z6XpIeARs5kMSDFljZ
Ywhf3+1b6GxiJtQ7KxO4pVHRdcGbxftYrwtPUTLrkUg/dgAcK44xRL2bBrXwkgUBZHupMQ+T1Rpu
04TaQ6BVyZ727VNQlcJOjfNyP8RKcC8qA3D8tur/qGY4kZ4WqYPfZoXMqlLfTXJDolsYpkdVz4c6
mbQbb/u1V4ESHOx27hNC2dUH7lPwrJQU8WYU5j8E/6+h6NuSlHicIUdtAmcSwfT+D5uK1u/Co0Gx
c10fzwTTl+uxzk8oBTzU0oTRz6Ma5kej/X57oMvdxA3GfUyuCYeR/Xu+m5K2jQSsgbDYJmjCEj6T
Urfl8khm4ynr59fbo12eSx51pF7hCFHyQfXnfDR/Jqe09DI/Kfo/vXFYGEJZbdfDv2qQPoBV/4Rb
+u0R3zHm51uYIdEPA/wARhYbm/Mhg7GNBlHCDEULcT8Dsjy1hZ0IkfW7RQxptgvotSRqilUXDjUH
OAQDTmxPSjgW38Sk0L7IiBNNttGXc2cbha50dikmyt3c5vL3ovPLz1aoVT8DUCS9K2ZZAA1SK7Uf
DY6engqAc2NC1z4Y1ABQN+94lfXz1gd5BS5uyE9CC4erFG3q4eDUptfEHByti7dUSa99MrI4en0s
If9ZXTdjGDQJqVcBmEK/m+BmH4N88lL8ZUNfPFhKAs0z39j9lyeOSxNcKFJseEZw5s6/2dTreIlP
QX7SkQwrLS/Xf1RmcQ8soQnDnUUyfXuTXImqGXBhncNdWcCbq6jazOTIAKGNJbsotPQi0Ad4ywDo
3wdD6X+B72L2TqYk5ucQtLlOjJZSDh37Anm4UBvBPN/+PVfnj5gHBwTqF/SC8/nPc2pR569ynpQk
cdSYLmGY9xgq9klOC9EqXgIVdS/scK2NkZe7bH1aqMmSrWDpuMTB5yN3dElEMeGAmqPq9rrgJMle
CcW/TrNZZgJ9GlEsHe/K+Si+NOIQ6E/5aZAOqCnYafypp9UzFLNjiAO8kGRHWWMDkH8ZfS6DopyB
3BFQqHXBSbaSPhWnmbtnQKdEfSI73og8ry0eUoUL/xFmO7XN82lVeWD5gbXYxyMSURD7Jcd0s/V/
7fwrC1obgAHQwHVKHRq+pBCz5acAD+QEjkUlfBr9zz5IpGD+dHsfXoY2i0ICmkULiYIUfhXjtsFY
KdOosGRKupt7lQC3c5R83sl9s6UYuHzz9c4DD4YKF+njcg5XixdNdRsuhvSJUDz4wWex/CKqthrg
40Jo83MyfzTWlqrbtS0BOo1NCAcQW43VmNCOG9CQGITTyfS9xtBmN0YcxLu9ileqgxQGEUPkSCF7
QMx+PrWph16oyE1xksISdxW6xs9hXjn+9JofMIN3S1Ozk60I4tpmhNfJEYZ8wnO7utJ6pU2MWYY/
rRoPZfaaave1uFWNuHZPfRxj9TZQx8n7sMdAvoknhGvv5hIyPJriyMcpEBo3duO1nf9xtOXXfECD
IpNbG0odYGumpbsukZ3cKG2l/Bo37UFTtqxWru0N4DWAhVDL5m1YHWZx6OJY6MnvNA2wSNwS5yHP
vtWBu3LC4MchHmwRpACnW80pHaWqnfOkPAV6nu+a2VAqoO+dvJ/GLDrkyFNtLOKVaTEnsmMIhnBX
1pS82YrTMk+78oQlSegF9L1t1H7+0i6a/g79KODDS95ggmJYHazRNKN4MvFTUUfZf+o7pJrMUjDc
jYN1ZUcsXHpI/CjjMNJqGAFQe4JTweKqQlV2eC3H8DERX9V6IMEtn1M6z60y3S3/RINrp6BuEmJf
gwOFXWS9Rynf9UN1o0z2DiQ7u8moMlLNod7Hj4IKv/qm5J291jDnU2904/d0SqLYKWOYzu4wqcWh
rZRIdDraArGrRIng9rGm71UFCp0rdVml2VjBGz8TsBE/28nHGSSoWtlmF9aNM8WT+oKcWA1HobbC
nY/dkLFT23AYnaqGxUzwWbUQJBAN/i10shp4AmRy3aHxOfyJO3McvVT3h+5TkevtcKjLOlHsCv2i
xjYGS452gdEvlcvcT/hjMOngKUpEdze+3HLlXawRJTbK3Wz6C7MuObHKwSpDnSi2Uu70rLzzxYyq
dzOIdzmoRseYW2OyozBsZLup0SDpLXExFhyiRxNTgQ39lssAkFd7YSMBuQFYR9nk/G7BvYlcFNTN
ic/U2kWq3BVZ6yrWXkoV5GuDe8SrvRmyV5DEL/PgbwREF5f1+/AUu0gvQcSuhY6jPJXMzkj109AE
Xl7pEnlK5IR+EW1Euhc39jIQVYPFz5PO21pXoKriLu7nUj8VZg4YBs2ZtCaDyOy6hXTfPg7+xhnd
GHAt22ZVlgLMq9BPMD3sDj1PC03gpnQlTbWN5I9gfd3YWUtMstpZPOggsIGc89iu206RaYTtIHL6
AIb3O26q4kGJ1H/nDl4HZALMG6NiVl+bCsZCnyuFVw6DvhcW55/bv+TaNwW1zUflLmSc1ZbCblvt
8c0CTFZLbmftVWlHsW7je14fBOgLH5Wgdh1aEKBlOqKS+qkF2NjQ4aQnzr2/cVy3RlllBZlFySbw
c0Zp7luKmka+V7WNAPByo7D1KYTTKKTewR/PTyACr2g7FKpy8qGMwgWUpYOf3KFt5ijpVykyN/bl
e0fmfJ9w0qCX0EVZTsO68BGKOPbUWqyeCKEyBxzwjDL1pIm7LHqRk+dJ/S7KX0VK1KKaOy11q7qf
PJysj4EKfSjdejGvTf/Dz1mnRK0ejErQ8HMU5VH1kfnUH1vrayt7Y/ww5Bs9lsuIFJgSQQcwgsXu
gtU+X2z2fhIbmmBgAS7qj2OSG3ZQAof0ieY80Kb1Sc4C3gKelJdeKyenwvXcu30+LiIRfgMeTGic
0AVE0G5VmJGVMAEZahinlPeRTpebZG9/PwIdAN5gsGhIgC1r/iFgNBcpK2tuzFMpCqqTcNhdMS23
3GGufDlKFMBLqceg0bS+Upui6QrMbrlSu8ETlD8AgB+F6KjeYXzpkqb/9bVCRYQOCsANoG7KWtOn
jzBu7YWEZTPFe02mhJ7j16oW+pYj7eWhp8tH4sLfQc6CoT1fPYyYS0nG1ADH4P4hb9qI/nz0IvnW
xkm8CIHB/n8cZ33w5YZGhcg4yTDbJkooSfQVMPKu3PLPvvLILyMBOaH5wJ/eWzof9kPEFjf7RYgo
51LwzK5RbDEIUrsDi+z6qS/c9e3sHxAlRtnMHwWv63KN6yc3d7c35oWOAum0io0e+YWmLEH4KnAV
EZoUjMDH8HYS7AHbtSz7Gsq7PFNffeim1d6Y3aocn2It/1yO4yv9wQXwmibVxi+5qO4tzDAeyyX0
4BJckyL0oAIR28jWiRyFfrKUN3dVagyHScmTHYF3D/nUl7yqDYw7f5Klu9sLcW14iOAo//JFFMoM
53ss1KsytnKGFwYLSdWgcUuDMDCPDbzkrbsZsXE9x7tW25j2ReLwjqviCqSwuSDQVvdfUxeiFqNa
cup+VokNAsV/GFU726g4XZ0da/r/R1k9mxGHPwqWUcQX0emfuy997NAn+VNt9WmWo7h6y4CJ/TfQ
ctV+2NgI/bRqNjOQUtiUCr+mf25/psvlojlAGkwBA4gt0j7n//6Yhxm6h9ad1OnJj940ipLR/MfM
73xtI3m6XDKV+hzSNkDfEGNaA+/8SUhQEKvH02whpyt0+KiMjuB/o8RaDSq1T8FBO3sjvLm8gRh0
QW7hd4cJ/JrUMg1KOGiBPJ4k7RN4MaIPVP6fc33aCNauLCO58DIWnkVoNC7//4fP1HQitlihMZ4q
2Jeo/didmUPTB5ovfZaiaiOger9EzneFSm2LQicFT/rT63Y78ll+QqtiOvUut+l3s7JHkzvcqVS7
U+1Ed9Clsfffv3zuvtV74T79AQq/3UdeONrln/FP+VLe585W5ne5VflRbCRkUajzXZRVykDsGn+I
pxMEpccBREcpYEyVb0mtX1tqapfweVQ6JRf53GjGtUBrcjo1Dez14TkMwe7ndov29t9LByz5/sfB
Vi9YZ0LAwLhlOhlzyPZ0xKJ2LTE4Kmn2b67+rJvHXigfi/IQCRs76tpqEnQsGhoL/G9NIxYFUe39
pJ1OoX4XGcJdntg6CKS/Pv1gKf4bZHX657yAQyxW04nq7d5QIzsdpofuMQh3s7D13a4cRdDX/EU9
bOF9r0K2EV6jZST1fFJiQK/Rd6WRHVH8ZSgbQceVCBjdDKIAPEdAawETOT+LtcG5y/VuPgk19Ahj
b76JLXw2tyDGR158l6cbcdslYARB7Y8jrt66ZJATNEIY0ehmz1SLT93zjBibQz0K7+SxeBzN8pCP
ttxvjPyeBK4ugkVdH6w/0ruXSSJcnC4S5WE+vb0dI9s7vjwU9o+nyH6y7Myu7Mg+ji4hvh06lRPs
7pJdsvzBDr1fvyq7sSUbrtTu+dO3x9fizTHtfvfdt7+E9mTLdr0ngd6HO+raduTK9suB4+Ya7ued
/Wn/+Hj/78tDaP/7+9/bO/Kd33hrRquXtbbM0WgGZqTZhf3kPTz0nrybdgCIHcvDHuUBmMuTtfMf
ddf60Tyitqk50VP74hwG+x7ou31Q7I3H/vr3/bDKq0c4TupR14PlNz35ebary31GKcujtq8nP+sX
YHnN/GkrxFj+pauFwNlIXUit6AhcxG+ozg9TJWERF8fUxCNhl5TJxpP8fubWY6BGAY8ZWB40kdXE
oJmKia8V4kmyC+cXpkL8F18/J7W/ffkZ2qJ9Uj9tfN8r1wDMwP+GXO69Dy9lFqn9PFgMqSrfdSc5
pK7gtHbmvL4tG/YHOhx242VvCkt8cv41T8odeD1b33XINor/R9p59UaOBFv6FxGgN69kGZVMsbql
ti9EW3rv+ev3Y19gr4pFFDG7PQ89GGEUzMzIzMiIE+cc4OfQc5u7RT5867c4VVcilKtPWxz20hjF
oSHxaWKi7DWh4NmH6ntYNTVxSrivx/Cs1PCmqOLGMbw6J8CSUXpSaPtYoqckqv7SqFTi2ejaS5c/
ZOmpNn/Gavvt/uTfDvCfiCO9oPPxiA7A9dwDu6zGKvKlM6y/dfNsFZ2dFih+70a5czJJ2Rv17/sW
Vw5jepkVBUkYzkjaqxbbOZ3UpJFiXTrDzqZOqR3VkiNHf/sEDq/sSW8f464/QTN92bA7D+Xas+ce
anp0yELPFJkLz1a01uTdrEnn7FkwHyZVIiGP/Mr4C3Z9OmCb7LXUs71k7O/bvQ1OZrPEPwDGKM4t
S3NR0nJWt6Z0jhCA8eKnWPjeoLEcuqGwkQG5zU1cW1pEnF0hN1I0GKxlE9ntD9F/k8XPWRnvgkcP
Zs77w1pfRrBwREOgluhgu/YcsTMaeMwZVz3uJ9ciUoAzxtOQGo0kWEA9qLB++1yz982ujZH5okBN
6VjlWX1tNbTgXtPUTD6bBj2d1iFoLgbSuZ7Thj8EcWNC18aIi1J7nxVB4MhZnEyVGMZTZObyOaUD
s+93YW2rNFWW5j7lJi1fhC62E2S07o/xdu/P/f4zaxGJUYUr/HqMRRPo4xQl8rkUX8CZtnG9z8Y3
v+034smVucTOPDwiIqrGi8Ot9BIlLPVKPg9F7Zj5jwBNwigsQN9x4FvaI7Ir9wd2I2lGBuTK4mL1
kmzoJs2oWb08tuME6Y/czrqvAGsExSmH8tgJO7W20Ac1bDJ9thBY9Irscv61GX7VWvnkWccmtfsS
3SbcrA6NY+brx0Q2HE2hySU43P/iVQ8A5clxMRNL4nXXa5FHqdzqbSmfC+EQeWQPomqXHQCkSyXM
pqXtGbT5b3H5ruSuYIEhVCVHwlEJNOraajBKBaiWDr8LtN/olDmDFe5FZVfwRhZ/83hFQ6CyWwOK
+tR6uD/k+XcvjkmuBLyd8hgNDst+VEmr+qmtWpmg3NSgEKrzw+Ql8cbErtw7SL4RoMKBBt+Ntbh3
+qqczDTw8IQoe/WG6VxOipOH7U7QM6gRRJZTIRtebxzGazM7M1CTkgMCyXIu1lMPqr4SyJSf8+4X
1KQ9FkYBrXtbISo27TCzlT+1IO/uz+mq2Zlv6t82AzEkLxa0K+WirgTqD/Roj9WhFsbdoKe2OZx0
6WsRF5904SCHz9BNbkSqa8v53vLits1poYiN2NfO+VBW9P/3RC4NKmT3B7i2nFwDMIWg8oY27mJa
lSRUssgLtHPkUYGPadxv/o7lSUAcwe+6ff+hjIzjfZNrWxO4y8weaBGjgeq5nlNx0qgSs2XPfm2L
+2Z8leGdLaNjn38SE+PQT7EtbcQQt5PJ45Fgbk7Hz3yzi8kcYUEQ0HKZzokcKfu2DfVTLRjV6f7I
1qyARSE0mskeb3bgGKiTkgfFdJYn4vsxRBoO0vj/KjBFPMI1SsqE4gL9HcvIr/KQf4jLcjrrwpQe
zBCyLnNQwo3T5PYuu7aycPw8tXTALryTOvTCnw300fZIvhLdy6Zwsjy135i7FXvcm6ScQInQK7kE
zA7WJCdeHEtnL1L077lmjQepMwkPNC+obFBF0cbWnkOA6+OSOPYfs+n/RLSLg2yWAK14lhF0AZOh
ycJrAhou4XEU8rLpNrbZvI2ujcHYbyI5TUs122xZDgqyAaQo2pXnKhVtY+TVPvAujz5q/p/JfFKi
jS12O5nX5ha7eiiFPrXAhgNxjBwtGR02nFNrn6r/Dsi4NjQfL+9egDKVJ7XxRQP4Wv4rKZLnIIwm
u5Vt2QhswXgSBG2mjm5d1fvWI8J2f7/NUcfNrM71EKgseGotiXwMs9CtmDj3nNI//3v0T/q3IvkT
Qxp5387tviazNjd/0X5NL9bSN5M6DEoBLdfzVPk/U/pjuOi8dOOGu/VHjNDqObOVg7VZVtYlFEUH
M0/Ns5WkoQOwlzFRa6Y1qOn/X8bzztQimtPTzNQLiKgoH5uZbahFtg8HuKj/H2btnZWFE/b+FHX5
yIBMLz00zYTs7RZN3JoDvJ+zhftB819nnc/CpMYuE4rMSUECtMabqSfwMkWf7g9obVe9s7YsB850
QLnuMW2SltQHq/XanT81r6PlP8fVOG34w0phAIegZg1PBWnBG7pZdaqrsFNK8zyO2U6GH9Fr6pfa
kvZiZO6m7tFq2iMaqCdVbh3xMR4TO2ylo5S3363I+1p8jDvjjxV7tjIdFYnHD6XCIJbcVNHt0dsZ
UJ7hBceRZpxctbu4IyT9eH/Cbpdn9mOZdBSBBTfi4g6ZqhC+edB0cFgOE9hZ7nZ51ww71Ttlqrl1
xq6k9kyDO5EaJXEpD/aFW6tDUlgaTR8E318i64EO9DRHnkuwgwpy3LAdHW9o/irCJUhlu02F/0wI
QVfxTA5MUEOoQUHn+jCshRlyLhTKuYNtdkeNXLHVSNzChq2ET3RcmNgidpjZ8xexjF8KAj16oX4u
lcLOakSP97z5jM/o0FZvvZsF1cYxe+v31MFgkzNhMYFO/V/72btD3srp+PK9CohUhzSEYJZfipSk
kxh/E0qr2wh7b6mUgOXztIB1gso7s7g4NtQ2hlAr1MEcxvK+zCYq+3J2BPjF+9aSfwKejJA8NyFZ
6pJT6rEvmiY+atTCvPCkyIUCUUpSPapSNz6OlfbzvkuvAJLoGkAMh8gL9Czx5PUim61EU50XGGff
lJ56QX+uGu8VBgU7tz7LPIPQZN/pdfvg1ckBnuJUfdaUx1oy91Lnylvo8X9x6/UNOH/N3CgMAn5G
CV1/TS8MveV5wEzkzwOBhQkVwjcL8nSHVlOt/Rn+knrHuhjtw/1ZuNnYUCcCy2K+uV2hiFmcu60e
yzVcYtZ56rL9GHxF2t4R8osxvUF/fd/Urbtf21qeuiUwTsox2FIg1/vs/a3cId/Vu0A+lqa91WI0
O9fVfM7GaNui3A/yBNTH9XzSRKGmWdRgTNH3df6KCoYtILqeUFvJv24l0G821sLa/PN3G0uROr/g
9LbOmf63GWubDk8YEb7NKsD3J/EmtsAQAqe09M59+/jttSGp0kchsQLvnOijXXINy8F3q91iQVsb
zpz1wgIzh5lrK3rvR2hPhN7ZkHextQOKnwZPZrERvKw6BOhYUFX/OLCXkP+K4fWJgZkJtMGH6aGp
bD91IkpaXeL4r/995sjoAbACIQ6qYuHpYtSqUSFEHs+SCnqdnZT9VNKNM2We/YXT0aTOeMBYzy1d
i/ewTP+HLha+cNb0tN71Wi7YSi+np/sj+cdRcGNmBofIkCWB41ksTxMlatwGiXD2PlUX6U2VKHo5
7Z/Jt8fx8Kh/1Lo9DcHw2m/YnT9/YReEL1m/f2hmCEYWbmFolZAponAWq+eICv+oaXYdf0f+umsy
W/V2cgEAT9pw+dsjijekyUHNA5tGiiU7O7p2QqgViu/S5W5302+rqe2u/WlIX5Eq27B1e2pQfyHn
y4HB5OIr1yMsoy6KhWwK3D77M4TSm9m+iHG7A40HnaO667e0kf8BP6+nFFtkw/i/AcLTAXhtsK2C
upoQ7XJVzqe0/tE6seiiuUYTFsQq03Oj/eohpWzbj3RLIUpL94jQPME1dgznMtFXZJeMAhpziw1T
UUXZIuhZmXxgjyR45miM9+7C1aZx0j0r7EPX9J7jwidBph2E+k/hfUWwdOM8uGGcJeIiw4tf0dnP
9lm2v3UaJWYPGQ83616j7JvXf5rG5xHCaE+v972ER/8uBTvk/UFDevYrq1wZOk71S1coUE1Noq0g
QtPM/RX+FiL7dmcTDeL3MxUvN4a6cAyxoeNqTJXIlULg0nVG5jwZPGtjh91oJjADuDgyN1Q6gJgv
c93T6JHohQTF1WQ2c9PsEjE+za/IAnI+X7g0eXlqC3FnfPGG3CaTIgcgUMDZpj6lu+QL/dCOwPti
LPZjdGj+gbkH+JS0XRpu7cv5wFy4LsjxWboDZgQ4pxbxE6hNzwhGMXbbwKmzVzWvDuWs56D/bOX+
wUuRe9o4+FacEfwtD1EKT9Rjl70NQSZLyWSYsVtZj0H1JrWX0H9s6mdA+RvnwO0LhLrP/AewIiK2
BBLX+xI28RKSZy9zg7w7AJu2w3i0K0bay5pd+JVLEgE39Hbx+Fnyspdy6P7zYJlbyA8oQYHapovk
+gvaMDaK3iu1syBYTjgCtqihM6PqISdHcwOxcjux0PbO9S76qOZ3wWIpfX2MK9kMubcyrTmEqQDY
ZNDkZy+X6ORSa9VV202BkHWjsG4SAYCkuJGmToIpDc1YOIeFhByIGvSmk1m+tJ8SkP/iWNdOQzvT
5/uX2O0JDwiOXCvQCrbzzQ6Tcr2TCnkQyACZ1eRkRajpDs93s+KEz2vPrkfPonoairW4B++Vbqnw
rrgWZKb0PJFEBAWMoND1wpKfSlWpn/gCzw9ye0hggAH4GzxnlAacLmOjdkma7QTofO0sjeGN1asH
Qln5qDWwod2fj9uA0gSAiXQCeEXKkMtHWh+EWWaYYuIG4iDtM0EeHGwCCSjarfhhxRRJU9pjAR2Q
8172fGU9Ge4qsGK3HhRlF8/Y0qGi1a0cxi2CwFuuHsYEqxVAa/QAOFRn53sXkOcCINOwjVK3QD+y
oafMLGsYZCune9KJVTg35OET+/iZQ6Qbd1llPDRJeizqg6HldlUNhzEtf9Z0Dcsbe+32pTdr4hBb
wHpH6Hsz45LSJUHQpKkrehZi2Fz10rEb051X0AfzXapax9AOCsqFzbExnpJU+M8rDuudObejogDF
+bLY7JyuaiPnRup64qOaqey5ZJdulYZuNjcNJpClwmFjzirn/0L/d/Pvqy17APEr4hr1MVBlp60/
WNDStJpLBfpw34dvHxILa4shaarQtv7o5+5kdiez7G3ROxXD7lME3ykENtpZVrYixdsgfLYJIdT8
QGIRjYVNwrG6s4Yqd2vYauxA6vJ9JGcf6DP9UaljfeCyCp+iLoRhvk3HnTLW0SMEEDAyi1a+K7xI
+BFkwlbdem3eyaLDwgX/HbQli3vL75SxGbsxd6mc4UWhQZN40xn0PETfgz4p95O6TYkps5muIgGm
gucIJKokzAjSF0YrM9LrvtZzN+sRaNJqVT75Kr3iZZ/6pLJq/8H0fW4vQRB2epx6T6jYf8slozz1
ZWP+3XCGOSS9+RrSKDNoC0rX5eNVNPuehkc5d7VX40F5igrSSnZnD38VuNzt8JQ3Nr2XW0Da2/ry
PAkMXiedR2nyXzbsnccXIkTxRqnm7jDlD6Wk2/6Haix2dVfbFlKMsf7YWoiZ7RCsuz/g1SWf30fw
xYgobi3uEyscITaZ/MIV2+ZT3Y7R3ithwZC1ST1GmWhAjDplP+/bvDnKGSzsi+xwEqHmTf+sJoCZ
E6Ypd0MywzRhRUiMFq3gVHSA7e+buom8Z1MUmIHhEfvxCLk+yfVprIm1pMI1vO+K/Em3Pt3//TcB
weL3L/axJASankVq4crGzvscNehY2FXpZMkRR7lvat4HC8+kO25uAOKVSbltsVIJaumRlxiFG/8t
TsUljm1zV7ZO+xao/5+W5vV754y9hD5YYimFq1muYZ7ybtfEzlB/HF8FbSc1G+fvigdejWveke+s
hfKk98k8LjV51cK9pH0Ifvjp22YCYmWp5sY/IiRu9PnvazslQnKxZo4sFbL2cO72f0siJtF/hYrU
iYdyd3+5Vjzvytw87HfDMi1hJAjE3ISibPTWbkEZ1twB1B4wGmgLCMKU699vCaaZhaT+3USubKF+
08fH2PvrlSepdHT0oTu4WO6P6Db2IK3Bc54XJuk9KNMXJmFq7Bo/xtlpXZ6KlxBJHniVnkk2//be
oBLJzVMEA8FWw8/aTKKeBOMmqT74MBdmZZKWNBziIGb2FAj+XkXM7v7ItizMP3+3VnUgQhhnYoGO
QmGfxj6cYyNJ/PtW1hzwf4iAQG0QvS3OCqIlYC0KVuCalN4S9aTU9Ag+ROOxbTf21OzLy7OCUrgO
YTvxEymp6wHpUTJacZiXrq8fAijnkw9ymtmDsQFyXpu392YWK9PBepfX9WwGR2iyx0B+uD9lawZo
vaKzBA4ldKznKX23MEOjjwUPntI1zdqR0pdsO9afp2IxVewg0Bgmr0jQRotjIUFsVSNPVblG+4gU
Cr1W+qnfxYT4inEQw4skP3SjM+yHB6v+FAbqXraj2O6dqt1p0oGySrrVdLWyeFdftDw5sqhM68Gg
wCE0D2Iszr5oZ8HfTvzP9QDyZNAuMHy4JejrXPi9L+QEepJRu8MhMj8l/XOxVTNcOdyvLCyukiht
G2RMsKD0oyN2f3XzKSSelSIf6ZoP951l/l2LlaQ5lWc5JUq4EZeSU4OoJ2WRFo3bIrDikGsMeDdE
yUMSgaH476ZwSro4IRuiHLoIK3q9I3IM6sadeslR5RcpIvEwHu8bWfEDqCjmSJyqP5t44fzYHc3J
aBo3hRw7TmHDieMfRj4+ln2xEQXephXmjKk1yxiRrSKPujibor7miEWFwkWo60mqj6OB86uvivFq
0HqYqtEhhgbcE9SHWtCPQbLF5Xw7VvgFyM7TBAioE47L642uQk2NmEhZu3wIeNw/ifzmCbsBwfr7
c3rrI7ybQeb+o2TF5Rf+iApHGKH4XLuSgBRFlkPILR+FfCsDeHvUg8xjQGT/ZqX1Jdlvg1KDnHVT
42ZqZPfSWx6d9MkZFfQhxoyWztP9Ua2YIwNG2yh4ev4s67BDoyhNHysNAbX+WWgPgPS62hHbt8qZ
SnGrFHu7p+Hl+19rN5XYAbhvEEmNW/71P0DqbwSHT12SbEUb85Jfb+drMwuXlCCgRjNkbFw9+zVG
dMUaT1X5TULs0tuFIaGGp9pN9Pv+TK74oYLMBrks/mJPzGN/d+H0eT1YQqo2rnqESehj+7wFHroN
2xjVOwOLTQ1jp9XGEQYgDXN0R7L1nXLMd+Hh/jhW/PzKzPwZ78bhxUmVVqgiuyEiuWr3NOeivGJj
M604wozB5qUMIQtd4IuxSElaFGPuNW5SQJ8B2UxPAtTLQPd/8Ixi43RfWZlZZAXNSTAopH8WxpqO
PK8Z9q07RtnvCb6lCFBcNUk7rd96E68EupCh/YPVgiCasxPXs9eMot6rvty6wck/F6ful/iIxvSx
eYyfm7/e125jHlcyUNf2FqeSmHrCEIlS6zaH5kTk8aaeij39aif4bf+zX1yNbJ7ld34h9WJUNIqI
JfWT5Zc/Jyv+Pvj/HY9C9gicFzlyElzkahdmWk1PcsKY1u2jFy9yNcV/rbS9IDzq1V+9h7rHp+Ro
SQ/RlEIqn3/M/If74/zX2bM4PUjdzhTQ3J/osS2+YBI9OLDbvHUtM4EI2O5FxQ78Jzk/eNplmnZT
kjmVYY8BJNiXhhxcYT1v4VJnl7z3DYvDRJZzb5yGruUWIFXbPLdK8mw29UNdlXTHTN8mcUtfZmXb
w8Sgk0wDlcNFsDgz81aue9DarSuPD8H4JysCu8gPG1O7cjBfGVk8LroM/nwzHlo36Z86A4Sl5Awa
ZDDiR2U4Jv6p0r+Er/dtzqt1M5OAbvEpAGE3QXouR6mewkOL24aOgjon4n7ZF0/bKq+s2oFcGB5J
spFAfa+3x6RbQZroSuuGkfWjR0LRDISfafRlVLcYpFbPGEQz/q+pxRnTTkbSg5pu3eJAWNDsGtMu
qkOeH9reDpId7UFVsxu+bUmfrER6bE1dmVt2AKqi6LIYYhdJk1gwRCvKn8P4pWmzfQlhB6WcHXia
fT9RDucbpM6DbG34JGa1e38x55HdLOa7L1j4j1APlR4inuomXXWJ5OaTFmyt4+o+eGdisY5tZFp9
BqTKRWthX0uBbXXPqr4xjn8B+L2BLJYwbcsRRkisKA/h9xqG+98/A8kO9zJE86WdAkR66h4S0sdk
Ub9Skq8fij/5z2xwdPon0LikBjw40Z9NHMrWBC+uE8ULwtxvca1RznadtDf6rfld915oM2lxA9CL
bsO1F0nwAxqIwiHcLttqTIv5EOyq0y95OLSdHf2IT/LH+06zujPfGZx//u7iChXYjkJ9HtNjchoO
otMrG2+626rffGm9M7E4rts+FNFEtuYrQ31LypfQh/LFQXCwaB5J3Z+0RH/MQkelL4peqXNsas++
7tvaUJ/Egrq+2tmqMNoawo9mv5FpWQkbr75tEf0kJfFcbzL8cl80JemJD/oHKf5E/6Q96Jexkjde
FKvHBGhfUi4GgBVJXPh2UMdtrQh+57bNR3EEGGOFL144I7Tkl2n4mJG4n8gBpmJ9rDTxYQiKLdKP
tRUnfgDWSl8HQcviSajD/Tbq8tS7Ql/Zin+s5d5Wql/qljLL2lkxS7UiD0PDkbbEEWY1FECxJfVE
KaRZSK3/nMpxI+xaiwQQc4T5Baakmcfv2nsVdFQq2YgGt5zKfSQ+G/J+aC7D4O2KYb8lpLzmK7QF
03bKI42S2uJ8Ta1W8GQ9HVwh7pw+iI4a/bmc6GWTPXWRYZewxIvj7v7+XHsLvDe6OHErgTJ8ksYD
r7U/QXwwDDBVX/X8xMPtvqF/dY7FqUtQiUjZjCYE+rnwzL6DUT/XsWTkvlOFtZOZ1UMrNm+0z++8
+KeafcsauwxrN6T1FVXuoy59K8IfudB910PzOEHiplfZfpASp1C8Q4nAbvvalAjriOlWZL/ixGDE
SQaAxDGMm5eEpAUBmj6sRSo+tPlO/4pEpD/srTFx0uRns09/hfTA/4GzbvB+BaXdbSR25slYTtZ7
+4tzGg7soQZ0hi9E8qk0hFdzyLdC7dl5b2zANyJyfFKgWmZQjSqUEq0sB3fiEkCh9LupnHWteUlz
N5hMu6bfK2//ApffG5O2NcGzMy+NQwo/F6yBa5ONu95ZSau1quL1o5u0Vu/I5vggoqBKJ7nivQlh
91NUIK/yG+EYlnK5D0T0sFsj2g2T1G/Mw8oe1yB1Ai5O1p08/+KG6gRePU0a8SWq+K3M/4hWe0GZ
2OkFOt++i9ZWg8TKuQXakSo9tRHSPsvXNwTImto33UjpsXAkf3hQi31n9M4QJPYUQIzqPwLtG4sf
qfqlKi23+tH63mMSbTGX3bZCMGTg3sgbzFXJG80RM6vNxK+n0W0yN4ILrg1sWXkyuqNp7Mfm0BnW
sYCDCgby09zTK4YHEW5a6U+m+RvevnZr0TwKboQaOspV4uLo60zZ8FtxHN06f2oLYqtiZ3X2BPDy
LHd742Uyvxr+FuPOmgtSt6F6QDwPZGCxxzxhGiGFTCe3QJZ1QDk4aNHKQelpolQAuNIkwSjbsT/Z
BWLwnmFtJeRWVoAGjJmnDZFWVmCZx9fDfKgMTZncMvoCr+lz/YMpeiojq3TKHqYor3AE0SlGm3aZ
SnjwW2ii/N9dlv0O4p/3j+fbAwfWQfLHsJ6yDrTMXu9HUxlROJfFyW0H4LR6OZ1gFtmqCN6eqtdG
FpGaFGdagPzD5CbNYw5zU0GFa79Jhr1mBaw6xBFwzXBpL660oOs1pWoq0dUi38kN2Ybg5m/Svf33
CaPVmXUDI8x9PR8r7wJbM0I/VBNK0dXH8amXjdBWUvPDfRsrCSba3rk1eW/St2Ut94VQAaGkJ1J0
g/bRGx4QWQuFlyY6J15NJVfZKZbvBOpWW/CaL6CnR4UaIN2cD78emlxECPV4WEUGc7ThpIz3BkDx
jbh9bZkgiYXsgm6xma/x2koQG1rCySS6Ob+/ir0j8L1XBL1/FEG4vz+PqwN6Z2oxoMnKErFJNNGV
1GnfjS/IGWwMZsvC/PP33oD+sVKWKhbEEWhhmduWkmzE9rcXBzmUf0B5Klf43CKwDqJQNiotFWdM
TIyYn1i+5NK0MZAVRNNs5X/amOmGXEYFYd6lbWGwe7IOqjqLN1FrK4/yLntsXrLvxYa523kjJaWS
0oCTCsTPEudjBHUnMSjZ9dFlaKpjgirx/bW/nTV+NXEGGU3QFsBQr1fGqgWhjupEccUJrF5S7Xs6
/FLwWffN3HozkRQPrrngzQ22LEAMFSnavJlUdyxg2BFPDd1Nk/YYxlt42hVDnAX0G838ETxLFmeo
IaRy18eS6mZNeYj08FJ45l+lppekSb/cH9PK4vCIQxAOilgaVZbVUt5vWYpsiuFyU9qB+L3gIL1v
YcXbALCBiaZ8SO0XMYHr1WlGVcumJjddA5xe+tyU44fakzi1e8uuozajCUT4oYU9iIvhxUI/aOMD
bmcTdAonEO0u81m0rMCFtEEOkxpablC/tK2IuseLXpHCCzfwvxt2lrW3Yez8OugCyxWCyPHCyO7A
+srWqUt+3p/R22h2HhDan8wm5fRldDmMolyNXWy5hfUyyo8kCmwPwt02+yH50omG9I/37d32+87u
MT/AadKgR8xYrGCua1kMwY7gakED3638UEuPYt5fKlOkSbtzIMKBL4ye8Rdr+jAlgV0Lv4teIZCB
PQYIbfjfw7rrD5qX4t1RbJmNbCSiKbjyhzKxha9aY5+8xvHfssfupXoRDvcnYGXCQXPBwEMVHkmM
5YQr8IvPxfHgYuTCbhJ+xK3yUAnlPvQQVumB4G1CuW98CUN0NBISEDqivzrnEd4N0NR635P9chb7
eLVGBFQEn5RzZwh/e5TT749u3dZ8pvE0wqHka1tN1VZpYPb6uTW18TGs609mjVpgVVbGIdKUZGMy
58Pr6lU4U7rQJABWnriY18C1uapAE7epNNjwu13RIimgH7uqe1V177PexVvWbhIuc6/w3BNCaRI4
q7g4Sv2iUJsalppza3zVjS9d6T9pld0YJdTopK5U01HbrQm9HSE2ia3YodTXWMfrESaVl5OOgfKi
6iZ4cMvmQmx5rDqPxHMyao5m0WR2fw1vt+g8TjbF3GBGbWl5jvdxJhVt3JjnsoICGpsPuaHXx9wX
pQewHU9K60XPQSw0xzjPvuWkHBxo6ApbCyb9NbdKZCHrC2gkz/X0KdmV3SY92M0lrVLq4y6b1x1e
wyVkxugFK4R9xzxHQkM3MJRkfptCU5C+bkyFcuNgGIKFnMiW4wo6ievpTwWpQwTVh4n/hfF+npoj
fNUdirrNJ1pi7PBV+TueyCmqzVbG4+YyZYgz7xoPXDqFYWS4tlxXlhp0bQEJf5T0B6micZGuP3Mj
RrxtUMAMT2nCQ94NTOci3NEsv/CqRLXOhljp30e/5a6RAtX6ashT/bNsUg7psfetrxMMFaXdemHs
2wJnTXEYxh5mkjYMjOQhmPLumFZmv6XjsTYNCOgg541WCOnA+efvDy+/FtN2lnaqJn96RvsqtwN5
7I8b67xiRucGpC8B0DCFjsU06Dk8FLXs0WRuNMXTRPBv2VIVg6tBS9bWJz0/xsZo7tW4186SAlQ6
0wvfafq03QtmZOyLVk4QW463uB9vzhyAnTMR9pxdnPnaFidcXQ5FLEZx6qaynHxQw0A6+l7SfPB8
qXaCkF5HOoPg8DTLkb4smDHuT8zNRvtnHrXTWWcS+PFy+gM4qtsioA3JSK1d1onhPp68kKRm+Z/h
kDqnjUnkqFH8lZGGuV7psQwTqMDM4II4TP87SQnwu1CqHsY6EWmfCdof94d2+1jG4Dy5c9vA/Gxd
vMhjPdPaJPTDi17/Uoe3Ho1lCDYP4adCRrAtKA+e4AjqFg/ZzQ2J5DFHFk5GNwYn7MLT/AAhtzI2
w0umqNWDXMr+oZoadR/rdWGHY7alQnETbyzsLW7kHkW5gmc7ozSeyv4juqQxTSAaOVonRVTt/pz+
e+pfXchYI6oB9ExvB+wGy1OraYKkJhN96R3E4R6sfbLrdhD47sxdsoMnFBJzwTn0FEW/yb/SSys5
Wub0W7Do2criK2ZqTJFwlq5cROCvXUmQEJ9saZC+pBpJuQx53qiDJkXVfsKl+jMOfHMjDllZVEI6
Y+7smRsJl9tEblVVKNskuSjhszQh2T1dPo31FuHQmsdemVkcBlJZqygNpQnCCf6RrjAj858kPzzm
8T73PSeh+t0q5kMhmRvP7ptTiHDu/fgWUQjKYMlgxEJ8ERGX14anKHHLASa9CzUoG1J+PSr29z1p
bQnfW1w4Ui/EjcrmTC7VeBasaoeYqP8iFIcKrfn7llbWjow2SvKk9A0er4tJNQRUIOVQTi9qRUK9
C49p+FlJ+/Mk17v7llbWj0sGatGZSIgYa0lSYVaR1UxynF/G3IC7THOYx3BwkPiK0giFIyejm0iL
aIrbMDw7/PWGAMUMTouaBc1uHD/XG6Kv8lDujQnKnrr5Xg7OONk1aXvrIAf7Jj1JSWlX4lEKkwd9
k03vdn6vbS9W0koa2MBECdvDawBNYJI9pK3vjF82xngDV6Ljhwfs7KgaFcMlz3UW5Y0ZxWV+EaRL
rUFSW/vHwXuOrCcyxuREYUq4aMKv+1b/PcRvZ/Z/rc475118Mo7hYGR5nl86Drj4U/Wq/Yw/RG73
pO5gqXXyI6jq5/wgPtG6647PxTnaJ8fpIn6UP47H5qCdtrbq7Xl/NQ3/fPDdB6Vz6qBp6/wiNcJO
gJdHG1QnrU6SiNDKVDmojH67Pwe3h8O1xcWNVgVD5IsTE9/VH3yRY356yepDGe7C/ow+Ia0Wx/sG
b4ISojSwKGyiOWEPDcj1nDdpkXVELPkFbiCnk4Sdb8oPabah1LNmhcuDf7jTyATOT4N3E2nVpWmV
+VRcFM8myhK+b+J3brNZc7iJvyISSToLCOO1Cc8fMp7rQXkRPNiTKEJ0ux5BVVtRamXflPy3eojF
XT4gvZooQ/qFfp/UqX2jON2f0ZU9SkUTEgt6vf89qq4/JBu9kKhFKy6h2vNem9VOH+klgSJ+i7Bi
ZVbJDlA/hjibOrm5WLu8oFBLWq645O1oZ+JwqcChRTSO3B/QPHOLbcnbCaQw9zEpj2WPiKWmsTZ1
aXkxs6Q7lIEIUXU7bWmIr3g+DacUZeGtIye4tFIHUxlX4VheKFsfNK9/hKriQ/QkhOM3STB/jMl0
LP2N3XZb+yTIeG90/qh3fhn0/tjmZl1eRiE/xdHnsiIrVj2mQmdn1WAbWgsQ/DQUTiYIn/wqvNyf
2bUFpMkWl6WmAMZ9sS062RiCtJPKi9doh3ZonK5r942Qb9yVq2bmHAupcYpWyxvLm8hpWYVaXgKB
gm4Jzk5ozMNY6L/vD2fluAS5/L92FreTGYRaD96hvGjGSS4rmuHfpAzK9uc8cenL34B3zb9t6Zbm
TDU3N6fS77ZYO79t0zjQquoy1FnzQc0j/XObx5ZD1RA5qlwu9pEUbZHcrR0zgCZ4cMydgrf0UUZC
qrVU0+qiRcGD2LC5S1uTfpFbjZWPsHPxvmqn7CgkW9yVK5ML3zdlVQBKVD61xeRKQBTMAlaky6Tl
6Ciab11p5rshiz9oNLSGjWk4lkAl9P6S3u79uTggY5R3CDmU2bXebZAYEEKaCHV9GY0KxISUBJ9r
XY8+3LeyEszNMqkEdP+HtC9bbhxXtv0iRlCc+Qpw0izZskv2C8NVbnMmJc7k199F33tPSTC3cPbe
XdERHV0RSgLITCQyV65UkZ1AKpfxZPk1E4UoU7C4bEi8Khy0lXo1I0sW1ABUPGL1VFy7/jUWGvRv
a43gJHj/epyPmO7We4XCRyA/hMF1mAGAytj9WrXEqJN0YVYHubxKBLPPkXMrzY8F6ISX4wBko95O
/CG+mtEibQo7DUoT2dj4327gnFJIyE7iNY3aDCBb999RVKCqR9KkOjTIRNgAj9TeGGdXzsU/d7K3
UphIozVKFK0iJBdBQdvZeLOAdG2oavvxpv400mktuHinmWcgamCk+OjmrqIMe7pormu59mNQOWl/
Yil0gyBQaag1HIjPT18HgSDEgEggtmEv95snXaNMFkwIVMUBs83DxR9p4RdoWS91jlf9ec/jQazh
DSABuDShEe4lIcOpo4WxrA9V+dn2rzIGbWYvpc/xqTMbeCdleo3cGGCOzG8vX4v6gNQdJpSAoZCE
GFUMlkMQ8eZKgraQXOcR1rC6gXAERWGUlnAfg1GezeANJTr+zEYtD8DNdPRyuZZIkIcK5yH8w5ey
Ypi1SfUlH/urAUC7UYELCmRImIvd/eNjiKhUHfXwn2Goluh0Kf5NHWHlMtfu2F36FKni8mBqr13s
1sNLH78+1vvJV9z6km8R0x4iEkWpgXVogYLKcFoF1UFP3qUKw+cBJ8UsdhvtLODyRneNohLMbeZ4
6++J0qxYeA6AVSaOA6S877XlOmbl5eIPcNeKE++jF+lNO0XbduVv8i+dBqsCGSNMpafVMg1Wcc9x
KayuSmjMgNtChRzJoqmscy99wLRB3/dRVolSov7Ju3AZG5p1XaiWppic0OkH8pwVxnjrSxpKYRYs
6oOZIonkiGAKwCi/fEDbWYthW2QUkmHV9/BOnpL3umYLUl6FtG5KcISquupHrr8w26l7/SKlnn+t
dIOmSYTuOC3CwG7r0lbi6ElaCpyPfNGqlF7Hdvx6rCesE8EqAADFSQHViKoIy5qFd2Wg1enYHuSh
jV0B5R83GcI1mpBizx/KnHfHzRzRZNi4apHMA4KBMbnoUnRylqbdAZ2B0jbKauGlGjJ9qUVdaPtC
W8G9XEYkFsWqpXJyEazLRQaPrxa3FM87iRaj5MWXC3KNgiAtYwhD6JVxO27YBAT2ZSJk1NBljygL
rvxelQJhUHpQF3eHuPFNoknFWjXL6i0dF+UmlWOZ9EgT2letiJZo2lmsSgwo4QAjf5rwhP6ayuuA
f+GWZfx73uXypSik7hB1SrdC2mcngErhrJSX2o6Evtg3kf+iB/JucWl5fOzfpch7Q55KSPD8yKbj
VcuC31NpSFFHl/tDHEjXfZn6vaNK8oDyUThSxCiik8hoCWwWQrsxRwzb1bI29ADzvthZcOk+4jTO
d0ktSzTuBNBzpmqHBAYmvsl9pZOkw/jGNLzCz15KfYUheVewNrXJDvSHHa1NxSd4EIFktvBVqonD
kxaNptOKbeAJrfZcFteWouHTFhAfki6rMYUqzwvOs3PmekA1FvS9oG6eYnwWgJcHSZmGYtQfQvN3
U0hWMGAYa/iKMVqekUiH3gcaS3IQCD7jCx+b5YyZ3IlmbggUiTGPZsBU3VxSd2riP5fa4tybya5q
V4mAlPtjcT/i30ndUXqf+t5REQc3/b26Vxdw3/Vi2h8WcYypZIoVg9QXCFmaSjIphJrKdbEULoCt
BIrDkf3zsr+Xzei5kreNXup5f2j1AdPFrmjMGSWrTd1G+Mh8nUqmbw05+DuUKnG7yNFFgwIyLac8
6OPcpn+/bsBGi84SNnQzY3Fsr32J844bgi5UEXFAi56+ofoC4oITfMytGlcUPhYZABSlmR3XB7OS
q3aEgcUCao++uvDU0iz/fT0CzeOUo5HxfkKvzP25GnKYmUZs9ActU49tiMm7ChoEPxUT1C8vnHOc
2T4U4RSAOuGv4Dunv7+JFAs9qFFE0oZDVF+9KFRJabxeh6WCxpyhE8jCHFdqZe5zzBAMUXfGWgcz
JIXuVfqfHMDvvEzdx5/ExuLw3XioIumAIhYSc+weD33pq5drNB4CX8HrtOkrsOYCfhwNuIgfi/p5
nBNeEv0UWDwub/Z1bGKcp5yP2XjAHNeORAj+bb+Qc+uxlJmgA1cR3BG4bwCURxKA2eNWzYUgKheH
JGhrO02jenkRlYJcDKVzu0GQjgMK9yCFDgInuMq6hZ543QK7rmGp7di6i9TXN4lZ5E4QZtdtXaQL
Vxc7nYZlg+mR4aKRjyaIfDkB70xciEQJXIuKVC+6LFhujfaSDkZrxPJhCDILGQvFDq3G/FIaol0c
FfRrA40JZgyCBiOyQLCYn8fJ7kpy4SUTZ1zd/adMJ3mjpqiL64Ka4VO0lUZzJ7QO5QemyzpXXqgz
hTL3VyhmfSCOBihjmnnP0qPIZpd0CzmXD7j+SGZfVwsrdv7IK3+d0+T5sWLMaDpk4cUHVwqqW7ad
YWwKMdAWkFUjvs8vrxioWpo8+NLPWPF7eMkEqYX6ARx0v3OgSG3DKs7kQ5m8gL/PiYfKTjsMlAx5
Wze5pR9bh3BOxezwqSjASIpk+WrUWiEf0jdN8HT76g6xm5cOcmrCaixo56kLkvHIpmdsGHlQCQ1J
wIRN6dD79cVdBCWNRvVQqtpquA4KVdXEtP/tk4IfnqZ/Tigdg2U8l6UuUvqkNA71oi0tPalTMpTl
Zqwj3lD5GZ2A3n1PtAHlESLZ++UoUptKfSAZh1gVIkvVo9pSGiWzzAK0No8XNbNz6DgVAdgH1Rva
yZjLTJSrOgtj3TgIV0XDKBPJwLTOnjcZbXZBky8HBSUQdKwUXajk+tILxiGr5HLZIgqNcIs08a8a
I02Oj1f0Qxbi3mk2C/AGSKOgvHG/eboQXNJLlJqHShKLY+IHhewIEmaikxLNeVwq0Z/iAJZBTVcG
ffGkFEwMFKH9zbjouoBYPyUmxuWY/rsudxjt63ZNRuRkPAxXR0GftlZeSVD6Lv6X3QooSwYctPIP
2IcBBw08NtJKYAxEgonVG2OBuLddSKeEWNttu7yS38vTklwtciFvO5VST7COnIvth1dmhU4e4cYr
C5hyZUoFhIbL2rKiVfm18tafj8+U9V+sjEmLb2T0IOaOwbEgnaz3XzyPxTp79renA7757UWtR4mf
4redbb/cB8uYrKjn2xwxP+YlsGKYZ2krSH6FS1Y6vW5VUpB9T5bun8OG0J337Fmc/foxqoKVxhhB
7Y9lqU+HsrbOC+d92z3tl09/XFtwdzXtXY/y1EBi7YCVaNxv42AkWnKdttHaLpxyOVrvIV0ul+Ti
2QRYTVumLzF5/jKXnKX+eOuxghnfPyrikIjlJLi12l8jlLzzuKubrPj2WrsXgq7D+9X52v9f3Trd
ZMRyTqT3lrH1dPjza3AoFd4+rccaP3+CICGY2pgndhTGlo2qb8ZSE6TTuba2TkX2T6H15P4hNmbK
UZ+sjtYrDxM/r6M3MhlTboYu9/3Yl075Uhzd3bB5M8jOxtyn/Yp25PlZJM/e6+N1/kA5f+/sjUzG
tKO062UM9cPxhcvtpaUjUT4Xq+ITyuIF1vHIwzfO+6sbgYy9A3iBTR9N6dTRQCGSZXk+/Yw51+qs
NdwIYawdT4oO1waEKFQ8+E//7aYx5q0XYEEG7l86XSxo43SfnPrfQ7zxUtd7oeXLMaU8kZP9/rCA
mxUx9o2igRDVaAk8DShhkWY8/6E03+rLo7ei5cU5crVxWsMjgYxdJybm7UhRIJ8s7dP7el0sOYrH
OaIfPWzjUCpiBMVbbwVS0QJ/3DfJWoXEs3jq8IO7htFytphVJoGIVxyseeIy3WZku9/vT8snbfnP
4UCo/fEBsauOWJ8JebxMnk2zsWQohCAWWUDy+txb25A6y+WBbAzyFlBKPzla8uOVy66T8SCLqql6
VcShhZu19f5e0YD05KCdUCkh1Dt+Br+5Wzvrmv8qJgtYLku5KFqUv0/rtYN7tX1OrcoNLQkA+i+0
wa695HkggRW73EuBp0GMJymNQk7xmpJOtfO63YaHbeI5TkCWT4rlbnR3QxdUskrqfXIiXI5lsKCM
IEm0Islgir9PEQlIzclecw+R8S5KhFlE+XT1bK3ecpyRPLkHYtv26vmLG6n8wNGwGsP4Fd0Ac0Le
QWPW79XRpMXBCiyPEyP8CyNAlIhUD8ht2AalMQKeQ14kMlb07qTWCKVcHnCXrlBUpkfveOTyjU3X
1k/v9VcicwEsqrpfDJPEdbp8b5dKThF4tduBeMeGc9f8i1DhryzmvMqoCfoFRmmdMvJqvS+sk/ME
z/LHJTS1X56Px0/Odn6Xlh4tjjkzX1nkSKvGcM3W7+ZpP5IMM3kJ2A96MpIlkZZkQ3r7IzqvvGew
HX4BbXqcnh4ekmwEdxQnRzV/Nf1dP3NTmN1FWSQV1m8l3tCRbJk9W+n5sR/9F3r6P0LYJ2x9zf2s
rbFm1BAuv9TSId7LynttyH+3mG9VvnmOGFKj12OBxQDBeqKYxE54hEU/2MT+r8n9XQoTWl6UMsAI
slA+vVp7LbY7a7WyOuK1HeEoynxsjkLM/7M7lpIgS/NwvOTYNJR58Ofc2XhjLTrL4tw73NOZzPFm
18CtUcfhBYLWwnP47De2T7zg+RiJZM0R9S+u8r9rYrw+AABSEsWT8m/PIgWnJcWyCvIu2u/ZS7oO
TscLgmVK090bfY55vpnjV9hKR9cYmS9W0WR6Z+fdWZ6+fZlLiI1n6wvuO/yxOKo/f8/9XTHjX1od
dDP6JLOhr9qqUqzdCuGKcFh/YvrnY1n/4u75K4txLcXQXOPkAt1crwe6dQTiOEu3Ja6NB+QKD+XH
4jieg+0j70DXMsQmpFkh0MXH+tX74q2Ip5psDznwYo0UiNOKVNKttp1d0dNlnZaA4PB8B1cWk4xS
CxEzvxeTZW8dDbPYKfyvI5x4byjefSozHmSofe2ifZ/SGbTK7vb9NzmRw6+3t876wAOcc0rcZTFR
pTnkWaglk9IvEOIZeBvSyEqpxYmrpPnA6n+Uj8XANGaY5uL3RXLeXpbvvwWCNz4COqLbLjEIig0v
YHilA0HIwHH7s6Kn3mKAmDFsiy33qTL8MQbdy3ggVPZ4tNac35/uwB9X9s3vT37lxkFqci9n1ZAi
MDfxAlEJONvEz2HJO6kpD/JIDOMcFfhg8GRhGa8IhvXtzp4e149t9gfX8Pf1dbMUJrRqjcivEhNL
AU2iAyexdSJQfxqRlZzibeherP7wX0pkHGCPOexBnuXT4UhubZ1NYiakp3jReLzr5UcnMLs6xgFG
Ta1jxHcmn0qntKaT6jdlar08e8cvXlb1Gwrz6LSYwMkYg6xTFOxkAzkWCmraxob5HnmL4ijfd0rm
RvlQ3lVGRcOaMN+rOj1/dST4zTkijuKxaXj1kusdGs8nxVPo9aUl6UCvhsP15pOdPNiyb1d1u5Tk
2hlxADmDuz5r7nu2EnqS7zzvytu0+eDpr55/h3E3okyjzACiwelst7FILjaiCrBK4srl5v14m8c4
h9QXrlljQNLVPlt7x+nJU77+kxIbES5dv/IoDOevj5uVMV5irNBX0F6wiTLJyBnpzeXTk04PNTls
3ryUGpR7bNOF9OjYGJ+RXMe+9lNIjF41we2p7XlH85T9Ssh/djfeLI5xFkUaBDFIGCdngYhXJ1jd
0n1SpiqMTVfwGJxbazEbxNwIZDzGtfCjQdAgUHS19/V27ywBYdxVf6j3dTz+Bzs5dfeBmQKzfSd+
oUmXbrQSOHZfBf4b4UyWeKOjE+U4AVSlVZ1Zxi+OVf90HPfCmHimAx6zXSRXWPX6jPQVEjtL1zWP
qJngH84NOZOJvhfGBDWm0F4z4NMgDClOMm7KkITWkti7qplKQjxxk8rdq+S9OCaoQRMxuEQ6iKvK
TW0NVFpdSUGvlr7dRFQ6qT3eMJRzP/NkMoYeKPmQxFEpn8zFJsvtQlmQTny+mhwx3K1kDDzMoyzt
F1ibdcbLqMNMZLvCtPvcfva8UeCGvT/91/1WMta9iAVz0TVY1vq8FTWSf4gbGNpjXeSpImPWedlG
QZc38JGd5ZxDqhzEhtaUk8uZuf7vl8IY81D2BVBRWEpH1yJNcEYByeiAmc5AbCLg4GnhpGWPtJAJ
AXQjrjWhgjxL3m/LUyKQcYt8GNdLcTSPfQUNI+Ysl9L3EWX/lC88hfvpA++2jQW9XhBijNoVp4PJ
32coAQwYkdOfc2spdhY+8Ro4psN+sGvs+wddItJ4mXZt+xp9hA7AnjynzjkXlg2zDZIK7D9Y0HA8
r+MT+kE1wUlfL0gsrDmaPRNQ328e4xUENdKz0YCs160lkC3xly0wXfS5I7yU+Uzx7V4U4xj0UKo1
w8fGCSaJa9IcQsjhZYNm8pP3Uhh/EGaFAnI6SHndnpvX98E2Qbu5aqxSmx6OzzbVyFtKyE54W2/X
wn67tuh1j7oxKj//7X3JwvRBFtvpGKUN3xRppHH/SZbAedkeH4fB0xjGcyRiajTjgIu5o6gJdvES
uEmd5hqxqMUxN44vZOFWDebJVTXGF59UskazAzE2w5/kmeeaOEbGYkDHClQRXTeppUq2luGa5P19
fyKui6mXIXl97N55RqAwoUZe+mEiijincx/YQMBuLFCHg8jXntC3W37dYzKqBy6EbaeoJIxCCwvs
4dbah9fVBtVUnVqg8rAaXgJvpkBwZw/KpDo3MZt4lSoxnXYSl4r/jpC7IM5+ibJOsIyWG2CDuLcl
7x5TGJ+iN34dXDssz4I73m9Jtu2WlBv68lSEcSdBdTX8eoSUhqLreyBIetUZIcKL6sJTotDAc8uc
SENhPEs1DGbaytCScf9qHK8oVTXcVNDMw+/+uJhQowyL2u+6agroz9aIjFdv+e42Ce3HKs/bPMZh
jLkU1J05ecmMjOuc8+s8V8/2xGaXsBTbFqvIXguNGKvoQitjqUSkcMw3k3eHcQ6GZYjLq2ow1fJ7
z1pLfAWlymcjEdBaeryCM0+12e6e2Eh19AJDlLVFcLuwHHELno033GS8pOA3YdEDJ8EyKDVDGaFr
HqI0YAbOWonJLybZo8pVEQwuE5+nuQruFeb7xX0O8ZwGC/y+5lolD5hedpJR5tg6kg08F+YWWdlW
t00XeEYqkRfa0IuVbznOmHO/sDNCpDxpkmy6ytLaVkZ6EmgKFPzIew1xT5JxHwsfIWlTQs4wGVpo
4fmVOshZIsTirGgm1XZn0+yItgUI+zO5v8hA7LyCEZc0T+pufEeyLUDpjZtwmynx3YtjXIjU9njN
Tg8wgCK2l98GmYK5NbfKPbm7R/rJuBBDV7JMVCGmo69nfe9Ykt01NopRo217IFZ67LBmMh33q2Ie
K6UEznFtejK/AkSO2GO8ENHtqNUv7KT0KImJ5+kWj8qH54/ZFqsgVbJ2kKbNDFty8SnFjGDrK3B4
0fG8Q8YIHhk9XcAYMqmVpOjjsksGBMcNTUUiHJWK8oKqKYz5eWJ/ZTBhTmsumiGsu8l5rftfNlIc
5ItXR/nRM2KA4xpULP+zECaTcjWysh99CDlPKNCKLjMK0NEOiKNV7nr/4fvlrzgmvNGTTharAVHA
enveZltaWfQZaUTO1k3O4NHOMRGNpuWyNl6xqNeLSPyAG4D+TFHebxrjjNpaMpJFid9PyOtWtha7
Hd5gHhehNW+yfzdr+vubWPBatBgo238rAOZWOON66+AfgEzrT5Pmu2tEug3FOENCDYd+8eax/ouo
4K94xjENeuYrZQPxzt4BAtpuLG52mXdQjFOK8qsWKuq0wjMuaACR96cTQG+BawMED1jp6su0vjjK
Me9wQR8Fin+Y7w/mDSFRurrWRzyJQhJvkl36Jv6j7JtlbicF8Z9BK7fkOMOZiAct0mA6BGcFGodM
Zpm9mpmB347iafCr0UZuO3gLkhojKOOLiBrfGEmbwjAHLzKlwCrQJbtDjFRyWg5m9hpNRZo2Nc5N
Q5cYSwdObDF1c4unS3WM04DIuW0Uvx6vdOalNEFIpqESJsZmswxgOii5xaK6Sqc+OYEflUQNj07i
m4uGsW2IMNDHIWpgd/2OhW6MwlDRYQDaIQlhfULO6RJZ+/egpPsUNcZgt18u1k8CdXNv80sjnXUh
WKnkNJtqs7NfWveZo0yzCwafGkaOy/AJPxhRCwxTR1slwMMhUgby1VIrhTze07l4RBXR8TlRgGES
Oct/nmbgYgrqANFdTc+jFWNmo066C/q7CRK1K2Do+9jSdjwSpBl9ASsgWJzBpqzrssrc4IGBLuSm
lCBWQXdy67V9RRtuhD6TCkHfLPp/0MBnij8modR9mwbXwoQH2F/f21/+RlitvuSYqAeLs408Scyl
kIDUfbyEkFQ6a53EJ9NOFlZieeuGGLR0Hkubew6gQ2SaAolexwXG/d777iK9KggQ4Nkwq4Jsr7nd
SmQMkBiRgZJ5aqmCTotq3AnbXiOt+4ISl8VRzbnMPhArmNYMtmqcEXuAQ9D3peILCJlX0u5379UR
iTwE6LroZksaOTm1xn3He93N3I2QCn5TtNCiu+nHk0sV63EQM+WE7rHY9JpOo+ImqWj8dHFNbdMM
tNGJ9G+PuUAcg71Guxp0dWLuYvZb7JJM0EH1cUJi3G7XGOm2xLCtX0eeL//GGTH+B1QTaI4DLylI
7NietUyItby/yhBkDQO1rh/ihC8oX1Oy15YBQJUCyT5a/Je8XYT0VxyhTiSvwKVJPEMniwPvDp2L
tO8+iLlc4oWZ16kgmafKDnbb1IlWFX0HhQPRdxg934I+swjJkYdMnH710TYw++13oa8G4Ig5pWgP
fEo2MKRnjirNxNg3C9PYGHvRKCBLwOCZ0wDu8NCK0nW/VpaR+vrYVOf8650cJs42GhP8ywHkrONl
Yw8mbTvH3CmkOlE7zS0qX8kqLjgPpGl//vX+YfrUvX+IayULGrREniBztM2GtGCt9D/qHjhS9cRZ
4ePDAtfGvTBwbKjK9aJNOiutug/Z6ioSOxlVNbJbydTWzoXFTdPyhDL+NuxSAUPMsa0YfyvYPd3l
NOD49BljBAmSKWsY8wcWF4XtogRlnZAWnW+eMKiL5G6+yXprdEcavAj7etn+Ut3qJcbLUwXJ4zZI
qJY7SYLJB7RZjk+Xd4zZqEmSngLV9f95vOc/V4+hiyLmkmhwExro7u63XKz7ICvC0D+NV0urNrWe
LQsFDPktYMJp6ugaZyt+6hPkYWAGxpqCagh94/fy+lyU6uKa+KezaJ9OIYg7yJl3WWvTkd0r7b0Q
5kWgAfJpXjBI7PR63v/jOGuDrpHrchbWoiWZV7hbx1pv0YawX6KnNfDC/eFttbLD3cdut5NX2QGv
8WMMdN5qFTl0tXqmH7zkzXc579EnTudyEx4G0RhoPrhcThYQ9r9/m8iet1YBOPP2Sk7ubgXQ1Lha
Lehoe4AKYLYbL1r7ef9hj1TcRsY0DQTzN+8/YIwCVSpL30c1cHRAGaR6o9e9XQaSesVeeONhWGaP
5K84NuGRgW4mGUvTPykGpjpqZ/XKeTbMuMe7BbG99CC4qIuuhYTSyZcYWPh+JSJ4Fq7UpOEueLuQ
/rWkPHbEb3A0e45g3cPwSBVEOT/G4kTXi9HnRa5MXbEFqB0Uuo+I80Rc4I42UKcXIGZ4yjODaEYM
gVgUIHhgOxHP359dUKV+XIEI6oRHxcICoBTwnCtYqHcfHSnsxganEnn+eOwovpGqzErvhDKWq+Wh
v1BqCC0tWE1F0JYU/eNbS2d7Xn+a1udn4Vld62Hg3Wq1yik9ahnBoMzjv38N3i+eMW4Dg1uE+orv
UJAIcopVakXH4OgflmQ457b2S/ktnB4vfcZH3q2csdVpMOMQXxvllEfk/SITbVkGDi8KnrHHOyGM
PQaxVKUFRuGeLHP/rv3zNKakd1FEOz5ey89g5W73WKxVWOV6X0qtcjLccP90kFfC52MBPOVku02G
6KL7ogkJ4158r5EIki10FCxdolibftWdU0JfOo43m+mgwLI0WcK0D3BuYyTevUUkQ1YIYzpg99Aq
jh6GwD5V2xMRpmbB9ZOrU5eq9FlcYxJXTr6OPLKQGZj3vXzGIgWlB/8f+NhhHBkAiFMVx7nSE4KX
7TKhh19Tj/Xu5TlchTay5pwznUmO3ktnTBMRWh7FCVbfnqMPbQXL7D0ALuHU7cOvTbHcgagh5MEQ
5lzf3Z4zhoi3Pv562vOpAdVy9qp3WmoC+uCedNsGqGT1NfyedjywLG4Va9Zabs6bMUl5qDSkMyAb
cIwApcDX9HlJxqNtZ4cPZRMjBU3N/wQPcb/PjI0qst7qo45Trmwnt05wfq4CCOabztPnmTcxJCEF
Byp8ZFRAonKvz5oZxXmAUROnFubze7FeuinZgIjARj0isgbCQx/N8HzcC2RC7yIK9HoxQuDa2r6j
FAgdejKsJ81yATEFt6ubUyQguNWeWdd6s07GbgvAFQDuh1jgS7YXZ6Es0520+dRP62P6PjU98Qoi
c4HX3c4ylqqDnlA3e0hs6NpyEu/qtl7/q6Dm0z9AD7k1Kk0fLy/lNsEum8ujuteXhp3ayo7j8OfN
52bpjNFKdaguwgwfkgDxsnVA7O4TNIa40WazkVcXsiosIIvE/0Uddi5UutsDxnKvsZYtVEwOBTj7
FXg29FUULub7GkT0jtz+q5mI/04YY6qKL7c9yEundcaHNj81BVVBnCNiLtJeSzjP1Zmk+b0eMyYq
CbJQXC6TtJG2Ofyg+Py2qgBzPE5VUevxXcfbSHYQrxqqQuD7I6xmi+eFQVpU2NDRM/XzgDGE4+Zn
MO53azMW907BKA2MVCjh9IztdQWWF0JcdBOhmQ1txzS3I0tfctb3syBwL5FxQ0WYJFGC0axAZb1u
3x03WXocCbPxyF8rMBi/U411ZqQdJFwsR/UCstjZ9m6F5w4iH16yc/6evBHGeJtIVksZU2bhVS1j
VRGJWqfv+OBgWK7gpl7mYLCKdeFoyXxwciOWcTmhmcXSIoHYjKy3WzSTIB5yloZFyB+y6Sw89VZe
4Hx6vGYcnosxGBeTYipbOhQQ/HpeIyRxnAU8TPEi2MT9s7Hxqlw9C1ZOUxpTnq5O5/bjtXCzZsbF
xHVagagWojHV76DRBUHHAi6TDWCS9odNn5HqOxr/wRPw1tWwhIjZgFnsySRUnFqqcLanjD4tXd9x
dxJQVRzV5S2RcTVxmKSm0sDVrNdaR0sUiKdK9H/SHnFnhCZTw69V0AmHhqScwrfwWfrUUEMV3jqy
PvIU9Rv++ODQTMbB9OZC0MREhr6EG3UPAl57u21ey83C+r280r4mT0+4Hzc7Ca34O40gnN/Yuvvm
Y0ryxPyR/P7vdphNm8VBtxibyV4le0FwnCSh7gZdu6GtPD0WNQNNut9kxg/VOVjT+wabDAsViPjh
LHtCMOYJ6vrSu+jRPH7xTITjXE3GG7XAe6ViruLNcnHSvVrvxCXwDB4VLNPq1s/g3Qks803YgLD9
8WK/kZKPzplxSHEcqGVaY7FJSSydiBQDpZ4cJCcb9+oT4HuBW57qQUDJwo7W1vrZe6Zvb78Qmoz0
bQeI0eMPmkHK3u8+46hC5VqGFxG3gLa92r8FvFyWC7e1KbInDfl8LIwXAbKVEUO8YKRHhX1PvgrS
2Ei4OeDCWkbuIiPSn7epXVHfIJlhefQD+WA4yscfMO3uo91nAiItTJp8iBVcqr//JDnnbGeQRfdb
yXilSi7kLuhwtjHMloCfzd592I8XwHksLNiKRw9+yl4c4fnUYO1cSTISDC6kaCsRUDYUSNe4eITV
TzGxr6YnkvyFYzrTDv3YQbDramB/xEAYdtiF6DcBRkKYMNZ8o/5W/oA1iiNhNiy5kSDdh1rlINfA
BEBCEh6lbNM21iCAZJ68Pt7J+QDyRg7jdoTW10N5hC6KFPVH2z38+rWgE/gSsSrvwT6vGjfCGIeT
1SCQn55bpxqTYi5746vNXhaYetzndnUa1g0AtSJHHSfDfXRSjKcxjaHNqwX2Mfo6V+lrIawag3NU
82/lm2UxzqMM48pfZAYqueQ80WBN/BVPLy8TSRLnuHh6xwQ1Yl8HWjVgA9dRbo0YBDgalsWNUnm6
x/iHXEriNFzoU7h4Rq9RL5L0d2+DHiOyvjrPBJnRKxePOC8Tw2vB8T8NqWe8hhibuIqUUEXPlpXu
4QhxEX11azxivE9uwX8ynp9K8T/C2MatUm2FoktiFa8Ka2ulBjKDBqHgruBKmr1izb+SFvdmfDWG
hRQEkYrXBRqRTFKcuTyO8y/OGxmMqxhKkBarkv+dwnhvQwLwhCuRFciJUpejfzOsFXDuN7IYd1GM
9cIYfMgyva0lA5flSMvezt52Da9VXJ633L9bxzgLQELyqygJ8IA4pKk09b7fNvZlaVXUOT09Pbkm
vdgbd/PWbHZgsVh9fYEhkNtnMgPuu18x40B60w8Dv4Rimk4+dZH7S6dZSmseiHCGa/ReDuNEkkhp
mtgPYADr1sJIOjzQJpaOfI18EGpHK/qc0+PR4hFtzUc+NyfKuJRF16a+PGB9r+ftWXea7XjcvUzq
Q7mvoznvNcF8MPoKo1Z+zKRsm/Yq+12qnqoVyqEF0QakR4TXaKmcEWgh2PxcW4+vt0lHWEPH1Ekd
HI7IjWJ+8r35BeL1UpaZrJ4UrSCSGpGeB+OZ/BIrQTY1oARRfwOTNqMeah74hS5OayKXBSkJ/Vj8
w7vDZsOdWyGMbrRNmApGW6joTyfWe/WR7ER6Xmdf23MEnBRSPdaw+V/Q3865yVuxjGooSqH5l3ES
u62tMJoa/yt0PfunmlSWCzIou6YrKOXn40ObzZLcymXuH6VoRgGD9ianqWO932RJ4JTc2C/gteMF
JXNKeSuMvXgKo67L7KKexoYa113mr8aPMHVNi8dIMWtpfyX9CFrrSm19SZq28wwstPwr2azaF7AP
8lY0m6a7FcRcOi0GlIbNJChBJQgMwg7y6WD3dQ/oYsCEGD6X0fSD/9oIgOO7N7NYMWqlmQ4sIWAi
BMqbfn3yWSi4G8hcPqV5adMKD1aIKa2z4eood+uAcV3W4VMQE8vi7eR30+ejhTF30BgHjSpLkIhc
/XmrIlV9FjzxSkbT0v5Qy3uduGqHFf51j+i0fXlZ2SP9lacAZVPQ2/C+Z/aqvz1ZxttgEEHfDjK+
B1UnJ7MLt39qbU/uuM+CuRPFGHHwNqECZGJAwP2JluCDa/qsgyAhJ1vzLIFO1glQH3jmGftc4Hcr
iTlUBazxZtxA0vj8fzj7ruXWkWTbL0IEvHmtAkCAVqRAuReEtLcE7z2+/i7o3JghQR7idPf0TEz3
jmCiXFZW5sq1ED4zMVUItJXgaQADhTudEtkEm2nBxdw79ZdWZwur8VD56oteckKNDJGerNgaqbPx
CfWeiQ2LR/b371K9ZfrN+WaCcLAKYLIEXvc50qlt0D9aDpLkvL1xoFvKAHgkHPFNSdNzqyh1lxgS
MrFH2liJC77QYbUw6KUPmC1qK7oIE3lRcoDHdD+T3OSd1mJ96iWfIkuBr83QSTAUKyFYsHz3Arsc
+myRw7JnGIgMSk5a6cULKrTsu0a32wapZ4QaRFm9Uha4SP84LmpJ3QsjL03PVhoJWU+OfZjO//BG
Xzoib8uAujcucHCdzr+r75pGWXcTAS0erzP0lC3M+r0NrkyoYiw6B/GQ2dhZLcXAR19BIhqkXofd
S3byjn5Mzufu1Udd8+9je3eRAJf2ZgNOEvRzNArsQcMM8bnPUVlviYtGwPwVcGbkvwdzC15mbSuB
uTQz/NWA1i9L+BedbRogh9DV42VJm6Kwax/idWw0kfcpToy+JVYkvnLsTGldT7WVweq+jkdxJADu
LJ2zO2f7yu4sfEhKxXfR3abgOQ5eapBmvBVoaXW+Rpy1k2iLzp8UzL/r8WNd7yzG/lEWe8WWvmAW
UxQ1D3o/Hl/gWdIr2pC/0NN6fHkT12+bav3XMwdrYdHvpXGmzgDIk0pQYUbPzvVcDzl4NRLAxJwu
egocXkdBZ9gk5pTGOVYbfyW9P95lv1wdM2d2ZXA2xCFOAy9uGewyYLu5hPr00OuBxbYGc07sz/Wz
u39eG8R/+a0vATQAyEANwuoIPQQLnzJderNPEXmkIyCpC5k06ARej73KFLXXuopxVM+M+oSIiqN+
lcyqDJ4k9Clx+boT3rNRIVL3k2Rm1BzDTg+0ngRsTnL+s8h3UliSEC4wBhOoFYXbLiBJemhV2vY2
EzeUV52S2fujUYD29ztZwovee1ZfDuG3LnIBxhzybKhzuWQc7rn6EWqb13xQ/jbazuWM/MjYhUvb
xnk8b/fCxCujszBxGGWuU5OCcRhWLxE7meFfhjOkzYhwxqREPVBuxzpnFliW4xIa896z+sr47C6K
/UTxYw0jThuAjZ+jmNW9J1k4DbmeFRDaYk58upD2vtMAgCPy340yp4woBLUQezVnHImnRWW6KuV4
ojXf7eYLlMHCd1HazR+X/FEgRivCJxYht3QZLOxVceacx5hB5xuPOZ+kKHn6fTpMpcnc6BkDbaTQ
o7AWFnmax6vDMQlNC2i5QscQuq/mcDu1UVmGLXvX8VRq7rJ9/iwaoakoJEa9cG/Q1gCihyaHhUP5
u2Mf2Z1trjJXQ8nnYbfi7Pq13HgTtORUUcFCIkV3diwKarFJVpW5clLdXHmrEOFz6NvPsaHJAG+m
q5gKT49n4zYB/Tsb6LbBRICcae4mJTbrZdnlXad4geagWkWk/ULx6atI9FJ7ZthJAG4h9rnd6TOb
M/ektrWb+qIAoLXyR9hoR4muz0uUV7clpWsjNxnNDNyh6LxzHSTJEguXnkLeNrne+ob8FK3QbKM+
Ka4hDYQFLZCJGxhFvh/QSPDjP97h05cAWg/5QUjW4h+uvbFWDBD6SmUMV3BR8D98HSZC6bDSUxcd
Nmu/X9hpt9n3mcHZ/LKFVPpJK7lOX1p1DbB1+7fZKbvRKPf7xIHLNgNkB3lrwe5tnHVtd661kbZ5
6mLGXWcT/Wzeon0GVT0/JdGHa75GwQSWA8pger1oT8fn+Ph8XNjLd0/2fydamZ0wNYZaolCprpNJ
hK1IzZLaYI7JE6IaOOzHxm77R6bBol9V5CD+wClzIEfjNVrNij7jbMSVewyf0q1rDCQ0gGmi4ho0
4cCZQhTDW43oB3pP2qk+j16u55/H33Eb58y+YxZTcuioyzKOcUEnsIoKyHUa/JZGeqAH5k9o1AX5
2cjGY5u3jbQzm7MdrfoMx/Gqxzh6nIFRtt+a8R/HDCLi2DvSfYgC+ZRNi9+sh9ejZcWG8vk56J9n
RLlLke20ledOVYE4K+D+3PSemN0emld4FeTMGfArmS8ekoCj0x78t2Qv0mitrrpdx5F1bFR4SoqW
tq4/wnVJ1wVH9KWutrte7fJTZpmIQehLxm3wKVVsSfVrz1JJ2HTPHkfCHt32jP14EbhpaLOhQ6UQ
3cNQr+QkNDpcu5Vc7WrID+GUI05p9vCjRg+hC9SkfBSI/j42dvNi0yAzhNtSgeA2jM4DyoRVkkyT
scmkmg7gp0s3jIpeqL3mPLZzm+j8NYQOSUjbCVjV2aAgstiUhRIiICF6cmo+2gjpVfkg/Xzyemy0
Zwspf2WRTOA2i3Rtdg4abCMlQ8ozYpBf1SPMpRiSbWHKJoL2JYmle45D4yFjqUFWGDrrc0qwqO+0
LMxgq52wHcfWMgWrO0cfzuQvCMA8kP4ynsXX7IB6FWA1Xzg23aahS/jie1f/1YcI1xsoUwulyVJ8
SCETcR9qa9k1eNqrx0b5U9OkIXm3oGtwmz2c5vli7LPjGuUD248RTL5sdr2e/zXNj4/dZrOxcrDZ
VYcUp1imh+HbqQrSnI3E4aasQPGO6zldTtLePUEop4mSIKDU9OvmLt4YHJdFKMBIjBN7RpODv2rD
eoe8Jr5mNtpKjanc74N3raddu6o0c2GrT07y5vziCkG6FKAJ9B9fTz/0FEW/aTo4UYW4uxQ9SgH1
Qr0zeXD6/s0mTZAlivO7A8YSQL8SLAjCr0u5GHAaMlGUNQrjZNyhxdSy2ZJQ5m2rCX5e0iZhehX5
DUmeeUEud71+aBr/zKt7gAxoEtpCdMyZN1kE+W1qMjQxZNABuN5LKryrG2GkmOAhX0v8RgqNUXMX
os275w395IqAznJQEvy6nItBQ4K6zAJgOs4jc/Rruy+OYnfu+9cK2b0cWuqUL174oSZC9dbyejgq
RjuS8SXsPhWFtuhRVrxMF0aSx99MRwMtoGNmdvJOEfQWGMOgXooXb/Jz0wppEqS60ZsKXeJZGOMp
uSvGQeudBVNxoYUQv4kKAsY6JWNDxIyqgpGWq8KjA55oyVPsLYQUvwHpfGeCUEGSoSMMgog55lCp
u6SKC8k/JylqeE8qGPh1xHGp3X3Wot59jmCe1quXMd9xxXudgyhDBrO88pVlFNCVsAh1yUzAUmCq
NW2EKbcpGhnzOZ6Kc6JRziOsfBI1EhjtYLCSkSgmK1Bu5W41lWpmH9nyaz7ScR/YjUvQgc5perb2
ZdNFh/pfF4kIp965FJJDIZRXGdIEuv/ZQfvL/fv4iN51V5qgiSogTdOunsVWftW4EuvK/pkJqX8o
SPjGU3Xt01g3wQhPcYB0A3jElDwdRD22It3IT+vI/FQ+LcWW9NrUrM5bTO/cuSQhssuCxWR6s4HL
ZOa4E94XFW8QccbGHZeTYKT5U6OwRCo9qyh27S5IKBOT7FnN9JSxJPe57El7qmXaiEun69al4Ft4
qBAiDEYWfx4GD6hypeMQBucancm5PXB6/IkVLr6l0ByinuSRU3qU53RGWk9xUEeqsCUDSgpeYPCx
ydiaRNPI4NrXjlmKDm+wJpAGnv7CWULcgmr0tYtN8rCIsi4Jzr7NvPlm5j5VocX+VHh6792C5Giq
zkjE/Bm/k+gjZHdaiGYB1uL/MQh6+g5xUleHKjwegbN4Oet7uay7MjjHw5P2jOMjbZMzygzNcGSa
ACw+ZvktIwM/6qy6Kp6VduHevfMyA9EMKizcdM1BGW02EQGTjCXnM+G5AMCgpdVIM4Vm35X7mhnM
sOkKMIpsW1I2e4SrTHnqM7PwjE4l2Zd3iKSdyyDsM6vwEJ7qkkoLSYjbIP7666Y9duGhy96vRmH6
uhrtuj4NA1xMcMHjTstOLkvaWn98ru88kBXcCKhACFBSnjhkrg0W5dgM9egn55Df5tDD+GRdown1
gt1kO9c14WIChy0tTiD+OQvpCEXnJQTDbYITGuasAGy8xKICxs3DQDctQ7YVovTcrFKo3Ty574B4
wbvq3Wtjx2d2SRz+zkG9sjfbAomc170bwl7K/mi47oCcfDyrt/HMNCARsTsiKVmat430Scopnpam
Z7BXehAE/um+/g/dabdv/Gsrs73CueiqlL0yPbeq3Rz7jWDWG22NZLVXWpkubphm4exMe+H6MgTP
p6YqEEEAooWfJxWA96gZQfCzs1v+1L7Z1y9ttn08c3eejtc2ZqFgFkzauAVs5PZbzRM23MgOs2I3
5YCq1GNb91ZJxOMK7loRJWWOcHe1xOPrts7OiCWawUC2KwXveGVwL8xiJ+G9tbq0NTtmeVuEsTRW
2Vn505XwO4Td+P42Cl+Y+iC/VQ2tWjPOjMcDvJNnReCJ+FZG5z9upV8migtvEjaFkGqBkp/9lrYj
AgjlLUrtljEhO+wL27bSk8hgn4SfIh4J8tl15HiNxRw9bctIHwEXEp4jhWepgGN1RAp1PqFxainK
W828NJU9VoZa2W2AbMt6QGSCFr0BcWJIs+bZXcqV3u4+5ChxeU3HCuH0/D2cp0LrB11XnP1Al6SP
LN2JzcJD5Nb7wgRyCMggyDxe3FM4ejFfcVq5jKuNxRls36Tvn0vADIIT20nWYKdH+fR4eW5LDpoK
gjdBBrsU4gZkLq7NAQ0nDCxbFWckQ9uGKBxtbb9c+c1etiu9PHEnCY3ZWhQh3vwrFytm6bBNju76
QOMDcJo1ZO8Qr8xpL8Iw6RIu6DHeHmA7UKJ5SP8DOdyRdudWVHtqrFxcuHFuOb2mUV8YncX0St+x
QG/C6K53+POX+RU+x6MebzgwzqxrNHaYBlVWIDl5lmwattbjSb+3xNr0msC5h+7Y/NDnVesKXFcX
Z2nUc5d0vbqKeqCKNU1PP4OaShVLH1v8ZWK+mWWZx6DBaMKBN/B6mWNNqN2iGaDRpAu9maGumKYc
4XhD/SleGlAVFUQzUoa6rB6nBheYTUY6kY4n4GxIsBlkmqLy9lmEyOHyg47ILEarUQnRIJ+WMR09
Wj3132lOe0BGGjsH+21Am3HX+1aZWPIXX9GWsYrcyPE2WWTOutUewENyIp3DwBSQtM03EdfzgTq2
Unn2BcLWMY3L1zChXmGW0UCF7iPIVqz7ovlm9D5Ip17Uxe5Z+EaRSZJA2k9TDQxupqAaWmKFKO9U
AFyXdgsYFa+zeIqiFKZYWq/7yqbh9Ewz8S8l5LMfL9Jv891ska5GMduVXBHnMivJ5Rkt7YGmKwAc
KTsBrFzjtvoZv4CWQAnIXaXf0AL33kfVDkOTU1buQBXVqkIajWueXQ36IOthbXXpShufYnYrMkaW
m6VL/ZMkHLIn5SM4CbkRCK9eB0VJFJYHwzuIf2rXULItNBLd157ZlCtBXsvaUcGj7rsIV2WiM8FL
pK2q6BBx5shYbmTyEi33Gd7c+X4IcyNqCyr6ZFyhUcLHr/hrRiKhTAWY31aFwZYm19Khe/K/Gl8v
NB6pHPz91AH76ksL03nb2znbFNN9eOFJg7oS5FIVyzO/Du0d83ZoVklBYuTSVqwO8k6fyAhtyfid
Q7IXr1cjXZWrwFwq/0vTss2XVUbTAKJLEKFwv6+Bi+8oWsYHMZlanoVD96P8yfbFvrZ9kwMJhOck
WzOF1sxhoKMZ7T2i7KRVuIeCKtLz55i8UrBdQpKIhQYZeg1Z+gIt37MlrXgzOIQLr8c7KUiVu/zS
2cNoKDMhqhilPLNKRdPqZ2rXlp/Tk7TCqkamv2TvNvq5tjdLLxd5Lwilh5nhDqVZoV4zKdaOoAVR
dd90bdfk9uIhhnZxs+CB75RprizPy5FCysoJfAb2xjF68TatdBrfxV2n0qoicvM+DjbijkwPo3Um
YWvwz4+POn/n1rucaWF21LtIdrH9MdOaxdPAoz2SzkADvXk4CSQwUZPTBTvbpFR6d2m1zoxsI9gT
OOXxd/wve1MGmSyawUDMN1sBCZXQLkmm79gUn/Kxov0m1cvR5GW8Pjc4Luyk9xjbeUqaH/Y1f+oL
vUCiZV//ZUOq/VGsJEmItC5WWWuEEXEJUxGtoAyYjRpz2jXRoXMYbtWNW5fWeqK3e48nzVd4bOFE
1pHuKgtjuhO+Y20VAZgCoCl45bcUfXHeuG6ItUQJqvPQ6X6P4PFHzjSqprHV8FuWLWhYMPtS+cev
ZlhFDIWcgqoh+TJbUZVtEymQXOxl0XBj0rz0vU+UD3/jtc/yEqPrnWrTZE1BmlrFo1n59X0XYyxE
HpAcJqzOPrI71bdf86Zc78rsFcAgMbfG8I/UBqQWVgEUCxqaxvxCRHH36F58wCwXF/qN37FZVJ3F
yI4BEkXYbdeRrVabfsFL3En7XY915pXkMS19QcVY2fWOOYTOaLKfB1AHyTSx6qmVDRm/emrbp68N
qHwSG281EtOU1sZnTgrzJ7YtKCfgqqKeufSquvMiuFqI2QFCx6AwJOL0cZHN5VYSikTuT49P6Z0s
PmI2pBfxIEBvys0plVMZac/a+93RYfVeSE4sWdIhicC/qpzlYVM0KyY3FTAJMUBM7IoaeVqj7t97
8CIOKzY4PP6gOxmb6YMUvOnwOajYTJm+y+2nevHQylh9BVd44+97s0Pch6iphgYosx0h4SOxVNUA
4iGM+xRT6W+8TpcAnPf2IJ6WYGUE6yYi6VnyAWhlOS+kGnsQnP1NYbr+y5j9cSsADNx+4Z1yzxb6
aBVFmeSCxXnussijqOtkvz4Dj13/QSDDIMONZCHqD8h8L0wvfydiUCdkKkAqCoLa2RvQV6q2z8ai
PgvdRuXe1B8GnMOKAvIfEnkrQaqo6hlFFa35aCG9cu89yF2anp1rTs6TPEjz+lz+4b4iQaDCoIsS
zWoV5FEBrUgj6tmzLK36fSUGNAXKICs36tJD+04JGIiwiymYHfos7TKIGlf1GcrCthM+S3Bz78rq
WUWy+KDo/MIRu+tQL+3NznEr5l7OcrDnsmuIDUb8roDGbB6i4nKsO1ttKBcRlqNKaymO1i5407uR
l8YJE+7+9wKZrbgmjG7G1E19bhIUVPJNLhpiQd1+l9eSUWohrTi0ARTElZ2FvTb98jw6vbQ8W/Ah
bWSuQovROaw60qQIipWEJqPhsagEfkeVPtafafEnGZ6rZsNrtje8JjXt3x9/xi0DzFQKRIQswKew
rPAbMF14lIjzeylWMAEDguAnsKCLOp/SYjeERDvnHz/q/iihhhOYHD1LdrJRjdBoSGVJNr90BKYR
38wIymwiMsETa+V0Oi8+xY+CRigyuPQ2+hh2bWEgzahOmZGhg5jm+Mlkm0i0FZ8Gb9xB7fQstx5P
xm/0d/MFYB1FgkDF7a7M1oSfZNf5KqnO3FtmSE8dEoI1HxORNdhgg3cKIE7VCnjhqjeHDbhFVm6M
knz4XeO1tS5L1MGCNwju7nyPSj1VghXgg213fPyV9zwicnr/+cjZCc3dgtdCCdNUZmQoaIDbNdkU
Ocq0HkXU+NjYbWvVtD80XkVzCovtOs/7SlwCfdOqxBVIQZAlE3tEvwAemvrwFjmD7RtI/S3Uq+6e
jAuTs33QKGkE9qqqOtcRsol4uPruPg31UFl4DNwpIF6PbXosXGy4sgkzaI//jk0D1Ui+bdAWJ+jI
2hvoi7DBXLoVQHQWGykopR/P691FnBC9vy3tIIa8Nh2ncavkTVud1TV36LyYliOshM0hVhYu0Oky
vtnTF5Zm8TE3drkW+7BUpyCS71JGMr2qeH08nDtlnGkq/zue2Zp5Qsi1IsjUzkipnZkv+ScsrBQY
DmErp4TNbH9XuQvJxDsRILjqRY6TOU3ioctxPYVNF3ii0kqgp659I4RvjPJ3SVjYI78P0tn0XVmZ
uYTG7dUAJFnVuVsPVDSa72Liws71xiqMWo+fvI3w1SMpx1HWbGmA/xVoZ7cGa/fog+330fMSQv7O
1sGuAaHvVC1T0YN3PW6tlJC5DZnqHHevgQKp7fbYoi01MAW8obu2/zfTfGFutn+6wI+LkXGrc5F+
NxnEVdSvPAoWjsPdtRTREDQtpwwlgusxIQIPxxrSvOdGo5H7kwjopoiWAMH3jHCqipuF5ZDgl2ZL
mXN9wwxh2Jw91/BEKObWIDtfaiu7u2EA+0E7F8ovvDq/Q5hSFhlEis251GO71zld/PbBQTqiLbVE
m6Sh2gFNbPUQ2Xgy+iewjIPekAoHQCsM0eL1kvw8Ppt3kD+A+CPPzyLVgCrvPA+mda6qFVnWnLmU
FKvizH2xje4ZGq3MGjkuhSIpjYZjkQWNhy5tN2i8UkyRblo0hvWk2MRLF/29HXz5QbPVVqJRa1Ix
bc4KdwpkmsUbplsHUaCrIfFEjwCOhnSGmaiEF7r1+MavZIhtvMjDgmu8dwFAwEjTJtwyEGjzh0zP
9aXatmVz3iQotIM7zG4Po6WchsOAbmgk12MjIe1Wz9fcrly4xu/45Svb0269uHxcoVDbiMWq9Ciq
j9yu7rOFu3vaz3PXBcmkCUYF9RJFmfnkYRSrPBmb5iwkAJr1uzrfuI0VV0+iay5ssckJXJrSJhwO
ehhR4wCKD//nejBBy6lKI3rd2ev0+g1wJkCyVgBWpCB/3KGRc9h6YKNRaadbKCw+Nn6Td0L9QUTf
BpBJk5yRMketjn0mjnlctE4W2m8jjlj95R5A9t1ts4XbYL5xfy3JqBJClAU5oLnKZxs3bhaHfOM0
MeG7ZJ137M4PoSTm18dwsIGcXZjY+Sb5H4MgK5xgM2jem7ksOWD5sC7VxmF45IPRN9iK1YJ/v2ti
wo2jvA9MzhyUAynxOI20oHXiBJVe3kfzyz907r+DQPMh4EeShkL47Iknaz6TJkHZOtwom4z2VAgR
8bxiYRw3ZYfJDCAkWJqpz5HVhOs92MgN146TmVKXV+VWXalrdd29qGvP4vRUZwzFCKBpU9gc1VaZ
ne8b27d40sHfLWzI+UUzfQnQciIroiwG1u/ZgLlRrUYES62DQktg4UWlgo6AJAzkkjY+a7FbPrOb
r2xTofrxz02rGvIyELFAYgbfMZsENg7VUot6R0YlITCGXQZ1+HDfnCLxWaocsbFbfifzT1JqhHsw
7S3Yn7scjHwSEUJ6VMAlDu2imXkt94swK3onCHxaMMA9qmdUoyrRrpSFl6swree1z5lsCWjsAI4D
+NDZequdyHSe18CWwhJcrVp4FNudiGIdg55m+HNUv5Q20UO84GRllYg+beu/bmXIQkmG8tWv1lH+
0lWbGL3uwibiVllquCHJaypza8Bwn7l6LWcGFwHtWIhLd8+ty7z+/NlKSaXbMaWCqaoVm0cPLEdQ
8fNOkfYTR0QTSKzR+OPf7A4OoFoRYAps0NnGDHzRjXy/7Z1I1evKqgyh2eSbds2LRv6acc8DeJI0
u4320nsDdOC/sQ6VGTyuEYlo88AVvf61wo517zTlSewbWqL/eHAJjjNxAXsUOMLnVqqWyMPYTGhw
Gc26F07tF75jmtjrfaOhFxpXIrwEok1xtkdlIGbwsOxZh80jhua8mCDWHNIFJzC9Pq6sAMEBoDUY
/1n0iaAKeX0Sioxnhh4t2U6sRkSId8NgduwTFxqPJ/WmVxenDXZQg/+1Ay9+bQfbyI0C/LHTH7Tn
rCTVurcrinKw425VhpQeadfJdvve2cPGXwfcgm+/uRF/zSu4eAGkmlKm1+ZbpYWyXgbz0tbrd0Fn
5MF7y6GcyE2A3HFhtDflw9/Riohi4V8lEQjOa3NDI/d4jcAclzsFZymFVaVGIkCHKSRBpdB6zC0f
IspVku/CpvkMiuoT+lc0HFbFkpu/u8LATcoyNhIe8rOZF8YozbjpW/oS5MV9vBrDXck8RcLiqKdJ
nO8lwCMFmUefHdz7bJJHqRBROA04R6oMcTimjphSlTklJ36q7/t4w5SD7jWHnuEIQEx6FCULIfu9
ZUYjErAzPHIVoBO4nndZdXOly2POibufUVvV8ZFvYJIF+3zsSAW7EPbcZCWndca8qmgKgc6AfHON
ZUMa9a7CgmgQfCjkZQMFm4/DwXbsFtTU29dGB9ibPPtoorSOL4+P1L11vbQ9m+1EqHjN86eT2++b
6qXcFAD91+PqsZUbfN7vEFUJsDYEd1ON6XpKmzAJulpJOWeHsYEdUlzhnQN5O2JmdAWy/9UqAkO0
7XAkMkYCNruzYODvz6nrfiA/ixRCNw/X//kgxFBg9cFSz9FRreKGcSG7rKO3oFTOqPOx+3h720V0
pI3ZrQo93perjfX8vN8fwbb1+ng+bgoPk3n4MKiSaiqkD2+6ZjuAkfuo4hylMqpzArqGWC6pgPx7
mBaQOxQIjwjy2I7viZKutacF8/fOmAJEHi5FkLXdcHAlQ+shtCw5R0BKMwa8u7RKPwZe6ai1H32X
oFH53POSUUsQK4x0oXOKZFJCe/wZk8+Yn/SJO5aHdxNEAAOuN4WCtqTIF3vO4WUzi42iQ1X7M3/h
I7PtzgGCmcfmfkvyc3uA4sOJoYUS1byZDysbSa3yiOMcOdtHHFRQV2Ov4TbeQx++7tABMEqWEOu9
a2quXuXn8EWE4p0crXrZERIie1tZoj3Eh8LRYFsKfbik/AK2K7azfjdWKRkSI18S/rupGU1bBcEl
FgseCe93/nqWhr4Gs0eJo4NYwX8bNwGKYqLFgWHr+QdMiI/n6M7GUFAJBPYZOXDuhkAFuLcoZqBJ
6whvQKaDg/r78e/fWfKr358twSh7RSoENTjU/yL9IaFX1243qrSyHpu5icynGup/hzGPRzSUVsJ2
wDA+8AbRB71ZOL8L0zQH1iTK4BUFg9/ndFfXdtz748+/KdRhza++f7bmtTS0rNzi9yd+SAX/7fbi
urWJH9BswdadC+DK1OxhoQldruQaTLm7r8CQduHx8ViWpmoKUC8yP3ngSsIw/T7/45uo1S/22SwZ
mP78wkAwRE0jTVsqIuhHI+NWRbuR3mzRd/8z8Q4ss8ItbOJfytYLi6Prpx2wayLkhyqovGnkwBG8
wAAO+QMsnTGY/d76WQJR3QlKrtZp2vIXRtGiKJRJgmFCvEKmzKelnv4+Xql7lxJ8DNJLSA/ixTR/
Y0aMXEX9JJ61Y3fpM0ezdUuapxAicptuoep154BemZrtijAIekVMB0i5vUcbxRADwm+WiFaXbMw2
htYiW+ELsMEWtKLE3zdLEzZdULMLRcXrCg8CdL7gTT47O36ssDUTc9PWA6KOAjSwAkXtQJbs3Lye
pxayCzuz2YISBC8yuEYdD2Vr8dP2bGEVPQFCu19ieZh+6dGIZnPGRLlbpgFGBDZ+d+Epenc9LkYx
iwHxQJKyKMRvJxUBNrbbLuaDluZpdkbETCrzatJTcqDregJ0XDQF9BWkp6XDeMcDXC3IdFgvDqMM
WHs5+jC08U7mV0QFo9MXgqM75/3KxPQJFyY8Cd0KIQNuf3m98zau3hqdzS5ck3d8/6WNOcAqBDuq
HIIK0QlOzSp+0fQlWc67BhBig2oIMbYyD3OV0ONdAKsQThBO9wB8fuyxln5+9kCGZlGeiQl+vvoJ
n7LVOEAa/bGFe9EXsGf/HcHsJlZdjq9dOICpYT8j2FWnnnyvtdWzFS8s+NJgZs5EGbK07ZHpdHQJ
2ZOGZs7CUO6eDgjMovKIfpCbJE0cJX7bcOCzB4drRgLyXen8oq7bndt4Sn7/x8hsSep0KNq4gxFf
zw3tH6cRJ0d48euz1WCVQiqGBr+e4aXMUxN0OxJEqpai4JsCP+KvKzuztfDCoI2qFPzuOlSBjy+p
LZmcxXWLZMh3/cjFeGaOvRuFDk4L45lilwSK8E6+0heW/a7bvbAxc+lYDzYLQozl5QVpeSA/EK9A
y7v2CL89Ho9LUNUbbN987qZ9fuG4NDmo3R63uxNY9k450fMzNJI2b3t9e/55PLS7LvJiZDN3n415
2QWRhtDyGJuivR3B4bY0nKXZm3l60Y+yUK0xmtCuSLBd/xwfj+FeqH+11WZ+fkBbMmR0sTy7jbdP
bcc51eB7IAtm7m80DeRnoIbkgcO/XpQxUtOylqRJmTRFd+Q3GmPO2RLL3j0jnISyGi55sMrN0XUt
WEZCNfNBrEvV1WBweBmBBYCUC3HEPUd5aWZ+aHJ0mA0NFBHUVWDhrb7yFoDH9/bVpYHZiXErT2Hq
EQaAgvkpzvzbn3A9LB3Le9740sjsmLhZVw89CyNsDD3GigjHzJYP3NrTKyv7F/f8pa3ZQQkLcB3J
PWzxK27rWpm9FM7fXxLUABXUwoC8mHl98B6B1bmHvseooY+UiHY4IiZaOCn3theILyRkEJHB0X7b
8y4cSy23YVS6goAX0Jugl6/pBtkYmlPkROHFNpBFffk3FpFzUYE9R/p9nu8fWW+oM8gqOAHJdsRb
Z/2qX7d7agF5eJT0v4zZ0P6wtFo3GhiTBwVTz3/MzrbGkLmhy4SqAC0KXWJJ+Jyi9Q3sdvrPEfxu
Pz/oPMR/KksFNlUCp9lSdPubjZ2/Ai4/YLZfWGiitkqGD8BMjyauwJeXWo92ikGenk4nbv/84xu+
8WP9fTzf/HR939idICromp26TmYnO23dLmHzcLoOYRm9lclZBmduDmrm9Z4aHJbbdULU64AhJouj
vvea+wWp/H/rs2MvtXwQ/j/Ormu5cWRZfhEi4M1rw9FKokhIlF4QMiN47/vrb0In9gwJ4hJxdl52
YzeGhXbV1VVZmTUP6y8vsL61uEh31/Las982aJM7gvM2MFJ7CeA2G2tcmp2sNlQtuFquYNYFLZj6
nW4gWDoquNyf29nDczG1kyXtg1xkvRJWWNl4HFlIe4JnJOcvBLGzOYTL0UzuS6WqGyZuYafagBMx
I/vuudlLsQFs1eF7wYeKc5fzpbHJrRbVUc1IMYyJ+zFR1sVEWLlP2vMnGMbeOzN8dQ2E62PHd48R
t9tEfsq4kYM514McIk41YZ7SP6AA9Yzjz8b5cFBqWLh4pTFUvNnTqL+iDIwCjyRPXGPtdrIUqd1/
QrzzOV4rSFIpRLVHPtB+NS7Fab0WnwYOEHRWjxKTfH1FICuHDHC5ys0acMvKCE0V23+z+v4ZE1qe
leo/uf3z873o8+adD5L/gDRIQHRMQTgC78XZkCAJVJn8Id/1EMM5ZbZv+a/l2qrsinhr9yu1BX0T
PIJf0cgMtGyv72/WGxz2rwe8+IjJLgr7JItojI8QHuOdgGbW+JjsI0fbF7DmWf62eFqiVhx9y806
AaSAmiO63fBEuo6Qik4phbygSOnmba6PxFA6Aql84RjOhnsCJ7CIwSBHBTrAazN5p2Zo4iugHHVG
8+uarjsR8AwD4CpzYefNBuKXpiaOhe8YQU6UTDwBokbX0mu69nWusLX3HyUECJMnoNn5US3PkBeo
j+bip0vDE1/TqiBkFWgunspdYOL06TIaBpYc2i0QDgpcuKR4gNM0FlioyRutrMIA2COFnvKqINLw
GtbHIbQLUbJf+xjQZK4kYrpUspoZGtqFUP8GAA//nEJ3014cwrZu2dNWk8zKdr9AG5Q9LjF0z9xE
V1Ymfi0W67zl8W47hdKP98E0eguVF2rF/ffwXYOuQvEXq0y3Vy9O+9iLAtZiSeKVyYmLkjZWBDxH
TznkRtxYsDT6UvmotaPdzkv1vC2PAFtXou5Kjs9bC+f9dsDX1icDzuui6YuW605sa1B0PxS1YLlZ
QHJxndeiLiurMuK3oGRasHt7gcCuKoHKTAAbIytOAo4uHhp1UDPAkgYrbjeMUhGaUaA2c1OMHvzh
p9Ss0AN9WL+VJGh2aMozoLx2nelu+103C/fZTCiAzwEJ4NhRDBzr711yEeGKnscrkVb2J+WrEg+0
PBR0lTHv7Y/cgnbhiDu0WS3RQ864iWujkzkIRMS9nAhoFsPWpspVZtmQtt8VCsQpw9UwnJkaNEFr
Nes+M2MIHzsOtIRMQGj6MYj7OnUW1mS8EK8d8fX3TDwkW7RdgN3fn2hhDOlWiXAxZqacotnz4HFP
A+HDzFjESf3GlrdmQVID+gSkmKatlzTusoJru/7EbnhPV8Rnpeptj5fsKn8P1TdBsQo5eQhjcPIf
NfQj9tk+r9YRXQvtXoj1pHjquY7U/kkYbFl8VINiIbQax33vAyfr1PpoaatYIADDTjjnGuPbQeNv
mZSnC6fxphEYyFhsw79TMVkBJRp8BnSe/ckrXyL3qIDvGVlQ9OFHucXIJwXNg4MhAPaEKUg2ZaHz
7p6pnkPuUMZHjrdY721hT8x5JwUwPjRMoBiOhrXrW1MKaK4KHteftDhQezNN8kj3xEj80AaVWqlU
/KmBDX8spcI1Wa7fMiFQkihjf3SxmiwkIW+hI/AYmCEWLQ+ou4Bg9Ppj4iJIsr52qSM9gk/LdU11
QzMSH+Ndu6JnprCrF3UtG9w2UXV5X+1D0e57A2oKrmeraBuG9kduvvhWgj66Q7O6P1U3F9T4cWjm
A0xUUEBXM/HjXtazCnhEWcctACjp2iJHU1kkkzz3GQIhghwqwQ16H3qmMO9bvnUkoyfFIo3kdgBY
/L7uLrwX2KSitOM61sG1wR+o+txXPPkYPpVNGdkaZwWi3v/0dpfrgq/XD8HJDxYCj5sjMn4BGhkF
EGTDn08LsyJflFEEgKwTS3Fn0DaBsyg4tHy4rb8Uoo7H7eo4wpaANDr+AUAuIETXu4CVisbvq4x1
DIC1oKxzbsz36ozy31KT8i08bGJpsvmrBs1oApuwDrozDAnvXlDs498asze8lWxrRNRZvUArnxW0
ZANeUslGy3hzGoyff7HCl2OeRJRBrKRyLeFLAOIaP2LPkbX9RIBANHYbEBzpC1Xim5aVkV300uAk
ksxrr6hT4T8Ga1RgjLYlRqGP42tND1r3YE5cignmNtGlzckJCiuPF7wGC7vdW5+f2oONlJwOjq4l
Gvvbp/JkcJOgJ+gU+NhiNNRaUDHOkcLW0UG7N5YeAnNbdcyYIXnGA085pY6VwiRXWyRcnIx4gf7u
l2b5Sp8jNECA82cgfmN8h3/ub5U5NwTCaRZuAHQSNyS6cehmfFn1rGNJjM49MyA8O/BLIhtLRiYr
JfMtTmEMI/FaI/1Ow6nQ2RSkNvfHcsNDMe7Cy8FMFipWmKrnOfjUQrSy1/hNXKsvoXYYyYELxYy3
GTA6gR5DeEE1fYWIS6fgJoUw2ge/IbRbBQ2lu4kD6DKtFJKh4xxUo2qXROiCxKMxttTzg6NHwoJn
m9stAKEqyN9DpBax6LVjk4tCVTtXHBwm49ZZteWSRcDr3BG7NDEZUKHIiUQZYXDo0Y3IS/TxbgEJ
ui63LaEof8REA+Mh+FYezNXqAFLU7/sLeptnxIRe2p/4MfDwo3EyxBBVRyrR9Ga8nwKoSKoG+B27
jQzLcC4g4u8IxGKQY7lvfmmCJ04N8UmXxKo0ODkwt6qcrRqmihdsjCOY3k6XI5wcjSrHsexKZXB4
ZEuq2mTZtZoXVuUWp/uDmTWETK2MvmQFDcqTswHRGUmkQkgdzndCgWj1T0YtUVzYk7fQTawYasrI
KgBKAJ2IyYoFcYCUkOoOzotAcA9w50E/l2fjDOTVqQezGfiJnru3QDcB9wBJwbA9OtWTvuSy5/bt
5VdMVq6IlCQsQ2ZwlPzgS3tG3oLW73+fz0sTk4WLAy4pkhQLJ7JgqVZGXsGBlM2O8sKCpdtU1Din
koi+kDEVdVMTrMH+kAHNSp1wLZ2TFbctaxJ+JusE3O4iCT7vD2w2bL4wN8WCSEWn+lCBGJwWJLQ6
pCB8ozes1FgDAa7oOyBoTOfNfXz9QsBmmh9HiK0tKo3c5Bmuhzzt3AQruJeI1KcOP+wLpSV+fmBV
w0P/VNdweDB8BI3JLPZ73zZywNsgWYWQFM8qDT2j1y4VTcpeFHEqdZIH+cUrdM5qNkq5zayQrl0A
08BA3unaLkKn1lIf0u27FrYBuR9Fz8Y2qCkUVonjWA6LhnVa76Pnj1n8CqwkzikR6UcS1DYFTyI4
fny0zNVBuw5B/VioKVHOjUQq8AyowapwjaT+AFWxIXk/EqWEXWjVmnPIIw0tQna87tDSOPEilMpg
ABV76oj7/Rn07O9b3Av9V2/hvRIjVslKI30Ya8n60TMOL/d35m0mEVN0Yf33/188XAYPyjRVOlCn
rzbNcweUhPLKMlYvHILKwOlbIs2+zfPAIC5XWULTIl6RysSbpRn6sFtOpo7bk0EJ9d7TTDeAlBQU
zRnSiv4eHdwb9IPwJg/g+cJwZ7yYjDYMdNhClkXEdrzejaHMInFQM9RpNpV57i0jG+yYMXUI4B1B
4AIt1PsGZ1f30uDEbVKIBfSq5LFOX4BMQvBIjcpQC/7zyOg/mwiqbGAESdGL2H55QFDmDwz3yAiG
jPeNbHciFCxNDSIYvQYSrAUnOJqe3JOQBUR7FQs2erAYTCIROUuZmklqfBpH3lW0Tn5U0UK+YNYE
wG/jmoPLbNolWtZuqJUtDmBCGFTHV5rTv8TOwhTPhMIyLt//GpmsaRT7TS3zMCJBE5xHP0uwSWw4
VnkkY7DyHRBMO+iX6B5vYEPVNlxAcfQ37Dbdg4V3df9r5vc3GmuQQuJxYU/drIASCg9FE9bxFPEL
/GUmX63LLjKZ+Ed0T3JnhcyfJrAUJMxSyVgwPhMtA7s8NtagrwTMjJMlVbK0DwVasE7XM6RvzmBf
bVidlUkUb5qeEqQGiJ9yVuZTwuQvcfi08AFzCz4yeyCZjs4qiNBcn68mpoma+lgLNzw28jnPD7Ld
vKie7vsWSpVHoR+ICPLlAdU00NimRt08CsyS4x9d5nRnA3QpKAoaa0ACwl9/Bd40uRzEMuuAZFNg
n4qXUjOCdeUbYmmAYv7+mMc5vTWGfJMwdoGigHZtTEELuNjFHudw6P8McI4EkTTVwjto3MP3jEwu
iaEo+D5sYUSr7F5+Af0/1IyS9nx/KLO3AdzBP2OZXphgF66AtmawfwYo8GhvdfuShOCwP6jSPu7N
FjTC3EJ4Ozt9PJqEBfD3iiALuZ6+rFc4Jgae2BF4U3tovYWf/61d3szc39+fDqmOirZv2Ix3BM+T
B1KxYnBAEjznLY+V45QEHk0HaAKk9IPryuTIQNRSJF7rpYUR4qnYE1FrcTOJXhBoVjfksRlKLmgf
Ow3vbzNtIm3XC1mFGyzkKrBJ1Q1eNJRDLE9YFR0/JHchvWEmHRN990ncvPuQq+pIX1LcCEgpUQjm
dHEr6CmtQSOQekM0trh2XGpzUtvVeo5XRkYog5ewnuaJ9Mi2CE7QDBuLLxmXqqIxgPWtImBHrTM7
H6hvhTKVYuJKBXMuu7LvrX+zTy4mdVLYr9os0RKANxw0lyP/AI5aG4nxlurQuUnt+8Zuq/K4PZBc
/WeH/L6PLkIU8MgPBdOGnFPuOMMCzTmazqgVrNQ/Fq/Xj/SZJ/XDsFMt1vC3zQnE6Qs9sbdFgckX
jG734gsaVhxkqRj3KPukMiYDiZbqURJ2RWzm9MljzT5fqalqxKXFFmf0XRqtnBqiexjAh163Zqo+
aej1vz8vc9fe5bSMT+2Lj/IziS8yGS4hhj4DmBOpHruvPFis75uZ8+iXZiZXylCh03rIYcaD2Kew
U3yz1WwBqaakWjiqs+E66pFj5zE4bG54PTQqt2nMYaElIoFhC2ndbfDSrkEqDo8agqMNTOsrn/Cr
eBMeuk+QihdjynkxC3pThftd7r/fMZnZKPfTjHUTzklao36qwY+5VXcpJaaulq/3Z/cW7THaQuSP
HY7Y/6YXl/XjvgH6nXPYwZRtL16BBS8DevTgnTfuV/UIXbBkCas6G6NcGp2sqUuLZBjkjBtlokDM
T1J5nOISBKCG+tg6ZW7FkXl/oLMXmABKLoWDtgwC8Ovdynu+K6l1ziHtxW+y1GgAsVnqgZk9ERc2
JsGH5+VgA+BggxF09iCnJps62ahXMgwLce3spYVSHK4rPNjAv3I9GqxZKlUg83HUGMyQnxKEFLOF
sGK8927urV/w5Zivg1TJtYk6o53Q473oZJkJPnDUlUJvl8uEfZL6dbCEOlqyNpm6wfeaWMhgrXTt
HpzHgDchDxLV+jH/F68OdIwBVPqfcY2LeOG2QAsSeXwLS2qMxmOS+k9FaLbtZ7gEcJjbDeDtVkbw
KtC58mRIfDl4fo24yQl+Io+AvDsgXPiWsT3h5H9zH17amgwqQ2qsS5uSd+gji2gCwuIM9yV0iq6B
2uSx3OT/K40eQljE138HN67nxSzKTSApgwaDkdiibX4lSOf4z/0TO7clLkxMc1Yq5dpMcGGi0cXE
pLv3dpu+qJzhLyRAZr3RpaFJMJF3fTtIHgxJBV0zEKn36YvLd6SE7mIAYaKHXjw2gKBCHjSQ1/cH
ORvxXhqfPBXUPvPaOEt5x9c21DWweOhl55AGP6TASS6c6cWhTgIJV+urquUx1Kq0IJORxWsvf2Kq
Tb4LsmfKgkiytoJmVeUL3nf2mkEZRQZ3G1Jw6IO43i9iJRYJH1e8k/g6HdM7hqoYnrgq88f+FFtS
uu5rMBbmRowagEW7pYfpeGVOvRkEScGQI+NxAUrLa/t8lTEuzigycbVe1kfI2AxGr0umkG240Gbl
HYijIBqjPWnBwstpLn0OrYK/pidHheGHsq7xYnWkLytaSRZd43iWOwaSnrEFeVYXJMhgFAXeWTmI
K6hvxqCE4lmoRPCEsRlbhIx74yNvcH/nzV2Ifz/rhoYilKqkG3V2HBQOCPKvUHm+b2Du/ELtTxPB
pT6qwU6iGI+B+IfblZzTIbVqQ/Wvy0nv694JWdeFAHmunAuYLwt1NaRhACCaLO+QSXXsiT1iUYP7
dI2HGnBdxji4i2y6c4PC5YHyHGjXIPA4OUD9UMaR13GcA+hJF7UrV8uMnq/Mro2MsixIUD/F+RIL
/m0jJLytilkE5hGXOpTWrndvDn6adshVvL5XCaH+gzaY1ZP04pLkyYyOW7BVL8T2c/UJGblrcO+j
7ImSz8RiKwgtHSKNcyKyLXf7zo4V6CzoniE+398ls54BowPHxqh2IU1TdEVfgiiscDknGN475g+j
rDvvW67WqZnbZajzvsGyZlnqwVvYbQtuYaCz63lhfTJORqwGzc1G6/K2yWzxo/BeI3Vdeo8S0sJL
+k9zLwxQVyIvNOqCIdiexG09mKMUeQh4Z7AjqkPhAw2BBT0LEORywXUeIVFklvs0WiVfEFM6irGZ
IWMG+nFpzTFG7/2kHpAe9O3+Gsw4R2B2RpA8qiEQqZ5cgBWFcnWmcoOj4RVPi8DS4qW669wJvbIx
ueeaIWllPoUNMHdYHZNYIiPuZJAdA1VZ7kNv30N7HWpjedZZWfHIAQh5f5CLXzA5umk58A2NUPjO
BjOoWrukeKlXotkjOuOYbe1CJKgQSObWpOp6S9SSdVEtgKRmZxr6UNDiUUS8RSbbDTzLVd/07OAM
Arh+XEVnwnBhMW+EhxCagWjnr41J3KkqWa4UFDM92IMd7vy1v67M99++Ew9sT/0zsktr8VEmb5vj
2MN0f5rnCg4wD1pM1Ix/z/W1rwobievjHhX28/7904NkCwTI7XoV6TYq+w7uXfRQVCvfPiypcI1z
N7niLw1PC31DDaCGrAFY0FC7kh+U5qNLz7G88PJasjI5K2pGs64tsYvqBKLPWtE8VYkKNR7k3Nhm
iZT1/5lMsM1yGiAhwKVfT2bu/zOZDZSV9vvHFF0gAUi6nglm800lzbqwjofvfGER57YpHkiAJYE+
EYzFo9e8iO5BWQgSHAlFOU7eRN4zD2b1+7vklpMMm/TCwjS454Q+LJHVQlWWdOhY3ct2Cyzf4wmb
Ey2ZL9pe2/d6Tb4SfeweCkhq8GaPHooT6ip/XgmzqW1J59DcIOiQUYXm9/3vu2GyHg/R5fdNlpmJ
a8lLA3wf0HbILyLrF1uhldmQK35y14lumw9OaEZWaSdWDFmzVO8Ig84gBB33v2TuJr76kskWSNRO
A+6BUgeAQ1GHVuB7amR7CjU+676l2c12OeaJg5SVkqsKDYXgkQoPDdfQkw8tde0bYMLDbvNQpDwi
Suy2qb3Ev/AbDE4P76XtcUde7LgI3iTR5F/b7xB8wrMLEEd/nRCEHQSL3pOnr8Ya1RLq1Z/da47G
ZnDypXq8R8/udhEmNHtZoIKDdldU7gX0uFx/D+SGBMH16YC5KE9ZtMoOqtGVD6JwTDgOGiVpoxII
Tyrr+2sw9xwEU99fu5N3UipLjVrHsMvbCZA21R9XI3pirRYO+KKdyUXUBp3QeRHsRBB/YzeGRInu
dEtgrznwBRDjUNtGLRCF/CmfJFRQA76QOxZmpK/Hx1Nhrz2oLRv0JUtxD6zch4XX1uxxubQ4GRj1
kMbnOlgs8qdUgrCGqHcx0olQlml3/l6THtwl2NDsZCKiAx4dHJJQuZ3cuCCKkQuxBxZy3xpI/b0H
ke2tNZk0ka4uPaTHCHF6UC5tTV46AfLCKh8NeLY1ZH/uVGikKHRvmFK7YEkYXdyNJYyIV3EKIGU7
cQcqGHO1ouMAsmZVvbELZafhFHKbZG2TZw+UW1Zl6T/pXvVIbB+26JgWH0Bjk1VwhUurOnchgaMT
/VFQgIUk2SRuDitKU07EqPfh2TsoOrfRa3vk5PzB4f++fwZvpGZH339pbOL7OyV2O68cl3NLrc93
672xO1B8W9i6z8+aDv2z7dPpj/lqfhT6a2n3TqyvIClreMfl9+YcChvNoAhs0PM2NmVOHELXq1Gs
MagF1K2YbocoMUotVrHmVDYrQOs3Eg8+CQ3U9I8sA21JzR2UbZTK2Usgp+xaQmnODlmqPLRZEOOv
5Z0tUFF5rPCHBI2nLXiw2VsEhNzAdAjgtMBnX3tOhgZ+DhWPMa9guDZaQcRu1BwOVwbuRm19yD5/
GGO1ldYN+iCX4C7jSZvuWdCgCwoqOIB7TNHWRZqrfpchA19Rk3KfAncaGMtHA/+g398kS4Ym94Ma
QjjERbLfaRXnXWzQ09weckxovkR7PBvOXw5pMp+hLGQYEtIoSkqM80hPC0mAzizfIMgomcipSGhL
eFK3EORjyPfq5f4451IP4AHm8TZH3eR2OZOy1bw4gfm8hEiFspeEPyJUQJsg0EXmx2VKnWV0sS1Q
cSQV1Cs8MxLp6f5HzO4p5Ac4XkDZGujZiVOv09wFuXXNOalnR1tKtI/XyrJryIjZpum9PWw2BwW8
BFtQQd+3PHeBaePZQwEbhPPYU9e7WU0YQaEl0IPNJiJ7pF06E0xX4H9DgukgPDVkIdybW24NSRek
XcZJBx/gtcE+UmMxGOd7K/gk68lr+ZOiySMnDwSlkFTXjAKascL6ZbW6P9RxJJOjAzaN8aGBzD5k
jibuvujhf4SSZx2IKWnpe+F91d0uZglkwhUhNNAVuDC340juGZwcIYlPJbVHos0Jv7hsr3AQUwCN
+P1BzRxTPLQ5sJzhaS3DIV3PZsKzjJwVsJG0+6EFbWtAjbReoKyZ61G4sjLZnqKcVbkfwAqtdG/z
GByiFWuCde0L9M7o0pdXuBNXSffC5ot95uMk3UyiqCBFB2pwHtfE9QAD2RcDrYW3VUGN66lHjdtl
iZlEJpAlRd8YJVOQ/o8ik4HR48rJPu/P78zQ4Rw4QL1Gsm4OOa2J/VzkkpbWPMCj/EH5GqEYkWlz
ygN7Rnf2CiiEynRN+nTf7Awg4trsZF2pCKEPNYPZtDzIgwchQaDq9pqldquyJWqATlHF0gx8QuJ/
SM8s8hySIe7aFy0yinIhOhmX93oN8DGgk4Z2ioRCujo5Oa3XVRHesjzCvzWElrZLRZvx79/7/ckc
I4UudHFDMVimhr7EWoTiBVKLukS3aXkUZUZnq72Gxu1hndF93S64pJkM7fX4JpONJETfJuP4IB6R
vfZPlXRyoeqcPEfuB/2I5Eel05VvSAQSAFjvL/RMaH1te3K0cmVohULC2GOQ7pRWW+WEyZ7616Ja
lQBKm2K1VEoYA+ib2RbHGBCd4GjFnQTzDV8PkVQg1y5EdQy4JlSfwRnSxOigVDpZPEYuzx6bKmiN
oqVUgs6dL0FDo4xkmYgFC2xhm4B11+oLNdjSJMpzMvhd/xnRbvjI2IR+Z4pXJOb9ibp1dJini6+e
PAvoEMTQ5QJCqIQiN1vJKwHA7cjfSn2lh2q8YG1c8ckcoWthBO6OYE9oeuL/X7zWOa7O1QzdUk4g
vYrFWg1PSWPdH9DtdQS1crCgALssQ4By2gnVxGonpEM7YmASwBljfSiqNeNHhpK/gCe8ixM9y5ZS
ILfeFOkuoFehSyuhL2NaJVS0BlxaogiQSFSGtp/EH33rMwuh40xMASvgIAHDN/wFO+XSSjsx8dzA
5x25Ar4/3lQlCcR94/NAybpW2xYhqUpqqI0VJOcytpvkkICYXgq/lrBVc0cbDztBgmgXMtJoI7pe
SK+KGjlqE95x95C50AtDMtfBJt9Whgk1YMiQEuF0f11nStAY/Qj5RtsSLo1pSoDx1aFhJZTqhkNG
KuSGE100uIdef4gM6V/Eb8hCoyMbFUiol2BhrweIR5OiBF0MEEGMmwgwxvyb/eD1BPqJKiQsfNKc
ZfzH5+41tBcGOreD8WgDCpgDAyv6hK9NB4PMuAyCD8fPCOpYAwFh3rreKg9QXEi3tbn5U6yBu3fw
dFzfNz3jwuAK/mv59/a8OJ7oy0xij88Fh2sjnclttiNJB+imSWPD9Rd8wcwLFVXXC2uTEIThaZcx
DMbJ/uRG8SAYa2+T6GgHdR9LU0R/GPhzUb2OfFIs1dNmj9Klbf56jmuViokbwXb+1NeksVMDKplo
utNZ39QZMJVtMb968vovUj7Xg57c+TUi+CZSYFjJjehD1ONHqd9JOntCgBGHCwHG3C2IvJKgwOOO
3WLKZCulNZJrqtYDodJv+1ZvNfLtSVauGQBHd/4HrZYgMXMO/sLgVOiOp5xG/bbFtQsE/0B6nvCI
Y3focZc23e7Dfd3EeIMsvd6XrE52EhLdfV30sNonOzbVq8Zu5H81MvBGyKN+mIRc0vWOYTq+gSaT
ALwN/1Iz4lrgqFFDKVDinUIgKrNOWPWdS38q14p5iw9XjLvqlnTqZlwDlEFHqCluUQ4cStcfEYPY
NGeDVHA6vV/Hn83aszCfS7HTuPknt/Slleki5lkfowERVkaGNvG9Nxqbey/O2Rpl/KUE/sy7Ffc9
Hq5jnztEt6ZP9KHGNRPLv0MykpVYj9re/bN6+uq+1C+HJxpH5C2/p4/o+PUtISfic7r02pvxe1ff
MAnd+opKUSbhGyL032h6EDwJGxfUdJ/LlE0zkcKVqck2CmI2VJpxuI+UyN+2Z5NXImx+MlNbLcqZ
zRwLtJAANDVO7ZiOvd4tTDm4YT/a2kvm9+Iumf91vOEgygKg4i9k4eKyaHjZyzQhE5zSSk+gdU5W
z4FdGaxlZm/YJsb9q4mbecyM9LT/NTd+zoW5MlJUAHHHNSKlVf10NoDVuA7Zx2Z3bFbtomTn7CGA
jJSC1LzEAjB7bQ8yokUepY3guElIuk0rmLy6Dz+DAzhciPjUls8s3VVptjTO2b0I3Rj0VY4077/0
iRfjbEIk07qo4x3jzG8oniqh/uCT3umOI8fkEl5nBmQ25qhwC4gs/nDiuF8vzNVq1Ax+nQNYAhkc
1og03W2gJw7ZLF6ITC9WjdSNMQe7PA9Il2fEFw6cggDM78x2cLh469NNnPF6la1qgEDyXcQbin/s
OF0sdfld8PG8NNj2O0YdJV4KleYmi0OVQRvL3MhyTw6unwM13UkN77wY0MZtV+tIh1IinCNeeAXa
T5/5rVGBt1EHo879/ThD8IKJuzA9OchhV0hR4uHOGQ78AcU+ozbABWpoRAqI8MqWpvmG3JsOkYy3
N/uh3a/Sxc72uZB4fAhAIxDaPzyeBteL13vo6tJ4XO8CCZHFAcEZR2odDaGH7l+85a9MTWZadgPg
hClMvRjGWdwUkEBmCLdnEaCtVuIC2uVX0XV6A4GaAHKvvIxWuOlbGtk3xSsjXK3SufpgX5Rtb7Qn
4SEyT4pu7zhwyPjEP5TO8Sg4TkmI+ZqudgT53OPBsxZO5EyWRrr8lslCK/0gpAKjAo6NTlNwMlmS
iOUWlzIWc1sZ/HFo7Qd2Dkp6k6dxKxWg8FKp4NTSc6iRJLU9s0domJpB5Nzfu3ORN2gw/9qaXAwD
0/PukLFw3QaaY7SjqNPPwGEggrNLP1Sy2axy/UdfsDqXe7uyOvGoLaodVdjxgjOWAAYCUuuNvGlP
RDaezN2uJLz1QanuryS9+r4/4LmrCoQ2yApAJAvp6MncBm6d0iaS8dJQ9bb1SHcMu7f7JuZ2CZQA
kdCEzCTUH6fXEw24gK8wuHgAKFcridDswmTjL0T0Mz1l47MFbBrIS49Zpslu5GtPVRIGQ+nQTja8
eK/oHX6qwMjQrghJdl/YoHgSf7XkD2N+ChXxB5tbmE15bjovv2EShVaS6HtcoApOJmUM2pqiKpbs
VKDaq1b4hVNH2XDyOEn5I7ua3BhZ46JdXGR8Zd97FL2AWtHWiVl3Q8qhQ6QYQEoXIcQgch6xn3wC
cXqStSgqkVGuS9IFj/Fx3EM3ReMtF8bIU3lS+hXLYhJbspsoZsk0nxQtJw+D3+Qt6UDP/wY8frOm
XN8URqIxkqPwlXzK8jR+4rOyRcqi5vNCTweQOelCKgueWQHR5OHf/eEtzJQSuVIuz1eMmCAwqxUN
gHM/VPeRJMSrPFboys9l75uXUPPVG1HK9DitU2hKJW29UVOeWcd5qgQk5nKlhYZr3KTol4/ZzkxL
9GEScAkAOp365QcbdyVL5K5rXB2dutFngqmqCPISbEvu79LZG+Pv0oE98/rGAEkjOjsVbJ/wVKgA
OUtHbQDfWkaYtb91Tc2zPH8hITdTCbzcsggWr20OqlwNKUqujr+Tdf/4GBregbM5EEPEZmxLCwdx
puYHc6ggo4Map/2mYwAtqakWpi52p+nvjNba76NVAWASJCylR1CgfWS5LhaGHOs6k9nGwm0xP1qo
rcKJIwOJlsDr0Upi4A5yn4iO2Botc6DZIXoR0ShUEnaNPaUIYCyq9k3/MCxh48Zfnl6aEGD9x/L0
BvEyPsmpFIiOduZzHZK+pc1nu6y1q/ZpIRyY9QCILUB3D58qTSEe6AlNSq9PRTy4z9qwb1qABhaq
F/Oe7sKGeD2RST7wgcTCRmntt2AXAWmQbzz/cS1v1+rE3KyOPytl/aIuvn9nBwfIJDhUURuDdsG1
YUagzMB5VHS2AczcP4BjmHSzRhe/PYnYGqSOFWH87cExQVAPAOD9358/4BcGJnGaIvWhrOUwoIYr
1/YBLDxnLUp6Isp5Sg7F8UPWyOBm3XX1QtD2G23eG9vkaiqUBBsQZNw4ePv9+6MFtBbpCuB9QDe4
2xXrh4cNT4wjeKw9Y+lanIueRpjrP2s2OXW9F+ah57Pi2HawH37e8R4hookGofVzvLXzn9e35PSw
cYAgOayQQ/hXh/6v+SkqleFyVuhCDL09c7vH8QEAEntFHx6PNdCPdriwi2adDB5siPvxPAXIfjLV
Pc0qjgvgUkfNhf2gJ5JRm8NpA6Kdb3eJ0HFubi+NTeZW67vQo4OENIJoRhtFj59X/7t25khqBYyG
Bp1wiPJJk3ORtpFXu00sIlVh5VvWgj7I96pZerPN5RD+j7zrWo4dSa6/MjHvGMEbhXYjVAWgvaFp
NskXBC1swRbs1+uAdzTLRlPd2tWjYh92796ZTpTLyso8eQ6e9LiCQI6sgQ/89GQ3OBemZsBDhiX1
Pt3Xgoy6OuTVWu0WT40T3JqlvaVKTA7NIbbvLh/NnyJEAP3Q0SSCiB5fcGo8MWqmFI2sHiL9tehf
+uyeCS+97Fy28gMgFjP5zcxkjIKipIleKfBej6PXDGizj4CYKsjrvU8CnAeVkLVwY5J2TTnVIYcL
VGpPBNuyQd5Vo+Jw+YN+3D3AhgCdCpky1MhOh50HciHKvaEexGdhl7QzvV5kso0OCn3/rxjSR5lz
PBuxvKeGDLmQrMwMtAO3Td1VXkVvnqZOE89z6/OypS+JyKmnA62DoY183+hwnkRRgu8LOWMwlUFL
1CDC3eAOCk0WzxsX9Od3aNr98MfkVEKkm+TTSUl8Dy5NtkdXcmiD2+9w+Xt+qmag3gwiJENBog/E
sqdD95hgSX6ArWVvWrop11DwsCJaHpMVW2vLQKc1vXZiv/TUp3Pw3ebkejY1LxB4ApsINJD9GFXK
wKjb3bnYZmT2RtYOL6gzHzlYb+yHKwP+6SCj6QjwFaCdAJ+duIuKqyPTAfytcJcnlqskj2Zwq4An
qEsdEJ9FXU7NYobwS8DuvpaE//GO/W59cseqYTNkqtmPQ9/Y5d46GiJaf4kZ0U/Q382vjHXcTGcT
jXTgiBMeNXYmEz2YXicJoa4eGNph+KKY+SVNA8OOowZ94abdRTYP3i4b/fEuRyjyl9FJDFSHfVrl
CG8Rsz88elAeNMhmV5HFR7vf74/Zeq1QKCrN6cM1d/FDgATOAOADEL+DaE2fnOK4iLxIr5h2kD9B
UtIizWuDrKYTZpcHOH7/ZFJPzExOTKb6Scy7HM5CG/LZEJmYUyGMaO+hAnHZ1E/ZFkC7EcmCRxDs
utMnu6/HuTY0hXZALpKMlKm3s/2MQhec3AHPeuVojLvhZGC43GAN50Ic8VVfMPdv+dx4EIs20fz2
kJqJbwc1Bla3QX3lljmnDR/NGCIA5aj+w7FPDmCLTLxW+mZz6HbxVrKVOdsgLf4Bvq5ZSLXNkTuq
XdlWc3NleNbZaZgYnpw9LdQiMMcH7cHXt165Eu74QmGLEFI3Jmn4iyG/s54GVF+j6SZz48B9tV4S
1WF4nltPclURbrPbwg43xaGvF3F4BD9FItNkHcxKj1QNujMqu0LY7Pj32S5LaLO2DlJ0NBkNbOaT
Mtl1+UyDODEU06p5fqcX+1LipESDmkCiefpSgAOlslxfxjtXnedo812GAIFGaybZrWwzGqNGSVIg
/DTTaRXAUWRO4m03du9vCo0RNAah2M6FI9hMkBdQnWCjvkbV1db28SidbZVvazgJIi0vRDHaNJqD
hob+h6qgCgcf8loCmx8+xrjRBKcKHPP28nE4iwe+FhA1KQmFcGgbTtyZGQd9Y4wLKLnBzkCuyvMh
kPF/szHxXg30Zb0yh42VOkP3W76Sr53pn7fhP0Yx2f9dl/dm4eOYga3eTnccUIWHGFuEFCvv5fJg
zrE2kxmbbPm2L1KtkUZbBM2CWjZXEke72XokJxIt3HYl0TvrmmDCj8sECAzewAjewOeOzfPNj7Be
LyouxjDKq9qtvSQhvRR3TtYuSgbEUce7hzQQrzFWneNCx8GimIFeZ7gxYKkmdrOIGWmDpYuiZ3FA
v5qMbpgt1K1HPHElEgWUk91Mfw/ldf4h7krThq4AUev95Uk/y6VMPmMy58BN9qmYRu1Y7U9dAWXw
EkP2nBD1nGLHDMW9bO+rWnp2GL+Ne3IYIy0b1I5jvtXC5QHRLEgGhNGiVG3+lmnEGKAgAP1fn+p7
M3TYIjbm2Zv00bR2gCe2I75LQBFmx8tfdXU1JsF7FYR1ZoTJuPWyZB7Xt5pEg1c/v7coy6AYWT+2
4TrGlKSk0u1YWIX9FXdxXmfDShhgZ0CoB+UOFFdPN0Qqs6pmudYeKn0V6sgR79O9pVCeweU+aV4K
OTYtJcmi0CCugJaRiFi3UnjsFLc34dmdDs0vGnK5LVGimdJudHWhXcXZ/ORKx3twZLBEED7N/veo
jqlyquMjS6Ivow4LqN+k6kLnM7+bJeEy1p4ra68pd1cW6KfrHhQII1OGYoh4+ZzOjoJXZSXovIN8
x1oKb6uho0MH/uki3EfKc6eLoPRZlrIreZEjhPg467msryBfp08BNDlCoMBErx6EvUQ8byd7NxY8
o9JqNFk9qrNH7BATSmVPeFjOshmD3g0FUq2fxy7aQDbeLZBVtr5JASUZVTC1K455dA/fjtHZp0zm
QwCkDGj+QTyIgLUrcUticQswt8eujHn6Bpgakib+UQEFQxMLMFSC4TCU3jtvbxY5Abedo5WayyGD
uVJqDrKc575Or3iLiXc6Mz5JJfjh0KhZJYoHnt1nLx67G8Rl2MxDyZa4qwtXkmuTq+DM2rj5v10F
kiiYXOixvDGKOfp92LbQzaltVu5YfK234+q8To67l1hil2low0wXouNXbiHOU+i1gnAnohzef645
3VV6ja/Vmm4b4C1ArCDp4Er5evB/H2JY9sYgYzVRDoVsG/RZ3Ah82pCLAPpSer3GcPPjKEdKI7gK
KO8A5nk6pXUkghUVUPxDpDpaQjU+jxaWMi/6PYLIIPmsrFmJG1fy3q74i5/WEteriLQh2GiA3z01
PMSFEXk92s+UOvAe9LpvZ52MilqW+jJRWNA/92HDHgRTiRaSaPRzJvRow0uyJzaUn7HE2lllqNlN
Aizcbshk4JZE7SXvo2t6uj8dZBTC0cmkyLp6phvcMTHIEg8fGlZujdswkGaZrZgpvTwh03TZ1+Ye
Iw0gSPQRKzUJR5vGq1qUM0AIWtqoE9FoD5bOPbvRnei9nXHw3AuO5qwNN1xos9ZmC9EtUCoDuelN
bFsLqBYgXg9d4Yof+3qnTXfk9++a7pBMkqGajO8y5A+dJfPG5RV0GZHW8f1nA5pltpLSP73nv711
/+5/ZPtfv1/9/T/w57cs78sQRHKTP/79P+uKly9J+JL+Rury46X+Lfv87Y6/8LDi4Vv1H+OP/fUv
//30j/itP23ZL/zl5A9OykPe39QfZX/7UdUJ//oKfNX4T/5v//K3j69fue/zj7/9/pbVKR9/zQ+z
9Pc//2rx/rffQZEDHmkT/dSWpGL/fMmh/tt3e3/+w9sXht/ZZuVnlsS/LarkJX2/+kMfLxX/2+94
/P5hgV5DHmUfxpw1Dlr78dffoPUAWdiRGEcd/ybNSh787XdBNvEvoSJpgmhFB4xz3I1VVv/6O+sP
SGQgdWshTwA3ZP7+3198sm7/WMff0prtszDlFYY8vQaRuMEvjaRWCkTPpsKQiembausVwbFe9uWo
Rfs4XCtBTF5A6Ko8NTG5abmk8FIaYMI2D/5L85jsGgOWWht8o5fP6LjVT47CqaUpeiMxjCy2TFjK
nHK+vwZAPff9489bYy0TqVxkTCYu0U/rNFaDNji2tIQC13Y4eq54n2/DK5f2V6b7bBzfDE1cjSp1
ZpTLXXBMQccBXuUB9CAldBJfkZVvAALVlhwdFN6+Rna8XvR2uVUc0BLrtunGkKbLXGa5kuFcntzp
6/LXOn77qomjSaLO14ekh1Iw2Gg4jedu9mE5tcuh7VG+dA/Nc6cS/Vp38jSBdGZ23MHfbtyg9GS1
MGBWXEp2ed8thnUERY1jdWhW0hKZmH3V0Egj6XJp3P8LQ0Znx1gmgEYT4PGntoVCiHQ14sFRekvR
9FeS7Dmj9ZMZEKjfovFyF7shwjgEj6+XLY8/PN0B3w2Pt/O3QVsgUCxFadxqvWOAPKokw8PbtZvz
PLjAhv5uZXIyK6UJoErVBEe9hMQVyZ/EgkiM4JkGgyrawKGJLtDmGiB4CiX9WlIkjFBgkzXoVHx9
17fRNWGGmEmygiNYN8u04q7v94PTmlZOck2G4l2riBTP/humRWjL6hYK+MAJK3X0toBKndahUYC/
vEZneAChzkRStxaPYzvujLtIKJ/RuYkcixk5zGMewrJuBpTNZ9YbwdzIIHwqNUIIgkjZjtPqOPRD
5UhD7tuXl3Baej0b5cRdpFJg9J0oB0d5Juz4HvxjtyGVtlAqf+hfpSdAl66E31Pk85nFid9II79H
R8UQHJU71aQQWgGnu8McsK/vhICaj6Z8xeGeB0VfO+gfKznxCV6flE1ZSMGxcNhLMQdDPIg8nM5N
1tA/R4+M5TT7gSQ2g1C0hNcmWqR8xwK2Lp6HINcAwA48Xcmimicz/DneCbYMcNHlhTiLZMdvRF8W
Cn7w3PLXOn3bbYPZiEHK8Y3lelhZW2ZHz5cNfFEVTk+rKY2lWhHimIDRn57WnqMHSy3D8MhIT/UZ
+oM38W12W75z4ChIgcDwrQW598F8GlaB3e/4EYJWghM+81Vfb7jp6ot+L9+BwoIgOXz0bc/pIuiJ
EmMhuNJdty/mokG8j4ha4CDQ3pHriSXnRrSLff0e7z0C3PkKsveEycTfv7RXS7NfHCCXRjjZy0lQ
SCIPhAAgwtoJFg0ymWAXdQvwu4JkVHTaWxFcysvgzlwAjNe7A/UIMtiu+qqTkgbPIvHw39AkcVD3
sq+V66eFk6+N/30BJhu/7/shVSUvOI50dP1SDGj1EM/rWTPnmW1AkZXPuqW0FNfBUtlb66v0mV9N
6JfmZ3IO0iZvxcbDDohJvlaXwVNiQ9uZlqt2H9N7Yx6NBOt2DDKXJYoddNwUxbKgfFltArdcdTfp
6/7lrbtJnBB9OhF9hCi4rTyZ4Mmyg45Em+wo31arViT5pl1dIy6cIuF+zR+6dxGHjojRaStsIMch
kL5BeOQAp6eLUrbxsH3TXMkeCboMBz45d/S7wal34Tun/OBfFR8dd9DZDCKsBQkGImV8yukZkgNf
AP4vCo/hg/wgfwi36rsOStplypx4sAGkRgt0e1Usacx/XLI6CS6GygdKM2XhMXLznTYXyL5ag/Zn
2a6ulSvP32lwQ5Dt/WuAk1iizI3c8gSYQpKaE7aBR/DwVkwdbwvHea3RbZom/rWk38xNIohCsbIY
YjnhUZ15y85GN/3WA8Nft+6gsCpsu1eAuJ/EBRSw7JK0i+oOfc92eC0tfJZ/mgx6EmEYPUsGg2HQ
OJSgOMrnwyx5DXYBhFf9JVI1Tr5BQ0608bYifOfssl+edoz9mgNt7AMG4mFkuDndU2mSdhLzMAe1
AyZkO9oldrhK7MAW0Jybf7ZPhV3bqI6ADdm3S9AfmhRylJc/ApWIn/aYjrynDDwPFIMmCcC+tvwc
dabw+Lh4ZeCde7zbvD644RaYIhs7DmofgN+8LjavBllVgJ9KqPw5MgCFsxyV3/1CRS/xTqYiZUtG
HvXZc0Uil83u4UMC99aJ6Xwd2O6I74La3h7l1JFO7/XBd+8Y2XkL3MLUXYHXpURRWSEbHyYq8nyz
MdxVNntGoxAazHC8iGuAqlOdieSms5N15252jd06FZpraULorLf3H+7+6fbN6XfI28oOBEpQ6gdJ
BIEiFVk1tr7cAfj1fB8AaPmJogTZPDzb4NZ7AGkxeSvtnu42gHeDcm+ekfuEwD6RXIU8ut5CcNjX
BEgukL82frXCrw7kY/c84kVuMmij3m178r55HjAEeyXYzu0OFH1rME4RbWG7N8sH9OGRDcbzjm53
9zB/910TH5fQnMzB8O7R90fPeXj2wKCR0b2G6yuhdyiWQE5rh7kcd0e3esV6+OAiZBgzMjpkoZGb
DXTT7M2Ck/tZR5772fOKvne2gv8LHY89phf9nTbucgtfXs12wJ9aiLksNLrR2YARxhtObnWsar/X
8StjNzrOnYvf5wTty6jpjv/jDdkjZ2YS2i0VdOY4y+1YI1/s3Y48zdFifKfQWUMXFdmjnox9uz5u
71YJ3ZI92LtDup4vLRChFrazXC+d2zWaMyz7sSCreU3uSmeB1BSMUERahHrYXp8vQBdTRKQj88/s
SSUqdtzedwBJJ3Dvm5pswaY6h4g5FlcGLmh7J5O5E5D3wdUwocryLbBnrSssleXYkEG2h96OAekB
kIzNdEycc4v/gmK2P65dRB7A3GKjnI3SZ07WH1CBhLCJt3KWEh2/7COjri2OndxU323XMITvpDnd
7ELb+XTs5exjDHSc7fumpsvascgBDk0k7d5JndnHQKN54Wzq5U1PwZHXuI0tudyex2S+UfD98vIB
p7vHttrs7hvb7WnvlPbhYbPTyOPcwIlobHMmzpz5KET9sFnd4MtjGxGZA04k5O5WtbN7iG2S2Z8K
uXt8x04ej5FBPpntzA8P1NkvR+LZ7ewJ08fI58P8sSWY3d6Oti9oWjHJFgSXT6DtcJYOv+ntkf6g
cQRkKwMSrTyCux3/Aesqgjh3jsnOlwEAsPjV8fdq8DJpIDjDBx2cA74O7f0evbt5fAUrVQfmAUwv
wclzK1Iu7h9ErJg+G4H74NNMDiJBK8K2XKZ0Wc0vOzj1x5v7m3+b1BhkwdRDcO+HRwPu5VFYPQ72
66bCrnnASuHAglN1o9IRZ5vR1/sZR03yDWmDYnE0yXqMXRuncBV6969FhZap4Ikro2942iCZR56k
CUIZInPwVSMIqTfLF36MokTkciSg2p0+NzOSOlCdwoa7PC/Tkuiv2+eb+ckNbAVWoKtpNcaE8s1z
tu0WBvwgyHWVrTfXd7qbL+PdNb6Nnx47SKSDDkIZ27amYxaDGI0bShseqzLMnUDz9pYc4bEhFS8p
6nEkHfKM+l1pXMvy/bQLIDgJZi+85zXdnLyBGDOzVhJgGPRlC/HT/FSf2kf5ES+SfGPshfs/uZj/
n2WgR4jX/5xwnpUfH28f3xPN4z//K68sW3/oiNWRvpYBT0b6GmHHn3ll6w8oiUMKVgZwGTWjkR/x
z7yyKv1hINE9ds8rwBZD0fmvtLKi/oE+FERJ4ytAhlKr/M+klSe5UgPnDdQ6CL3QaqrBpDEJ56H2
FqaCrgnEy/ps6XX6sLPEIpgLncUdeSjrrWq0IDT0FWHG6zqch02mzb9N1v5XGP89tz3a+Edw/+sb
DDS+je23oBf9Sl58e/h3OihoWVn4tK9VaZ4B8LZF+qhc5b1q2pdNncZ4v0yNygkyxHgxrfokxusY
2s8a0RJIaeSGzeUChZe0qCBzd8XOaTIdhtDwLSqoDWCxcNSmaJuYe2ZrihhT1nmaUw9ZNzdVswhn
CW/0bQsFa5VoXgGt7iINTU7FnunCojDq/k3T+mjTdL5w8MVEV2xFL/OCmoNu3ce91EnztklRky9a
rgxoEZYCQOC8pgKSwmji2BGFAoSzfauEQHHEev7UhbLmgAk+DZ24LfvCVvyIR8RIdcOputZPSRPF
VUYD0wihNdKDsd0ZzNoDGNXX81WZcnVwS4FF3gg8hOpaKQ65ujRCobqmA3u2PFArRWcuGCYlqJai
ReH0IYBUX+IZggiNTr9704vOd71GiK+5wOl+w0HEcRzVX3AbYvtPrBRF3cqhEPvU8CtpLvgqkjJe
p9Iep+VgNUrpSILWc1CAZNHc8iVp15rMp2EJJxlLHIVyUFVRbuYSaRvspit757TUA1ZL8McBJgtV
KjAli3jtn05CKYNtLMnxeUMlm3Ze6TEiDkFs3KIoRSdIIuH+8mad9PF+WYSLQqEctS3UqsTJk7dj
nRYqHgrVctaEB4nFAD4H4sDmfpYUb36s5gNJ1YYdDTkAYYBiNvUrqEL10JGiEPp4RqsFS5lbHnOb
mOkaTUpViGiU5P2L6Q1yMMtBVAxhwKoKLCLmeWH+83OmoqgsAiY7VvCmL8h6SCMeD5DECER2GMqE
z0KoZNo1Vze5bL1fnq/z/QOkI0q5qAmiFgm6rNMFAuomTQbFQNI2VryNpw7qjKVJv0sFT7miMfCV
kvzuG7EZwL4ztpCjyVkBiO7UVpB6saDXgkfSJhQzhyW5FboNTrijxZLQzwtTh1yIZ0lVRHpN9T8G
rbT2nd+bBmVpLkH5M/HFwu10ITIXUhDEh8rqjL0eGYFGNRAmyUTkTazZopooUFix+mSbNnL3ITad
wWxQopYL1WBhR9Fq2uwzLS9V0ihdkDiNLHMBAOtK7GnLmkIgmZ/Ke66iS3iHv9RvWnQZvXaamQBa
xoUcansjCyXzK3grrmcDat9hIG4rbJRg3gQAkV5LLYzhzHT+xosU+0KFO5726MSmVciDDu1wNcg8
SL7LOUOIj5pdQMyu0Q5plpSPSZcIs6pX+reh4vpsaKQ8cAr0n+9Kq4/eu6QCIC2slfK1zCzvsWKp
vteLSN8bOqiYQcfWxrKbNG3/3g0+MsJFYcbXMKPjGZwOBJ5xpN9FfcuYssFy0Ao2iZbgQkmBqHS1
Pm1WiuBltm9VIRXRPwAkKVhjZlwruF2hNkkSTSidUi88OjRplEC/rIGcuWzWB0XPFbsVcP9AUj6W
roXUUzc+btrv3zrxYJ5ZItUzOtgoVlpbijwAYiojci4fw7PYBZ4SkZBuIQ86SitP2XCqElWUIMl9
ygFzeS10JbS1IO+3qhb4hwwygilFh5aEuzDpkEtThC60IVZS7y9/x2nubPSe+AxoMsFb41Ms1PlP
aoB52Om+V2Q+laDOBNm0tL0th9Jf5F1rrJkGvjW5TEUbiuuKQVNTL6/YP78vEAbi9YTrbBQT+ur8
+BY+GYWnCbWKmEYIhhqMZ1Gx1rICtEp9GqdETCWdXh7wTwZ1FZEsNL1MEdCG0wF3Q9o0ilj5YLIL
kIbuM33O9QJF166SgKk12JX76Xw7oWcXtyGysuAlBDbj1B7H1gnqHn2XbVI0di41IASD2tiVK+RH
Kxp4HjT0keCIjV7/2zQmnWWVSYtRBaWlzqtWLEfnZ1yJdX+0AngCMIsIEqCDcGqlNVPD7C2MxbKK
nmpCXNiCCFOXV+gnK4YM/VGcCh0t3ZNbg3lw1Y0KbHFcCEjKF4PnaNy/xv35oxW0V8KTg+5Xms6Y
5jNw9ENvnBp5nYAPjoNHoeV1d3t5MOP5OfV8Co45fBdwY9gCXyiMbwsDYF2o6aBsoCBRgiKUAiBw
jn90FkexvsBx6h+sSEU/XJwq1zzM+e0xwvnwMoNgFUixzMnOwwlWitKDIwNiX3FEPmT3vBBqNwn6
1MkGq6dZzAc6cABCa/WtSqx7BETg/vfC7MqhOw86ID4yCh6Mb0ig6SeHToO0XBiodThOdv7iF5lB
ekXN55A56q7Upyfw39GjqYBD4YgDaoRW5Okm1UMfmgfouCBZOFgPOO0WhHmjujEonhGqSvU0bIGf
a0VxqZVxCDqmJPLWTMk8UF37dfCQ89bwdgy/ctupNesI4nBNcKHTHSd2XdYDnPIQAlILmbEoJWrT
g01BkGKvIlXdVSOQQoQ8Y61mmMcksvRZJZbKXDUblKIv767zeQVuEnkYYKpwg6D2fHogu7GrpPdQ
OPMbhNipr0hU8Hk9HxSdXTmV534TpWfEciB8RaMjumdPTeHlkHSqxD0isFz8aLOerwXux3iGWp9Z
kV6TdTwfGXS3oKQDyihg7dH7d2rO0hhThhbmUHU1SSSMPUCcRxIRKgBBr0zjpGw27hkMaizfAAUL
mZBpAydrDE+NqwhivXI5kFw00iU3IQMw5GCy9YZUdNtEMR5YYsq3dWWVC1GJwU4mafHi8oKeuwtd
guYZGMSA4wMB4WRBlcYMG6Q5PWJAKPEog5J7FnYl0odFWSjoh1a8YZEkouZIIdOuhOvnUz76dRll
LDxgAT2drHDcgwOd1ZhynscqjQY88quwRP1HgJLx5WFOne94MFW0B2jqyPuE/5yubu2xIK6EqKYs
qt+kVBVsz5D9K+HzdDwqxqKC1wfPKrxEcdefGkGXYC4VNbh1IrSrbP0haty+C4R1o2jZFVOTIiDg
y6MNJMNGrUkIO5jjt3xz81Gsge4kE3Oag3AnIIJhebPeU5Caavqua4muoAQ8b5JeDBeCnrYI7pRU
gHZr00ma7UemBRIqHugV7bCzapqXabEueAywEki3G+MGfker7VRLNJFy9IYem8RKoV5TosVg79dF
jO68jIEU759dKIwLbU+gdpJEwLim41LV3GeDAFGOivF5JwgQxmmk5IqVSR35a/qgIqlAEAdJxdG9
nE5fHyCfUyclp1raFE9dEgB8hxyUEOHpp7W7JtIYqqZWU99xcBzCnzcCXEGQBNWjkjDe0h7aFqCd
rsEdEGgRuJN0i+atmpuENRnEPYQg5Akt1BbUFELK0tbOa69EsR/8BJwYZZvHtBYY2uYvz99ZmD/C
ccESjWQNHPTYF3M6MqsN+VBEUUl5Et1LFitfqhaMJ2ofGku1UnERd5p82+UsvPeCpljr4Du+outw
fthw3HDMYB9wNhzu00+oWWI0iafktPWaxA09L4f3GK4h0X6wgqBwjHBGJlhl6rn8hkdRm6WcSkWg
kFyWtUXjNaJzZT7Hj/0eTyHBCloOGbGhgqANRYjTwcRDgwBe6kqKkKI9FgazPgHUS+Zh4Zn3dahA
vhYiyZ1jhVbw6kHdxk4hFgrCpXqor7Jyj5Ho6ceMdyHuDANJcFCPTx5PgcSsAf2/HVVkiAgQygfS
oK0IEdeVA/LDNoIbG/GhCO2R5lImj9K8NxrmCwmyVVam1etB1QZG9FRDtrEqAyOmbdD4qL4bato7
uVzrka3XzJD3Yu3L95fX4GylEWfoeM1gZ4MfF3v6dAlEpWR5FILKnnMvXOu4+21kcBv3shX5bKVh
AHcExNmR6kZ+bzK5PQJaNPtlKTVjOSU5GtpdZFrKd43JKNrLgbVJu9SgQxmUxMszNCt3bQuhDDC2
xQQZBMHVu8YHXFPKZr3IDZMOngBoXGoFyyQxqlnVmdqdqvet44Py1778+eM+PNka49cDwQ0svoWU
6FRLLczkykzFAk0Raq8igR2gV9TLABnTqmvpwwkiE94TOTbkXPHIQAgDdP1kc3RV4EEtC0TFcuul
aI/RUBahPhpJLKL7Yf1ZGVrVzXAbJbkdiqG8Qo1EQlYNwZ6J+0YMHzQwvyq494X6SkwBUsPpREDE
Crcwuh9wZs85omtWS9z3WYIliypUZbwBbHOplQyS2yWtFjp4CJg3SupFQAPD5z9FPOUxiWNDeGIh
2rx4nclHNdWjOxb3JXpO0uSQ1DI44C2hbo+SWHX3MO/de2DCjG2l7KUNeoiUjCAw1kPSqYpwr3qV
4O+zKu7REwDCwgx3gRKZS63ttA1E/5TnOJSET6aUSUEbWavBZm963gPvsw6VVVDnLSqJW28Igk0g
IBu1U5wArO0m8VmmKNS0AHIGGS1CSzQ1sugVMbu59FDw6EkvZxICOiS0PkK5aO+GiKueo4o+monb
QstyooQdf2yt1h/c1AggWqRVbYNUsxSA+l1MkMCW9dJoXKnotbfCsBJu96YZApmP7KDuplovIrmf
WQnaczOzA65Fw6W47hoxCRcm67VnLWjbMcUWpA8qihIBKX1dbJbQxELPXCOPBydquJfP5CYAVVdU
WCAF6Jq4RGetjGe/7SGVfKjStBdmYRTlt7WSlQev9ouYDKi5oasj6BEXZB7ao+Mu5A8KvH9uN2YV
f+Ryy5+hwxetMw9EvdQXazOwdTakbyIIoR2Z9axfqD4ahOCnM72yywjqNpaSWh0tskz4KLhQdOiH
SIcHIRIS9IY1viAvKk1GQSNOkwZA0CoxQ5c32SCAXqw1XjNt6G761rNuNKNuW8fsJblBwreuX7iE
/UMyKRpAsMjL5IVpad6TCPKkEK1m1TBrapFvkRdKH4NWj45FnsU19ftSKmleow7ngjBExrNdFyB0
nyrIEq+yoEBPoKGguTMrmdXZXSejQ1G0vMYnfc3Y1mJFZTpDquDaF5OsLrd1rbDeTuIEJCoC6LFT
WzN4V5DILApOS6/CUEV9sCRHzopAtDPFilMbLcjGRzZoQkPVTG5B2ZDGZUc8vdZ16qnIp++StI3A
YJlWkjpvzFTXSdcLgNxrRRlz2iPhbxdxJOHF2vYC6mamh4CpHtS0BOF5pmxZZ5Xj5KWDk3GJAzSs
QXwPHPphG9vAG1QrIbPQGy6w2Ojcjnn8Pg+FBkUYFgWPWZlzg7bD0DwzL4Eatm50ReDWuuFtWvSR
yWtviIJDI/OgfKgbEaJOmpK3kWPFal3RgsW+T5TATGsnMfIIVU4Nz2gaxBKSFk2nW+UKaesczK2o
B1GpkRWcyUHObxIjwCscwVX/0TUmBATzSk5mRto29zFLywoqEgij8TksfeKNFIBJszOqtW+aiP+k
hgkLKdSMp8QP6scuN5WOjMGTiOJExHGwJQ4+DGOw4vta7HV1Ffc6B/SAm+m6aXMLIPO4RlkgjNSu
Jr2q9pA7rkS5ssH72T1lWgBySyNv+n3YqWJORKOs1WWeJ7K4lEXEsSvR9zXUUf+Ls/PqjZvJwvQv
IsAcbkl2S61sybYs3xCWZTMUQxWL+dfv0969+NQW3Ji9GQwwHrEZquqcN51qdPbdgukxFpNoH0te
T3eYpbH4KSs4cq6jNgq6JDRDdI1ZjzAlVXqILgZDTMjsllrOe+0v9ZgUypn6FEagu13rBcKD9LSI
eC1M7Ix/rTLzgqgmK9gXlTzOLw7X4m3J1Zbv2jDTe8NXwZXfRsaN7YD7ESmSyVf6FjLzMhDWhzqf
GN4AiUN9K8LG/pkXiEUSRxpGmBYtZDtb53GDrdp+b+Re4STMRajCXZ5bywp52VbZfgyDQh7MYjim
RYdTIy9Nsym/DIPtFqnXNjA2QeYIJ2ELn0l3igZVxxPzfeGJm5LRRmtBY5a6g2gV08575qBktnJw
J8pRv5WRSRC1bc9OH+vGH8zLRQlT7ZTjtY/BptZfNbGo9T4YBuebO6yFSsbc4fCYdYm7US92hDbY
J4Wl7vptSpuGpGJ2xqAd42ErJ5GOmkmBD23YF69jwLifGy/i0LscQhPLkDfMUDYlEYhNXNHsEgY1
ml0qzCkc4mIst99b589Pi23QJNq5l0fx4kM4WeuW5kZ4MVWjwk5deXvE8bcASl68ZtN10GsggcZk
nZY7wqlfDRm8Np5x0eaQP1W2pA3LPTb8ZSddI27E+Lktg4dlaD+HE98MlGO8tfelki+1y0xZNphZ
iF9mWe0pdA/eZCbAJPedR6qNb8JERnUaWk3a8C2HXjfG/hJdBIX/VKnmWXO4u1Jfr7j6n7qqvJvX
6drz69cqsGKvJzTDeunGzyJvdqHz0xoQJ1pM/+Iv6BUh+lDsysbZc7IG+6AMRVq6vcVT9ftkc3ov
LgZuI86JUP2eF5xcrQSAlhlJ+0aNnrewivExI0S2iCnGlksog2sAUf6towit9TBB1NpsHvIsWFJT
qYsy0J/HqdmbOQtjbJiEPddsu7iQyBf75C71gXkaTENYmqeh75+pNz5rQwATDsX83WyD/tJcg4tu
3b77hbdTOrrNbe+a9//o2M0Xz+guvXJituJgP4Yy/1Qx6cwTX8L81vGaPh3p1DAZlfk1X9mwk/Nv
ofKrgOYla6IJdnH4Ysn81i1sGVfLvDHllLn3ixNCNs5PjbYu5smwYukGh95kGoCuflh9e4wP9tJ6
khftbO8zuCICMto9rMu3xbAfLNKIqgKSxezMJ7sc0ijK2kSGHjC0kQbcph8bm30xdMWTU4yEG4dO
akx5FTfFtlNGnfMzHvzG+zZZ87Ohvjnk6edG9bMa6jedoZhfdMsqX27ySuyiGRtQ1Nxn9TImtWEd
qtxyvoclL35ZmflozNgkCkbcZOv1TEJEsVUkEZlvHR8QAczbW+l8n6HdZ2+9n3PvuWY9xaNfpptv
Xuajpx5nKwwncCm/y1nr884MuzfXEpfrMt0FzNb0lPJihCJ0+UP/Yhu6S7tSPNRlf9l5fBVVbibm
Nr6y8O+7cK0P3dp2uzFgi1Pd8jj25IRmzvBTjGIacadVYsCy1lMkLUGfTF17Ow/SvOnNLNhzMIfP
BZ+OezBn79YJ3Mtw1ZdmtjiXoexvxARnHIQ3ysPrNnQDEcyOcedXZFBnxDwnXblcZtQxF4UWb20l
imRr+l+V3XyeQ+uF3Ocl0frHNPmGjLWUgXmY84Vm0xtcM0varstuROMtXxmsYXxnUKP11th1via4
/dcxNqlB8rjRFYR/beXRpyiUNlNi6JSpISmwonTQq3pcokJFBz0UdpeY5roGSaFtSyd+35EsVei6
dBJhD9u3amusLFmLtSTjO5ORTvpiEndBqHxrtyqAqdo5ni3azjt+Hmn6v6I588nFqbp5SqK+My+G
KnfhHaRhpa62yvssIiY4aVgV5GojoQmSMTzKiiJ2g9cFevrVNDuFhtnRm7sLmwkTMeqWnnJTWvMS
r21hGQlR7mqis2jUFb1jtu7MrR+YjbW1M3tkKDqHaa+O9aMx3faTsovl0fXnqdqLvAC/H9qqnxOr
FhkaWb0xkFr1YfhWjFXxfXCnjG/X6dSnYGJxpaoWYZn0oZjZvgaD4XnSId5lAtC5GtpFab6era1T
gggoG0Ux9FVcBhszXLpMdIR11XVGt9Mr1SQLh8tjWBHbwTlYMIU2Yr6XKGcrboVjyHRU/oSaZx49
fH1k8vgxQ8f6n1K7C/+kCf3HyFMtA/6YU0buF8fJEsu1EzUQsrTWfTGDg8UNgqLfpMk5DUutn7w4
V/XkosyJgjF1ZgfMzAhmqtvZFmRIFaBV07UKNiReqzU5j06NgONOscGKxKRGC3awS/l1VPWkfDjm
rJt4Mkbvd9UqXl+nxvzZnUAzYi+oi1crIpJ254uh/2oM1nTTrTpnpLkaV1jEbFTc9qbNIda2rm6D
sOFo96vB6GORB1uRdAS+dsnszblKZKAavp1I6ocNLlLtysXavtQVGqeUPjn7GijdvnpGadux4bXW
DzsrIv7raMp7F3T7VqyO1RwY9tlQltH3e0mpjvxc0Y4R/pxqnvKrTjUR0mmmSo98oTgPY5OY2Jsg
CgZcyRXVdpL7UfkoZqu5NlTdPQdCTnegANz8agw8ZehE44jUznMY684Ma3QbxlH4tsEweV0bUGcw
gvE7m7fNkBNr42QPx4nyLd9CwM5OmIyWV5nMD1Uzld+It3aYyl6VpLeHjY88jpmz46vp5t2D2VcO
C9utZezbVfN1FnWH36U+krTIZzzEFBmrMa7zNvxWRWhv4m0Nm5aIeIkpx7HqY4VkNtfl4Jd4YkfX
t1KvyspPRq7HKJ2zFfq19MfqPvPnaIu3avWdS2/rp7veaRicPvft/EqfQaRP6GzDsCeNpru1CFZT
xHgYxavk//DNFw6iHFOFtkpVFIXA3E0XUkNog0RHnvbwYGV1+2OLaji7aTTsH52fdbfoFkYriSaD
QS8GhfdPg8L5U2k1G51B0FjhRaNdPLx9FgIM9mMpMdxUdsETZeJ0sx+20QqYkWHWzt7oCEeII1Qy
eie3yfMuc4kk8QE2spdpMG/jT7AQk9DWxome/HxuH/iz00ttdbTyAoXRUxFR5qbkA494/rQafluq
zR5VV+mXofeZHL3q495UARrQBEm38GOAmWi6reahuOz7tqj3ubnmctd3LhWtnwkogygqgT3WVa8y
nUvXwI9nb0O1CyPio4hTrZ+zyN7YNYKF/22VooeO8pv73qhr8jfcmoLSkLnE8ANUEMSShJQ1doZm
vil7Bk4yHgdiNpkGWnZmGCysl4ky4BDmNDW0ErJF5qQ2820OzDJIJ8/snzvpdgOQY02iqO+PxdUm
MtICFmMewjSo+ADi3FgWKxV24180gXdd6Qb8pJ+qAsVVa1ybdKnwL154W5sj2Uu0suPPcplaPBrQ
5nXMJ6ivtWl45B6OxpjHip1UJqZj//nXon+ELKEFCNuZFMJKLONXKloDM7WbUWXlG0Ndk6jwiod1
bfPPuekzHZgxxhxgeTO7OxALvglVDRzc0QLekRIeFAz7wvddJ5mtJTrwzYkl9hvyN+N+FisWAs8j
4MXrQtIABtRC6aIDiywvvwh1Om9R/oDrmmHIdrUyrHwaxIrbafLoRXTUkdm4ucZwjXrBcXd1QzOS
ymIKbk23MvKdZangRbU+Uc+oPM0fK/uZvZ9kb76Mfr/9stdJvmZ55urDtqjgdpj9As/DnGef1qKM
7It67Ycng0pCMQm55BPLel/iO3MZx3pBE31EuByz+mXVo8XHUKhyTWdGYhixg3zotWbjQuRVd2uZ
uouKSszSozapJ8bhwqmn3kxmvY16F/rjtu580s7AVw2fGZNd1lafgANc82rl6OpZyvmmL5gUs6VC
u/n9YIGG7ULzOGCjyCfH2BGaUnt8V5xfDN7I8wevl3wMvgaCjEVUOmVSrdtIqp6xMdWy6K36WzOM
3ptlcshwPo02NbMjOcENUPzF3srtwt387nslosbZBcuE46k2NnU5Nqv4CUjv3zqLGO467fNNCWpi
H6Cxn3+Es1C3Ux4BMjEb7w+t7xrN5b9h3w+wcaSjjESBNAOuP0rf/8sD2tVmdVlViiTSbXW9NPNy
S3N8RuLw0UUQdjBx5UgJwO28v4g1RZDBTJVIaD3LXV/zoETTFWeoaOtvUtNHxIwGnEGyhNbA6by/
jsuOP6ChaBJ/aJu3orKi66prMdbnyvBcZvWI2UA9sfR2rFthvvVR7uqbRob5EjvAH0Xi5fmy7hpD
hs++VbXMwcp6TZHdBLTgodllBvvUShpEUbm0pFlfFz+Dsmg8mOfWlbsudLV/AF7DVOKtSrw4RW0E
sVuKdbkVZUZbBDrMMIGglP2SBNkQco2oMoN0FNIokRAtw20xBMolensOnqxxG4oEVthv+ImtbV4z
tOO4IRKi58UDk56slGSm/Os4Rvbvbc5o4KrCfdalYmhkNlb6t243/dpwkfESFmZZUvJaQpU0feP/
Qv3PDEbieRaVMmFGRM9TP3SQ6fbgBUlkkseWLu2YMQXXn8uXwW7VC6ft8ECizLimgefWz8U40ASs
XSVRmFBi2vtOwyLebM5KGWnnLtJXqwa8SrPWG6Kkrt36W18K1Atd7zGfzdzY4i9nuhkDxXcx4kPd
puGgZRi9uUHfPeYrIoidtNrthdgvE03FsLXW3lxnCnA70CpDWj8RDZ6xe8VrCNQar8j4nxnYNn+x
3W4yAB4rMC41+ZZKA6BzxtxATBFIuxgkldWGrnkd5GTeuXVbktjQbkueojSqq2Qai/ZJUH9RZ1IU
33B31e9STtSdw9pMxLyObvnbGBt1QI/VU5vnS/G5yp3NisUc5tflVOtYyB74rs9cGvwhUgRijm1Q
v1o6wKg4eNPnfy/sE/f/kWT5k4XEHsl6YHGfsKidmKuwckqYcII3vaSNvOw5RDaCzXFqN1wSwrHG
hD+z6AdrG0uiKDyo3bhWBrKhQCwGh4Gc1J29AZrFPVLzexsz+udJV9qgCGg2cvFRzn/dJtOfz/DQ
f0i5d3wUOrqjMN+3XTwdJOm+X8vF0JUlT39ImmCh98jDmcc/BKJ/ciEzXoJZT6SXLvpRBuVyRx+6
fJGL78wXvYwkDAhilRJPAXIywGJzvtRTKOXFVEvzN/PD+9tsy2p/L+rNzPd9NTXfs36a6e1ru2Sk
l+F54KtBEHxhR5voPGUm78zcbKN46lV2WxbW8AxikTPUj7gP3LF6WW6ZXk3CSLmsPiznPNUvlYYo
OXiLuTCNt1XTayOd7WfdLSWIGesIWmOK2i91DkjOUUS5+O+P4IONFyr/OGEa9hm3x8nGSwPTGtaK
8ss1IvVLtzVhSdIazryrv9RIfGrIHk3sUwEnCDM13r+rxlKzxVdztNABJO+tlQW0VOH425Oiqw+l
iqAFjg1CtN/Wlc0yBE0kbdTKjGs5Hzmvf9/2SSjTn2//eL+4GxFpHI+19z/INpyiB/SXSV/l8nZF
fkdPoN3ndoGTsIvaupZV5Nw7LXwipHO7M+rmsz0uIMbgJFeKucvpqjWgn0t7/e8f9xe/yMP687Mw
3zBe/XQG7dJ2YdsAjCSrV1qx3fbF3uuyxzaslt2/r3QSEvV/H8ORw0TMiyQG0dj7x4DkrbL7LJcU
kvNAALHug99R59LDNh2pKc7Upd6x1e8qn9xLPqRkGEX+sjGbKc415H48BYN5o3Nn3Y2LaK/CwYT5
qICfu97Ovpz5ucfj+d2S58lgvkMjcRxCgVvo/c9dUBzVHBQYzN2iuSwrhdAliPR+6bV9GMui33OY
lmlF6Xnl8+N3tJXjVWlmz1GTR6mgkX2ErMiBuBzzNtS57TBOzC1gs0OybBdLnfnwj8vnrx+Ml+cY
HRtQeJz8YDnX1jzMmLnk1gX7rszzJI8Yj7Xa/s9uNMtz7/NvhQEKQ9YXAXj075AE7x/QaBoAfNbS
Jb6XTXcVBfuuc121QyTUH1DdeXs1bubjHDC/CvicwMdg6i/YOJv/UQTPgociZ2MOkHYQt3dSaJnW
2iwEfsrEs8bhl1HpDA/b3O59cPdDs7T+Gbna8UGePGhk4oj8AIC5+z9m6/+o1Ugs9Yp+BVOJxr69
913dfmv8KbiZXXEui/ijSyGyZt9w8Uabp1bh0CjAGmfIKqitzo1L2yTULaM4jNsyivb//uT/3p8B
uZi1ZvpMpGbvPHmOrjcujsMWhdsNU2TYN8RUNGwI/77KB7fEXmhBhPDwuLeTGt+QZQkiWEgOtM1L
7WUx7srWam8ya/S//vtSf68IUhmBldCQYJrFP/P+C1VT1ltM4WwSOYvpsujFdjCsRh6UA8kvHFml
//v1jjsbFlOsu39dr8q6TI4AK8mYreSLjvkYw7P1OzNqwvtyw1x3Zvf+e48iag317bGTQS1zqvWf
BmsOLM2JWuNboLW2s6fKDtVt0FvBhdACrHrMh6fVCjfIiFbUZ/QpHzxg5CUR+hbIUqb2nsiMZdZK
l56AeOSy9e4YmpWnra36q9wxISgcCt1/P+CTNLzjGYJpEzLApq7mloOTC855Zxahy6Zmpcbjdul9
q0lZyS633/XVPEBonnm+H5StXI97w18YMln5VGnbVe002mMrk/T74fHX4+FwQT7H5Rynn0h0OHNv
HzzM/17r1J+85nRk5vFa1/vPey50cXHx++n605nL/L3I392Rf1KIQ2E1Zj9xlUU/Lx3kRHROVX+S
VPX/XhLbIgnmLDv7tFjuZjPX9CoyUTv9ZblRZKpMl951vV9IyekSnS4XaDEO0OB5uj0Y++jl30/y
7x3mKBd1+B6PIe74o94ve4CLHjezRBIMTBcv2RQeIruU+37Ywv/5aXKpCBsaHwiSNf9ky5TZ6Bi9
GkpMInb+rDklOf6i/1XNz7Zscsh55FtiMcMs//6GbNXAYBIATPNU1p9V3nqPq1vB9oninJb4b6nk
0etih6gxmU6E9vb4/fzncNv8eXFXT5UJfcN4taAlSfoJsF8h0KghZsz8e90Yc1phd9hXrV2MaWlL
/0wi+0evkHkiZE+S5ozh8fRXSINdlhcJHG0NO6i4+eBW7deoL8wzh/nf64GzHB8bjl6MLxxK7+8X
Z1TV+SV9f2WU8wH17YZ577yQ+fjNva8ZfItvktQB7OfIwU8ugwwmtKdAi0QYWH0SPdndJ0V7Z6fG
qJqfzmI3O3tc+6/dIHJC90VjvpTSDJ+aRhZPRe7aNzAiG6pRL9BoeeqjdMODeRpimc0MqOnUcK6T
+uDRAEbSFGCTx+Z4+mh0BcGEUucIlJEIaR2NlEEn1ZkXcNyyT58MjAg2SqYpHYOW37+A0Yy0tUK8
QGRPzU3mt8Gnwpn0jj68+tIfZ0ggBlj0mQ/so3vziQlmb2eEIE3Z+6uGKjCi2gEE9IrRO0QqkOka
ZM2Ze/toNdlYGnBSsEdwkJzcXGmhJIPpE0nVupVNRyqqJcldVQFWNL6OKM6ZqbfLnLzBPtVtiJDD
qp6uI7ma+sxh9sGashmYTTA6K4u06pNbNkqhrT9iZ0rHKg1tYFZEnOtFaPdF+u8d+IOny3iz4xtl
Cz5O7n3/dNVil1FTFlh/vUXvUA7aO3/Gbf7vq3xw0PAKj9YKUtu4r1MkN4+mBrEokrFmVSSnGb74
sQKH9XGDbukA2l/uhq2WDBzLlqRVZZ9O2IPwYZCvAwsZXFehXm4H1OmJRKdFpK7OzRtM8ygv+0im
Q9MPV/AAMlVGx+TpCTbm37fwwTuhu+TwADKkyDj1NzroVRersMrE1kGwb3vEi4isriEO/3cNPJJz
G+yK5pBWiYX2/p1g2p08oFw2dmejxt8mNF6YluW9Qav4qZrc/EAsbf9J9Jt/QLEPZWm00bmxsh98
GQjfAyL22NhdYv/e/wrpL4h3QqBlxuP4Ol5R59563eoCUWVapkZY/O6XwkHiJswLw57LT+xB7tsS
LuIoYLH4DxWlumswA3e1e+g33KAWKhZ1kU0Oxz3ykmXCQQRLXdV1uZvMo1SwUdXXZbXODWn+YO/6
YyfAbIv5htyO93eTWYqm1FpZSJ2zfoUyCZ/oF4n/Bj/ZWeYcfSEaoTjzDD/4ZnDEmrgJScU/BuO/
v2jdDaiXZ05oYjmQgIxWdaNHhSYvLMwz9T1GLP7Yye7MZDiwq/CPDP8UTIPFFkVTVEa8KKQ6sUcs
8xwXBVD1VNUo18ypg5zXWBGJWWiE+FyKLdqZuaM+tYWO0Bo46RqNxk0/tiULtWzMLG2trfq8+ThP
4M1qBKLjUSC8U9Vc6wuMwJabmFnneFc5gTE/bNFZP6S/Oa8d8FqzM4bVvpsQzBuQAZ6P+TiDvMTz
pRtSP6zORPS2LM2XtSTUEmld5/gxozaNh6Gw5iqxxqi+w+HqfzNEG1x3QnqIsDNzuRNqAzVkprp1
h9I8H1J3sslkDgYlf43+yMSmpbE7tNproBk56xqyjuVY+Z/HwbOep3yR3xyAVgJ3yRFdH40gbLO9
zb4/pkGjjKthlrCb7GTVVRQVK0QM3PFjbeY+yX6R4WSIgWaCiYFNDIabCyJGdrk72CKevBzNCij0
FUQfdK7KV3Vb0EkT6KM3maXrGmpWUzjPEVEAJr/62G6GwLqOEeyJ2EYmGDWIsBKc/agA/agF8/Ps
vDJjEwF5RmBIUN6HueflsV41M7IiPa93o78KZi8ZEzr3WviqjKM6r772WZOvKfx2/8PvGvI0es64
ahfUGMViv275q1G7bHZKgdffoL0KjbTeerOIifocJF6xwWbMRu1CWvB1SYTUrpyWJFyGbbggQAGN
Ijr5rUst3DJXc9RkayplOH0hnQXdlgFgotJ5qeSh9rKguWmWiQSrBoo5FgAyb9A/25YobZZ1Kga/
uJ3G0u92GAPG21pFq32hUXmhpltM9NWoW8NfBSQa75ZbuwmkacudW48R3+oiNAGVeprQXy7KrONl
NjpUEa5c3N1qivANlGgRzGVaezvxahQ93ihXI0WWzqSb0Ji3F7nk45IM5jSXaQmuiA6hpb6Oi7ZE
jWsvSD/RK4SAn7MX5ffmsDp8xG7mtPgXiW1KpA0huutMv/7JjgKuoDrRku48Hx9151vTcGGU+dDs
LGEvcr/helS7UWpFbC22MmaqASBXCYS12vaNP7sSvqeb/MsNhgEmTlvS4csv0MHzITags0XnXG+T
wQBNZYr1e99b2XTl2XIYE0P4dbAb/2D3bVbL4yDyqMDarFoX/rCvIy9RRS62i3Vaeh/fptXJu3BE
Tn8RIdGuLkWTzShlpBGQ796XQXvY5IRSOGf5rruqD+enPOhy95JTyiWRry/nGyad+88TB9aPAnC/
3wkOSTRdTaRMRqbO0toZuT8699EoiNoqFzvHh1Hmb+Vgtp/nTtCzBNryuhtXz2yUvTnysVQ+DN4u
nNwRPXifZa/uug5fdSDsEPXLHPxSFGgwN5MW865F5nozW2Vnvkwh2H3MMCWXmTFjFr2gicwQB03V
g4dW54tBQf9YNDPwhDkL7yhMbRlDGdYbmg1vsK6qsemdnTD9/G3FXv8FiUX39d+1xQdgSQDUjoX3
OISbbKSTgg+ZFJCenpl6OfWV+Yh3qZGJHi1C5/EWZ4SBG3nxMMOTvxiF418ZEw7ni8jN1U5iNaHu
z7fyzOH154B/f6CA3mB1JG8OcB0E8P3p1RXh2C+EXCEH0e6XFWIElYhnetd+1yr2nsZ1f85jLR0E
LQRsYcGy6ii2yxkdymg6zQ+vMNdvrl86xIOuRfvj3w/tg/oEtzyMPdw9XeEpduHhIvaaDewAl0SY
1BTnd41hird/X+XvIxxT3vHlOBzfZACeVEHlmqMiXLiKEQyxrW5y0qtUtf/3RT4gwt5f5fRRw6DO
pcVVmvj1MT68JLtPn85c4tyNnNQivQzGPj9eQpBsWqe/0N/tfiEjjZ+YupFivzpT8jt/v5/393Ss
yP4DT/hhTqLBwAWJnSIwekglc+icA1E0hP22e3Ub3VkXxqO4XC6LPQFV++ii29c7a9ftvR3OqLi9
XS9DYmXNMx/2Rz8sdEFqjmGKrLqTUtAanAFcnhJH4lvcBWpiF3aic4bAD543gikcdXyiEfDMySut
NDLFgnglYIS6P3iDZ+79amketOy69N/v9m9s+ZhkCIyHPRKT7inUKryWzotYHITLHdKuvEfnISe/
e52zzb9qpgUzDxkT+rMy+ny+9KrcOPOyP1DQBBDuEVHz+JVZkifLBK59DawJfb4lGBR8g5wFmafW
RyNajaNRpyIIp7cszII+Vqse3rwlC+tdKw2G4A6VM/3AAtg/TJPejipye22pGAeJVdzaCDm3BfN6
yV3D/hYoZagLIyqYzRNmoYoLqTCnqFFJfea5nmTOHuHRY7wK4+mIvfRogk7QvHbb8hHXJX5TIXCz
ikE4t22mp7d+7ecHqmqZJVNjRyPt+Sp/MntFlsQOSvfJKBZ/QCvmLDtnjkLj4FlifCx80Pc4VIQF
MvZaBO7u3x/CByAGgXeAqWDukNdE/79fc6CMalwiaI36yLqS9bc9hU4zJipoxZOexhVxrmn93MRW
fi+AFParmOzm3G52XEAnBwe9K4QOgymBpE4Th0ZJHk9OoAxQyhwZ18EI4pXUOA0LLAHUXomI6vX7
MnTCj0u5LTNjoqX6obf23OCfD5hs2iGSY1y6MIj908zEqSbtT6DlSrx+qG5x65G+TXzqdW67y1Xl
yOBghcrcibZcH4aqWL7wRWDysYRxH7RZls4EDewgrdZLOimxj6zMv0AW494OEHxnPrfjDnz62Dht
wZ+OewbQ4/uXZxkI7WaCyRjn4rjH7IvhgJIF4+a61Z9duz6HaBw/hpPrQZZDRVkcolDnJ9ebRpyT
TbbUiQ8EdIf2V16qYV0u//dvkuY3ZFoqqQkwQvb729pU3kRVXtZJWdaAO9mikdlYuWcggV2MjblP
rAfmXvsDlrTanNo19iAeX/LN9M/s/H8/Yea/0ZWS9gohzGSOk58S1MsKGYh7dYzGb6XVhTtdD+tX
b/OcK/Se5Zcz9358hO8fMR0wVPcfVQJ6ipMzUGV95zCSSSTBFBm/ak2SAzu19UlV9NaAyu6t5zsK
o4E7pUPlVYcsDObUqbGYxsZqNA+bVa+XxB0BqWxZcAZZtf/WBZClRMN/5A/gJU8562hsEbE5oHJt
H+psT+eNLm4Qhvm7CueNUWl95P/0Hdna9LVD/+Bhzvjti6YXqUFX5cc69PM7tFVzjyTRIa9kQxPL
xt8dbWawJOpHXvf5J3dbg9d+9s1lN+Jn/v9gQlB0s3HxWsFb2Kjfv9e16iM7LwAxtehQujpZYUy3
a5cvA+EqgfO7XA39qMc5/9qD26Kl7w37Nlr7bjlzDn7wvm1+SnSs4eHlT2FObZu6WlYb7H+JvEtG
/Pj4uQb3GprinBzog8OJealHgRuig+ORe7KubKdc8bEQ2qi3yt+bS8h0l82vn7xAlE8WMTPMBkKk
f8FxMMYitPR97Xj5tbZ8eRm0/XRAXdDeiWhg5HWpuoNhVNulRd8lziCnx+blZBEcZcKksHIosMGd
1FtDgfB0IBQzWZ3ZfHEWJpShiBuuu4porUAbBf7cSR4iUmXOZQh/sOApiah+QscmVuT0PBzNzOk3
p0NWEPTTykZOOs5eIBjKEQZ2wX2BzQFdebUNqCoDFb1O1TR/iZiPZu4mNNkhnrhW3xg6HIsU+QLh
qfW0Iqn1895yzuz/f+/HxEPScjkQZhSmp/txoKdtK9gkE0eETAxRZp76Vr/+f7wNEFC2P8+zjvqj
92slUnTn44S7Kcy76Uk0AQ5eGLe3hYrlYdBqoQ/O9BC3FJVn8nk+yO/gVIMdJeaEeG8On/fX9pHN
18YciiSLyG7zyAG61n41JQNurt+IkSpCL7ps2WNqXu/rCPlMXGWO+oIRwr8oG519UmLrz0HDH/0s
j0hz6rvgiO6fyt1yO+phMTtik2SI4XA2Z6Iv3DYDhhCRg+7Prl7d3sM71NhsxH1rfR6FKZYdYU3B
IVONxNSX63MS+w82E89i2cCWcH6wgt4/LWNBjiUK7D5bNW5PDdjLDozQO4jQPaee+OBS9EIkXR7F
j5H1Z6/5b6+2Wg6BKhljJiKyLHqSH1K7LMVtN/vnqo4/uaPvtwOMA+EfQOEP7X+ybxXZqJmQ6g7J
Imt3vcdt2OwiONfq/1B2Xr2Rs2ea/iuGz+lhDoOxD8jKJZWy1NIJoW6pmXPmr9+LsneniyVU7WfA
hhtqNck3PuEOW1/y8gOk8gZFTD+H/yVkNb2dUnfhoVaW8hKFJbWZLBn9xwL4sWQHYuPfKmbmgZo3
+OFCNYQWEmE4FjvDCIeXEcUEaijEORr0nkQ0DmZbK/qqpgX1BgROekGspXqJYXk+S4L0S7Zy8bmW
WvGt1KsdbdB4NbZF1C5Hqw3QQElH/GnqQuViqePCW2ehUYkrN6iVu8qqRA2UvghEvC7YANA48QGz
oTGh1iLEIGkdIW9pX7ZC4rd2j4HVp9TBs1xHsdVLK59eXGNPfVfMDNPEgvUpem1PJT+NRqeN5ZpS
L5C558At5QJ+lNf/7HSGzw67vu7BmbXjizb0qClICVQvfj0QuIxrvQDd1Cn971jmQFmrgH8GCKp6
/Kh4un4pGz3ttLCJuI0nVVPQVV91gT/WEqx5aF4qlVDGE7+kRlIXaml1qzzS5A36Jx7UyL66cKp9
3ayzVQXSiOYiCqAq7lAzsEzU9c1YlcRS1gArTwPWf6XBtr8dQ1GnKNsb+qKCEAq5Qmg3HY2tBR3f
Zh0riXxXita4ggygbj24XiRzYmFdpZTrLoSf35T5vgD1uIAS4gP/nC19RXMToaGG7hhQ+pf4W2Fl
3YbhMkUz+C3wjPYAkN6ERkLHQSEmvckIAq/iVu/Xku9CIzwfnn6Jac0GDZFbHCUQTQNXMZ+qKO9E
OfAnTocWZtKCGlqbLkz23mfT5bChikLV6qXfi8r9AMXncTAzDFpNKZVoAsJ3eI+KDLUd+P6BDj8m
QHfFyrPw0Q/cYbQb/BSIbSEgXitSi0qLm5eCsJA0BDpgUJN60uBUOlyyiiawNrD9Dd2B1ToEjhlY
ykcwdrBExwjH83LQ3V9VnTbNyrP04UZV5WKXBr6vks4pwmddg8u+EDx8s47pp4F6JGVB+2vehYWd
4iEWU1SOOgrNosiU+oMiLKa5iYfNDu01+lj+JVziyUFsUAQGdEJcx4yQQh+f+W4VAF9GxMQpYyHZ
ukZY7SD5Eb/kxqVY9TSA5AH0CqcGJTkgx/7sWUpBI4XDxTFTRKiWbi8UH7QqpMfA9cM3QW2IIDUP
kXiE2roHKFD4TlBr1a59eZQ+Sln6rZeNaCeDMj5qhTF8+npV39ESGF/Or9PTSjTlXQIj6hpTeA+E
8fhNCftro8qL3FGw+jbWo1cXndN0Q6etVKkYgmspREJtkUt5ihxCObodagl9R2OTuI06H3KOo5NR
0x/sJgya7CZpc+VSMnUSaxrkdyS4IlYAaKGJs5dMWYPMngJjelCj954K1e9BSyBbWYnsvhjaiDCv
0evDLy8Pw+d2FFFLggdOjIOEkak6ngTnz4mNuIDfJHWJtxXbHKh01yCXuEWLktjd+srKamDja74P
4RNPzaGAIU8TtQtElMx8KasxLSNTANy5tpRsVC9Eqae1apSWYWvAaTeZCaAyx5OhGnVqdBEIo6pN
1G0bSnRalEJdmb7RUmGJzQV0lnbZSKiF+Q2dAwsOLuQ92ssXlsVJ+jq9CVAw9uZUap5DPmuuTiVO
uWn8Jnk1aX/aslatfVnYeYEnreW2XwHj2RoDKpjFmNBIiy8dEl9H9tER+vUOXHWgsUEVzGfd5aTK
KmN6B7nqDp0HoBJxZFl/1T3VxE7bSyQHwAihgyHSYvLQl+lECccUcA63E6BkUfnpuO1S19hUni9e
WyqdR5da2VXZac0qSN0CRZ6+X8cFVaHBpZpHC01EAyCKl3qmlivAPd4yKUoY+VVdrMwUMYVMrJEs
z0x5b5Zl/Xx+4E8PKT6UMi+cggl09nXN/XHDhyH0qsrSCGcqy30cxb5d1lljrBB9Le7/+qNIbVlo
uA1TopplK8jgRGUdQMBo1I4Wc6z3q7yGRA4f8ZJ/95de9vFUkndRb5nKlnzZ1235x2fVhjB4RRFy
ZaUjgrVFNxCpQXtLSqldwmk2FoRshWorTYHlMsXCZR9TJOmkSWhM6AdbNAoxhGGuv4l53GzHLIZ6
3mXFi6zA2QxMZtL0JPU28RPhhlK3dOvRdkM5O8g3atF6qz5KmhgJh1TcKvpQbFOMRa6KIcsvgUVO
KrQ0DKZLbYqWgIPPU3JpQGeTwmDiRMagf2LoHKcLVJuE28gFPLICf9kKaxELEmXpQqAZYXS2qH12
cU7vixwCajF6goXqkO1Jm75uPN+WUk3LF32niptcMqGLFp3hJyiXxNqzXOfKr/Mr4+R65hNww6Fu
OW090vvjY0ixOOf9MUIRKGyDg9S4/U3eGN3WGuUIGKpFSWQMLh053z8UWQTIwoCj5jEBXhx1oGKy
BOS2q29J3NJF5XrNokZm+n2M+vFRrc38AnL5NGzkU3H9IuAkvIUMPQsbgwzBRMpmKeiHKNtgfyBt
8pIgHm4tUY8bqZkz8j+kFAIChsMkhNOJPsoYjVTCQg2FSxX+k0rFV7+J+5hFRNFtnpkqKsqVXYwO
pxbwrILG/hoXCnFzfoa/+252vk4XTadZR1H8eIrxtYgiulcg0YfSvKqCxHsa5CJ2IE/529qqtIUb
JeohQ9zsdlCBZaLl0l/pZVutkHsaXs+/zjenHu9BKw9OJH29udx+MwZdh5ha4khBE77qYYLwtae7
b6JnEZmcf9ZpI2dCov7xsFlsNkDnZ5mxQT3L7Zd+oO+g4qyoo3ZIpVQpxeHglRlGXslExSGJ1xee
Py2p2VlItMULKLRPLOxSjodeiSMAqAjAUKkJX0NTsF5CrfCXKmowgMy5YPIx7F4Gmpw3Pd2D+9Ki
NIagpPJYddpwIbT6ZrlxWAFwJ1GZFtysbCSUbSGlip86kQSaxdMFbaMhHn5puX03wXBdLSJNEkm0
AI6/2VBHX/ZbC7wD2SL2QWZ1Lw9yiTAmKEi7TVHDCDOW6zJLknStIjEfYLLFa/WdWPl2pUQxv6Ai
URSlohdSkk3iYnl+Yr4Ziq97EMz/1FKZwxH8hnMpNZgXT6NGV6OEutejQtuef8o3I0EBGwlmdN5l
/s/sbIUONBhqgDHPYCLDNLYBVnNxCO5bt6QLQdx3H0QkSbajTlr88xTUzCyarBZHCd4D1l5FwM5D
ayYdH85/0WkjkETuqz2u6hNFaA7v1rwgTy0VKaAek5AHZIST0Bbd0NQXIaiV3eB3gJ2SvhralZ+N
Pmzs1u8MG9dAA6ssv31QrD5I1yhvNf5SaHLwdaNnDmSCqSqrtt65NUJtfk7R9vybfzdAIP2A+QA+
Vk7IrbhRIP5WQ9zKRjCyZqVaewRuLjlwfTPjVD8pCUMggCU2R5xnfiabdUCJM5S8FCE5sVoqgpoU
wHNH6cJ2PmVZT2QRAKxQQOH86fO2U6mhG+TTPAe005EoCIi2EmOlN2mCGmqcSQgMjsq4MNPMuJYV
bBajLBUc11OtG7qJwqIRWwLj0qrvekBfF9L+794OGiJHPCoCCrXQ2W0r5YPlQ2jDWRlTmcam7yZ+
yqOn/ySKl8zrwRUNfRsifHDIQ0XNlnWctve6YtLbNNgqLjpQYlLZptETJSkya84uAR9fglx8sy5M
mfBwcvHASWCeeGReQM0QzIRD9aLcNjL03VG5dNGflsZpLuHmY3IooruNcdXxmYiziwU8tCmdVCyR
9m979HXzsVnIeAeCqA2ChYEi2CHMKv+QIbkbL1CK919R3H0ZJUFZAK3KL53Tp2kftAhMWqG9snZI
uY/fCbXVEiSrivxSZnR3uVpPSnZF9Bsp6HGldkOzAQuzFMLksybJXqq9la87iSrz+Y35zUKhoaUS
nRhUs3mZ2X3RQ+OuoFQUqKzoIhjqOF7S0QpvS4rC96k3ogGeJsPaE0U8OovQWOpJPjgCDnUPpVhA
SgcMs9SLbNxKkVJcCBpPI1WazijdQNsFvaZqs1WMQK6l5SlzJgggXusqM69RYbX2sdJjggTnbi3E
nXmhwfPNQ5kQWlfTiFBRmkUNY562ldag11S5I7cT4lnXaPjU66LPBqdwhXSR+YgFXJiH08ILPT4Z
gvJEUpCJzI/XQ+vrkYxSX+H0ZVK9+qyZhwxo1w8z79QDGpGoY6AbZ73ruo8sLWUWWXJSDbksNGbc
+Fn3a/9nhRrAQYLBOyGljOG1kVP95fx7fvOa5CkkXIAJae7NZySLm0qoxRzMuZHUqyZT/X1RIh/Y
pZXyBmT9ksPON/U9HDngGoMNwzmJ+TgelwKERRFqPFBtgVVzj+AjGEvq+AMakZdwmcvJz1wNh1tJ
8PqXAbm8SbBITcyFm9faMoAFIG8ygp1wWXKz7Uo3jD7RjUxQYQp75KfPj8/pFTTdbkDIyEhFgoFZ
tB9DpgOsQrFeEsSOUNfzD15NUaMxkWD664/Coo6iLvsTpM1sZFqNCB5UKicIEkVLRBctOzfD1h7Q
wr3wVd9sCQ5OGEP0PJkFfTrG/ygq+BGFPEGkL2FkSImCTs/Mn6MiezvBEgdUg1HNBuytlOIlCZdv
hhPcGuHbFFfpPPz4wch/xYgjigg6SGWx9KrWWqRqGtmW2noXwsVT9J+B2isPmmJepA/0aRD++Egz
DYHwqNOz3Cg10dvt/c+0xNx5sjytazvqFXJmFLJHa9UbrtYtDU6kcZPHOur7goBopk3AieusXlgC
WrgJrUg9MX3PQUGvlLceboZIc3tNsbQ8uXAXAlqrb7mO3Lbdgp23cFQgTbhwsnwzdzSE6ZKDM4Yw
POcM5YUFTCJxcyfqNf8ZZ8lmr3AhXGn4D94DHxEXyRiGd+fX5um9TkykgUolXKV/NhdWMz0KeYgL
Ie1QZO4ypwBqK2EnXorBFKbkOMH7kluYsHGwzDAfOZ6yXmq6qJIsyOXBIMNRGPQ7vR/h6sNGGe2A
TuwWIU6NGrSqHoQM0itQGhREcsImiCCCue2tsbqI5DldtZgR0vGWWFEUWObbRcAzYyCNLB3ZN7k2
QzKOBS4MmoWghjRaTuh34Ph9rF1FW/UUY9VITTEZIhVxjCaoa3h2WsXGmy8m0U3gVg0Sk038fH6K
Tk9yFSQb3SjaEZjSzXuNZqzSqspFiEUYNbzpsQ8dIlPVxaAjUGvXse6vzz/wmzCM1cXdRsULrI9h
TG/0xwbjzMV2SMC8NMkKZYn8kI58OcCJEJG4NyJhP4RbXJoYPavFTov7blVWmC22veLdg2DV97Sd
L4LbplPyeAlB4mJ/UJnR6VjNd30ipBISxTKSXghQ5fAiTeNXlPvhq6/l42cW0etdWWqDyFqUQy5Z
tlnTPFCiSrKV65qYLMQ0TGCAIm35IpS18gEqu1IXZjVKotOPgIQl2gy/LgzlafRIV40TkdiZCgsT
eTyUXQEITyxFAY27FkOStoppJQ1av5XpSC5VZVChK/r9Sir17lBYRq0tWjFXPlBN1lfn3+V0sWuK
DsSDgjPYO+qYx6+So9pLfI1eZeXl77Ccpb3VKL/gA9UXgsHTM4UHgSnlUgUoBmT1+EGCbwQJy4sH
lZ3rSFIU0kalO3H+c757ypSPqCCtaJqekNBlN/SLmkQnqnwWRZuayz5DIvr8U04HjbORNQefcDqS
55xKuc2Q3tClyAn8rHQmpOEKsUxvV8nax/knnX4PBQOdNhVDM/UfZqNWkBNP6vSYwEZpuqcwSPm+
qy6KM33zQYQitN+JEAjYzek1/tjbNYZdilS48Gy7yLoO8r779Kg8L8oKEZqOpfnixXVow7XFl7gZ
AdRLTbtAoLVwvLSkr4kg4j72AqTjo8a4cLWfvhy5gwR+mlyCLHBu/MUxLbluHEMqVYsPN4pllNEq
5T40o/rt/Gh/01ecyhzctLTzNHbobGMqCDZyhESCjeVWzfYbpcgOJbnaAeoMl13Y40kvcGU4wEjl
hav71WNTld4zcav8l6UmEFKYmFgmMOEJJjebkzClNNDRDuK6A9mgimO/1WUv2lz45NM2jIUWj8bh
yeqBxTT7ZE9oBjcqMBhL5TJ6srj77cCkFYM6M/gUVQypPqCqH9Vt86FUWbdA+6b9ef4lTmcYxDO5
E/+BbY7y3fHyg54Mj5E7EiKDHqz8gcyQwkWDjH9xaVS/ucYmbR68iAm5sZKdE1Vw5+PMTfAnNP0M
xyAti6cyWhDX0h4LlRQ9X1/TfsfZaAQ2xSr1ehiIBxxXVAFGqXjQogYotjQ+xsoMDef8QHz3driR
Eukhr0cCO2f4j3GH9hkui0CtTPQjWwTa1jKc3scajv0jyu/lLhRbMXA8BYINcBdvjZT3vZmacEMG
8ge8XUZcRc+/1ukpROmPTYHbL8EGel/H84M3RewLdZQ4Vd/E4NbUZKuj2P1Xr6IJZQjThSIjGaM1
/3apD2uRDDV16EAJP/M4yPY0zEea+pp4ocB28kE8ih6oKcIS4nnzRYBkqZqnYIgcq8O0sA0Vb02K
/pfryqj5ajCSuOshVfKH42FLXQE5zQ69d5gH+QbwEvLepWkszk/OlJMehUCU2ylEUY5iB4MgnW3g
IDbG3kUU0YnNtH8qokB5UpCRfTaUStyCb9ZtTxfLTY+CO5J3Y/bXZ42S8OR5yR4WeYnjjwzc1spS
ndQKSMpUSLXSdW42eMhkeD2d/9KTXIj5MifQ8NTwn7bw8aMAkRH0VwiRyHKGeldip7KEi9XOJzRX
6r/u9DepvUyY/i90GmJKx4+rEJix8naSmjH1dJtwOy8LvTPpcI76Qo7Cdh0Vjergppev4LORI5kA
HiSavzb3ZrBEzbu9Pz8ClPZPZ5uXon0ATIAu1PyGMjsuHrPAyoQyAXYXXYN2s0MlTwT8ksqd5WhR
j/VFnyjeDS+A994AnPw9LinR2WamqB+BBwZx7Wte9z7WyrCng92sC5RTZCeRdBmcfpJy7Xm5NiA0
UDXZCDjIGmsuiBgQ6ehJzT2gC72GrVKI2oOu141qQ3QAIkYdFtMwXxrKR99FhtlRvQ6BC7fuEEw2
ym5IdgShwEJTDmEH5jcqL6InYANdd7jdLNNajYKFr2fyoRIsN0R3pK32DUJWKPenvvmZ+EO70fM+
FvBoCkc0/MGxQsxu9fJA08oMEcfusGW0ykbxHYAEwntoBN3e8oH2QboPFNao52HY3XSG8JYhtv3i
Ga6MlV85/GiMSvnwwkx4y8VAS7FN1/zMbuTIsLgLGuGAP6+Au7va5QhPEyUVV+0kQbTI2xo9YiBZ
KDtH4oi2EiibUNiOoh+sexVVpHXi6f5oF3KOyp6Z5QgLYH0nLoRKtt4SbBL4QIhpP3Isd1VbbEQ8
uIQBxthN7ascVBJy28AAkx43pyYedH3ZaAUWWXE4IjqKuCbT1FPxC1c0oPPXNskSGa32akQ/rQ77
R5DCsrowerF8KtMuSReNVeOzAtq3NOwM8HuxgChEi0OTBhSlKssQc7sb8uZ5xJXxERF3+lFhXtTp
KmaVeEAQ8z5bWlg/Zrsxn9h1+Zgm9B8aLjesFSjmL1pkYlubVaZrCzxM6eOVpY45V5/mKP6RQcv9
Qp+ocVAzx/gjHKuejY0cv2x7PYY8ipRZqe1ZGuZIgLea58ZKRhGJ6pZIk9pzhONw32UfFDqb/sES
m+I5Qh0MNCEALFYImegVDQFRcmqpAsUdEET5YLGU9lasUe52Ut8oJ2I+7QcwhH4+Ga5HCFawn3zb
czvjCTWRMHMU3zIP+Vi2VwqjyT9neJMXntKq43KEUIkHbwG51cniyVuBhWhMKL/IXA5ZpvU2hWGO
4fNHwekVxmVJuMTBP+Fn5nGbO/ZhGUY5YGMPuX9RrLlmLKDe559yimme2FlgLNg76EaSgxwfgnJu
GIGcTV4wXYCube9HD3En69gWAEh1fTXeUBiw7qReQRY61aC5yELtI0Cca7eGFIdPfVNgpkRJznpU
Ykunh112F17y9AaEojCJylJE0qhwysfvqNJBHZuYXEQq4CE5wSRLbIHVvCqCQL0be214AjWEPgx+
kXZC6f1CgnI6FUDvyOLhb0DNpCZz/HxAWyNQChVVYjE3b7I07h+qSrQufOVpbMh9ZHLXkqDoU1gx
u+gp9MiJ6IeJI3R0ebpx5aoWts/io+ZpKyPVngFPXYXmiL4VZrQDtpwov4g3ZdJeKNydhOsodeFG
DMWMJi35/OxilOTcrDsZjparDO5PC/eMRZqN1b7QMYI6v/5Oh5bNRzHOROyKq9+a9VU6tehiovDJ
4iE31rkSu7/zyvjLHg80MKcEkwwE7iuAg+MJVK1BMyqaZ1iM1tGqUz31MQgq70IF5JthIxKk/EFr
CoTfvP2PWD2eSTlVqtJtI0xNynGFD9wk129cyGO/GTW2Kp1j0JEIzM4VIEsF9IKB9bijmYQqUWAM
KzcHfnx+bk6xUcwIPWrwKlOYRFXweNgarfKrMMCv3kJhBVuplOqVM4rRaC4bl6jIhqDY4UlEFoWH
WDh0L7EW5iEWUwooaDcvmm2jNHF7YaN88/WkKTRnUX+lsvWV5P9RzKj8IlbRw0dApUz1JZRLcxlJ
6Bqd//pvnkLF0Zx0OQhIgeocf3wkFxXWnVSJjVjCcM5quoMYx9KFMf5mzdBhpwRP5YzcaA4v1ppI
b7tQmgTYkBvswipfUWGGnVYal5K80+LHxLunxEuvYQKYzQGZuZtlXJsFiYTRirc+vjLP4WgNT02g
+RsZy4HbppGiO8/1AmTNZf1FbSPtsWhJlM8P7Rdu8jil4U0UDlU6uBaLZHag+znyxW4AUEZHLizY
De4o/vCjpv4JQDEAjwYNvrK7okvNPUJfyrPUFaG/a/VgiJ3ErNUHl97MkxRl2AOmEfyAWM6a7VAb
vb+MUSv9BT0b4KhMfXcfW0NercaxEz+iuusVZGw8KvhhniS/Tbcr5UXmZdQSA3XUn85/5+nkyrRY
6LSAX5z0SWefWYd6n0uggBzEfMMFpUYV2cFQ/gFl0rzwqNMrcqrvqnQvoaWAmZzhBDSqx5B5kH4e
FCWQd6PYNEujUCvPzsNMPRQJFtbLDM/WH1QlcmDgnVZcUpw/Td/QzuTSAHkz1Zvm76CXxYAaCyZE
PRbVz2mIaQnO8dVKMQrlTfajfqW6RfR8foxP8yVOAggbzChF7hPcHjYmFWsJaVhzrMCJup2mvSDX
pV1XbjByk0aXmManGngTcYZjhwmlS2LNG7sRSYYYq5AmokgqHhJzxExZGhPs0ArPbJTt4CleiZ+b
Itz7sgUn0Izy+MGw0gbrsjr2b4POJb3IcgHJLgmU10OEHctCqSEWAC9AU3dLv6n4lVVpee+PXUYL
UPODV5ydLMRPMRO5reA24weZ0r7CNktogIsLYbzMvSyKrno30gUb28gCNlSTY/lSmEIiLXQVtMyC
vEf9LRhDlW5CfKNVUCMVarpFiaFpMEbDj1IoDX+CXrrNpve4Je2Uc+sSLexkayDDzsan+QhUglxj
+vkfZ3ipYV6K0SEeZmNVXVEwa2AmYLSsQkpYnF8hJy0k6hZfoQUEH/bhvMPqwaoyxaBtKGwb8XUk
Q46bBLjKDX4FxYYU14MtYcgHN4uQ/jv/7JNLhGdPNhocAJRN+e/xZ0LtEjwYk4ij0DHZgT4oHH5B
2X495b9+9f/tfWa3/z45q3/9D3/+leUoO3t+Pfvjv27yz/ShLj8/6+v3/H+mX/1/f/X4F/91HfzC
ZzT7Xc//1tEv8e//5/mL9/r96A9k6UE93DWf5XD/WTVx/fUA3nT6m/+/P/zb59e/8jjkn//8O4YT
aT39a16QpX//z4+2H//8+xdC47/+/Pf/88PDe8LvXb+Xlf8ex3/bVvF7+lGd/Orne1XzrxjSP/5T
gAYYM/Xl/v637vPrJ7r4D2vS07ZoTwNwUzg3U5Jxn19S/wGiQYX9M/kfUONjXVVZM/1I/QeIJ7jl
zCtHHWee/vf/+4pHk/W/k/e3tElusyCtq3/+/fgEm2AoEuW9SVF+gp5ANzheI52UxEmHGNt9SfJO
ioOfJELPLaxbhCsL80Kb93g3/PtptL2RJ5/6qSTpx0/TQ6+juJIn90ZQRavkjrbWTQebF+rhdaag
1wgCKtic3wXfPJOgmzOaIaa5PIcRJqHry03SR/dAficodwabo1/TmF2iF2qsAznaB9alyOqbYSU6
BiwCjI+253xYW721mkyKgUuP2rhpa3Nb99ZLLZj7OMBd9/wXEhEybv8b0jCuoByQfZnwBIwrmfRs
XI1J5DUWMZC90dqVqS2UAJbrh4hzVQ8HL/wIdA29gx+N9yCFN2FzMGssfjacOKWLncdCrp1RescO
NHQXjf9heh9m9tQXL35zK7bbuv2tqFtUZJsadUNKQI9qdaP7+9h0ClBUrWP4Tpmszep1rDmwvdxG
H09+bMpt5S/UK4wG/eWgfAzZo9o++Okh9m9G41UX1mO+Ns21q90rFLnkO1G9NylwVNiAFbJsd/kd
pjrryF80xoZCl4zLvI8qL67096a7VdbGTsk9oBI2OhfW8/iu+9xVsO7jXfCqvkQ/p1tSuB21XzBN
rwM9d1BPLLJbOpyUuj5N8XWYJHLfC6qHA+bQaX4nFz+LMELSF7SB/Nm6b7Xm4kNse82qUrbI+dK6
gw1c/HDHOxdmjL8Su8mCGWJKqVFR+2GEsS0pL0KwL/udro92POY2bW8x36EJVN2mqCu7NpID2Zcj
zoq1gMBzGe1Vl57YKwZvuroGABxgSZBeiPZnlIt/rxIKrQYSJcThJ3dREXqg4jpLv6fYUji6juqi
Wg0ItoogThCcpMhbBcpVip4vlc/iMavVS4Cjk33BZgBSOuVNSOdSazheqINR11E06Op9bb7XA/59
mASNjo7Vlc1VJl+4fL972r/zNBokbMJZCqkJck2BudTvUU99cv3cR4OpAcPVhld96dcXnnZy0HDT
T30/nsi+p/13/G3U8/BNVvr4sYdaYyuTb2BtPBm5u627ZI9XJwqTaXjhjp9hIJlUnoqiBwk/aD+q
N7NYZnC9VFQjI3osB+21NjZ+0ppPVF9FGq1RAV6mGu3S1/slqqGbL5pmk/uPQdLe6WQ4MDlNZZvU
Ubbsg3ah9+H9+bPpq0F0dDRRJlD1CdzDRUgFbTbjgaxR9JQ96yHNr41mzWwbioP3MvaJlgLTiN7z
Zog20qrfih0i4AsMb/18KXxCtceLVWzsFtfRh3oT4j67Sq7LvbQrttoOkjRV0HKBpJZ1rTd8o8Nf
JN7k9yTYsCCSSfBsBbbhDqacTbBZiLbwIVxBON9o+Csfqp/eg7+T9+VbvPNW/hoTi6UMBEHAOdGW
woV7r72eH40ZmZbZ+hoNY+KUUUUAfHG8RryctBTzS+vBfOoGR/lF6TOk5csWKNHYddzfiEA/xVTO
b+M9AwFY0xUXebkC/9cA8n2GOS0Ax37Ir7t9+Jn95DuMHPnrC6vqq/J1Omv/+56zZljpiV03tr71
EG7zK3WwO9Pxt+Uq22cbYZNyjP5GuFX5ER2oE961P6Sb9GrYkfTZrnuI5LVLd+Ta31obz3Xke2Wr
0CgKVkG2sZplFi8ECL9E+T486qtQRWn5iaJuqpB02whakYhwg6FOHS39zjY2xt7ddrfSXX8/CHY9
2SHzFxe9Zgc+oojrWAfQfKP2+1FbVe61ld0O7ruYvdb1fVo4CvLGP+IDhPOVusnX4V1+nd3IkZM9
lNfhWlidn98vRPx83MAfKYja02IHPXY8vxEA6wTRH/MheEZK9kbajjcooh+Sg2VrG+FFfa7s5K4p
WK12RBcM6ZOaVr/TWitBcsLa6d6SfgktycSapt8iwViWa2TxUskpK4ffi8t1Yy6NYDVqa79AXRLA
jhM0C1pApuZQFKPBjUGq5DvVVbjXokX6xr1jmEvB3xU5m24VvxUPwq7Zmi/hm/4iXbeHZCXccvEo
hR3e4QiBUnfH4fFAYUNTH6x26+OMRbE32ygqhOuVEK67EVWPZRwtxRqkpB1eqADPhFX/vUsgm4OQ
ZCyRDJ7VZYeQGCch5nlwrzGUfG52ytZ/cp18EV9NBvP9UkBoOlv5QGhpsid2cq1vm1W8T/fBulhY
d9m2X8ordQX0Vn4Zaju+vkSlBu7FTP450zQPEZWbsirScAqUs3MXO+2+GN1iuIvNdZCsM2SULXzK
Vjr70cPUUen3ER2fylqic+B5uzzYxsad3t6F6Va0dnq3r/JX1XpC1KyqloZ3rQ2OiD69uwkDp/iV
mysPlZ1sV/8ebnzgwKWt3KW1TUNJlmz1Aw106927zX/L9OqyJ2/4YZY3Ur/k5wg0UADFtnvoHLNZ
4lbbdegtrMoMd5wHdMyrYjF0O7iVyqRasHCDdeyvAm9TGymxje9AurHxgIyzXSs+YcpOk/cwRte4
rSA1MZ3G1U0QGvaYHmo1cBrDWsjpk64ccNdmY7bNJy9f1GtDXIb3kDebn5VkK/pD1OxDHHCjO5jX
+vBzIFbU0w0WvIsGdcTCQIK6IQ6h3R6rfCIvoyJwb5ZEgqHjJrbAGalocBdprEW2iJZbbcIQXuhU
CTpfsksD6fV7w79tm+vKDFat+RwYjzJWxUnIaF3yYZ0HFyDGdAJ8tjogdFKo2VZ3E7nSkTMT71MV
bTX037euPtDEd+XKGQvjws1x8jQaT5R+aCPoMHGooB4fLGISqnoWROW9Z5ofFV65toJsjC0WyBBS
0byAhZjpkYCEAPRLfxzxFNJDMCxTaeGPCkkdiHpFFdx7CHUoco1UjIsgTX8pujrF+Tt6n6ITGNu0
bZUrJAUWUectIDSUGys3dkhCupdi1+NaxvRCNANo1PBSFBnp1Ry/kNCFaiCi03Mvme5LCYpqReCI
6bB+5VHkx6LcXdcKl6qQ3FkRLn6FcadhB0A2It4Zg3qJPjyP9XgdwhoEP4m60CecNyc4m3ovEeXx
3i07TMxRrFC7Gmx/sbKmOteYZK7NEGsX7uXpUDk6dCZ3O/hH2PhQuqI7cjwKfaDUhol/5n0T5LgS
RZXotJJH4S5n5Z2/yk6/kCKjRJQyyb2Ampstb8GLVd/Lkua+LjCfBqhf90aFKoXvk1m+4c1I60dS
L9yfhMonXwh3deJlT/J5dMZnC4/Kf66UeS7fR9Euw4IWzTT1A3ckJ8oOOE6p4aaxDob3niY4m7SW
HY4cCuLBFK81K7Lz7FUrUCi4d/PnVLzt+33aPwz581D9RKCRisaDH1919c9A36v1FdFylO6jcWOi
QFpcD9A1qImqy1BB60GpKMonzo/EwHoHHPrWKDaoT3P4keGZN2O5DMYNJgl9fmcE7PrbtEHqdINV
logdSqEKh2LcqMN1JPzOyDlGWXMqObBdYWVw9ao/dHDr1r2RPRcGmRB6lfvIvBFwaFVwQX7WhmXW
HyqKg/qGO6417mJxa2n7MllI6W8Li7CyutKtG9PgoxO019YUGe023nHyj8LSEl7M8EkeD7J/T4aN
NJjLNwWMorCT1U+3WWvoUWeHVLkLiseY9BbATSit0V0BVrENGStsO8RyYQhXQd0s8gSZcvP/UHde
y3FjXZZ+IlTAm8uGS08mM2l1gxApCd57PP18UFdPFMl/xKi76QpFqaSilCBwcM7eay8TuIqG6ajf
v0WlgKfSd0ninmrf2iiGJ2BX+oYJVYRav70rZpqdLSlxpbarTCx7dvTPunE/9PdryF+c6k6jXNvZ
mUxoF76keLKyBaOIAxrnda9uK09JDqP2BTXv06lNWQYTnUmOwpCZXeX9C1THxRgaxA1cojjMaNj1
1XjKxAuyVCp71oTGwaTe+OKt/VRNo9zTeGfRmTP3Wmfb7z81WiBRTIWoXBb9RzEgBYbTvHgiEQNm
eUjrX61wI6a2OnGYhndKR2TlPihIEjqp9WOX+2wo7fQimH5mnPLpJOdEwoh2qt3ha1Zrd7P0LQgd
Ylgry9cpGps9E/wQaEffz8m5VRNXSbiz874ufTRSw142joWdKw9Udcs5CGAW3VlD70FKGRVXC/1B
8eXAJc+4NfcLdCpynwlGmNqfYeGrGnJgr/yBS7TIvRP31t2Qnm4WxW7G2yh5LmfN1sgUqeHQSP1x
Ue8q1IlGA2FwHw6kueLR6uP0VcRfzL9RyH7aOlZuPmxBmmHokB/VGtDFK2JUFPkSK/uU0ASEU8ds
p50DL3PGX8Ngl6dlsJtn1XChU+FKhRZ7JTAOwZ247CHy235OSzoZpyo6Zurr+oswie04fwx0h5Cn
rLCXypXxLpwcAm+F64wzxz4xTlFxusVpF8o+mZlUzeqO9F1bmX9OQ+elynNvcgtKfjqW0y6XKl8Z
yK75ZsXfkX5bYD6WE5SbOb5GsSdPW+ipZyzlyBSSwkM4uIX+GMwPQz/gaFrb8vw9VO+Uiqyh9qQu
G0G/JaBCoQ4QsUXPRzaE5naev5v90SqhMxkXBLn00cfBxawu6C6iAGZHlHS/L0yEUZMbkma9uI2+
iRRmE/etVuKJ8yrFBCtiwKU193jIrrdsph/s063IMdCcZJrrhB6ejB3yItLJJkl8fpSOvXyqlY08
2rp4o8aX5vuIIPVM8Ee1kDMnnDJdtcP6VgtugmR042GjNT8YOlnRCZbVNsZjgCnasWjOrfYohcE2
xcpfrm7rzvuupZGj9a/lpB37Lt5FCn8hIWXV9JpIbm78FAlRwarUbpfIl8pN0eDWXPtG90amGf6Y
7OtMA8u1FQqazbyQA0fA0ZDOtqDek+wTzDuCvaoeXK/vz6FCHJAOUfiHptzDuRxcYdpo6aaPqZm3
yeyGBNm0lPl+adoPPMxN8e1RfhUqP1o2eeCLoptchIdedCVIf75J81L7yuhZRDWnXjOd0mjDeTDc
dTfTQgvsD7zl7ip42kS7OfEDY4O7Jc4nJGvu58ytHrr0AKzqIwNbvEnl4LEVHNTcY5VtRkeDbsZb
357i3osMX98STOaxP6BUD+3yW3iw/PIm/S6ca3KPJHu4YFS9G7c96PBtD5ZKzBq4yyX6FhZQUG1x
W1/jhKubVc4yJ95Vh+QJ5mDgzHcNdpdPxRc93wcq2FrgGZhx6GCTjLvooD/gRCW1fJ5ahXyBeGZ6
A3mTxHwNDg0iCVGKuqZpWV4iFjIvKLhWmPWuVaL21gF24lq/gcf40ArGsRXTL86MT6UnYxEsqFFt
SIh3sQt4v3tbdZPHQtBPFywdemxJ5NJNiyH+l6MRkHu+aUAyAhmgeX2USildHNRmMouXJKaqqLT+
UYzEs4q8v6iW7/AJz2NifbFnEnf/cc8EqwS0ZPi/3nlmCO+/N+hggpwks3QhZomJNU57ubgFiIoX
dgK/LlzwbyyydGlbyDeJsEE2NiyPGXssKHy1M39KsfvK9lN1K2TRZwdDukBxdSbhxWDEPw03scae
cZgjUsvOy/hTyp+N9iBmr0N/xh+uTB6L4ddi+qYCiuVIEF6gsTJAJloicXssbVtbAoUnFMNnDSSR
X8wOjtHW5JVUUsk+bnYwZKfRlXsnix3emBHPmtlm8hBlexNY2YcnvJUPABpkrch3rUcz6YAXukBX
G8lHtu8NfuuFN+Zd8K38FTykv6pn4rnc8sAcha9jauTXHuq+l/Qpf5Ve6oO0k7/NdwI/a2fkZrFo
myJjFBsDN34U4XaBqLtcBmE7FzvFOE7jXbExlW2Vvw7p25yfJvkgDj4W7mJy2407Ab8jiekXLmmD
dk3qo1g+525RH3nBF9mP672UHixAnHCXxdtC8a10M002B3YR2kzh+fdwEe/rl5Th8ssMzF06Bnin
xM7GFmhnePS+xK9/bhBodD8vHvga6ANWBORzNzJ3UGzMrF8uePwpRFnq2yQ5qqovTX5gkZ/l8/vw
dOV4xwjORvDLwla/WbXbqN5Q3RfGa1/egMWby4nUClBGVdoMsV1FXrT4WmyHtG/kMpMTdclehGcY
4OVN61BcgxCghb12gTdKuLp58m1wnZ+JtUhnn2Q87U59Hh6lX9GleMxZDXfhsdpyQXty6nxkdY71
LRvdqbHLY3Db+9hWuPKueKy+a48DCT0pgm3NSa9s97+0xjZYcA02Odjpun1lx1zgNro1thlRjt+L
1jW2+g4n2Ua61291v9pH3wpITqqdee2u+wUSyMEp2e2LhsmLrZ2Uk+ZZjuDlm3SDY68fHnWbw8QR
/Qa1gQ2jHICGFypxlG9gLeI1OAb34gjeAeoj/kApviFmTYFyktj1qdyPN8oW0vqPlt2aYCH5VX5K
DujwtTuU4+p9Pdq8cZDsKy9Z3DT1xnmvgaFK3lJscXMWhh+VcTcPu1m5RtWy0aajFflJi0zGiVV7
PRRIrriIL8VTetJfemKUeCSn/KGubX4YlcePJnB1YauX/iQ5UmevmcCpA9Vr5OPGrdUeBuFgDnht
i6B1z+28hzRnsL+/DltjY+ZOh7459sZog53dcIdJg/Qw/tB+Die5Y4phN/xNcLGZUaYeCBL2xo3u
YNYXDFgub1oNDdNNmp1E0zdUly8uyZ5R7egn3rkFGaa4DxAxO7ti7wfaPrDcJjkokq9JfqDsJMk3
y3003qVArOFW73+pMfXUVWFEPGzjetOqpzJwlPZ2pDVJvK5z+c3esM1qQ8xRN7LV2QvLJYCe7TJE
HJlaML5jEvlFF/EZkyE0dZ30rJYHlLjWB0xe1RrM2IN8ueS90dvGyBsexFNmpwPzjig19l16kUg4
lPtzUXqmlpPnzD9OLmpAvEr6xYn9CZHicjg24NvDacZN6MOB3SjNVOLcKl2kZ6uwZk/UKiasJWON
6atkc0Z9n7YaCGxUBijFGOV9QiPELFCGVKqWy+Tm23rf30zH8VH2Et/yxjOvRlzbi+Tk0b6f7qvU
aWRPAiJ+kM/q/Ywi4gxKngznhOxjEHOBfoRO2I8t9ByOHG/MyDbflodZtB3te04Ok2br5Pmg3y5d
sMyWtX2WDS/vbrPWwdDJQInauT1m/qXb0JZ1tnhOfq0v+i3GKsNWSe5D9WYePIXt+Tyfq4P80mzD
XX7svGUfbuKNdUk3gtcd5rPqphuw1Se+7pbt/bH4Ph6rG9kf2ZeUG1Wx6+SGNEwGY23iaYsdNPs5
3nTpaenOU3rKVa7DVc8ToeGRo9brdhgojL88wbiTOHIkRzV4Ns54Fh7WvfEknrn88Bs6kPBBPDNf
E5+VXwJ7ZHYAJ4acGLwsC7IOm4aIPUY/Kxfd1d3SwcvDX47Ut75qc966sr/8ajIbKrrwULwSX43t
N9ebPoy8d6Zd/+RGr1vNdtnrz9GlLe34vrynFRL21V1GrNXPAXFRaFs/rPMowNaDMGfz++3rwKbF
KAl1rGz3v0qvONW38TOwyd686ffWVr8kP0PO53HfHLN77W3ey6f0FX4a265xBhTmZ4H0owcFw1yL
WFpaaBsJpqasr+qiYzh+1wYHs70ZLVfw03KfDdt5Ok7DXd+dY/UUqrhv+b3uYvBUSX5ssumwPbiZ
sLFaTIcJSt8uBDtG/kh++uyolaN/A7DWWzZuN28dgh5yXEGeEJiszALE4t7cndHlyDjE9748X2T1
lLZY1Dgt33dxFJDsdLdCFzipdrLixyrc4z9jfIHr/od3lkkFJCQSOLCr/OgzCEHQwG2xWy4L2sdb
QYmLw5BLkx0M5IfW3Ze+hp8/D6d8RPnGau2AluQD8EGa/ZyMuDhfAgBlp4tNdsym3peEGM6moH8F
En9CAAB3qDkQCkpwUdks31ezVlIpmNeZ6YUMgcpd5vxVk4v+rJDf48zdmyixYc50SYTXehbEBwKv
C9LbCo5UXKqcLpfBnlpG9bOw6YY4ciqr73wrbN/+XDp9vC3cedCgFV2HxrnqXt9fZz31YtIleXyp
FqtktNOzTBG6uTQ7zjLK/e7PH/fBGhApKp9nKjDhOUCgjf7uAv6B5iObI0ayzeKLieP8Iavn45QE
po+LQevG8fJW47DozQkh3LO5MGiJTMMHGiaIQs2aw9DQM/L9rCx7NdjqltAD61XGsUI39+cr/e2f
9U+AG84b/AlYFJwq3Bvtw51pc6EO0kZZrvK3ns+TCKOxs3vhVt1o12Bj7nOvvGNeGl3DfflTeWKr
Zygaf8tSh5Rg6pUmJoPwrJZ+TgFWsJt4Un+TA7iQ8Bv7aepSkmiBKwP9SDHn/7VXb9Rha13y5BBK
hyJwtPpAlYcHa0I+48zAybfwQl48zRzsKNtJGFs1FBE+o09rpL526/xUyIC3d0JwGSn3Ey+uPTAB
CpH5wH8qUFtfS2++q3OGXDaWHOwSIBmDAkTixJRL1HKcR08dux8cK4O0YQfb/YYiUEMY9cUt/k16
+XiLsZRjrMM/+M98GK6mSIyAXzPxulTNEeZg6irGhEdzxEFZCZNs89Z+HwrOzyqlusrFW1UKfiWo
MHYMRc5fPPAP5zquTQoEdcwIkB6hxPlQ09AKRzqvbHGV5VhiipMRfDAOmyB+k+SeqvVhHsot4R9f
Wap9xIF/fy7MYTYnLLIIE3z/BhZKlVt6GxdXUst8YtEIz54SXIH0VcIVy4BZeuv9+Vv99NLzrSKz
oHIDSdA/uX+Rfde1klLn16RMBq8xDrOiE+lMUJqd5Kn/rz9sfZFI5YRxsvoqv//+pnDS4krTuK9J
/Rzjv26nivmzlPqHOYu/qkw/Fmf89YAIUBsoB9dj5UMlqNSKCLgdjtdgSYHcipZaW2Zk8+dv6fdh
8X7hwusHR2c0JEKL/U1v+8culqgEa0m1PlzNE6Ab0Ks93WMLNOq2CNc+p+hzsJKq462ZnbXWDUVP
o96B0FogMtmVxSGJLoJ1W02HSvOSYFMSDa1lfqZ5cu5WnddP7ljfKM09MZv4mkvtZhJcS922qdvF
vhYcOskzaBStQ0jYtuo1y9YKPEtjRO1Kv2gnmVpPlEqdo4dufJ/fS4/G5IikK8ZOdUPtxf/PHtPB
xgkNp2HY2CHV5+D0HckN7pLdlIrXxSj5bxLDH3838YhITcEZoN7UPrZIobFJDl2+FYNNOm6GU7H5
ihn/cerHo1x1TQrkY7hgMPXerxtVRPAcZ2J/RWflWPpwy4zPXix5coauee618jYCzv/zg/3ES1zt
KDTmzCyjdbF+zDArjGgsMjRDV7zr8UGJJnfOjcjDtwRu14BhkqjgZtQP05bEyNCrS0JJ/3wJn7/t
1UkOhScjXQnG/Pru/mNpiSFefKM2FddMUB+zOI+dRo0CJ6mL2usSWXaT8ldvlF+ZgX3eEtiC4WMi
ckMAS67s+49t+5nA8aFqrrPetPvO3Ahw8bRIQyofCl/gi//hLpNloayRfWvqKzyz9x+GM2OP4Kjk
w0bzWovSti2yhJHAr2g8l0JRcdrikYKeZNplVflFs/gfPh3mqYI4BxYgretH0SCx8DIB83NzFXBB
ZmaxuEMRnpQeyyGyME/zEZFVwhAwfGQy9/znp/v5NmN5jXUfSh0ZyaL0AcCV1bgKB7Norm2OjLQl
WQqvU/YLJDGT1X65T3Ef329TfBqwGH43K6v/I5Bt4b0FxU9rr1Arui1A1tjtfqeA9rL+qMhR5MhF
NTNgRl/+5+/zExcUCviaE7AOwWRYKYr8/hFHfDeGUDEBy/MZklsj3kfwoYv+2nfCoWgU3mKZkfSE
pti2OBAQB9Wmp8Y73cL6R6oy0cdQ1jdGVb+2zNm/uLyP5TmXpyEx5rRnsK/wur2/vKTKBMi4oXiZ
6850wmn+Re5L6+tl1dpyynSfYsCAus4o00onduaOJrqOnkiiZdil5qrfmX3p5TrlXqVcZC3rvSaH
8VYlX1zqpxUDXRXZDNZYq0MS6pj3VzoUy6hPhV5drQr+9tIyMbGqWnICOX2Lahhlf74znw7QlZON
CpMFKuG7J3/YB6y2b6UiNMrrbEwKlHJ4K1nQZ1+8g9pHlQDyE/yPEJyQhYTjxkejnVFrCDCVs/ha
Q1aL7dyS8UCYLm207KI6Lo+6ClstRERHI1JXBx29vW0JmXKaev02IAXgXAZW6gdEfTKE0ZBEpuNN
pcXKIZXAFPTlWTVzRrtNot9akQBvaOklf5HfTIi8QoSYO4yEHZcBWgooLGfTjVVroN34ljtZM8M2
EClUOlXYC2lQXiyMJBKl4wEsi7qpDLG960FHg84c7hbDywLZukArmLWuPBt1N9908Rfl6efOiVu2
Wn8i4KGNVc0PT6aNVdPs2yy5Ll2eOCFGCc4g1qWLLBdfDPJPSPbsgn3fp2c283vEP6PdidZPDCAQ
ewWeMqnDE+pzB3cHZg7kMPoq1OAvjq/fHgTv9pz1MrlE3i8ymmju36/XWi7C3jKL+KqRYbVRxkG5
lbpS8PBUlO2ZVL2sD0rYBBUtER6LgcJ0UWx49yP8E9xKkYjvI+wIIDf31+js3WLFx9wYul2q9puY
WN+jKoSHLpDk7Z+X/qeTl4WIHgALbkgZeDN9KMSVnqTaSBuHlddlbRSWxpEJm43CkKGKNZZ2Zk69
++8/k21yrTqQvbJVvr9bq7kA4eJDc5GT7m3JWnxfsqcsSHHhCTgKmX4JYuT/+TOR/PO3vn9GVP18
2MqoIy/547mQKgqq5qybLkXsKsVJV1Fl9uhzHgtMSJreDqVnLT+hRurqfa7D3IGhGdvcFTpVgmnq
2ouxWw9R9aDpFVFmxGbrKvRr7Qy7IFjsEAv9Sn41OkjArzpeJ6VyaID9UADJw+0gp8Bi2wTfmfwi
TzcDHJ8q3QakgmeuMXtFSsdJO/TYZrgGVw+59DrWXssQr9d2quUT9gX5N4vAB/VNAK6eqw96uTWf
Ct0di2dFOYzIbSQbrlR71tDoz8zDoP0wLNUxK3KshLSW6ZdQXVIw8rx2i2mXGidVvzWahwAUD8V3
pnpmehtywc1lBjkrfbwJCRZStJu5cmfTFl7Yexl7xRrJcb6xkk35qwg3R2LBoQ4dcoPR7p+f3Oez
YDVhN5HLAL5TqX0oiTNxxnBdl9knFUyOgwmIM4hvQsi15TikXyxNduL/sEzWNwHTdQ3zlY8C31jL
czGu1fHSq/4o35W6HSy3bcvDE2tHaz0tAy7Qng3zu1WdiOiEmneNuueo37fKi6L+lNSf0wjQVZ3D
6mcmnKLArhdPTZ/wYYL51peHQGQS8yCZD/OM51zyFA6y0/WWbQW6HzMsE0gPD5hrQK0YYI6M6S7o
L2N0KuVNaD73FkSp6oeMN8GCCdLAE2r7GG+LxO7qivX8ZAWETZBDiaZn1DVnLkDXwVNIRd4NkeAp
eCfMOLxktjr2ACgj0Bzwctq5M8msGRM1q0TVkJQ2Ue3IH4ieYArYk5ohKD8l7QeWEHYhna3niZaq
Qf0lQOcvwAzC57rMNwOXPoNqN/xfGSHTGIigrI9wY2wxJsGq5UxJGXMPL9o3BAQjiHxjJ48DlKXM
kc27prok6Q+VEXIqY5o97cwos63w3grv4ual1C8ivJnomSwiSz/UFv0usiLobnlyCbgYTFOsctNX
L5CoIDNPbqbAoWDF9htBc03Y6eDR9c6U7eWx5ORzgsi2LAe0hWla/yD/kq5T5DIHl1QoXulRRq+g
OgYXHHl9dSfcMRscXpUDmUGg9PGmLBy18UZ2hA67YLsFtYHDhq0AfD6OStFNzddRfhTIdCFCTeav
cYfR7VMvVJw6cvV+YyTbrNhYdMjBPobMOH6zWoDJnWzs6tlPGp/cEPaYBlrIMfn929N82zVQ0VHJ
tdOTGM1M5V768mVimgsXdyRI+nH8sRh4g3i9uUFiyJi2ke8xUyPMu5D3Yfccmrts+WYMZEo9LSYS
FpOiY51YEz6CFWDFOmE2am3K3lNM15wOsOLZCvlRDMdGuKbwo9Idndkk79MM+sAx772kutGhixTt
a7pOlSc7bXeFdKdy8UL1Y5DuhuwaTNeEkWOrEZtwMBusBrEMSR+K6FQENwqZeuEmwkcs3ATJMe33
Sbav+7XJV5YtHMliuZWKgy7hNO7n2gXTEeR8yvCAcWG+I3ZxNjHk8qv4vkkRCF6k/twz/g+eZF4P
LDY1y7PMI3T2XNvKxRbtPkZQ9V5nLFl+ATep65n/4bwx4MLR6WFWQtH3qYYtuxIl9XBZGAPGMEyz
pLONopv9WRKvSZKNu6XWx1u1q1W7zcNjQTqvG1hBtIlEsJS6l0GHU0xJUxneXJ1SBBuDgsugTjiQ
mQcMUuzeGu7NpLjvgnWKK5deZohwIFY6WAFlq8ujaVNPITjMUIn+QGqCnVli6mjRk9Upkl0ZeQ1n
dkB9YpIU0TlxpsP6JP0xHSBo/Xkn/9yEUhmhO1y7QUsUcW95f/ALldYS5ihkVzkQx7MeDW6tFK6s
BtiIDRKH8YCkxQxfp75tbVEM+6968E/PhAtYVYKrAnLtwT9gr1ovDcaiadmVFk49htUZTGD2q079
FbcQCLuu75H4ABE38zQ6hCL/QDrO5Kliof/5XqxP/93qWK8ElyeZIRBuCL9R4n8gHuOSRRZebvl1
ycSXUFs4u2f6rpKCd6PLZFSzr//5E3+XVZ8+UicfAiK/RhP4oQ0vcgXDOFkFAG3HzjVLjPS61HhT
cIA/52qIfKKXd3pDupRZtoEXqM1tM8n3CofhvjZneH16/hDKDX/MnBtKoGLNVcfvX/5JAjV8icKc
vrhLv7ld768ZrQFJVAqlP8y0j4V1vARxOsd1ChmO9TFIRbQZJlF2Rry1XWmMO6/KiPCVQ5omQrw3
iZWH5w6iRcjQsS+ywVdDS9rMothvZIwMtbotnbQPJT8MWt3XitLamMaqhMkTKBlt125aqdK3cwn3
KoriN+yb2uMs4c4zy+IX3536aQ1gSAVgCxVaRcxhrKXIP9ZAO1eYOapLesVTBO6v2d7PYvJFff/b
3erjHfznh3x46kGIebGcBtBpWpFxx2Lkfiw1uOWt/1JNdH9GKPu6ngHIZjq+lq31XPe3xZRVfmKI
jZ/Rd0ujfDvhk2mPA8QvZk94Eiq4RSYzbFe4vsGEginH0Q4Gv7mtCHFz0wpTJsvl6SpflfKf3+IV
UpfBsgiHhbj44S2uYlOPtGgRLnoHvak0osWrxQGIwAzHXVTRtOjUBX141KYV5A3DBnGtqUPTGs0v
HuGHiB5GewwTSAmCMrkOMuhV3z/DzlKDmTZJuPR1ttE6ZdjUHXdRWNRdqclIFeRq9he4eWqqObI0
K7dW3FEkoJbwSFjLbI0g9Q0ull9tdSuc+OG5Y68EPQS7B1HBquL9hRXViAdP0wiX2poXpwvHi7IQ
8ttnmcvehgS46F4G0mom4hDWuIWDCJrgGDNcqUEgPV0RomuZT8//ehOil2fX4+mRNCn9FnD+Y803
/RAnc1iF1ywwi5uFflZX+k2QmeNhKYKdHliNW6UmsRzqJDoqX+XobaUf8Ev1EuEwlUeFWakqFsI2
bLucWkH/VVjR7NdYyhC99rcB7r9yV/l/eqa881n5owfL/4fuKgYHEPgaoAp4Oz0xLpP/eJarm8s7
t5X/ep1/xv+0WPmPf/6/LVfWbfy/LVZk4y+eNl4p6xPH6GedTf2PxYr4F4cwEZT4vzMH/K0F+dti
xfoLXRenNO06K3h1Yfs3FisfqM2kfCBY4+zArGXN+lSND/vFFGrBKFTdt7mYKt1TB3KK8PVHY60w
wkpRezlqqRfVLmrJ+WqUudkrtaTCZk3zqjEvbaqFGVVmM2RV8w1znQZx2YgW0HAbyq05dGsxUo23
33f3Xy28/21LCvdDwg//uIwO3J+h/Oc6+r9/6O+1I/1FabLy2XC+XmcVnJp/ryXxrzWblt8mE4Rz
Y62o/15LqvKXzHOmtsFDc7Xk4cj4H7se6S+8pKl52AN/O0BK/2otIb58t7GSS7sa6LGSGe5CCoEP
935jzZIgyRedWGAZY+YLlofLXujbcFc3+JgEC9NKUMmo6Fs7nEtqbrnNHg2t+hGW2bdhVvZy332H
R2952pwvXjVXdAUlZIRSw7hrWgzlbhpo/XvLQvEit9/DmLCV2YAtK80znZhFI16Pt2FCFh3u1I+j
Mbh4gOO63OZ3gqTE28icBQArHIKr0ILhJd3K/XTOxTl2hqEcbUWQTiZ+o9cGFbIp7fGaDffAgA9T
3P2Uk4pMxnjsbwp5XmyhGALCwlvDZnQJPTYGKdOBkiVr3EZ6fVMgBkEQ8Azct1eHHL2MWiso9vqd
VOWhN1jpMZAxEOv16sIekW84lXrX6KdsSw18s7S1vAsEeOtGeTTn+GAg+zzFsXbXz+q1WALTFufV
5tpCb16neOcIEIgGhVAtbK7O+DULe9WcnL6Zt8kgaBvKSZppSHhm2m6MkndbrtvBrkIFA2X9saNB
XxoSZpW2txOjchJrGmHYK9cwnG7qanAstbygt/HqvoJ+iqB7aXbxhOa5UnamGB4HUfHMuD+O0KEx
aLKDvCU0B99WVsI92WV8ZW08WC3+hnGgPM4GghNJEDMYRtLGypsHeYISPwfCln6tOFH0Y/eKJEho
mxjmIBczhm8poFtkLJsKV0PEDpHMgKAyXbxESOwOrmRZ2kUOGVFNFzRSETYDrdIzomm8JEqgRxpY
AfaZm5npTuhDWt16W2v6Kc5MP06TTWEAoYerGXeYtoeqDsEOAxypybCzhQZHAZ7GsyRR5qVF19nC
UDuNRCBQa/wkY7y11SrwliHtoSgqUDFjg2a9fxtU6QhNBWZPC5UlxcmjytONWpt8nYRAUsYF21ii
bVKjNKDv+g60943g6c1sMoWa++K4ZPmj0KbnXO9vaxjfaTvcBzCJAjVz06nwGOhR63edRxu5iasE
wkhSwRpQzdc6yzeTmaq+XsiCI0pF4SQjXPGkh6JtiNtA6i7TIO+YTx4VVGC6kI72MK9ZMr0I00dV
EhRA2mNQGDfikhHE0utg4iBf6VgehbgOvaJBgTopFWkRhTcvaQjOgxpC6y03xwx9SeTco/S9VkXq
h1XpGXPwNM5LyK3oXmuwr2qJ3sjIeZyLot4rIXFOg/q2GMb3pu0OoRy9MWGJHGHS7mUSut56nXlC
E+wmQzoq2nxU4NKnc72VQzhK81y7oxZDnJNum6LaGOl0ZwlaZzPrOZbZ9ICB+l1Yy15cKtdaDu8q
SbjEBavFasDlsHK19OJeTsAAghQOdjZvdBF7ZTWznpSyxoUK8msbfF9qlvei1HcN3MEq6E5dBaEU
V0kI8djRC+JWSpD2FZa2Daryh9Flu8T8IWchrJC2vI6SsG+DdHX1VnEVp/zDyJ5NArtPR+v0bpuN
DUagufpmGs2ww34s96vpURHDQxBCxGeQ6mgNa0ou5Ht+kdK8Gd6MdeC4yC8s0cDJUvkmN9TcS+pa
syU2nFoQ9pIO21yRs9s6kQq6Wo0xZ39fL+2DPOa3iLZRQ0ztBgPw2unELncDKpTNaMEYBlB8MIXR
1WOkDqn1FCeKa8rlaWDw65pDvM0PY+pa+qNVPETmQ26iH5sVsHIpml1hVO6GuGPzX1CXAGzkk/yY
4iLSWTCIzfmNpHGnU8PWtuYalmtrJdu2m+BLZxA00dppU3wjJrBZArXoHQWlNCX+Kcf6qsSq1cFO
E90fBiDgHA+aUZwNjZetX70cAxkkdA7wYZeZyml9/xIb2kXNFiC/fMvM+kyI5RO+vlh7KxrZYmFj
oYVlWyPiPJqRNFTL8KNFibtRQrLOlTK566cB//pQ34yttT4/86EZizurGhs+qdQcXcu/j1Gs2Gre
3JW16OcL8LCsseUa8/A09vyqVcGfxKKMt51gvY5rCks/KftRLM5sBROixPFJT6XlOkzRY6syOwn1
o1XUb7Mqn8M8e2Y73zWBuMsGHNKyfg3tQZ3V9Fu5R4Af4HNmAGYAlnO7kxmFXgWwztkx2ppeAOwq
q4f+jB9YHb8KuoCeLaJbXIzRrbLuNMvmWzZMBbgs2KfVKI8FcWPEFGSdFyTV7TSqnEwZiHBo/RrJ
YfRnOcdPsgaQmIo49BJDH45lHX4jpfsZG7j9gklDQ+6WzeGGyYxlvC3TcECFfhtDW4APhUixGtAP
WuwMML6Lp0JKav//cHcey3UjXbZ+oYs/AGQmzPR4elISJUoTBOVgE94lnr4/qG/fLh4xyKjpHVeJ
wAESafZe61tenN6nwnzWtvVrdBIXfWN/IfGG9cZLcRP7pyj0HyY/v5FVf6+L5rlaWFQXBzNEMN4S
7bbtBSyavqOwGmDDCnL/VE2Oty7n3V7PIYQRj5YjZrEJm/UmE+5PP3PveZ2PTFztdZ7Xp5yD33aM
ArwE9fDBn/C5Bmtb2Ea8HxqPrssw/5pjB/cPPrPeGq/6sL5l6aBDUhPTQXrxviXJW/edt2nc6pBa
MFrabN5MXYCJrMrvnUBe6jp4SGFu/ulRb8JxdVVKjPvpFH/v5qDYIAy8EzL/0bnBZRJG8caUS3bD
jiZnsnF4h6H/ZZKgX3vkAZtmwrCftHiD0upDWusnR1DMzMLiNI5ltrXCvAbl3+4DB97Ouu3qh2u3
KB6LqvttheJULQ1W+lL81hV0mza4GgO68romw3uY7KOU47gTMcylwR0cIrS+elbMrSfb1APmksPo
U/Zt3ofHpAfBEvbUvn1nYXroDhMhdYXx/W0S9hcqFvnWyZdvqRd8p6xENTcegs2g7DvjZ0fkDl/p
8Z96z4F071GSrKeMV5I/dySFXQkzXyUZa4Qbjh+EWxOskemjqOlmZKZjOJfiOu203EpUKJtwgHsw
V3o8ls1KCNDqGUxwgZhuuinKxd6PnhrRJXZHHXhYB8YJ7t+SPapAXxBh/qMZPTw5YXrTxKuvaA24
adHHeaKcDg65FbtM5Z+s1L52VZQdmciGfTTKAKoSqtu4qtItdexxV8dFdmhlWGyCleLfK3ndaD1s
DJ0UmTmXZqRBkUTxF2LphsNiGnEUqnd3jQtWS/c2ZDBFPBiJJoC6oI3lkg5gnwVbsjRuS999dmrE
Uy1rwaEz/S3z3NUoxmtmcijkbnrjA0rwC15XatHSocpmbVPDfqvH32jH8Lz63jroPC3XzFm1Jyzr
Do6MBCUdPPYYBbwh/TotBtt/et112bM/0OFtfRr7lcrHvZs0eLT7DnRQmEL1axANQ9MGJlT62d6J
/V+1GLw98yL2ydyA24St04DRkM1NU9Nl78bpznJFhvhRPPQzE7NT2rcTGIZeiv4qQC1E8I71UU/z
0cz9lXZx8lf0nKNB4B2TzpU/T4iJg8dOQomwgt/TIsOtNytExfWhr6JD4tUU60gROtAZ59OyEG9o
lnBBZMx2KnN0SZVf7Dq7YtIxE03eeDtIGORJOF2TQhptmEzbTV+Pu9Qz0UVWILU2Y8EmOeuYMrPn
fB6uHafrwcEH025xp1voo+G2y8CLiaRbDjouTzmgvC2pOg+MvmQzR+7Pvqkeo6i8yMyAcUbs67W/
Ic3yidQAgu+L5lMJGHifG3HVuebJ8vGWUHhcs+rMJzdq0dGLTzry7gLsnl05XDGGCX+xp08ocEC7
Oep7F443vZ1N2xhHisiKk1HTlUzERQw0bzP2uHYsX6G+Z0Mlq+F+LHDyt9r65VbNjS7ZDC81UI8x
C+9iENuEb45XU4nFzcUpwCAu8LUtCgIISq88j07KCu/dOrzou/g30A9IH4CVClaVzHLKTUSc4GWj
py+UuLJjEetvg4Uivg0vLFkG13ZASQsa4HCZJ96tDME68/Q2zEUHIOIQoNSJbdde1DRA/ZlZx66H
C7vQ/Ykqz3jwLHs4NXUICttOFOAwpuuwSgcsLz27caZVOsO9ve+jYroUbXm5qPkxaiRS6G5V7obP
48DGlSwXNrgh1kpERvWAsr8sOuxag1WwTbHNRqXYAvqQodr14eUs7PyA8ind2ZN56ora5Wis7hM5
bAaDaYpWO6fQvPsien3tVunnoAEUFgViH1XC39de/ixqvkZZ+cHWn2Lw8+HEv2rZBuLAbEXZHjLL
q3dWpjemaYv7cUnxoSYRwTmwMh/aJPuOvHG5koO61Ir4pLFhSiQS+CiruD3a2RBtI4/jqB/btyLR
90minnvkWJvUz257SxabpoWspppNtV5xUg++TyreEtxKdrGbrOePrIxOq6E/VT25Du5YElNx+ybQ
czNFLJbHYcYbxVbr9JHP9QddqLskXc8XrSabybQ/wzqtt9aSfPTKH0YUXzzR6kMr9EGyt+YES8qs
mfNp31uFxiqxON8Sh/ZyADdzTwEPsExtia2BJ37ths6zk9BpjiBDbXTq2dRdko89MlrmaJKIliIg
e6ewd56xOECE+8bJ8Odh4a69a6w/T1nyoNkI9gWurNJRG7T4n9BYbTmGQJRofdgGMBhdxAXp+DOo
9ovBtj2yBREXkcRJNVI0RhnmRLE8JWP+waOwTUjztqF+A76x3WnTXdS1uZQV/VUbNYwVqAN5uQvU
Vu8qtPGaOW77VMYIJKgQMCkOntl7lpuyokvIs08EMEUXbi0PJYfcRYsLrxxosgfNl5l8beKfFtg9
HrsYcxMxe0cTOJBOtJAbxJ2r1bYK/WNY6gtskg9lDord7dPbpaqu0s6+sZW46dmCJV75SEUP/oT6
iMXiszMhzE0SKIhOdxoWuU8S84kywkp36e7JuKU8HrrsglwgL4X7Nap6eubd0nLYHZ6y7FZ3zWOr
lb2Lky4/uZ752S7ysuk4mkp2YBEtCFZwvclreo22ShA1Lp67VfWMBG/CQS/KyzHMJlSPmNdivuON
iNLLHmGbFf0Q7peJCXFcmod0NDTD4uLpSnvhTVXrm3F0Lu0ZfYo9RncJ5coLFUSXJddptRFb5SW/
Or+5hoFJwqU+UhJlW4f+zx80JkWLcPL0adHPzXCv6me4e9u5z4mKtMZDX7MnsTN7SyAZC6kTgSy9
7VpsuAqd4DysVpFU652ak49G+DQTJgya+NnyQzOO7PV9+9b48lOVB4+ic6Hf8D9sTNs6p3xZt5T7
QhD0tLgxHfLltoVusLjDdBza+oRm7bbukGhE2Kzb7tOaygqF4Fll6tlvfP8in3+TNnCRUUnQpX3X
1MNyqxYfYKf10+GOvqwxl7YdPJXNUp2GPv9ZRfyKYDTjLfGP8UZKb+t6ybTzGxVsekLp9zTJE954
5Bz8XO9ik1Cty9A/QQXbTtVgHR3qfGKmhVpVfChhmbq/22SibdGz0ZFuHx1dWWU3owqsS9X52ZVH
u30/O5QBJhcfFGniC8Id9fHfV43//2xX0J94qz2xbavnPn3+Z2H5z7/4vwz48D+kabkU/wVosxXe
9j9FZUf8B2PkGrOFXpsWnkQ2+D9FZe8/0P74r76jqCDDfPvforL7H0kZeo1tWdsU63/6Fwz4l31g
qCtsiqhcU6SmuoyDctUK/KMnNqD2HYYSuyOJaeO28qxyh1refqdtKs4K138u40FL5BEgfsDv8PIy
BHtxEI5kvPVTZ/jguZ39ufFsUJ4pARAfBr8B+WI3aR1syr7kXD7aIdTLLJipJqeLb39JOqJMOIeN
TPGEAAIg8tzCYv3w9KckN4W+ypU3U9mg4X0bTiPmIA77FhCdYc6qvXDHYNrAbLW+6shxPk5Fiu4r
Z+t4NJPfZETG9eHHtEK4gZSKGTQqyuyqyZ0cc3IHnQ37bPie4WaVnPxvm/TPs4e7Tz9hlf0C5V7f
zT+ePem4pSpIgWPPvmzbErbdEnyU5WOsGGv/L5vg/r//5D9B/2tb4K0LnT39JSEwZOq4UBMPX0xd
3TZFAFgHhfckKGzCLp3ny74t3lF9vNSZMJ7W0DR6bMjN6QH/ZT2N03QYRckOvjNUpMeKnRV5rxUR
Tn50oGC/Fmtg+r79W8+0tv99VdJk2XQSak2/5KxH0tA8icJp5twghpCFeEz3eQFQnYhI9x4lE7yV
zvcI40LaBEG6r46zkYgP+VDeQez8AVP+47mzFRPiDxyFENWVaHh2K73Jg8IrZpLJ1ZCsgtVE3eDc
wGmcgghnB0jeL5rcToa3QRxP8w7AoL5p0kylp3gsQn2w+8G+dpRD8K6IWvMlrabog2zy4cEaqtBc
1pw9p+2Yx7QFpWUsc5TZYOpD03o9593Awgg7TMW4TdpKfZ4tsdrr4Tf2pK/46vs6y9gHWzsORMVW
sglC2Gc+YJkhGJKmC252anw47irVEVQ5FvB3Q4RU3xLbzpt39Axnc8Sfp7W2z+i+4sdCcfvyc1Ce
Hy+VGawN9RlsuIHXfKZVYb7Xs2veGZnOX0OTN+MrgJpryBwwwLNrsX0ks4eEsc3gOeDJwh6JRtAN
/bWw6vQ+oyqLywFUf+e79q2VW/Wemlf7oLIK8CNZAPADJ2u4ViKpLo0NG6QSWbabc0mW+dvj+WyS
+PNUAlYJBFt0slHsvHwqQB7n3FQUwk1pTUfPc+EUGmvqdpS/qge9tvj2b1/xtYcjXSUJBXHZ4CB0
eXnJIWlrHBUjaDe+rw+q8INfkavL8ZupWxBhhAHSI6TvXJzY2oU28HJtHCRYnfPUFwIa2WjBU2uW
NIfWXeYU2ialx8fUd/HrJOnYuce37/hsEVuf0ZpiEhIyL7AUe2dN9sVwlI4kb5MP40MjOi/Hu13y
ob99mVcGjVqD4jEfEmL2V7AHdmS80wvFgUVKZLDD3EMScD821tLf0y2FglnP/TtT95lukekMk/Rq
3gngKNhkmZ+9f0W0pOUOGiybbSinLpFZsqPCO1NtM8q6X2VtloX6pk+X0ZdzMR47Y/esJx4kkrd/
/yuPGSKs/JMYpwgiObsVacaFzUQF80ZwMTaVVAZSuqFvX+WMdfPfvxhNE+1ttg02Q+zl8NOqkCpQ
4FjzZaTw7pFPkOfUx7cJ1pV8k8ZSfhvJkrkI+jL8Nq5EzTHXyQ8CENPbir4jddMgIifaT9x3vGGv
PoFVQ7omSrBtP1tITTXkIhEwcZuCCAk12Fia8C3++6vA33VX6g3bQtaxlw+gjlurasLW2sSZ09/7
1aQ3bu2KL28/Z7aw/9wUrAOLjxuRyx817F/2Jj+g0LvMK/WWqsTB8rr8mC71PYoZScU/l/pE4Y3+
m/aji7evvL7As2WR7SaIB6yWeGHE2efqppyhMyxKlGC7IGAVTMhtYLhZD5kEoGT1c3Vje5715JuJ
VsJUx9nD23fgvLLWrHZJtBTg9iT38fIRd3FjDzJY15opFXh+ygIy1CrVzz3IjayYp7rt42M3iPFC
+nV7ldP3OeWON2PW9vtLp5jMjYpNxBpLnPc7E80rc77HAGONQobE+f5smA0OdbMyRYhm+a1zl3ve
8BBTvFtzrZfxOigcUiHefiCvDYaVicu8xq7tr1VmLsFLl8KJt0yzdDQIkL6Sk1V9L+OQ7FJHoAYn
2+nG0EV8evvKr0yqqymRtQ3ktMvs8vJNhPFga1VRNxNDwy6sBZnh1NO4C2NJSyXvvGhfd030zlT2
ylUZgPihbazu7E3PlrjZjSlRzANLnE1n256a+Os06sbZt2IaSGZwUnwt87jo49u/Vr4ygwB6RFwG
/CVYD34vf247t3oavIb+vVlkwKCrulNnNa7D0k5nPi6rSO2R1GCCIIzaoQSaifFS6MH6bXpjWZtJ
w1o/NaNt/07dKItPOo8DZxvn2tXbgTxr5LWoLr+nWiwumRtNF9G/GFGM+IVs0K9U0UIPpQiCT0Es
IWnT8eqGk0P90lx0riaafdYLbKyaPz/fxT6aSfoE2XglYnacO8oU3iMIdDGQx+z6t9k0SHN0266g
QVVm3gB1dgCeModFgpVnzun5m3lQ837QU/eOrdV55UvhEAw+hI8ZMP65eV9gUaV/tfAdh25P236a
9plToGgSbZUch5g2NoANG9ZsMV1bSlZXoZlt0goyeTJ5U10EZqgvskSEt01vu3ejmDhgvvPO/57u
mMN9n+n2j+b6bDo3roq7ckzibRZ74t5ZIFD4k0Wb8e3LvDKrYldmvbB5Hj5j++XIkiF9CV4/u6+k
huStg0Tv3MmDGhz01MeDqDLXdCaEtwt6VEtp7tvv7KpfG9tQ2oKVlYq34Nxj3E/5kBqDksyj3/BE
1bijC+rG73CsXtuecpbCRQBYihlLnf1QTnDa5uBMLaFW3kEWaK4de1B42KQ+GDWMKBE0XZCKaLij
csECBc2c3rvdEl6ALaItrglj+pxUzNuZvcAldBLsUyZ7N2P371mVTx37zVq/YZI5tw8a3C5pjxh9
owlNRvUsEoCudvYFUl58u5jQIbIz+zL3tvfOCuusY+rlEivZCK+7d668am1fDobSbsOwSjoLiCZ9
m8KN1V05htUFilF1Chc6kn46er8p96zY57i7zGhT3bbVUO1UmUArents/j0yuB3JCYanwR79z+3+
s9LhmMi1dWMh/1OU5ysC7bVxh3eucuafXHeOa4g5+Qyr0R2bzfpU/nEZb5RzGTkTUkZv0Du8R92u
wU0DwaoZ3aN2yuV+4sT/dXFsIqzbjPy2uNZm16V2JQ8F5e/9GnQLHmJsEgwLVfHg+otPDxu8lJPE
zve3H8vfuxDu98/5kww/mhNna9+Up7rqe+oD01R9lywFNU5PCyOUmvP3OAN/r3igDFA5MiZcD+n1
2bOJtawsx/BsligL7oalRWOcFeKxMbb3mFaazYUy3js/8NVxGKyTAUSiABH2+T5LU3drZwgu6OQf
fVJ4D0TmMj27OfbHwuRLsoc6AwWPcxX92UWSQtMFY7LNSWvE6uvV7wCdX3vkHKNXVlwg+DrO1t8S
/d0wcaTazFVnH+JmpgplISmqUFXP0Tu7qtcGpHTZYLouhSAm5bPPUCQexYGQh+6WlvgwTDNwVpHN
DXsOivxhfqrc1ctCcBiS1jiNVEkPD5XqNimCHpuTq+YC/ZdMiXFYkvkpLGJAi4WX9Nld2JRhCrOD
pt/W0F9xTm8PzlcmL7mOFI47NEn5GS8/Jm3Fjp8P3LsPY/RhzLLsVK0wh6oY22PVyuLGjQa4CMqV
3ebtS/+9lDFXUOv4Uy/nwZ1dOnOWltJESHUmEKisqEwvn1Gb9HSXrDG1HuhzdNdtFiv1yxbT8mke
nazdvX0PrxxDuQkpqMtSvQxZa17+fqPQ09YjTdRBluknEDVQoWv6Le2sHoOu7U7jAjs0tQX0qMUa
n+qiSYG7OSZ7bKZu3tKZZXcW1Yn9zqbnlRdDlikYWFiOlO/V2aDKTDDaQOzYMRe+A5WXtO9DV7lI
g0arW44FDApAHaER6cUULqV+fPvBvDKX80rXqvXqhOLMcPZcrKgDNQOWYIkkLnFnKnezid87kLzy
na68BBoSjmJPcT5dlYEBMV0xcUx+SK9bEcNO3zMDNWJV3vyvNy7Ay1g9qDgQoujJdZf5j3Ujq8bc
Hgo2Lq2gqrFJgcJxNk3p+P7rR0d5k2cmgDLaXnj25khqTJUTr59UGTUX6PTHfW4X6Ttl5z9Mo7PF
33NhfToUDdGcnx9u/IL2rBzWOS5cxXv1Mn1OhhFdZppW3TdPu2i6fRzuO1M4xW6JnYzYMiv+6U4D
4EXgEORHOFTT8Db81mmMOs32ANzyx1CojhVd8sr4dvHx3z8cyh3gx7hjB+POy5dATVEFRowWxPLA
2ad9aDbGruU7s9rfBwZJjXBluuAGpgCwju5/vOpCN1Q9Yq5ikYq+7ZhKSQHunEdRJf41G9junSXA
Xdfw85dByYzXQONLyvPzbZPkVscu2NpwAiBOZW6sLy66rZ1YuuEYt/AuUh3N13A8821c5OOuz+cF
qPEkXMxo6XIxoFrdqDzQJ68L4PIHLUIpTscXlSWuZdiXpP31XfvOLvuVrxyTCR+6w1iFZXU2VN2l
mtHgR6Q/cUziQNqmJ8vYZv/v3zm9URYX+kQ+NtSXbyPpW2tAYMdVlk5dtotC/u+0/TtXeW0uUWjv
1tAtvu7zlWyJ81RO0dqGQd+4a2cPgWIdonorHE08yNs/6bWLBWw+GV/09uCtvfxJ86Js3RbGAmWv
k+t0IqSg6igloQYK39nlv/aOVs8RRlQKRaxVLy/V4UacyoahtaiAGCOn7S6KXsuHt3/QKxtHnE0E
9koOlmtr5uVV8gT/z4ieCY2zj0Au9IkCXUjvLbsP8wrUGFFcvn3Fv38XnRk+l8Ch8s0R72xUqC5t
0S1ywIs5yW5yOdd3qrfmd0b43y9KrTzxFcD357R6Nt84TunkBknJdhzs4mBbPjQOjaB57/hJfPz3
vwjnFn1efGWsL2cb/SFz2sRquRYHGHvXBPCx4qZb3pnbXqmGUMAjlI4cJAY7LtezV2USk1ZRudLx
O+tHW3gzchBZ3zQL6jIzyfKbncfZ7aST5kqhezxlvtUfcgDIO6cdfuRTGX6c06q8ke6Sfe7sEuTG
2w/ilYeOr5ImPN7ltalxtrMrxkqkZCvxKfYJVXSropvi95C4CxG5X9++1t8Dl+KACxYPIQVn4POZ
V6qIEohDQaSzyeUUCLiujUXoVylaxFex1cYf02Dq3yOivrJxfHnds99I/vIAnobha8UUL1UrnrO6
hhHiEMLgB1p9KoTwjplcrAsf/M1dOObPxN8sFcHbOTFdvUbogPPn+e3HwRPm9b9cirixtZ3EgQSp
wzmBQiOfbU24EI9lY+l66MxiWY92vRTFJeHgCtBZObqAcOLY+R10fIXbNo28bOe3fVY/qHosMa+1
ln0LHa9QhwyAGMcBEZNzgeyFoJUwLPxjGsfu50y1QJx6f4bYMI4xCRFRHRJ+UWeV2VY23mvCNCoy
p4I6Itw5CPKEHXMXtjkCtAVNKy0sWI2wFlHvqWUhkbmfc8FZYPLsX8XSkesdLhxhl2kaHqhJQYsv
47b8MVZO2l31gyLvnSaSzDfRLEAcc5dGbZuJ4X1d+FQ4WWHXZm1fudg3UICYL8LLitWEASN5G0dL
1fKc3PqKWmFjUL0HSGPyJZ9+zG7D90sUI0YZvwnVtR/lsdoRNDqnG8sPk88+Wr100w3NQhRWFDqf
G5wrwZWa0PFBjx3oZaX2TLwPYt4FisHgON97JLrfQ6qRJduyxJaHnGey7Ow5sRAwWMRUhTkPctuN
bbxH6OxDCg1naiiYYxBpVqUriN0p5c+uqwvQOGqUl3E0VgDx1YgMvy6t3ezYtb+hGtiy1+j8HM5+
14MAF0P9xcO7Ixee8BSVSmyStKkeRgjqpKZNYpXAaYE/SpUZ+kE3a3uJjgBl/cZxogBCFL0eTkYA
EI5pkAAos9IkEUdcEcUHPWXzU4cm42k2+kGg275oU6919kGk219N5zo/8rGpvkShtdwvRYa+2WS9
+hlM84wxsLbi6h7TPYpTaI0g9oVOQEzhucdg2Uhj5l1nCQV6LI77T864SuQLv3M+U+gQRLSpBLVv
4WcjOWGJn9cUuLQ5BvDYJki7BmKRO/YIqPVYu/c+3+6D3SLCR2kYWOAnTfAjq1uJyDCIk4+Cf0sm
7tzRdLQjWJn4lurpW+dQBSdQwrIfiybTN9jLimQLUh5zVd46Ql8iaSc/BQ05kk2GeUz0nPJIrpkK
1wV0HjvXk+cBmc1mu78dTVqAMdLTbSH9/nvemooMysnJLpqC3d9Szh6DE837xyrLEgcBMa5VUv6M
wfAnZufKVFXr7xVQFUBvoqqTg+fM0IiT0Ia06iH9qLZlFFkzgSUQuDeyhwKCCaCOnuW84FLSWqIr
WUzkEQU5ErOc6Do5ztace5sQjM1HNVrxanLxarwoAR7knZyDtsAHGc8/S2Fl35qmAy241PbQbiun
pORBUav+XOisrMhD60asvrQmvw9+bsXbusTdu61jGSBN1ISnH2d6PxoPSliC0PBSo69Su6nBJ4fO
ok/WqPL1IzTiS952FURL+BZX3K+Lssktxt9gKctPzsABE9+Mmoat33cIz+nt+ngEEhjL2aTTX1Xo
TMXGt63oySvj6ro0AfrXcIrCb3ZVjk+yCgre20JxG9bzPPkEE1sNQUKc8NTWDgd9h2QaTJeVuP0n
G5PL07CWJIbWczqUEUBeYJy5RJ4n/dJ/tptJALdLVHe3OMqMmLaV+9Ufk4joCUHOXtKlwwcO/8tD
aGLEOyW6EEPEySIMMnBFbGQkjBwvmwCyLa+8dQjTcMrwruyq4geUccBGU7ZMe1VnAEri1JoeljZV
35ux6O7Ai5I+XsvRBvA3FP7OCicMkpnd2BmGCUJc8Gbnv4dW2V9MZrsklcsufkC6BZfeShXpPnzH
CFW9OsCXVVWLJ3cuTZgPUyAoITrYxwkjSTv/cq6Xvt3JRhJuMfSRt1NybKaryBr0vLOztPgUi6kJ
8CHU8hPm2pWDg8n6gx00yXdOaRTMo0gGzy4l+y+pGfqP0h3n5WT7mI+oCvB1b5BP9TDIShwhTECE
AExZc9v6uGY2cWITfhUIK/pNZqD50qOPyD96eJCemLkBcdkooj1sY3X1o/eiPDn5g9UgPJwMjgs+
38egaBZ9aGwWK/S66fixtWnD7Tmj0kJpzBBbV1ZjIgwyS+KQMzOJAgbbOGCf9pzKYLkt5vE6jfrp
WvRRckO6gf3cOd0M7nEqzE+TzzDAs5oK80WosrTcCll6+KrDJPyW2znZyy0O1auERbu4VHQnt3mY
4Ux2ybm87YuWdatXonNOrvEiZg4R5Xc0rKN2h5IIPVjYVLJHZO6TggR+Yha7zDVklFULHe1NbhkS
bUOSrGmXpD72C91EmJs8kiEOSdA7mIhbkTxOwdK6xwjNDoyBblOIOLmMJz44Y7W0MXOIBPBugrR2
6ZZblrOrGILmFAeLddt5IcjjTsn4xyKN7naLnNxbJ2odZ0+/qjp1kaL1byXl9EMuUkyUz4SutklJ
nMcutds52EfxiglMgxYCkF+vuC4ZDcF3ryr158Krw/Y6jAlUzXVa0MhtdPK0LCOZLIMn53nXamk/
uHqh5EwQq0iOfS9oSDI5xN6FVL77LRUhhiDLY+HYGMf49zNuLms/2xF/z8K9htcq8u3rtp4htde2
Vd3FRoa4BWfV20fXtFN8gu0FuSgOYneLPaS7HIxHHmXWtPMNU7O9GmrBSd0WpaN32u01ru0/gqFO
lRKT5xqcqsMabV6M/q3aurUNXw0bxhDgDV5Hdhz2TXQgWTjNNiSXjA5xj8SvXUe8uZ+q9aevFDCx
kpgs8j+GwZIRndFmROGIptHP7AlJpddT2DHAR2mPG0dN4tnMBcTOhD2ftY31TH6eRxqEs8msgJk3
GkK33nlh5t563RDeWVnff6ijJLn1lia+SxLHN5dlx9frGoGvVq884bZsYUTMY4bbKhjRMG4xB5pv
bP6CelODg8rgEk4tHiEnhYZfN7OBnKPG7iE2OBryxs6ZtBaTE400eP5t0SUlWISBJLEhsXdD3YS/
s86zngeXdqa9GCwK0mqg7DusoRFWX3Jq3XQiYU8I45xU1kJ5TFyc/Ue4w+7Bpy/dfPA6m1ww1btj
/IHvI8Gr2McR6WF8h4RqxVbwdTI5IYJ1lpXFVbF6MDeQF0x25eukRahS2EWLm6TI8oscyO3NUOrK
2dZ+Q26hBbSVrFbkBe2NGpqoYbnTOWGeqiA+qBmasj+6lgGP6LtlWl/OQZazT7CzNj5Yka3wYo7E
5OX5APGUxJX5sWit7GOVukQftrQSig2eKEkwYly2j3YlcmhFi8JXnDo5rtGmB+m9nxWWv90ABeML
kij8ZlFY2Z+V9uNPqpq1e+n6M5xZHP7LTuW1PvR5aNhmM1TuWz9niyWiIDuFjpjIXhqHiagT+GSU
55ARbJBsEJY6LfjNN+PsQ+PuvM5fJWhNiGQmXQD254GvdyKcGdfEK/vX+QyJc+8XnfaviwoKy4Z9
1cD2JbFCKLfYvD842p+CQ2XG6Oc49rF/WOaCsOa2IMwHy7VCw1xWQfJ79EGhnEI2K9hJjX2rIpcY
Yn8VMeySKXB/sHrOn/mYFARZ5OEPlZgU1ZFa32OVT6KLGgffV7sOyzt02Xm0xxTSHFeoK5oFV6/b
6toZZ4x7vbdvh5gGOq0ASMhyIKVW1XB4r9tlsOL9YkdOi6d3rk++V2XdTk5sCja2Ue5yKDrjd4fW
0zlUTkRpZIv5Qw7pII+d1XVo8K3WUTlvW+pwnoIHUUDXlVOyfEYj39wqVOvilCzGqvG8dbl+yKcE
O3FAKBrkFWdsmg02LK03SBikOSlh+Pf/J17aXMQDch5sovR62STCIutHq9nSbOncd2qcr3T5KGr4
AWx3D2m/9M8KNnlRhGZ0EYvlRtUokPufQyI552H4u3QCJ+I5BIqS82R/x7jTXib22F0WEOh+ed6c
/Pu6jkevHaT0StH9K5HEIO0qW93G9DPd5FhbeffLzwn3SUsZJ++UM/6uJnOiXvlRNEKIsTlX6ikR
sbsWOFaRklSbZMS3OHVZ97u0XLWh4+2+c4Z/RbemPHwUUKnsPxLdsyctGuQLtaSQJD06xHY/lj2Z
70sIe6OYfwKhnT55qmQKdHTzmFtBfdeYUO4HBUW/iRZQMUkEzX5TWPN8zBefvvbbVYbXii5kiKwF
XZQoQOBelqCQaNqV1wGQNDF3OY9JsWzCOau3yxhY932N3GIoK/POCFxrdWeVDSoMCLnA4a0pIme1
PFtOzjxEyLmytgkPWRj2V7bfyl95n4U7ETX4f8dJkzufBhQVJjK33/7Vf7fk+ABWrSqYMYJ+ziux
bhxGeVD+F3tn0uM4km3p/9J7FjgPi95IoiSXz3OEbwiPiTNpJI2k0X59f4x8r1+EeyAcuW00CgVU
VmYGJdJkvHbvOd/h+j1YwlNbzuERpPrwGbvZK5VxcqNqmgWDYfxriwXJyfRJgVXRx7QZC/5+u1UO
QKCdCeodjHk8cQSqT46ZdLGm9bmiiatPzMKLD+72+1WP/hUBDpNZ1KnvOHpGb0WV1ug3nbQgbr1Z
DwuaWqj18uyCv1Ed/n53/7Dq2VwidhfHRChB1+X3b2mY+ag6gR5yMEAxtRJrcuqCE9aKipP3mp9Y
u0C5vC1Dt5xdzigdxxz0nNldZHbNXqPUPbFCmPC5eZRtZ9ulMv77h/zDTeFVyC6I9oTe/1th31xM
ochslVKICB9wNm1ys73IyB03O+vb36/1frnjy3DXxb6mRptvZwwzSKdawc7cBlPbkvQe9MaxcI2I
uKGMxJmtjNz0edTKSA9OxjR4Y4ZhE37QpX9vtKGngweEMSaJ1Rwp1nbjL6M0tHWeDwodcUNCzMCp
tbUfbvssd+9rq5/vjK6zXlQyQX1oePVAHHJsiiv8FeE3wzCjD6OE3rc3yRBD7WSSJ4AJwF6f0C+f
J3dCXKWrbWEqyADtKg3uZC0yhCagrc4AC1l1Jg5pCzmr6PSyq0aHaKURbyfQkOnzRD8wHsWQ7P7+
tN6vjPVzMXhCA4Wr5a2dordV5CySlVFUdbVTGkVDkC94odLQOFa6+0hv+H4zQtfKtAHXCBpXRqq/
3wd8IWbHQmRe3szh88KQiom2hCIvo/VYkC5U2EU5orQhbfajiLk/PASEPrgDWBHrAPHNQ/DHonBE
sqBvnZf+0HcCYi9Ygw/W3h9uKSuPHwHGGKh/74R1vl9oa1UaZhwbH4hXMG96YDT7odHDGZ4rsER/
f4bv5xa8VRiD8UNBpswg5/d7WtKqMAyP19rY9em1V5vhrimaYOtKnDj/+lIBkzbcnauHzfxpKvtl
GU+13VvSZRmTOK93WkIxUIhlyPJO1Ecb6/uNhCuwWKhxmUzzxX7/WmmA12zKTF7UKqvP/bERz5h5
SLfWXhNeZlMKoC7BbHRRR9C2wF79sCfyjdFUmlsBf3lLMFZ7cns0ld1o6JiuTbL3R1eALiuD+VSh
e/3gM//hSazOSWIiedHikHgzjpwihfSTmIitGH2gMQmJMOcde9E+N7U++/ujeD/KYSbNwwbeyV4H
ceLN63XCJFdWYZNtmVGb9XU/lkO4k22nvhVZ3wDH8KfqcwMwpz8Vyk0ZK9l5Nr12dlbKld7X1duw
RgW2c5hh2Lcii9Log6HfT13Eb7UPaomQXXgd7CBOfGsydKQ5JJUJDkgzFVyeQTam1haei462Fe1r
tUuNaakOPvzq+QDtK1oehVkNSITLAARv4JlgA0d/TfNlj993omux+omOdnUIoijZMAoyrtJK2v1+
KjvCNjo3ISbRxpUkNpRdzbyCL/rLsc6HMpZVquIBdoAC/5eYTCKMUi1XA6MK+4Nfys/33JuvjkNo
HX1zB1wCLX9fvkkCroROF2WXM+rDbHQGmQtmWL7QgHDanQ7HuoAljoduB+EcIA0vJ3tfVFFVxpnC
XHM+6BaA2Ojo3rvISy8xYmjA6t5B9P41CApaiEXk6nbrS579hvprfCnqFu6/ObnAIAuVZwPzxTy7
//vKe7eN0sXkYBHxq+Q/zDV+/2ZdmlQlFSd8GJPjXtR7IFT6Zf5ADPm+sEI7wCnJgSYaUkf6b9Y3
tyoEqCBRgo6JuCjqMVKHoVmGbFfVbo8fKDT049InDQ3vvKmPfViAv8sBtewmwYyTTp0XGbtUSbzY
9DsSO55CwjQ/UDS9vxtY31DIMrkkMsh7K9rxaXhbisHeNrAKdUhBXmxMjnkfvFT+dJWIjTDE3LX+
lN6sJjojHukQayspC1I64wgHCH8tcvHBsn236aLStyEQ4YjmqMyd//3ZGvz/9lD7+XYWIiMBz1+j
ibWKl1o27aFIFRCpdWa0HZQ7nHqPdbn/++p6VyHwCbifmLIRQZnvxD3Q7yan03wC126N/eASShlg
OLtgXptCDXSkil3Dig4248Kbv1/63ZubS0fIoTgpIYllKv/7l1cM30czN5iwzp3eznhPLpk0Jnfs
OtatSoj/+Pv1/vBQ17MoIGWQuWt86O/Xg6xooqel5SJFaZ6pyv224LL/4IkG76+y2rY5C60OzbUm
f3MVzsOyWkCL5n7twVfq8ZdnkUtPv6duyOJiKNOSMWWG3yY3x2aCaXMtAcpBtafDhBqjdabrNh/G
r4ZrkSnvLsyLg9Ftx+PUNNUzqhL1JTEy6JuiHeiyD/as79Cx2VdVEMhgb895ABNQt86wmfikL0pY
kRGPZTm54Lco1PjxGHOC4Wmo6bl5QTtet4uAslAhi2Tq38D5ytECJt/DyummI74ZP91D/nKimPFs
gpcXmTAwVAOZwE66tdQx7WdC6OGuEprOq17JDRIsn1wU3NW7Xgj7llPJ3D5A+k2Wc0XQHzJzNcku
RnetOKgMqgInK2QNAW1Kh08aWZa1y1LhqV2RZS1JV/5I+JAsdURNoZ322jCSQO4m6FfBbuDHcpsi
uMLFoKrkoTD66XUQvkBAgKFh+CwYQ595gZAIOrNM9/9sGf8KlP3/KPJkpeP/X8bEOyL7TVu9Nt9+
I56s/8J/YbTd/6ynUyjZvLrQIq25EP9gtC3+js0LjcIdkgatQt5r/0U88dyV1o7MjDqLQoW2wv8Q
T6L/mJR8VN+rj4AMlX+H0X6jyCR+HSHgqspfdXPU9G+6CWagrd5MJxMeltA6dnRhyn1hpU2ChMQI
gk0dDFRDovSjG91lHKpLhuoH6pf+o43jTTG7fhQKTBNvzM8YjrcFzOR2czdQ4WxHIhDjtAqSeOz7
u4VB0r87wLy70tq3++VUEbSdjbbENre1qr24TxlglWVfXPu5/dF79K1l/ee1kMw74SoRj3A6/n4t
uxWMJwgR3zZaTgc9DfNWWSA2ohxuVZNN425xO0llVTib1AZJHY3T8vLLcmT1LWnb/Io8+dOd/fUz
vHmZa3ccChqp5H8FWX7tOF20S5rcuFMWcoe/X+rNK+2fr+tCrsCtTab4W68VU/x6TgTrKdQLJMI+
IlZWJYjvCIqK8A8wWpuHD05B6+P6pfL9ec2ANgc/B3Rcdvjm63mGLl34Xea24CkyvuyMObZ502wH
3g4AK0zGPVn+kcDwrZj552UxS+Nkg2fEX72pF+mtLw0mP2hu9tQ+h9Y4XqQZAOAYkKSf7FtHgfLu
g8a2dl7Yk3YWcTQ565c+BB6hzdo/eilgBaYtft/t2qZZezSiMO6RIRk3jW+m4lr05ToTXtj8b4Ki
AgT+98f1p5XBgRfpmLs6cddt69dfQlU27bQWR6iJSsB2fZpNh6iqc3PjOASZ/f1itCnfP6mV7UNP
mjtmIm///XK4fCPV0Koh55vB9GageQj5OMjz25aDZbhxxkwku8mt6A3PqR1cBF5Hs14Kug0bhsZ+
gFSxJdhOqCErcaFJcWEZpDzvZt77sPq9xpHHCU19g9lNutm20FI9kMJnWRvue/vIeE7Vjzp3oTxh
t8YuVHiyCZkeMtU8JonoftiiwSmAoaC5abK6VDvPaqbG263mX/p2NNY4EdItQnaT9O0uLDri+swx
b/Kbvg3c+Si6cEYS3HfQVAyyq16aVq2aR+aO3mUfjn2G/iY17ntkaV9Gcq4FhOwGnd9QJrm/dbp5
3uHJY7qNOTH8aqUmyZhuZwFBgNwb3lkqnA59QGT0RlpD1m34rxx3AJXlGNv2bJQ7NVrlJ2l20c3o
1AmD094Vjx6etOByJnrgFr2QVx9AOLTs8JWGky9FqrbwJG1iKIfuM7cJIFs42+O3teO+7Ec3zXEr
QlSlvx6k3vfZJThrM1tTUm6hBg9ffXcJnvN69D/Rz1HWphWFfxIemrrBLvSyISnW+eSVK1YORNx3
a7FnxDR98LObU74Qw9ziAW+0DjdDushbtP92hj9SeE/LECUtbgt/uS/6pkUbpVvzHsVmmiKca6f7
sBThnQ4oD9GPIezYqCJElUfIrz4Kr0U7ZFc1/L3ZDHW0WcIBQHLTU+dvjCiAis1NCb76jYKfq0sj
/yEL1wIT6xrlBT69mumS6+TzziGyc7rGwmyfuiKfwU6yUd3xzgyq2GeiTtXZ0jfQTypJzengG8r1
T1nTuu4pDycqwY0mZag40MouHpukB82P73wAkl3MKABamtePg02S0CYoI1ccV1MWoaNj7bf7YBqQ
URAU1ZNrOiWeIv8QVtEqrXCH3L6amxrEvWsNoHTd3vOduK87RUFoNjaI3gyJmWAzc+D3OWzHtUIi
5QCbULHGeA/JNQPPCXV2ki9izsdubxgGAyo5AT06LoOG9Fi4QREB4Qzko8ObbNnSy4UYwYtNthud
6zKIKXWG16pL0PB1rufCqygbd8PJca628BrpndRZQuZfhloflHbqz5fUwb2/a6B6zAd3olO/D2sh
kRU5CUuBiDOaHrwfg6hBNOp5xWPbUU5taO2O7g6RUBcdkA+FwCdBZBiXdj8uy7MKnWjCYNx53V40
UqnvyZAV6iydUbuhYWPuNW4Xpv7VF5sfmbuN5mq4at2mHp/ALGTTtS3tMrs2YZCqDREn7bkLfRD0
QwKk4VZ0hvPsmZJYDO0vbX9IZnQjpmR1rhMVA9S1UA2dX5x7vbxiCUTPJhEj/lnRYeLC8+RxDLOt
JNJnSvU0HYygYAX7BHjtnCAjcgOQqrvhJLP2PURkXgI3YnqdlcxwQCPCcyX0AT3E0U/xqsaTZbKD
sGm2nvXsGU52E4h0/mJ5o54+JbXArrBh8Jt0L63v91qS2TqWjXmZ2VNnkzpu9V59ThxyB6ncz/0p
QKks/abdiL6zhYWWBE/EdV0a4+LtInNAiEDhlHPWIzWE3MJdnub+A/wBNLIR4Sm8BRvPRWme+fZ8
aY9lTXKbK1iECBANAjmLdAy3TCrlQ0dTOzsS+0bHkIbVJLcjfxhMangJzwtAgwTInYDMasjR9/eT
M6aHNlFlfekOorSPwKYJOEDsULf8jhr/CbHM9OAj0L4wsBpc0pvXnAZLKwlo5brpeduPap+VPqmf
KwVcmdCKMj0J+KNOcu+iKGpxJEweig7LJ4dQ1c1rklXJHhCqhXWgWYgKF8NjNi7txRQtcufP4fQE
nmvk55wS0wLdvbcHGc+GuqyyTl2RMvnaMqWDb5tAP29mAX5V9nDDhyqPhywiH89GT2kkqY040ghQ
P/V19QD0dTI33miZ50s6xB066NhkZK3n4nNacK50nQqx8ZhJ79jWY7438Lp/KkfsojpIb3vEvPkx
Fx496yi5pLGSxLBN9h7+q82sTP8cxDoSJdz/IOCm8uSPNBD1ou+TJYB9GJA/1jCeQSaJYJZMvzJ2
3CmeguGwREFOyuvksTbCFNRmNg1kmhA/Bwv5mATdc6ezFcQG7fh1qIdwH7RVfRwbOZ6VfVJ9Rq+t
jnPrTnCW2biU8sJDlCIS4Wyul1i46msTtc+gnKsj/Ip4cQhcmGyBMzpMJrEPPFVcFgrkeB44w3k5
CNwkhZW8uLNrHbDV07kdw+BnQs5Zg/bxWDYksM8Ir7ZGbb10pTa2ckE4GgxFeRjrHtJoW8xkwiXo
r9XsPwPJFQ8Oux75Gjq8NUiEj+upHTZOMP4oMjKsjCg7H4buqwpQGk4d0prGO0ODVxwMu3im83Mz
R3TpKkwmnOm5V8hDZJyWrr3T/QKSLzFJ+rYYDZwlGaTJ3MtOQ2492JXjIu6xxJb8hW4/F0PAUDPx
TkuJDrXJu5XTM6E2pjZAX0Pn9FOSO2hMkz5dDhb696sibFwEwhCydr2NmW/To23b0LR+cRHy3Tf2
hDI0NGXn7fpEhTZMZnHDtMjfy25KzqhkHxwvsK7m3OONY3fNNQ7YU59Hx1rYaGOH9kuGgLEg5dju
tQEJ3mLcJFt9AsR6nbstyOtxuMhsBkVJEBlb8JRsK3OWIqyi/L3AQpH9oFIMvwRaG7s60uDn/Ujh
a3b1eaF9BLbRCO7OnMKC3YARr9sYkKfbWYKPn+yLDGnUZqncJHb7DJyF1vdI+a7HIvhujvw7slns
I4Q+cIvmj7nx9xRp8loYAO2mJjxMtjMQsFt/RdqFOlcjh+gd9zqb0+mT8gbjzNXZbcmpl4FOMRJ9
YufGDhhNe6tNO99YPVkVvq72zsB8G6rFbgyx7AdDF49A3zfNqLccdjB3GHLNrEnOcm9G+lSFU5w3
y23rInHLgvolHaYQMb11KkMmhKDDD6s2H4RHeJl4FcaRFQI8cYgxhntjKs5wg6Lvzz5JJ3lYRjwk
U9efi5bxgsjS17rg/UY/wtqgkryqKyP2c9HFzdBl58i92GKoekZpfR06SvBubmF9d5Z5yErKZYcA
wB2+FJPzqWtso8HmH57QFxxSZpnrvc/9Txhe5c5clh/YdXMStmBGjLXe5v0XUTtIfRK72Q00VFuc
Pvw4lxfXzMY488dYGxFUwRBlfra0ly4F8UxqURpuKgSpj6HKcz8G7NMfmt6ZUEb78wzlt/MnypXe
gN6I9JMqNaIDtpPUjp9Schz4w9xs+WLjMGEEIxe2vQ6swzYs8WnCCtK3uZ+k90uumuds9plXBF6O
i4WQrDra2E4Wlptpts3vgcwsvSn8kfgAizXXbauceCJk6TSjN7xKufVNNZNeXQu/ObOyAX29Z3h6
/BR1gc4PZu51YFV0IK+KaUncvZW47U1p9qTjdAnpFjW5QiebNzAnvcRHU9szED8zyyo6GirISqKs
x4KVMzTYUdA+O19Sy6+qLT3JIY8Lx+l/cBvp9WWyMVFcLtG3fgnhVfbJ6CIY7oI0R9uLZm4/zDJ4
iUaF1pEhhjch8ousq4FeD7fRMGkPmvWU7qossO/I+6rarWNYxZUpF4DKPaOSV8zsZMEk9KJsFjVG
xC2UkTIjPdwr4FD1dhciaDQlMQNhQuVrk1asEffa1rCbImE+cfS9F7VIQ/JKQj6YOXdVCf0hY/LO
4Zb/PblTRPbxZGQ/RGIxOB3JqFE7MSBeWLUJZrfxRyM/swDmvqSIWGPkPfYTxHvJ6Go0hucZC2aP
577hLgV2T9tqjspAbxHI+Bd5xUAQgwPBFoRxNz0rnVcXrGxrrJ/8YMmf8nSdPVh2EzxYoeI1Fkqm
QOjEUevudJL0L4MYCu4VEXGbHL1+txULYT/Z0qEkS8ck492QloqLk7j0EhRdiJmlscTRsqtlPJO2
28GLDPKXem6mWxR680vYkntejQIS+Nw2nYMINPKeZb+OnlA86kM5WC12ElcHaitmWmZ4jCIfEgr6
0C9TlkfPQF3ZjyoIR+y7iBr1jrBE/3EQBvHaPQsTaYNTzXcuIUXfygmMBgfcDpEQ0qHlYmw5FCCS
7VF5tyM+ijiKiPs5GK3Vfu/DxX0x68R7cPxaDJuWIVG7zSdPJJsyjPo1M84gGyBTSyX4KTbzN0bl
Tr/VzUBCgvQni6ijQN6miVfnp4GL3FUzxQGS68SYDq4nS16Xs19tZTYwV0Wqor8kYM9uFwMAzbYj
5PEpae3uK4RVfV0CpcD1ht4AveiYdg91YUsOviTPzjvEvRHSZQPj0G6dhBWUMoCPAdfr1NlFiee+
+E0SLnxvO/9qDGaAZ8Nck8z4QgBmkkzmP5pcObejIzgDuTIYUC0KT38KddsNvGYCNKSDnJbmMNii
elRDYsHjb+rmmzGOLkaRtO/uwKdxPjV104JqZadN46pqzG9dIly9TRZzDraDnfpuPOfYRGK1LFSk
Ws+L3GpvWS5yrP6kxnjK+FzBiLE2ljZEi9I3ISecIeJQ7lVp4P6rmcBzk+XCocpLeiIrshnr3VZW
pPty8uV1kc1FGmxJ3PLunFqvrHQq/EeCb1z+2CEcOalJkRHSi4NDEh1oNl1s2L04m2g8pnsiR6yZ
M55vndXeQj5zmRVS7bUvC3koJybmlx4elmyD3bt4MtqoDjYB6rLbgLLV2hge+JjY0zMz9Q57fokn
sm5SGhDrycjoS/0djMmYHRhVg1ui6WLchZmpiBccgirj5YHceu+Jfn70DcjW2yDia1JgN92tpXOw
12hpyuGIlCOoD2bqVLe9VJGL/G0wySIss4ncgsymgzyVEk9jMA9s5wmvcI5r017jE0ReLfzwOck9
RipByxtqT66oPe4HKylf/97z+tnw/K05ib93hWSu3OefPeDfW15+6/pE+tUMkRtl3mmcSGc1TSFi
CqN2jg1nXDAhOpFNtRKaKKY5P7dXArXa3vKF8WAPZXc5pLhq9n//YO8atXyuFfzgRXT9oF++6V7m
kTeUZZli+HOWz2QBj9TnGFnaMc1j6jHz3406kSU468yRMasNls16K64p0673R5xru8iryx0iOWs3
0Xw4Apj9gaDO+aAl/Gao+/NyPi06SIoug8i3okDXblI7N718J3WWDK9M7PrwieibNmbyZSwvwWxY
5Ws3KQI18Cd+0Oj8Q1eVxgzVMV0W9ApvlTKNWRMKUzNfWNjDNyGvkQ3eZvNgNM38wbT13WNEjUOi
L053FKjIrt+MMia/wBizXkr1i953NQAlpxidnSX9+dg1VRr/fdn84autXwpylsNoCr7Y78s5GIfK
9Nb+vh1ApDSTjCAsyd7FZPcjQda7SwFDpbcI/iSyA/QFby7lOHPQZ1nFpVKA1IFJUYPAAgsDZsF/
NBX/f3T5vxjE//KA340uH16LvMwH+dr8Or78+S/9M74MvP+wO0T4Z9FRuiYonf8eX/rBfxxUC1gL
ViwKv1F0AP8d2GD9x2TmieQSSQXgqlVoQItMZv/7fzn+fxhnMmnw2RTZCRCW/IvAhvXL/DL6WSOr
+QSovdwVZMM0/c34kn3VWlLXjg5N7SKAC8qFpD7cnRcdMbFfSLWia2mmso1JamyR4cllE9KAi0Gg
RDuf3tQjnT0Vp7QA4kjV4mwwawpHIWmG4IfM1adl5CDPPzNfB9RZR+135ucCiMaXdC78jeUs9S5a
LA6U6dzHTkpb7Jfn8YfZHbPY9Uv8zyuELxmssuJVSQ0WlqHvmyFNYneMaQtlHegQlUcs/eJxfeOM
53QdCEZJqDvihM1o2fmJzzuuEsn54jdNrPRSfR36sMFvY1LjhHo+kFscPEWZTu95PdB5rpvZ6TcZ
xnA6UHl6m7WRfZxtZ7oNy4i6cfS8HhECs5Q1/0dNN9TJ/pckmYtdUeXk9KYquRChJn42abghNBMT
XGFfcBzKo6pTZ88QPHxVlU1AkiFny9pPHaf4HjqD3I0KQ/wpwr6qKfEszKJ18125IR34lvSrM5ki
nyaVImXQMqCxu3Vl2xP6FlUXYk7SS8sAVoeiGj8ktiJxDU8OnD/Fdfc1mrW4L1s2s91oddnXtmyw
JRZpQ71Nyy4crIiGgkw98BeeO6Yxghts8QIj5KMxT8MnYJp2sS8rDWXONYoB4yESPgqNgATGuajr
p6VfsRALTjSGWHNJ0GwdXoatas6CISniyTejI86jbAf3Wa6aNeNYtmVxs4Rle8Chke9rlBk/OPUb
cTNmyVWYFKg33NSGpj8G9qUtHWOHaFVdWlFCqnGQG/tZm/2xTMryZm6rfI3mbfYdudUF4ET1mX5f
ZcKYnepvimPJJ00n/nyB70woUTrtl8LpnpgnWHsgAekj0ZHYOHPNhH0xMYcrq6AH5XqciMtedN8i
f/auE7eXOxbMRK8khSRBW49zo4EeB690fzIgLV6JcWgPS5Uo4nptuc9FPrzKMNqJsb+KzD5mOE76
aT23x8ZRwxkq5u5WCtu5bqyOWQT8Nq8S6Td2IuNUBUAPOm1xxmhMeU7Lx91nwjHOcB9aT9B5htVw
Jw9tbk3IyM36haSB4HYI6EjUuZNXOMqW/J6Q3wb7PG7pLcgjuRPWMl3o0AvHU9Oay+egXFOXdJgG
KMKj0kIBjojHcZKaXk7KTqCXM+3aX6UzJRc9OcI7fglfOn64Gx+v2tZxmMa66Hw2lrHceL4RfndC
eZkVVONWRA08qX23iig9ANvX6VTGQnPLEpAPN3MIDcBXjXfeKSu2Ur8/4MM7UXrfiQG/bl7rb1SO
ZyP9WkjuI3HOQ73n0LHVqfFPWqm1dNPzbFunJLK/9lVh78jq/W5Y950wrnQQktEgiNOYsltV5U+t
XB56vz/RJHwwQDcA27xjBnMsRlCxTs0QkziFMb90SAtIEoVZv8AfVkt+TGUTsK/1D03TvxrF/NQH
CtsQP/ZNspr0UutQJY9L5OGbnL5gvCOBxn4BviMvfcNHodRH2M086dwwBfy2ZDihNoxjroQ0LsrF
P02MUy182/QsNrr/Du2g2FSucRIMETeSDgVRwfAdquHBjJqYHYkeVcMiHDuGYSK8kDkDSaPoH5Cg
XrQRJl9iObJ5zf0lo6+bN31Oh2FwCd7sM0nUnXa+VkjmGar48nJ0kERVbV0em7B5wPsIeEt54iiz
omM6BuWkqFMOX5a3K8mMtGT7ySiy8DtOI+Po996pmOcH4p/d2PRke2955FBSdD3bqivwv0ecw+yV
j3+a6B+4xfMM4hT18Ri3PmyHkg2zwq+qxYs3cRpaIH8TL/i9sbu7onYE3hW2d+lfQcboY04/9car
H6FSPWThVZZnD4UDnr4um29oBfVGdVBi8HJeSroxrrQMlKzzXVDTUPLrA1K7rdW59MW8/MRRkWRp
84Ux6rVS5mUgKFHD6WJGu3o5+fMU0xi/5eHuVB+SK+eIvUmDKhbZcCc1cjQzyJiKDTFxXXFrSE7K
iSY6kYzS3os93L8e7jIOb/Bm6ctd2exUc9He2siQgRYGNFMTdjZyzhgbfbKFuHQjnlXeO8+FDOM8
am7HrL4GF3JrjRzxzbA49b5Elm1EF4VB8moNzmXTiYUVCGkGhsJ14RjX/KjvDQ72ecCflvqkqebR
mVVCrWjJWifap9kOmnhwOXnXUzjQnhTimuHvhTDGz2JurpKQ8N4kfSXAdzsvSm2TjPS6xczPdTgA
aYoGhKDeJd54vIa9f5eO43mViKtGh9uxMJ48p7lYobsFZgw4IdNtycsCBALplMHCoEeam7R1zuZ0
RtbAKNoU9s4K8DAn9IiVOkrv0ZYGOFho97jqxyj2ekgMBaa6o7TI2ay9SyX84uCK7/y+sp1iVEYu
uArOE0miCC0hegJs8BdWWhG8uZgWjAT1AIwGF7nJrIyOjomyoUUXoUPfODW+e1d5TGAi8AC0zLma
JspvF9VVyqKfWT1GHbG+TV6DYLJ1KsNjofHND62fbBWVxSk3m+VAajQ4l3GJpfMqZlBJKJXBrUcG
bfxoCbZdnpTneWhcBimxrzY7TTvkRbPq6NN7A5xiTzde6dcpGO+Stn7iCHOtndp5wlGtwoslCR/D
dmD6U+0nRmWeH5zot2+ryovJvN3XsLaIY1GXoXMhu6cQXiD9RR7TYOQ3NTMpugJE0S1XblrtaG0+
BUbw6C4dZsySDqVbfLZrOudJktF/qDFtBKqpr2XVZhuYPy+B398wPlt9hGJLs+2UgqzCeHMMLEmQ
JnAwaGKvYw+rQNrhXg7iW7fKq4KAwX5O+2KD3IONU7jfpiZ4bBlbwAAgyBVC0ZegrraRNOQuB5y0
HaQ60xC5WFAd9VVa3Y+pfUZv7wh7+WYoxX1WZI90hAGIuNslIN4ra24wL1RXTX8/msOxwtCvaG6n
JH9UWfOwdGO3sdqoZaUQjTxnp9JjIuXX3alAiAjUwXvkE3+OGAlNSXtmM4oqZ7h2hI58UpnalTnR
PqX8USTiEvrCqSdZO+qjz6rI7wS2w0CEsVV43iFJ5Z3T0hnM5s7dZiJ/ycKKLqI7uRvfCE5psJxb
I1nk9cxeJVn5i1Enh9Y0j12WYErVgAPA72h4FWlNu6AlQFIFzcWgmLAFBuFggoWKLfwsV1kXd0V3
UYS0ESd2ML9DkeJT6m86o7+x3eZLb0qeFszaQypoXRpF52/EopxYqnsIWQSkolbjgv6elKXz0oBz
Pfr2U+qhSinG/K6YJKNthoZHM0n51K29RcEXMpefjoBniTPMCY9311T4Ua9jJddnOG0Vj8rrGA5V
/X4cLZrWY2wNZnUIUQ5vCxrkhHCSGmMOln3Ma6Z8NsV2XC/MdCxxyGCQkVV162aUZDM7CuMaevk9
NAOoUjt4TBWobkSLBuXFbvLzbu851N1tnn4pk7VPWrFTwpONo67DXxeaT8NY3SZaXyJVnXctupdt
xPyBENfku0IfbNSMo3KShUUfGIfKKMh1tLnBij2R/ip7U7Y0n+ohz0+zQwHO2jqH2DM81ZRuR7x7
Zwlkj+3U4/MUobvJWnJUdfbDiiDVwmV4QjdwIwL7CY3kMSUulsh7dg673Mp1Ufplfd5lJLug8rhW
VUiWY1aeLQZ9XtszLw2sEHuIOi+2orY1kVRszX5h+6hoLBYVeI62dsdt2jLKptFzq2X+VMjsCFDp
Ms3bred321zWbLrBM9wZYsHrCRyXrcpd1ZrHQZWPgTbzrSMU6BQWqrXIJ79aIP/h7/H1sQqmZz/V
4Ki9G3uMjnmnHlHr80I3Di1wrsU/Bxtf7KdhQesy63M9qfPcMeF5hZAJsnytzc7/D3vn0Ry7mWbp
v9LRe9TAm8VsYBPpSSbN5QZBcy+89/j182SpplpS9Yyi9h0KRUhXFDPJBD685pznyNHwQ+kpc6yt
PGyKMQODsXKmpNNOYb3y0ZAeZHS8B+a1ujN263vVNrMNwOiD9/phzvGb2ovnNk1I/atVyGMstW1W
x59mWTwoa3LsepTiAkemm+lak9tIuAZH6kiniA053Qub5EZmHA6qdExF8Y7DD/pyOVbADR21jW+V
TpJpo6WLnUN4SrqutWd1PWXxBK/EArOi8GDPod/CcIAqpLq98mjG3R7KkCvp6eaPGawDTwcWbYud
zkGf3ZR8IHYiZ+WrKb8kEUZaOR2zhSRdeb0JIilrrTEECmnEndI9FjngCVh4XPG5O/YtgBugjHO+
TMGY1Qm0QBbebl9oCqIL3ap3s8V9befJSMNYmm+WUfYs5sY8gBk++zXz6rDSJv2hpez2usUg1y+q
JXZuK2nXIttXAClpHAz9pvxsBk1+NWswaLYEU2lX1fHOAP3BGQIVJ1sWBuigcC5Zr4LbIpaoY9/Y
i8I+Qdr5pRW68iZqdwYIZQYMmKaJ0isdFeSJamnpYns8hGx4VqNxSlNTkKiUtHMTCBAkM5LyM6fT
4MxIJagrWd79QqJ07yeSGQId+lYyHIg9xicjLb7WdsJlIbblmwy8+jDVqbATUHl7+ZTN4Txs467d
BuFsQP6p7KXKe2K+l+KRKYpCLu9C2Vi3lf6WyiYEj1xHWVRK4JD0RDT9CqS1vxpm+82mtT3WYlZp
6OTk6Bmh6vQlE7u1Z0/WvGE71t252O6m6mJd9kTaTDkiY4Ox/SzBKEmr6IlwI9NPLUHZkfKefMvL
NqxOanT5PQBhLs1dSuoMB5rVmk5b1suvIU+ESxkB6ZGNaL8suINr4oMDdNIrIgu907/Zdi5XygkE
FEhD1HMskK8G3BBu7kLKBLtmiuMh1xWnlfRhN+DVeMG0Kn2Qcw3eJi1/bpVlgHjcBo8JO/qGdonP
g6KERZK/mKnYwI1JxWCBHyg4rVnLHkzk+oR/Y8HHO5p0WPUUZH1/Hy4I1m7WBJYXI5GhT0OcGeg6
2nx2JJrL1Y4rS9tHzQiAg0Tk7jm1zOTnvE3Te6YvSojwavLJBaZkVlvhxDRXOIkRPOYumod9Ykm1
H8OpvBOspgCGRPJBBh2L0QgnmGhv+Il3E6a+a064bSiRTXhgN7j4iHa0EPEaRBqpQWjDFNrmvqlf
27icP/R+eO0Xrvt6PsT0UveFu7ayX9fTT1HJOFdJ+k1yuqXxrvIRI8BtOSRAe5kYKS/qmH2pSZ0d
1FqdZ6h6FI34nFSgWoYBfCuLrjpp7A6Dh2Y/Qbc7IfLKgfcrF972csv0Sg86aWh9IzYJL9e1c6vQ
yxFDQKaPvJwHTJjc1sJs7Pp4Gg61Ptf+1vfbp6AKhcuGgeB1fHABT5jioZ3i6Ecma0qox1T4/C0/
sqcjPZKVFv1yZiTPFsfHrltTnDOD3mbM5vVkxVrUG/RehnYm8LtcofwQmwI2r3ITrUPBIAuoMo1U
/lmy9P5BC2F+j3Gz+ms0R8e6UYn+i5P1NV/l+BbNxuLWuWZcMEKbXmKKqdcoQ++pU746m9wVUMQX
qaWuifN9BATwIoIWOtJwgsXpluz1DrC+5qBSLghscY2rmXghjH1+yPt5OiasZd5zsokcPRm1h0Qy
iRoCsX9giT5erHrd3nk+qFTGZqW7ea2OHnwclAtsBdNTMyFZtvWtrr7HvqGEpGY9NuQmXDWrQWvU
K/JzK1HKge5rDtLarTfR6HnK0On1PTKkWMAAKDQORhbZ3wgQB13aTwe6lTS0jAZ0K+goF3zW5pYa
UhITkcytqQhGTKI681tR6z19sbLduJqjO2XtWDuDKDUfOHKJYc4E0etxyrmxwbce6iFyiimKHBZ9
5etqRtuhlGoCWjUhOhgyKp65fNJbIw2sCDSRYVJUyClTnG4s1afN6CdH1hImolgo6YxrHGdqvA1v
CQoL25qs9NDV1fDcLKK6l2CoeRlqpKcN1ZCHAJcC0jQQhllbzwBBX6VbBKShtS3WnRRrq2ZcBVFo
H9AiF0eli/M3aI7T6FdZbZxG7ku/TtqYan4YhXOdrkmyk1sawfvilLvbqEsH81x8KME1iv6MtmU4
rXXBEHVo1wnxeZ61vSt21XAruzp/TqOiV8FTWsWl1cDX4ZG894JYnDkjUZeD3VNgqqwqHanZmTop
6ptmT4aKUiRTpwObVe2CtA5MlsRbxCIs9cQDW3TOZgcLoutz6h99WVvPiGpIX3LbfElbI4UKzJr7
iLO+kN3LQ4HATWmS83OVa8NjuRrSqzkM47XKO46oiG721NXgcEc9+5EWpZQccnWLnvJpq4IhHfo3
uRSULyEVdVIz0jWUhHb4RMoZfc3ofz/HVEQyYqbCHg3qIDocfAmaDAHspa0znyXLtUiXF8Mq08mN
Yk5kZh4dV/gsmadRHekp03ZGOA/oQXg3i7j+6LOk+IwkxpleFhXdbkKdB0w/HSJ6vdlKdwnqm1tR
Cps/LEafXitxsRgtwcST0cG0HHfTOtK5FXMVhapVckSJcd9Q1KcxoC8GzE+mvMzBLKzaNclk88YW
giKgVTCEVCOYtdmgcES5C2yNp2yX7boptl4APBoYxBXJ3xiQQxIdQeZ6TdNMe4ADUKxqNYFo1Y/1
3UjMwOYwb2a3W8aCgPq1mgO5V9T3aMjlHypSaDSGUrVXtwzkSTNFGZNGfS2/QWv14VJJ0WWGgfki
UKBctF6KwaPx/Z2yTs2wrzMOealplOe+ZX7sW8SV3ppC0oM5wZDqICPQnSITNLvIwMzqMbHrlaSG
VYsqz14brXtqi2Ly7hFzmV0l63rptkY4pZW+fMVKIjO32uqndGlQ+BdLLJ/HppqvMSHEbjUbPQDe
Mq+dpgDo6iyWUFm2gvj61gqWEIpiMT7L6yCEhJUZYAYYp76Z2fgdTyvclLG2mB6vmdfMrn4UBNmR
ssk1p+oaxXGzE2Jx8yzAwuEqNX3Qjrt4UResI7WQM4KPxHOuN8ZBXUQ8AhkWh2PbSfIhGnuRT1SS
oRr3tBBiu6iAOpkAcYJ9x2PDSLqWlJOiLd2tb9rmGU0No6NEmLf9Ntytu4aQCp6UM83CeW+gxhvV
7TIbEckKQzLJfjXXGxg+Mh0tlfqq6jQK2y1P3Inh8DNNXXSY9Kk+0GB2vlwNzdNsCdJ+KcjHY7Ch
aA+Mz+q90ihI2eDCH/Ba0dAM6r2fQ5TnSHhbg0JhNpk0rfFEKnJMzS+k462pFf21qwU9GPmZXjRC
FXbDvDglkiWF/XGcfERbIggnaEoGAN+kRFE1V9kbxrwKbm7buWTyWJatqql1LzBQTk6cIXjp0lEO
FCbey8s4tvqFFkOqTqusyYoboSvOva2JFr9EJNJe1LSrL6bYjIaNsSJfuNHr7kcPd/AL6Qhaab1K
kkPa9MOLDIbxYSxiZsN9U31tWVP9gtbZ+JQi4/OMf5Y5kKX+mPoxnVgD1sVTn+j1blFKI2xhw1lc
FrkAtS8uLn0xjmeUeULYa9mIyE9NLrXWKsd2hP/ZiUgt80JsLkyZuLIGS/5IQWpXhMkAo7ZlFExe
Hk/TM2OxO0gmRZgdV7nimGutevSHpR8LYxKmnEqHnJrnmevju690CgOmS0GUWcOjMFjDbesnhi+L
KjQPJUdN4kqbwqWAWrh6MC3WDigDZ1eqKJgRO04eS4Dqmy1CG6BBLxFCFtLqCSOgdKdvR8KH1W4u
j0XF1B5B3kM3Mv2StLm4DUkjemplyXvWgj1IV1MpPKOv6uckHw2fw64LiAlp3VRFXONqQxx/apAD
C09O76ig6S5pZWpUt0P3xeeq0JI1w09jlgt3GATximx3Ow+Qf3wpkWXXWPXxVM0izZNq9KhwxEKj
VkPATTXTXaMoF66kzd2s1LpBUl0eS6MpPU3Qh8XmreI8WripfMwM23MBs0WnqZjnkQyssqO2nlWz
s2UYauG2sREV0O24Um02jx0PPwdLUecWZly9l6nZv3PIzEdVX7eTmEXKIaGvOYK/255jWQEkaOjN
O3xH+U1D8wDvmyUG1G3pVkX9d2lBABjqJPIbRipHGbUSsM5WIUKcT2JzxqmcDpIalZcpW0CIjvFu
U8xlL3e81yKvx86Op74NmUgvVx168eAUPRNAhzlejlKry8pjRIe16UtxzTSRE0gtm0MpGuiA86oa
PB5jzZeAcPqZU4hhBy1qQGtFdSVvh1Uya1dU8M0nlfKdFytB9hOBNmxHcqUjuI2ErR0OncHXtzTL
bYqV+kXoVOmnDuvmKtds6vBmrj7t7XzqcOR5GVR8eyAWfr908gFQeMdlor8qamfsyEtX/BUbxTUF
jk3lmyILbhWBjDa4KeV5RCxsw1A4F2mrf8W6+JGbSfJigUAzO2iPgIKGQCsZ49FysWPPLWqlPnmt
85F0ahOQLLbAhd2TzofN7HtlHrRRdJkNwv60NV9i2HluDKgPQGmGlHMMFREwPUkNp7mQXOb/wuPU
d8phypnH0f7OdoKq3hZH6dL0zfpaZexTkLojFDD5sQ2Wpm7eVvyqxy4wull/WuQ4bIjMsdnIb3Si
m1MnmSsb5XMcdc9gtMwwU1cxpMjYr8ryLkzD/b0Xg/AQkyRXZM15zipoVpSFtfgeVdXBbEV7kYtw
kaxH7AoP2dydtowwVa1Uip1pRQ/x2BkvEjRmCCJT5EDCWmy0b2FG5amjml3EV8rODtmuyrhneJz1
toGYLoh+Jyw3mg3a+qIO9JmKujD08mtj3LwHvqegttU7iKMZpeBnuszmzHLZMhwB8n/Qq1pZ4HiY
qsZnFrbuF0Hp3BTl3uvM0RdsCSG7W2oqr1aaD+SPoM9nB3cfNTXz48AtXTo52QKIDRWDYXYPZtPu
1+zWr6Y1M4qPsuOCcI/hxlyGQ62xBjbN8p0lNz110Xd+q2gsgUadDfyinkV6ywByRLOz6NtGG7Lz
r6xZ+CFEoMOk4ghjMCsCpySo2QcEGuqZlpRhb2ehzpT0aDtPnIXBYpR7HljTazaiR+5ZxbtbPjDK
pzMP5SWJAI/rkq/PFpvDQVVpGnLxLsaWEcbaUDNmX+orHlLC1DcPcT3V806UWVl1LYkMi1CzXJtL
KcjMDCknEHWsl/f9rEOaFbkBjTh0z3hqN6xzW35YlX490i2qXgOInryNdoH7hmrzzWJ/+J3XmDad
tY2Hdyip9WMRKQs7I+DnylauB0bBCL01rdbCkoQHjdsiqU4iaOnWGbT+yKN6fi4EEo96BDgfujD2
zPioMixHk4b+u22GZb9kevJKkkl/WFajZuG7pphUWDYHlagCg+7RYgCKSxuFEkxEqI3Dkg5lmk2e
t1taFKMjUnUwYFln6YnZ2/QMtSODZZmV2Ax71aqO6yIJtReDVIr2bawAVxU2tQMZvklVRmG1aU/4
HmDnboZ6Msw5Z+mfC6Gw5iNbpUV6ZHfYMk6oNqw7aXRAmiNADlTjch+JaVM4qyINlyjXMrqqVSYF
IlfNFy0xSNZgKVlzx1RJ/VJswEYmRIw7aLDVgwS/WrPnQaZF2CzpRMGohgyugfoT4AuWFAowBVoi
rp3ll8Wse0xv0QjOKiKCwpI7Vx9MYy82xq0osN46WkJkTEdfekDqn/oRilcN0K2froPKA1YUA/Dp
xi+5y1PSG7SZHS/xPRdl5AZ0JkUApWvoxcGoCFXL46G9ZA0nIEu3yU+FAp1rnsoOT2x+PhaLrP/5
8cjmmB6mqGKTnMSt4JnGvN4qbayf9SiKdyuqChs03IBGV4vOohRhv0oeErl+V6r0VWsxe0IJNm3I
JhM0wq3eidSub5Cc5Gsh54NL7TW994lwJ4tkwrGpelDVOehSp2ms4kq+Ufq09mPzMKHUllOmdh7j
vobh0532bIvSWig2MG62XQKWwUeJUvOxqnL92qq5gW+6bA0nVgzrCy9REWZrPbH/ViWWDJxhQisK
vyQ+QwfYc/JS0oX6HAdKGHeq6OQxyDDE7GRjVoukn6y+TpAgWNO+GUtal6aTPhsgKC4bXe0osjPY
19NUndeyNUNWhbEfG9VnEjVPBTBWIhToF5mu8hrt/VoiXZyff8S10vRm4qidWXqdZP3q8227ZWTD
OdDcfypN2x8EoygQyrMWMMs0uzA1Nm+szsXHxBzHh5WtziktcsafEe7KZWQzZidibj0pgtGq9ohz
9oMGn/appfu1raHUHxaZBA104F3nyHJGY2mYa7VL5tz0tNW8W6yB4m/NoL70cQVYfVMSRk2C5dOP
7qwMpMGolZJK8oNu+JOwJb5iVSzXigb6d5uwDtKGLgFatpbJuSKLx2VQrj+I032HSWO3BUaZGqQf
K9lsF60Gs5WQCIZ/hRRrIUMs6VpWZn0dSbc5kwVQn7I5UQixgcHliYYphfT4bBjmnGEVKRa/SuBf
r6OgkezJbzBj1TELpofv73lj8vXKNI7RWVurx5iW0q42fEn1jDyoiBmrsOw0UMIXwyWbhckHfYDL
bNDGr6iFlwGtdrI3Oa+O01ZHIdgyNpIYz9BIGMPjqG3VWVmz1G0HbBRiWWGKyXsenwqCPmIZKOTm
Dfem2VoPSqKubmoVymPd5OtJaGAXzo3Zvhiz16JNcKJmuOrRvOAfHNnQN/D90DZ59WioMoGjE64h
zeJXRnkSHcA24PxaxYWwb8VI4aNPxUGfBnDjkNOQMtxb5hgscqSoy75re1xIWodEJs7YxNX5gTTY
7iKRkhPQ2ebP26YMl1WbMwccfPlDosvDCrO1bxiYzVc9FfRvlVA16okae7WcLY65aJJbJVLx3DX1
89yXcDUV7Hpr3+4x+RjnkVBwfsetepJVtPwj7u7D2tdCwEoeFD5BVFdm/vyskrKA4mZsJIbMlaMX
IxMhI+ciaC6qMIGnc9sQl8vp2KF8FGxtrsZL3xKYkMSJsZOUluQKBRPp3cCePSmwECnEFEM/sc8A
Wz9I5chF3s1HOb7jYWuOjs5OrVT5hgkzugz7T9ZU4o7s1NhADMHUhkwINugCNO39OFFmklzC3mXW
mtHWWXjdSH5xGlWovEnoos+8XO5Hq5gu3zXynetII2+6EoT6zEZ7jw9uJZvHrH4OJVUIMPHbJK6I
XKRpz+soB9ymvYctBBhGrtfte4+MJYhQfjICVeXkMe8Hx6J99iQWx6elItiLXIVa+wb3y0Zfo7I7
M13LzhP6Lw91e+spbUdUjbGx46D8YVeukszM6a+ytxdMkmW4YYS/So39E3fmLhpl3g7SBx26COHn
zwDYoRSXlIMp3eFRwvAgdFUdppnMUTOwFPPRqHSeitLAq+najqY54ggeO4R5/xaujvcBjFCRREVE
pniHpfwJFpqmUrzU4qwHWkKAUZ4kAw7kPvtN7/8/Au7/hN37O8Hwvwi4T0hKUuTbKb6UnxUj1DX8
/t+//U+/CbiFO0oKnbYF9g0LCuxo5MO/AagEyfibyCdq3KXYtGik/fxTwi2j7pZUS7Fo+4HbwKD6
p4QbbpXBjh2Y0V2Wf88m/nck3H+kxWkGudO8CFcJ/GbSuP98ncr6YNXTmL4jsmDGaiyRPfJU/bcw
N/94EcO6Y27EO2nrLiP/HfBJLUsjFpf4fSZGbFcx0rH7VBCo62b9L/hH/+2PA91GV6DcmLhs//hK
sbZZ8P+tHxxspCdIszU9Ytaq87+wffzryxA5DJJY1dmx8sn96WXGWZtSBmVvs4h118NwMt5AwYrq
X/ze/sjruf/eeBn4CCj1oeIZf89Y/N3vTU7N1DRb5W1L0J5kWqS8xmYWkYYC08hK2MzXBgKqqSyK
UMEO+Bc/5B/F/b+9OsIVKPLm/UL8swEk5yocqQHfFFpJV5FKuHWCuCquyg7IRjOC33nVs/MqpO3l
d/fQfyO6/xPO+/++NBeKBbDE4Kb548eIBAFLnLS9tXI8IObBXEDvO/VS76uSNSFD7CSmzqmV5ygF
eQgg5o2Mwq81eTA8JlFz8xfX1R/NML+9IQIc+UC4imUa6j++IR05JkJ0+Y1SDIEFWg1kviQt5KX0
b7+QhfKeExsTMunD6p8QTTPcLBRlypsw5K0fjZhD2V7GDq65OPz//5IV418+YJ3ziD8m4NTQga7+
6dlQ6YLABZycN4SvdHgwmQYX9TE3jlk35VPazfeFHosTlZ3bFO1Jv0a/KOolFl1qu03BrD3BQ+iH
GY1aVUfZZ2QATro/yJSPkjDwyo6loaOIrtoKbcW25LUH7nPCVbluuLeBNzO1F8S40A9KW4l3txbe
ZbvbygTIQNRLXyD41IX14JYw7yZFT7YVidbNFtR4Km38u4YQCOgqevAp0nYysYMfIRGsDBAIKk79
uR2bD7MkXP3UC1Z0n+wKyStCa+ZYhbKI9U5G3UnQCdh1RIRYnS9Nq8PfYZhrosXUrTsBDGvhE0gT
hr4Y7AaqohXYs1POW44Yisy1bwjhmeYVYlaAklDl7rZOM2obvenuCTl5KRi7hkl12NxD2J0Nafbi
oNVt9PtqJkXDFbM5nsdoRX+kLet0M8R8Uw4bmqAMiXE6vVNOJd+dWJF4FnWpTFSaRnEafUidKcaf
oFmix42pFIl9ox6NULRZRCaOpC8Cv9hARDfd7tsBv734pJpEtIguTDpFeKhHSA+ZLUVL1VsYyI2u
3fJrBOq1owguBQb7BRuCaEDR7K1N06FGUtHq3tluuEa67kfT1GmmIC5GEF7uxFkr+0esCay+WFgV
QqQ/AQNB8Ipkse1WZ1DGfEjZJ3dELPmSmk0y8lcUkVC9JkQpMWpFm93mNpg3RLBs+AemGUTbiDST
pAoRZipRzXQuHsIaUIery8DDX6NpUkacxaoxQisr2hpsQjjhNGWdCPRGG27FwgZkubck3a8NWRZA
ZYbOiPGmZYARcJyY5Y54CeQ002l9We10sKIymoG78FvEPvjcMzRmIq9FlkTTWreN0sCA4aXQgadx
04ZWi57NGYeWUpmEw1w8TFOE97BXUhRFsDM2Gz61ebLwuDdhLZXmq8I+Eq25qhc/s6KW41/N0o3q
uV8LZE+wFBrjQv8kXAazSKMA2Z6QvKxmIkNJMCtRZnJKhOg1qrXpgeeEFl+WBkGOLbVV9mMhoMII
po7lGAlt6ibxy5DnpX5NZKkZg4SYBOS6AJf0XTpbHV2atqCcRoEiZQco3e2bjiCCvenWV6knbTqq
9kGyKjkQ5sVoPuMkX5hvx8qyuQuAEr6UXd6ysOOPx/htjrKp8werioTndR4m5SZtTG8u6TBKhU98
nai9ZWuuKbdVL8Xk2yoHZtc4hpUJKAWiHKSaGv5KZDM1CFn85dzu1iljgkj4Y0SiynCa6OULxZnE
YQYH1eJ4z57zLe0Ym6Udo+zbqkCFQa5Yo7ThrIFEfBSw9PJZJjG7ACnTcQQ1RQU8SxjhkiEJe+g1
PUeGRhIl/A1NbldcJoSVeWnWMy690yuPc8Hc3mmkrniAArZcR4IbBnvp+thyh7t3jQdlRIh4pqXS
r5ElWOajt05MtB4Q9lA7GvrqipKk3635U3IqOVl6Z5XGPA3w7/C0TeFj5oG86MyolWJ56aEH4DSt
7mrxFA6fyK8I6Rge+BSlasV65BbFhvYM3Q/1K7M7NUbAu3WzP2Us9H1ZiDQdAAQYFifSuuQUo635
0a9MdTnms+UqqYmm0F8JOUTOHtg+QUXASfHUa+VlVlSOdonh5Us1y/G7OYw0gmQ6RT9Q4tZfYyFO
VEEzPn4jkbOfKPBn6Z4h2b/rhGuemlYrcoyxaU6nMw5i4s2iuf6o+fg6t9UylGGJ0rPkNlBKv0M2
SHOglV112NZ40JGxzv1rP/fJD0Yz5Wciz4gzER+0n0PJ3sLR07kOm6Wq04Dh5XxmXLWVYS6o4uib
S4kQlATW9JOFqvYwtWvxLAkjacilsOjOxNwHit7Qpk+YFfr3ZJHU51EU5i9OKEJK6xHRGMCoGex3
ZtBVs+I3dX9eRdQszH2MX0u8mBt0OZPB+dLOSuQ2IlsoxjJWJeA+HvGeI4heeJEO426jtxpaZ20D
wmHOkST4/NB/z/y28iEouDkYlRkDSsgMrBy33yivwNZwj+GTivP5LKKMOWwUp+t1RRD0a2RFcOyF
aWY+PNes4nmwEtiZE7p64taJznVGhrFLhg4K7sraloyDtiUSzTS7BBYCT0nikzNz+VKqxsgxVgGD
sZctj7/WDJAIeR1MnmxjRTLIUoN0ElQpWk0mXmRAE9nm5hOxG/v5RJr4XIZuLT90EwSjC21FEHyy
wLQJipFR9d4mxiTfxhsOwoCvRhKamD3+rLysx2OSIxd1oPdXaJaEKH+7zzWlgCBgOXEg+KHk6AoC
UKGNNBAW+nTZfnPm/08v+59ERxiyAeb4/81SfvpZ5R/5+B9hf2cq9//LTT9q8kw/0v94GKvvj/r3
Xe4/v91vnS4+0r/hAGbWIDP6wBlMufkP0rKs/A3bpqLoEDYZS95NzP+wKsva3yy85Qb2cv4L1Fre
3T+syvwnwMskLckE45Arpav/Vp+r/rGZEuik8ErTgNLP/775hIWhGikZDKcsTA/tvj8LF2Gn2A2c
Jds8yfv7v6pn86x7SM4mv3eM3bqXnjCCSpfoIT1PfuShoXhdd5FHUellF3Kl97JD5OI+O+YfRQim
T2EmScpqqAbjIfNid/F1B++YA2vB1T1sdmHuTTvVGfnnxZWDxs0fAXd5bYCB31mddtceUCo6gjcd
FDcJhR2SRVfapbsuxNHji4G6b4M8wNXjCX69g+z5FO/hDLj5uQ9QjI8nvLNh4ze+5pfn+Iw7C5Op
O+xUVzixoWiRmh3zk7Frz/LeuOhBe15PmBlCiOz74pyG067xy10fFL7qCbtxb+7rh+jKNvkp31vn
+lTu2v2w6zxwPfyc2Ao84cQy3IlCtprIkMpTcmEBjqyLYjJ/jq4jRKTls9zjCPdyL+PbKn5v/wy9
3o38G7IbRwp0N/VkL/rFHc9XNDv9729D9aQd38FtA8Xddqpdh73vidfouOzToA5yT3B6frIxQCbq
z34b4hsNusPoSkG30390h94tfcUh6WSfHw1v9o0gDzlDrtVu4v+aH8uHxN8C6wG7TR+afvIwu4aT
B/dkbDsPUGQ7VbC68N6dyM72yZ69mY96fo/K95s4x/dhV/M+eped8M1huucONsBGT9v3x9nXL3Wo
+pE9eXmAb8Uv3WQ3Ho2H6LIeV7d1RV90FaeyOY0vRAwfy+/tpcUDNCFWoLuw8Rx1Z9HtPO2snK1T
H+ZPzXPlteHyS/QHh+xCt+SbpNfkMAXyLgu0MPMGT/JyPzupJ80tgkiBH4eV2k6fjKsRdrya5aQB
8z+f0r7ap67mZkHqiq/qrtmjbHsVwtJdXZk3a3rDV8o/U5vs1MfyoIQjuw7iaB3zrD5KV67EAIqh
X3gt94nIn31jwXuWrukn9w9fmT0Y4Rqk6Aj2aiD46SV/AhR4lPfFUT/VB/MxOxncAd0xC5M9krlD
/xcjT0gY3NL/5dj/r1v9T2OZuR6Be9Uti0Zn9ibMeT6+Yzdy+h1jb7vhPXTur19DkPoGd2URNuHm
Yh316Elc4aaE7GK98iO5zk7hiLbgYn3wZIdWwH5J3dSHX+tgWfLI8Up3ktuF3GE+RIAdOp/sC26L
x1XkJC6Fuav4hp97Jp+3wlU+QC/dlwGwS/4a7NQx3TJYdoCAD9IOQpwbB3GQBulPgpYLY6+R4/Jz
+yyfp91wyIP8GZjeskuD9cJynqsfwdF0eBQclAQvqtvxZ8Mu+kGwelgc1DB3Ird+Nn/EJzmUznF6
NLmWTvqFCzKMQ/m2PWqPhtf70944lcYuDqd9fCwO2znyma9cNNwgV5OvjmxiwmzptASaI3F5L/f7
wZ8c05b4819IbJyPH4X9VXEqzNwLqw1C2RP3g6vY378Iu7Fnl3uSr0VG7JD7bJcu38nrQ20/H7Md
An4OVvPc7tDBuJo/hYQ9Se7sYVhxUh/E0rqzuB6FQ/zKFec2zgdyjDB1Nofanzf3zRl+VAM+lJNw
qI6bP7mjNzu1Nx6sK9Q2/i0/oyv10QA+0l4XAY54Lj05gCbt4t13Cw8IvIP6LxQu6/7+usVp/Ywv
eoxtwI55SYo/P/G4BcJ2x2Y6iHeihx/P/j/snVdTHWuWpv9L32dFehMx3RGTdhv2BgQIpJsMCaH0
3uevnycpVZTYhxJz5nqiurqOQaT7zPrWetfzIkN22zNQMDd3oI26k6M6yM080VHsxM98Gofs1l+C
ga2m8wQbPoP9M2JHGF1WfZt0yR6QK81JtrVP+almJ36iH9wx7o0v2FUw/JInOlCZqMpeYAcSGMYp
jwZDzQ0/GfvBVmwOYTtI9m58qB8id/gg+Ui54m2a89/z6CIxNBlJRg7MFE+Np59WtjIEbgGoM7fZ
gaQQ+Catu/qtS9+mG/EqMbS/ivkSJXvVzKuwXMG9Q+TpDx5iSGbOZH9ubM1fvML+UTqlA/jMjp0w
GHmThlsH+WHZUW9nGvY+pUeelWqeO7tfzUAPRp+t2aan14+8jl2x81qfjuJt2GybJP/CjTzukM11
5E/rgeS3e/MQslC1Psctlivq6bb4dTjk++0XdjudMYb9wBlEAH8Vs2g2Xsd/Bq+dj2YweIpNN8zr
PyDDyHjudppb8fei0+6zTyq/iNLpzmJIyFwm3eMqwMNuv7zxpH3KYMEW5PVBCJTdkdFNW7CL+tZd
GZXoYAL1BH/XMezm88DTyQwfnYdhaJ15aWziis/qxZMzN/zqW3rP7+e9ynbrhJ7uiQF6A96n5BZe
wn90h6jiwO/jdTOmhJv8IfRMr+GWlp98Fqd2mYDfRdqf70KIjQ/dsWHsqMHq6ry53BUcfV/wnfEm
Ye2c/ZLPaTFMLT9mzrpkAB0z6Pm2yzbQXdEb3YWJszgCX2b7d9s7Q9rPx6Tmz96BLSYbo8ZABozI
wgmgwDX2iL38bShXHuhvJnvFRUqeAb21diXZuQu9d789zhYq9f5wXHasBHy9hdHCC+InQOsy9Gg9
4+WVe0hxp+mw8Do67trk2xNPBGFQX8X77tBsA9XVA5q1+NKGu+xK1gDQul7ktwEIZeeO4wzPAKLO
Lp2fGTdFEtBG7cA16bzhXWh2yk0DxH99yWRICerIRrMPiEQ0Nfh0vjO3s5OPsAV2+g5D7V3ihh5Q
ySNr0FG4mXbdjgZtf7sWOhW+1eREburFrwNTYquYuFGY1UGrO8I+Z7lk4/EMZt42JJD3HIZdvo1k
VheRIRazeEBbC3peMXGHg5ONw8HqaX2K95VHXiEOWK7o3WENMtjqDca3SgeAnTPyAGH5zXdrT3+S
LzNn5SAOpp3ALN5GanI2A/kw+sKu9XehMx2tfbeLg206wIth7qLdYQWGUEAYEhPqskQ7wi7e988q
y7B1ta1VeYCBPUNmG5YUWO3ELXmjCsOAJmJGlcy7BCbpMRc98dZ8mG7VM2sa37pwpVPhbu8bUziG
XbYj/HX5bXbmImpj1QsdYiS/5T6QBG/vw0n4GZCsTEiW+gB1jDed4ZuxlpgMSk7S+4GZELIWwXhw
oJAwFthWCKrNk/asM33F2yUAe8C6u7h0xAQVy1rFnwEU8ZkRQNSPMJ6FZ2INNhnSLe9bYaTgdcSX
yvfErw5h2y50S7f2LZ4z4trS3vQsF40ovzfnJfc+L9YVD8rr2obRyuvkRgoXbDvPNls31fjrKlMG
zFRHIf4k28QjIDDTGCScr3mnlHxsFLe27El+TxqFP/a663ErtCkRW4w2VBQ7+xT/qM7bq24OGjea
8xpYPfn3uLgRkptBeh8SYtfXRdAQqMDJYX1qAvpn9VN5XdwuL/NuCxR6IpuEcKXdsXIw1Tm282PW
2Srs8cipxMuZx9kpwmKRRVra8beH0i8O2SE6VEG+XG3g9Ov5CEnv1L3ERMuLbwW6nTkEQaJdPOQ+
R6od9+ILduUgafIZYHbsTkHjzHZy4lRk5/ZAlFQFtZ/sYIHyU0QjLjk1m9Sr0xIVbWGXwPmkceLt
Pz6lih+CE3FmsJza2+KW2uMD+ctpOM9XupP6+Cd6tCcEPYHavKsxPuDX02vIqSTcK6FjneudEqxe
Q8ieOeK+Pmrn8B55dM9fiHfGQ6PjSOfpVwRiXuwXcIgCk6OEhsOAwynATngtpmt5+j21CnXfH8N9
9cD7ZaAgirkeOIWUR/kGYIUJNONB3ctEcMpX9Yd5r94kAa+Hn03vIm5H/5K8WOf2qN8UAXxLv6DX
JrMjtK5OdCt4gtfuioAtkjBzi0Mh6WpeFAgeEAqfbggn4h+HnJcKBwq1M7ih/dzvYGPYWsA/sMEe
2DfEpt/Kb11l94uXXSVXODMYzuArweTXHmHejqyB2uzoBqLn7KtGUw1/7Em+C9FIMk74i+qeHybm
2z6vsB36CMMAbDOSTd5htd/OYdbrd7P4hZ2ffqNzQvhKeMoAxNM+3HWuaUf3SFlpgG/3axD7qDbd
9IvEeHhGbGPTq+RO/ux9i18XhdY2kd/ZBvdoOJDFbN3WGV2dWzN2e/5ucbcwdCTsVl+jRnoKuERM
OzmYJc5cHC/BLQdI5yXy4Q4SNrv/CULX6xtnwZqCTut7+bnYJ/vWo1am+fPPxW+9kMtt0W1Imozj
V8MVcn6/zLSlM327C9sKInMn3Mq+7jf+dhsQ6d0UNM6P/FN+XqJA9Ss2ty2sIwhiWQsZ0/WOg+jJ
8BjtLOuRn3qFqzMfBs58Ej9Tsw2w5/DhGLvOt95R2Gi5eWebNCh5+e/2AVKi0C3Y3gY3LTHOw880
2OLZ7XVtRxC4HNwO7kds0bUjPgqsUaBzD3R92C1b9nZTg8P/sgBBp7JTFiSicw4CkBn434lX1rMv
Gqz/i10RSW9RnXBMHTY1DqMli52Lxoxt1Nyeg5fOMTQovZ6bHVya2niSkEV+CwctgmjsPjzTb+4r
Fn9rnwc0+nL7qycE20+y/TrztcYDqDvrwDi6b/a8Lzalyes+rz7oYhZlk70X7ldg7qBO2GykwZZ/
6YN4W4a97S1zBGBRJiy4os2v+tkRMQp+zYVSb2JvIXCx+QPcMIGUH+/FQ3JO91uMTYI98WWbE4jq
zjwMYlCvfuGozQ6zHRcRUn9Qfldlcl/vHGNRML/NWKE/R2Nb1dKJIJVIE7Z3SWKJfd37QZziUdVb
2ENKxeEAwAcwiKwQBZILInPEmga9i/AJmxXisy3MXd1ol99s8da8p4WeDEfMAkd+ilwSkam9XocP
4Sk8tVfWdbun2W0/BRIZDouItXPIMRFUTweNnFH3Ob/HGmzX70PivcnRWbFFVn8SNbvi0J0gwxzb
Xcl/dZdFyEtO/VHfbysiOfi7cTu2cYfj4/w42zcGm1ARdA+rXV53p/Sue9m2Ael+298KkjeZp+0k
u2IL6G6N42w/j0zugv1gW6osm4YGtn7WeXY7leEcu9qOehmto2wdCUtwzg+nbuz026Fy21dQih1h
MvmSax70nxKBL/kjt+5ZtAFu8PJILJGk27aUlYPlRIjK9R0yJ87iw4HnnAE4hFPNtimByfcnl2WC
n9litPB29rfohvLFFjXb8ufV3WKDLX0ne7XfsZBtL4K9NBAC3ccR9vVxgPISFDYsU3yRjm1EZXeu
9uuhVG47neluV6SyRlZ06uFE0qzks5OWwUCCqPP1Ox6dZSC0V2/8LNyuTDTFmz2QQBz1NXbtccfG
HCysl0BXgpRzVuJDTWbzn4l/Wn+LIy23JELcYmxOCzyDwsle66+tm/okPqa3RQ0jgFAvPU1M720R
kW2qTk5BEIaOFYU0Q7B1tzEJQsqFOYxbxjHyH6gxOMMeuiGxG/5Dt1Ra4gNaW5sWTOY7h2vm7MR3
JDC3mYDXW4hIT6e3hXiKR3FYxfnikHsUupwtMJx5cXSdOBVrCdYM3DorAmEZmRyCulq52g4llNFZ
UreVi3XsKnzOz9HN5M6sSVvKoWCZAVpEPPtbmvw9yYr2n2brhbipyHC0yEHFnMIX6Vo90BNJGmKL
9x6o+dzREiuf4B67WyBrsjRuoSXS6xvheiLL3H/R9smddoO9TRDers/5Ff/8Z3Y2fGXHHu+ZB5OQ
JL4OyR9v0UN4Ex3Ku/FIi3igHNafFfnNiJhn9WSynIuf7EGB2P0VB2jCGI7G+5GQmEOc3+6W65xY
Q79pj8bDeiC/53Z7Nk0vO1QMkeSquMJP1zp9YXNk6XdpzWTBWz2vJOki38hf+kNxxS5EQCuzl4X+
QJITjYqn77q9dWtG7vQ8LnazRzpxbI7Wdb5nfWcVJ31O5k25ls/d0dhz9Pa2A34aWLvXT/C3Cjf3
VcH//a/tzzxXNQBIxAGvgNN//91/9Mh884e6/3n9JdFLtWn+3vwNexc6v9vhpV0+vUDu+ecFfv3k
/+2//KUWvF/ql//+r+dqKCmJfXoBh/OGBMvK/59rNf+7jHC+fFOR4W++df1//xelGHiR2Fih/qSC
om546V+1GAkArIykTMMlkJ/ZLLp/1WKQKgKJNiwLSSGyVVozKJX8KsYAL/mHSMZHREVKLYZ/pfyd
aoz+Vk9litg/WRaVHe4RbapkXeipqljsgcoavgFNnmUIhgm9UEWNNJqpqeTiDXw5ja6HJCVTDbJk
PwuWJjhyYy0/IkE3OIjGZvGtWZBq4VqQzU8tTXTotkfha4+xNmN0iqfHNkX8D9Arnc4qyHrzCAGA
zjzsPHQwQ0UrPI+qQIsa0gIgokNRYhzVCHiv222KoM7JQZzcpdpMJ6EhmyLhp1otGPCYMHHxnDIj
bKUSocTYSBrU+0rDa8JXszj8GWVixDEWu0VyNPkwoRLCaejzsqRN5WE5zBWMpE7vDY0GbMcSaDHC
mSSHrzSHw5C6KDY2hhgKJtVBo1c1jlk3IhWJUuo/q1MSzYd6ysrC6zqSdVAwKlgxINOmKToJWZsH
Br7KFYdvlA1gDSbscBKvqEGL/PxtyL2z7r1NEfIhNZyweXSEqLqmvFKIf6+ugcNZ5UXX9yDojOtM
NKZHFGRW/cHqejlcULsiuzOtTXQJ7fgyIrJouxtGWQIVmCksazg44P9dDV28G6M1ST6CpatbgvPf
BQRTgqaH1g9qPEAuC/z5RSGBmnsWhsnwHcZRS3ijZPkTwJriW4JTQ7VbEV/ELPRwIrf2TBn0hU5X
to28qJ28eE7qYxXNytYDGU9f0tZUYzfmozWEOP1gStVTFC1WGdDiH93M2UBHWx+Bnw/MHsreUYFn
TBWt65aZUnvI2Itmi3KkQufrAqNxng8K3jc4dRc5GvayiIDCSchBb5RewglTXXDvwsdLwRlEhUSK
GYMqQTRsZssdVtRZdjQlkgkwBQ2KnbeqUnirsSrAw8waI54hwdN8rpFE7fJWmZaDgSFZ7Qq4y0i+
llbDDxGDnKeFsZVxuqMNDygfJNZdR2cNXTItLYRNoglmoGm59tKbMfl+rZ44z2dDhrgIhz9EOx5K
qXUmkm7qGXgHsJcl5TAUS9p1i84Ac5ZVnjusb9fie9asuHNGQIEKu5t1gcwQtDAjsESQYNCeOuuQ
6AkCBWXlFUB/zLLvfTRGpa/DZzOhvxiZ6BqaFDZgfiqqLCFl7G8SZkikp7KN/qMLbYJjYSwAoM0X
vKo+rSviXMfEooVCZl0N504pOu1K74uRZqlxCg+dFkaWHedDZh1bOTehE1vq8BgrOHXZS2vUpYMY
dTYOao2zr6Mx+6/WKc6LfdoKw32bw7AglKKzwUcJojyuo9xt6r5BIHmWmjokpaKD5pSpRbw9FZY6
dGY3cIl6weRV6PDY72qc7hMHm2oFDie6GsomSmnOARqWhOa7MYXn0pgNuo2kXSLjoGBuc1X1eUH0
qyizsI9pO4s3PUZSB2kDRcYxyhgeSTo1YukNMIlTu4H2+5mu++ZlipYMbY85oOEU4KkwG4FyH2r8
0vatLAyak5ldTUWrmNddL2rGlWkl42SvLcbe3aqdZXr5y0OdtKnkm0qaHVbgDqLTLav2iBcJaDfB
rA+FOPVePffTy2zIw2PCW6SvXW1TTE90NSGKmpRMxrioGAqn1lSVKBCjmRvdzBayp/kKf5su/VS2
pcGkFNjLmnndS6v6rPOOH3O8K7WjWVtg/FAaQ6BclmUUgjVqY/pqmqHXONlHfI0cFbbhiknVIkuV
y+luEQE7EGyaBZgSUCOIfKKydENxmEjz4eWT+f1kmPsea8SfOQsMSbGqnEiZ0U9DI5YAcpje2vZe
Qjv3og2TIkO41KmK0cMZBZZmtJqzsB++8BXp3wuXaOLAkwlx7ZnLWKlus6AIq/JYSQGB1iMlpGIV
4AEt+bxCXU168rhyZX435SE/CQu9ocdhrc2fs6Lp1xPWPy/xWtWkzGgALsHc5JCRoqZNaPSbcvrq
UdNmD/E6tHBp1/nnAGehsmc4kU91MQLWZXgkphtJNcvUKk3ynaV29aelpqcJ3K+65W4GK6GEnCBd
jMRMhlcdTa3h570hlMj+6ui5jNT6Ef/LJYYBsPaZ0wpybrmrqfTUCkaaTp2VRr9dp6yj5FdiZX0K
UTui+DUSkRc2zgO3C+qncUuYgg8h2yPZ+0wNX/RVQ4Kgy7QI2JWVi1QscHW5QvpamcNzCY0NPWnT
pAWOXgOCuIqWLROjNL26FbsZjRuOgQ1F1bwQB1ICEdhoSqJlRst/KCNKdeKhr7BxETVhPDSDpFV2
LsiN4GqypaGUouUL96jCMo4wAXBmoxG3vpVp2uZ4wzIAHaWUk+vV0CZoTpUQnehVjAyvtjT9a4aB
PDmjJS9fEj1SNKSV8fLQooSC7W4KEDNjE1utvuzoe0fEnMKWj1LZbAMIUvUZ+9CB0jZaTTG322UB
Dp1FmPpMTaXXh1ghFnABrAIQn0Kw4xgXmuLnqeullzZszB9aofFW+yWKrxVNFp7mkR5MVNc4sqbR
oiAO1vNmOExZYWkORmsq4b7ZYeIrm4M2QLOJh5/0yQIii+CcVBiJqiIICji+fKtQnhsvV5tusM0k
wUVzXMMVcPHcIEaTcrRDsE/1cLFHy2L1T5a1BJsbCc9tClnEWvv+egVN8Fi1rfiMlWYIDyruOL4b
ympyvJTNkmJsJ00bc1EcORlGIrpNmgFKND1tmD6mhgCwVbcijEkQS054bsGkIOMD5LTxElVVvsc6
Mkxbw8KWEG4BqNDgVncNUb+Ca5YDDcFoMVXFo0bP2edI7JO7nvHOGWfRsts2k1n36eEOr+feAh1i
9VA4ac2dBRD+sES+1NGo4QKFZLByF5DNsQtwojhoM7OLLGaMYJNNMLuZ0m5g06FfWqM9NO5vJJR4
OB3oUv5coNAjpUqY9LMZh/Ipg772w8ywKEN5E5lPSBD5+FIJ3NGNwyLCPNCo9B8gqDqiyLmGkakA
OpO9PJv1+7XN9W89Wt0vRc+kw/usR58pZl3T+5qY4sko435D6V8QRCrbpkUsQ4Pv+FSUof7EoYaE
KKQ6y0BxDD1yzo/ZhDKzsmnQhSOvjWL1swDXDLhS7eTzzCz7WtWG8qwZYBJt3GBCgDH6GlMPK5SG
vvQ8M+BBm0besqdPcXvTmVb6NHIIoNU8ydIdPdRL7qpIFpu9McYoN2csJzrfCIeMFuHMHOHO0wYO
Kic0aWINtSbHHg3OvnSlIVQ2AgPMdn+ELlbXj0sEdM6ZoQWNn2jutyD+TlN5h4driKmvgOZ21wrA
LHg1qjy3nDaqNVQRcmpqL8HkhyIgfS/DJhrBrMjRopHOJLwkMNMbRI9DkDWpvGy+qzgTk0utxWh9
zBJCykOj1cUSsqObEb5uZTRpk09nP8cFFP8Avb5jRxmruyWiTwEmaxhqV7QWI24l5pONlDJENIbF
jaAvU00hljBCdpRc02gEz2mFTienIGoVUELliSzcYHq1ZlfmYOFy6sxit8Y/5FbLBXj7amrc4N2u
6T84p/I84NwSwEX5wsq4F80R7oQtxXMGwxy4hYUIxjKrxK9DjKvcqpl5CoDjC0cZOhUWI+iMoUke
aCeItdzFlC0dPq9Ls1YPyRAXsp/DOwvvh7SgEcbOkOXqPqGITH3J6tJmQGzfmvJtEiu6jNmXoYFV
S1YOH7T8xAAgIEKnBrsogny2ujmD2lTjq6hXHdWYfrBIEG6+WihlhdXwJDFSu5MQV3F5VTbgOE6d
AfMUa13BzAzYzTMHX3o22ka8HhoVe9ICS5bptgbjJd/JXW3qp6KNchkGwjJ+tmhFYPploUoBaykI
b8xpBT4RpqrySB/M8rOTWmgUYtaiYTeSRs53ZaRMTx2CexJWs0XNjH4iik1ZOBGewK97Lkvo5vcC
sfUMFlZcdS8JceQlwOvl6CrVjY4yOscL0amsbAoKCXmGU5uTDFBPrjeA3KBKEJzVfPXMatXqvaXF
4IakqaHbhFZ0TMEMhZfP+ApJSdUYrXFoVReocStW1MN1Awot9jCkQIi7tITkcB4EtT7gOokjVWrV
0U8U+Oy8sVki8oJm0X4StYIe+KXTCtlTQ/pVUInl/Q3ez9xZdUxxeKTCIRohDyKMCceECUAaVowx
iFya6/JPk0R/Oe56yg/Y3vQLCGKTPOV1G8H9KDENg/6RUcNRunaGhT1PP2RxlFN6HVQWbE2ODaTR
pTUsPHo1eIUusXvj89W9tAyJGM3+nOzMjayDn4apcZgQl5yTt6m1836MjeEB0EEPxgLrL3tBNE+B
fEx0YCdJN92aVdXhSTfr9FjEnQIXWeC0m9gTPTjXUmpkpisCP7sXW734Atew3bACYMTdOa2V3G9i
gV6xPI7W7/gxw0au5xgCXdWF5BFG2oOp9mmp+dyERnQb6slMNbNeM+wt2gxTt9xSRDaltDAw/lMw
av7/Mud/dd9aNM3957RZQHvDyzfBTrru2/B79gxTpH/lzwRJ+Qf9sLRvGyLgKRJUZCT+1bWro0s2
ZJ3mbpiqdCeSCP6VQZPkf+h00+ESRKqCHXjzS/qVQJNEhM6/GnYl09D+TvbsrbwRITVNwzJceJWc
E3178paT+a0tdG7CZWS9IbRm6XdgySr0b8g0eYX8IQ5NQvsg5q0kfNCaeNHT/s/rmjp2YLqpa5Io
bVma365bkFFqxjq5jiNPlaoTFo5YLLArwxPQYfqquex1ISxhS8mefvtC72SZ3ru0rJgy670iipb+
mk/87dJLaDT51LTXY6K0xwkT1sGbS0X1oXBIPfBsI45OizR1+3xW2pAeRX2ieQUAQvTPaUO+mATu
e3fyNs3/+hJohbW4GW3r696+/u8vYZI6jCSX+JrOGAwNZLbjHCC2SqA0rdAe4SOuEvwzvZS+T1XL
KpsWDVkHyaIhGQqLGR+B6fUsanpXN/8PXwh/V5qs6T7TLLp2395cXE2NNMrCWawbsppjFi4/43SQ
wE7lZklqZ2yLh2XuSUoCmFdi18LPF01MN4RXf/5g24X+nUD751vCjtbgo7EXGdJFUQR8ypayiK5F
BsX3CljO97mydJczAOYnUiE9jsUGcQWq/Fkkav1b6cJfV6ddensDqIO1C/1iIaogjTvrnHKa/5zo
c/+dw2DsR2ymwZ+f823689eV8DzC6FCX6WS4yGPrJumqKhLOTaXlj2Ecx7fyZH2Qjnyb/PznNTab
SHZEyNKKdjHdx0qLqihUzlGo1m6OQe/DHIki8oS+f/j7T2MyrzXZNGURmsrb4ZMNsZGChMKSBhZ8
0+nNtVk06gdD473H4ZjA8kXkptPe/fYiQ6ZlMrlwrKcswuIGuuVeVBv1U4pJ0gdK8Pe+DkduQ+El
bnZ4F3O1mmitCpPsWm1XtKF9zEGtiIZh/mC4vXsZQ6dNXQO4qm3Flt+XhN6aFqPPkmvDyqAW4bh8
1SVl+dHc3nLOF1NKYzVRKJcokCFMNqvfrzLVFeRrE1Qm+Q/BbYwG4zEoibRRqEb7VOImezfJqya6
5dzLrMSpWZhOW8uSARRLYpr/7bECWYTZRYvsrwrT77ez5noFv848d32JJDZaxd0oZLP354tsz3T5
zGTfoZjIYFkM9SIPX9PYSWJCOssyTcfpEA6cvuD35Nl3MuKHP1/rna9IIQN8qKGTlVTFiyXL6LXC
srT5DIMy2mOwRYFUibSPto/tt1w8EUUDhgmWibqkSRejPyWzaom5vGVq5EPRbcZ5LXgfBlflNCoe
P00oQzGtFg6QcphqT5oOPKhVU+VqHYRwL+O3dd80fXpH2zqpv1YkNFaENP2kDZQU/vxKtpu5vFmD
+g5GtYoIYPri9asDZwtZls+6jN3BWo31dz3SSIMuqkWDdiTuxEnUPv35mu/sHGwb/77mxRrUx5Cc
0l49pzL35CQTgKV4notjzbHeJoOlh3ZJHnF0JA1lIa3rwu2fb+C9cWAoNKqJGx2BFsq382yoO7Co
mnw2wn7eoEbdaY7j5IPBJm1Lz+WrpXom6RLHB+gL2138FtB0lQSZtxfPxBmK4g1zJQ+uHEs41EHK
G59ooY+/1FmufVkywg27pHm0c1rdLD2o9ELkAq/UBZCUhZB9MLGldybdZniJnaeub4HsxURYJTkF
TK+eGcemG2Lw8Imm3fw7JE7ZW7M2+dwoUwkFslOQOhTa/ERHsuTFyZjwV5Z1Q0m1DNoqopUaLtgV
iLLpgwX3NdK8fHuQ4y2RLZGpZF4MknHVrKmzxPOQpNLBiCuZxo1sHA/d2Km7SpuTu6Htqi96OVfH
tp2SR6XrIUhSgVsQmRPde3rUyvu5LrNDWQj1/d8fQtBn8G0lVCZteHF7eg31igPEWQAqHXSl1VLz
MofTny/yzmcyZFkkJlB1vtblPhotUkQr9XguamnExgaH0IdCxBM1WcMer9B0LvZ/vuBfqSwwQjTM
aVUiO5Fy7Laz/zZm63WcJFXqzjNlpqME+dzpslT92uoTEta2nOkXoKaBlEmcpJOaSPMOl9rxDss/
6aPd572H5zDDBDJFukYv0SVVo2N+prdnbY5FT8umB0OeryS5lI4gHT7YhN6bq+gkOPdYCuVn6txv
n5tcqRJmcXcuWllzJjOlYbnt2gCYNPFYsxp7lVyF21ZmDlthqbGJj0K8vIeFZICzLki0S3LWH3yN
dzYSboqzoEY9XFQut8a2B7OcCO0Zjwn8bGTpS70OL5Mpfg8ry9HXlRyc4n8wAN5ZGnH7lWmiBUrF
QeNiP8hIhXVaVZ+VCZdIocafiKyX5sDkwdZOlXgP9cRjy1dzvj4K2xqqDLfa0nsUZb9GWzzy5xt6
9362RYpJoBGJXK5UitlQSC7PFmW7PQO+xAtYMz546r9eBBWAyp70Gh0A6nr79YUyajdc+rmY5fgh
EZOOwh1szr/7JChGoD3hywyMS30Vl/02tTYQX9Fo07kY1PZZmXSqohp2C3++yHanb1dNLkJjNnN4
M3++pCqVAmQHTZ8AhVOzq3tUNXiSlTT5jRr9N3++1msgc3kx4EIWuRAMa6HhvX1tC1YEkxq3ZyNP
SoxeTDW6jWct+ax087x62HeB0qlT5UEMi2E/c6r5tkhyfFDFjHlMLs6lqC8M7oaV3fdpHyJ/7Jcs
8zqlw2rgg5t9q/cg2kMopRsQ2EiosHBfLieZpoXLlu+v0hl2Yj8N0kpub0yOmqYDyzA7LSkcJE2F
YutTJ/D/+2XZRSDA8r85ELY74SDBNNs63//iup4p+K/FzXLWM5j/xKmZizWa+MHHuRwIXAQNl6hJ
WHMrpLguDiyLaUYCNZ/zVLYUXqd0OuniTJ2uTM8fvNjtK/8+Cl6vtJ2LCXF0DgoXVyJLBa/Las56
0aoou1TROMCZUfwEZZctLroRtFOMj8sY35TaJLz0VmMd5F4Xv3xwI8qfb8S6SAkkRhTpctWfE7Xr
Tmwr5U0jT8ONKE6nRlB1r4kWPB31BI+YZUXNUGHWDDN1Z+iRnG9GRHgI/fmWtkf/w6u5ZMiRzU/S
NmzP60TWm0SS9AP2ZX47TToW3lthokc7AGcZU0wJA4kP1oLLVW37MDJaqg0jKFF6ughRhhI6ZaJ1
ZwPfMceEC+Uk5PE/uMh7j7gtNRaxgoreT3+7BoSrqlbr2pyjpV7dGCu0gN0cWdSm/KBY/ITrVx3M
9YwMPE7EDy7+l217e0Rcije545ZrMC8+eS6UAGL75tx1pgiYZ5LlqwKVyZ2J7dzeTAwwQC1cTlu2
yK4jkSlI/yOdil4wA24NXJ6mFdGVRNnjg+n37p1p0qYs4/BsEL68fS+o8HpNyjvOOJGFWWFBOjAZ
VZ1SZSo8jRb1EhUm9k4o62+zpRfukJiiD7f9U5VhTV4VdfPtz2PxL6v19q4IbRRLI6CCNXixyfVj
AcRY6c89hl2CK1dx9wWjewPlFAFo6gylNZ2qBqKtN5M/ojpf9aXkGlI0dLgRorwU6mSzN1XNEa86
JIxBmgDotwXsI8aDWjTZywd3/N7KwpLNYskySRR0sbKwqYjVXBXn0Sgj+A+ZSluEKa6mBEIfFCXF
aDRSTht19ChZndjfDFpkvCjrxKGZT1roH+wh700oEiG8RkDe6Govvim4qTlCJneWBNx7nHoQp4Bq
/TB+NHbee26EiabEhkVUol/MqdxUylROtudW4I6YTdF+z6qaamjUoOUqmwqZxqgPK8a6cSYVbt4W
2lnH1B2QgZL97VQrAwc0JMdFmfbx7SD7diibfRthKg2mwlysq6hU89tRiuOvyVpPd3/+4u+8YCrY
EMFItHKwulzBjTjEHxx77Gox5j1IUd2bs0b4IDm53e7Fokxq8pVUw4qrqNs28lscZhCtQ9c0TzUE
th1K1sEtSTHfZlndIrMay3z354f66wqJtNWiWERgJhPEXlyvXMOxaKfx1CVy9yS2sMZhJU4lPVzm
oFLBFqGwH8lZNkgbpWn5gUEFfO0/3wNrzuVTE6VRrdpgmyA3qbC8fWpOWPE8DPUJMjdIs2wam8hT
qFI8ze1qPWlIsh4QlFPLQMTSz8+qCttwk1D13c1MomsTSUEOO6VFGAIzswzclleMu4c9Di4rBDMJ
84hHUegM2g6aXDxA3upotEaLDZqv1ZASouOLoJ9gQHOW1jq7a1KteaZ4gGWLJkrQybvVbBFhr6Va
uOosxHQ9F4bwfSiH7HZMIAlCnqqb574To3NFqfxZ07tI9SqMLiR6+HBpnBdtgWpfZHN36nWKyX4D
vv156ZUcph2pU3jgSjF86lSppfUz58yBdlAOB180ogHSgCxnP0BhNRHqM0n41KwjoqBR7koAWIQz
+yytUPiUCnZ6yC3WyqmyLG9cbE6Ur5ISydCFBOy97GhdTfj1CqJuLi5nGPmJ5YBNhDXQQD8rA/Iu
al00PKaxQRtXoxekhfAvwRPLqi0J7zMTL4vE7YF8Jc99JsIVgwE3qm7cquwlHEKX0lcyExlpZcHU
D4qxyixsSEbwWkj0ENdEdsleDEJEUAZz16q6rJ1CgJHU8LGlm0GPCtZ8Y5WjGShhx49bKtIK5Hih
9LNME5FmRmWaI0RcWbnaWLZPjS1uK/ImuCoiO6Tsft4EPYijMXzEp6mSNla3ns98wCzHByOUmJoP
aPPzwU3xAbmXR60dXGvsEkR5/4e5M1mOG+my9Ku01d7LMA+L3gRijiAZHCVqAyNFCpNjdAwOPH1/
kX+2dUpZlbLfelObNC2SDAYG9+v3nvOduK6gAUwcRVctyQpwvPtkzldAYDsCRcKkuxelzZZpedK6
9yZpmbeO0j6LXzx6ZVS6ypSbRQ1Dt0eiuLwWuUqCqLdSZvoiRb1EEHTP8FLIIVVEDWbmpxJ0fuNF
6G+AZCQWLKOexQ6MZPe99gq1kP07V0g9FvRDJCP09WNPxJ0iaD3I8WHZuYmMODPdy9xbxUOytDxB
CA5atRraBhxbHGo/JB8pRH/HIJWnOowbBTFEBQimJtfOQT3MlZnQE7ZHpBYNjVfglDPhKMNkzuGG
GPoSFyrKDPtsSeJ+102dJ29On/bAMe3Kf6yv+Z72bHnl1gGdNm6ZjqG+07kungyURmyJRpGlEefY
8TLG03hv1kzxkCfVKSgJHVofXqEbEBpjaG3KJSO90LWbHQk3vKXTqPZ1Yqf2IXb5NVFLjPUKvVf+
7PmziaBy6NIntH3m2bcdgc4lQYvkKxMVXBk0g3eoBZmKSHQyFHIxEsaMgDtQHjSUXnojuFoadRpK
8hQnsj2XpFXYzWDRDf/aRf8tq9B/6wP6yTt013xWj333+dnfvDW/+or+JzqG2Db/Qfvw2ZVv1fxX
1UPID/wJcHOx+HAYvHKzacDT+/6/mgf3Pxn4s+V61+k7LGqDn/lT8uDyQzTgqMQYStHAuJ4l/5Q8
OP5/WhDnAsZvtM34+f8P0cOVXk8vlUZMyFTZZaO8lgd/2ZkXP8a+0lNaxTOQS5KOvGpCAYfuiEga
R7vdDVuU/m5CsT385RJd/rX7/69qKC91VvXqf//Hz522Pz6Zq4LHhbL4imT+5ajkT3Q5BSnikVJl
GQO3NIz31utjnHd2M7NgTV7YHwYimT9Rhpf17yq+n5sT189HqUxLiAYkvi3sUj9/8x5xNYL6HCcq
yc6kvuTSwU7vKRhkSofPPaKrT8eaK2stisUkar0xaxK1Dec306CfuwZ//B2+ZQYePWcXCcqV7/fX
O4CSU7btLPIozxf3RDGZfnXsYToOaPKy33zpnyuSPz7LuxaUIS41hyHML9ccgDcJzUJBXiljZ3wK
4jlYuwXHoxt2TK45Q3F9+efb/POw68+vZ3FOpZJFPuH/8oApPWkwnaTE9ovE9N8o3FcH2Y9QLvpM
YEfX5FLf+osy3v/5g/+r68owkPvM1OvaYv75uiqSCWerMYtIVHHn3Xqa5K4jxgyiOUSifjfe+fvT
jDwEyxgzVR6mPyiNP93FOSsHjUMsKqR0T6pUH7kz9JAoNOXmaILnwcW0yolbrX7zHv0XF5gVhDfX
5ODCKPWX56cZejuYC5vUMu25JyL7ik0ymgbegPyjJPWHAorn6p+v7fWm/b96/o+bymEJFY5DW40J
8i/vjl6MwZN2i0UETe67S+xoBrTc+t3H/P0W0rli7WR2zA9zpP/5Fla2YrLcaCgFLssDNgRKirga
lo+lSsvuN++GeX34f/5SXD4+xnUd1t7g1wXBh3tdMZcFApc7+Ys/ll6CZtUYdqaZDWCQGs8pQBCn
acHM3BYzndMe2wLnJnAgsJBBrqRUmL/5s/5+DXyD4ZDBuQnBLCqkn69BAYWc1Oi5joa0tecTfd05
qnrkqjdZlob/9lrEhkNyBWsRAQnOrx+2zIaT6kSyJjaTe+pbI9u51CWw6J2pef13n6Hr5oaqCnEA
L8yvnQaPFSjnHamjKRvCHVlNPENl0yS/Mzn+/c30OQaiOYT5fO3C/HIBe0Qa7FBJTUe2Gm/yWcjd
Mk3wHBeyuq9er+S7IXT5VMZizH9zBvz7eouUkY8kcIG13flb/6dSZMc1fMcUvcd7O2TLzCDay5LI
w69V3AC8Zuv5t68rjTmaBqwK1/b7Ly9NawaJhxq5jFJr0RexSPnCyhus//lT/rbqeIZzlWfRpUDK
yT9/fiwJ/iITiG9Mwq8pLoGTg7poA+dYZEMcaSdoHk1e3t8FWFzP7T+9oqytPkBbZgLW9VOv1/sv
1UrdiZG8Tj1gHwzTkGgCSDCy1A2hWOmCwUcCtd6NBKRNG9L+eKBm6SUfWVUCxTHGBSYg2fT2vhhy
c/nNrf7j3fjpb+NGI2zFHY4G6+/1jM1RsMfrxonWbeodQrAcEiMRhOilratkvfLzU6+r9IJ5JCTa
eakOKh8TXuOl+Mz8sAWQql18zIE9ZL97r//2Evi00AwqHvJb0NQ5v1w4sNNLgOacXDEzD750NCa/
LTTDYOhyCrpfcmwt5LwJHkzqRMpAc+m0tSFMAhgcBeIXbCXV3hr8ETBNgsTG9+Np2jjd4CfINDv8
ps3SsCQXruXpTZcPI9aM8DrP5DYS1TcjCfioOx4mjvbkpm9nHfTTdsJx0USNcCgAHYxuihBybdxM
ng4+R5K/9V7FXp5vNQ0HYElWwP9nzcxFNhYhwkfsvkNGegHvVmfkxDo2qeaPoAPyQPZVdjHsuNpa
JVafFXmj8rtvyjkypqkEBadLAqTQ//Ab8ajoS12QxIlrwQ5OVuJcfVQNCenrHvh48Zp7ub7NDFv3
m39+jX69L6zq1PG4sNEHIgn5tZmuMQuldBGqCCIwIDusbBJUSe39eTL7b/W1193i53eHfhG/n549
0yLbRPT4yzqY66Hrw47ERMvJvPRNWAIBhannWkWWkQE2XjpyokcyHEGJ502/znv7EmcdTQcjHtVK
9Z199nRC27NKmmqdeGF6WdSylUV6trUlVo7lYYKYptyJ2NPIzSiArK9tXryUwzX5gUtVyp01ldbK
j+Ol20599m2xRgHHc4lpRk2Zt6mbSXJgboy3Sc37Wrc5DbwiAbAUF9Nj5owE+VHwQKfiaqoobaxx
hfyENpPXtvfXJTHbtnV8bTP6zaVdrGA8Z/ib8HXUXrfLeyPWJEWnrP0JiW5H1gN/nULE12R0+Ng0
ZVZMxgYKgX8/NZ17A4UksgpsX9shFUa3jkPRNjtRNN4uTclDYbTdQYVmtvnFTrJD42BKfuOmm9FV
Lmut21RLMJ82YIaVYufptkKW4xMyqXAVLzT6VVNgf+rn/N4cG2Ihe/4K8AatJ7x9iLGVtLulXueu
VPexMTcPreMXj5aVIg1Xgyqx67X0EE1JayZKmlwTAJ/cDWHTQm+WAf5aQ6nwR9eYHWH0Qrhf47HS
tLDMBfdEZmsYOLayAT35msldFrf3pjsC3+M5wdkTu0fR21uvC4NtZ2v7xMU3bnGmw4pxBLjjYFD2
NTqk78gLb51+zyTjM43nb0SjzBwloTRAkTDyh1QgcquHga5VTaoAbQ/Tfu2N1txPIZT/SsYvYBus
S2eYigaY9WHmSbXJM5xAq2ARDNSARIC462QIxQ8V/81cevmpLF33gf7d1K2WISEkHCg5qEnhdj+u
wbAkZwtK090YDGZxK+Pmu596jwROBPRIaentRmI+7JWzSKLsGHy9XAEQyS5OLGvb5I1xb+VOssoN
V68FZvBVki3faS1Tj7l0/dXVf9MU9vDgy6bH+xeSq4dvuFhzfKt3Duz/yONB7NesWgoT98AVzIXw
NoqE6SMSzb7cIHOJ4yjLOv/JTPKn1Ip7cDQxaYhFZyAnZ4KmdlbYuPlmIaz9i9L9wpUsXFA2FQFG
KhcA4bSshwuOZWMn9WSQAeosN8ng6SPHbI+XO3sdbdpGdd49xsRRrvor7HWwt6mxvHS5+5Jzclxx
VelkCtCmOtabiX18NbFwrax0ataeKCFItlhzN8sYuh84jJiHlHVvotW3K33X1GqEmYT9f6ULO4sS
omI3mdT0nArdbUYnce5H7Nh3VpdeatkzmbMSMExu+ly5rnkgCemxafv2fpjb7COl4QgEXp7zXpGp
7iZrXKQ8pu5bo5e3wu8IP1TXkFeqnY/QYXPTYnzvdOsQfrL4PM+Oc9CEa0bjWD7oMLkTc12djNYR
X/J4uXO1P9FvzF7N5aOrsmewIx/pZGKJCubjbCQ3LFJkag9Qonq1I/K3xSnaVhutnNckwdEoXevO
FCqLerfZ5tXybPu9jogoPCWevqmSWLKb1s8JtpidOxc/hhn3bGC9hm7zbqTZc+hOLoYFVC/l0Ab0
mvUbWooBznszf6e+e9D28hQQdrMViv6HZSJKdJsr/aACtUDj9dzwjEmiUMfOfGhjGrEpGy+TTHvV
mVh4rRE2VEcrkymxeScdQNc1fq8ozXG/WWS1x7KmzUM/dD3Rk70tewehUTnhc4X5zycY7lF7qbG2
ggniZ0k0Z1pBhEzs+hadOZb1FjB9b8O7mHqbwWoh4KflT8nk7Sh1QHF1dJg178mQwWCRTfJoEf9D
8El9V5C5EvYTSDIr+wwwZB6o3lxa2S15LavcJESawgN5MlEiH710+69ub1ZH8siAU9cLxLqq2GJM
408HYrMXzXhXKFNEo7D0oyM67Mpl9WzM42nxu27ThddDRgJWwHJBijTLgWriZiEgYxW2WJQWE9HZ
FOIss8rTaKqvVQGIopMxKQCIzoUDVdShWUSrjxBqV9vrBGf/phkDdSt9+ezDIIKAYxrcmNJ/Aqwh
kNoMz3lvboWb3EvqLxw8zG5JEiEKOyBKfmY042TJWbQuUAaRfldWksEYYEWsKn9e+V1SRpVQEK2t
IrnJm+a7lXbHNi2CY9gjE9Wy+hEIvOV8dvaD4yFZvwQCwzOo048+XkDGEWe+DZxQPjpuL5+XuOWm
WNf0nUYsG6NhJEZmUApS58qwN3ZUzbtmsshc8KxPqyS4yiKJJxrUnN1kpOYeumZ+QE9L85/U5ao5
90PzUCmdf9W6vc8SsrwF6dVokILviK8ASKfSPixjZ9HPmvONl2E/NFs4j1JDMOuz24XV+aFrR2yP
OFDDCRgZ7iun1jd226Y8785zXXC4CMKEsWxyyYv02Ar3vOjx3kpbFrphvLWc4rbwm6d4wS4MyCLY
M237US/YUcFZndMEB1FXEbJrDbA7EqgfjjB+eCpsZm6KZZ+y69TXtaZTUSumJLjVI0tO50Alu7as
cUhbo3+Ilb63K57+rcmFXMnrDS/7Vz8Z1drXUPlZcNprYndxaySAQRB/o4Ig3oosnu+cbPD8dwoo
aWHVcOZo/PEsLs6wSvz5Fgntse9CRu5D+MoCDj4yW77FYwbx30zYxG0vp04RydnMLOPG0UDdLekC
QlmG+6nkoaR1Ua5m2AirNIvrFSPNEdYLvsm0nuOoivPtGGYbcA67lExo2wHCCZHrobBCdnKXyWPX
lG+TCDEbL9UH/CVAr04aboOhXwVOxagB3dlKjfZdRR0dYQJ58qr27Mmcpgz+cyaUzVsymacxCfVd
ERfD3k0cc53bCgbpLL4QGpbdkD4FtrAhOacuY0zE2U6WxcGQT9g19/EE3WJsNk5rnsiIuvHTfGME
HbtxVUHNjIWxaou2XvexvRll+5GN6XfPh8l3vbaptzy5BsKTGTzPYXLRYKmy4ydK2nBgZMj0SGHR
MvXaNWlG0JbMt25nXQKTp8x4bF0n3upW7TxbvMSc2qZ8iBjPX6g0tkaI19UhXoeOxoclUURn9Wkx
gGgakBwEoJqVcsUWtsF29IMLXeVno4w/8srZur27oXO0gf+zqWv/EVDQ3aJciUG4ePW7ZY3s+7kO
QM0M7LCqNjfO6DjbnrD1rR3IC/1TudXDCBK9tKcIWBG4xyqLqTi5HQhP1nWVo3nJYaD2aJwqqAKp
HRNLrHkKssrepS78OEAhj20L412IZhvQT1u547XgETjF+sCDcWWcpTAeyHy7dcBkRgTcnYgRzwnf
K/qjN9uSRwpwYC2TE6n21a52yf0ye1GV5KOH3zK6PZu4mKED9ra71iERSnN+WoLqXHh6vB2r+rs/
Axvzpzw/1wEVOdX0F5xQFz+YKvKXvXTvWhlvTcDWXS54L0W2t2cyzjJOJU9JEL57Q0O7yD+MRvsQ
eOLJjZkxKxqE2nN+ZD5pVA0Z0StIId+MMIen6zVQunzinQZ7ucmCK1OKTYASe3ylvf429ABIY4hC
G68KnrzJZDpoWltmpMsOihIBJaX9VCTBI0AFCJFOe8/85t4n+/fWsNwuWurlmzOJY9c3IES8IV1L
23/QcqRuUHG8gSF1IfULQk+sJR1S/0CRtptzV21D3UFovBr5aZrfZfHoR6r22i3jlvu6zd+LbkDy
LTAmNZJ6q9dSY4JsfzimvC8VNCZNH2lleM0Lovgyaufmo8Zebzahc2iIgHsWZg8YfYK4I+MEwKmp
9HGclrved4nlIPpu6yY5YI0Wt/0KceRbXg5MP5ubqzn62C6CdNIr7IL9CqUkvcDihuduOelsfO0r
CeaznFnnKEcWltAzo946XpemV+3jtP5O0KY+9vi2Iz/NsMHHd5XKjtPILL4p83DX1DCOitkHsewQ
O2V2SJxN0veY7ptX4sPSbXLbw7vdFSbxJ+VLu6i9H2iWM1aWldH6m7kU1Vm6cLLoe6yXoXquS/G5
uG1wMdAnIUds52Ptt8SvXIPcdE3QovQgudkj5OkiPqSTBerKFq9jxQd7UuzC0ucNIjpsV0lxyQOo
Omp+Scb+pQ4zFU0zFia/27GarY0+JOZG2zCfFGGPFiL1pj3bC9xPpNlRAaSCzYsipyjThyH0nxDB
Ap1buktruF/nKrwLB3s/lIZ56AIukwgCvYZRsckT9ews4tnMWuPUBvU9PLyH1qwfyoEAeiL4Xo0R
MmzFe7e4znmUNRQLRQaLGx6XRW+ClgRvo+NYwgmGrXqb9kyqRe1vnaHbTVpv6GMcJEQvNhZV3QZu
bTFgD6r5DLdi3KD9PmRlfG86aJhHn9hFY4oPYUP2Tzm9lLKEUSTNjTY51Ooi4KRs/ugbfX13G8QV
hk+shPSb8GoI8SEXxZbBmbUebXQf0irqdZtPk7cVU9cNUeFO4TMHxv4xNOJURq0hinItdJOyquR5
3EgEOsZyC/FsLh68jLxvYt9CqfZuQbhfi7bgXid1+0PVI4sftiJKxtbO7FtL4pWJzKx3xDEG4FdG
wPysDzo57osYS70XRopm2/aSfmdqX780cd7cNUgCSSEwMyG3mTtYl7hBdrcmSD1mym5LueldC0IB
r1RA5pCaoG4O5lM9poN5Htzef/KaPr1YdJXXQzLfLVb8FAbzPSIN411rDWUqeGO9A9I6v9vdcjf5
IOigWeRHL5lhzZhpnsutYRj9q+YC8YQpiPhx7XHiTcd71wKS5dPPgqDyZuTpDSHuT9oBllvxd2st
H2IOz3IZLmgg72kEV9HcTTCEQvcOTgKtj7nObywtijhKYhW/u2le3KU5cFzIC1FeG1G85MF6bp33
tgv8TWnF00EyJGZtryeHH1oInxA8uzDq2GW6KTkudp5sKk/Xd3XVncZhBMQCs0qhP3jqfOu1CpoX
34eDZciKVniT+u+5dgVnDiSZjKmWUxaCE8799AtCGoRAV9DQvmQtWUnlvsg5kI/YP79aJS8szwYi
l4Lv5IjaXvuyt1dUfS0UpbrqAxoHpAkmSZtCbR67aV0m1d5X40HY7UM22Hc9ubDrVFvxifH6e426
aJdks35MG1GO50EP1RvnsuS9rbrgIhvignUWyIeksejsZhB75l64zBKmBxqU6zkJjunkLRc9qjoS
XTLvCH5lPctNTlJ5mp+NKnEfecHfgG1cMqr5O4xLOXqesCa+q9LimYMwHdeYwc7j3HfLgW2xW3Vs
rE9NyRlPLkt+8f0BYOASflmMShwJRL8kdv7F4T6caqeqNyialhfhkZuMsjQl7ABx7rOsOdEPaUGW
QdqXz+FCAwGigPtIyjNfAXnasmKSedB9G641FoZLs4Tpd2zZ3nd3dMeXQbpAi3vnpTWN4JRmpbzL
E1IHAlfnN5JMYUoJpuirLDdWeXuNJ52tU9BBHdQNGPtgIoYiNRniK/0999UNt4UJ2tS9MdmW685t
7iFoTW9NSveJNwbSP5AZq3DSE+ORagMvpTyMMCoPQS3LfTbGzb5u3PHZhoxDAEzofbXMntwfiuiI
UsrcOmFpIiWwSCiCFbgByrrJaA2tnHa29nblBVfZjwenn7m3gWbZG9Hs1JaNL8RQSNMh6KyAiIJO
cilkukB9nUBW5TbpBoFN3g21Ikp2bMBAdEh1qGeV7+YR19Rj0hmlWJeW1930zULHyrZH45moUvYF
GEkQ5MP8lSbJTEMFV0DEgN48WZlGe4ZVMRJiJjCnHy6zTSUtXU8ewAxU656UdLlqO00Ej9Go/dy4
/lqXkwm93ZLiUF+jwrsSClmWOGJa1elcb5EcA4YPkuSRtGP3psqHsygtePe2K19ln6WvlYK+ujLV
RAhG4xtvVlp0WySV9icOJZMhga3H1ZBk3VsYEs19zlVMfF0VS3JXO2V+b66dZs5LLeI+VMmEEpQj
oa9YeXIeyBkTxmqmFqRc1HPjEeeyDCMNpAA+kGRJc4R/XxuYucPV4PBA7ueuo1Mh6Frzfk8wz8gn
D98WY5w9DidkVFNxB0kTH80rc+eAWjOt6FLT2z2avZk5n30/jby9/QClwiuXqvuW8zunr3bYsReY
RW8n76FVZfpsLL2XHaZyUMnGYKzwosr+j6kELr0NBkNyRQG/NQgx4ezAu6fq76m1DXPXtrHtHtgr
vJojkJdkj0bpeO9JmXiXlgN/svf/GCd0baHyA+XpTNZPWZGSZmRNcA8CJ0azHaIw3sa9KqZ93Zf9
l9qTPFRVQTDuXo/azonx0Ez5aYT4gpQ8S8+EssyDbaeRsrSjj1OHq+nWbh19kfOQd1t7MOx9Oo5e
GHVuGnO+ou9IP7srZ+O9bEsimUojqD97Syjnbh49h1hAt3RcRmWugWgumYTedvCK2j1t+XKMNKAn
sWF4WYJcDwi5XvljExZHO4v7YJPTVV0DFlxz3N6Zi7ifHfJG2BDfS9/f2da0C6fmQU/F9LXOaT+H
5ndxzbyu1V2H+2rsFEFgfcNyE5rtfqTFfL/Qbl0HKjVP3O3XlKo2HYfPoDeWTeFPyytkgzWaaVJb
VFBTBNG748RFv2Ez47NZ93ryrog3xToCoXjrwELjqPmtS6cuiRBkMjZKFCFGI3qn1WgvRZR0H6TP
7kcxfTMJwr2tPRJ5i1Bv4Zu2d/yI80jLvHiyw8F9Mcwm3w+ufg96h607XQh8pNrecIQi5lW2ln+s
+Vvxo/oBt5g25UZ1dkW/rhjDUO4co6+9+0lKmJd5OLIa6M6bd8oZAwhlzax5Rby2tM8DgOH3xJmS
NipypKfHVk3IPQn8Zty6RXGZT/tcZRzoIWp1wbpKe84FtW9zPOHcCL/Fgfe4q+tgds5Zm8/E7TRo
67FWNlm1safW809VJpSENWVVsOahNKmtPY7aOPklOcF38TD63t6qM+FvoDiHHL4xzd2YY2J4p6kx
7PrA7YVQZY6Wtaxj3fN3+36LbAzNCFNY1BzJtK0xvxT3VMw6eerlLO1zoQ2WAm8U/HdmFULFCX+S
GDDEmgkFTHzunDAmmKsKVUo+ltMARY8DDM91V9T2+Qqosx8Le+rMU9i7Su6NTC7TPiCRvmlX/1om
RqBo5bfR89rs4ig7L2+KlrHO2pgGRTKp3SRQeDF/GOIm9Bor2/ObUVfHXSrx3gYu3cyuvUucjhMW
dNv56NYlW6JTqDue4aXfdqPdi42NUGF6AQ0QbuzuCrcMRar2peAYKCXtjUthNOS66HC6znxekHSb
EGjxwK+7iellQt15uyRVdmAW9yP0ly9sqRyyKMBPbWfPdyze/SlzvBNKYbkv09DbIVe4Kj8mejm2
2+9I7142KcTDSImO7LA2pDaqnOmQKgG/4Dp8nwHvceTwBvtjCHKxZWYefyXxF+k2bbX0a6mydNqq
CVESp/yuy0m20tSWY9fP5wp+AkVdxrPgKrs9SUynxEFIL8SyOes9/FbFoSvMSbpwq3gT18Wcr3mW
qdxLVamn61hlO+A5QO5ekI9e2UH1vcXwtUGbfk5iWMI6Med7YYbWPeLkKdtNkHiRTi/JYTGMxwH2
0kq4RrZFnuHRyJF+Rs9LxdHchmorksE6ZiwR7VFzINtBZf2UicjXRRi3j1aHQSuiIefwTeYF6mPd
fQO3Nj2mjE++FVk1rQ0ZktZSOQQX+K40V0YNdHcDXpVqFowkEEfD2S9EzB8rM9YXn5Pqxee5i0LL
/uJUC3xgJrXWu6SLwODM7y3SwZ35uWDQ+pIWdn1fmP5Xe6KxM5FIvyn1GN/H8dDoTRHMl7KLSf00
ahn5VtXcIMT3adb3wV0RDlNMK4/7hM65YDqpivHQhT1WP68I3yfg+bsG0ObZBMJ5a8PIXfl0KDl9
A0r1YD8SCZ2+mEZsn/xmeAegKTdI/Q5+FuvzrFtvzY7R34a9bx+RFzVMmLrmDeJ5Rv5Va5FS1OEP
XTEdH2sk64m9kW4bk5qI/Ph9EGlC4HtYteZGFUAOcTZ481vrQ0Zc5bGwOPbn2QWEVPA1deb+6yQD
tgnbuBf8phubtPu7wWYyRIFRLUeDyTFZN4zMbidKka0S1fgBh07dV0uqLqIbjjnEG8EoZfL3NBTo
WrmdTaPIzF0HW0W92K9puwSrfg6Qs6P0vlUOEI3ORwewChBXLpE55MT/5IbceAh1AHEaS/otjb1g
C8DQiFc9c21GsE3DuhoMCLkaTZ84tXo0Z9ZpSekZ4jG2aJOU1hRNjWvQ3Z8Sk1clCNbQmvxH28C5
NaOo3DGQDBnqpTF8O2lxZvexa4G/rJbt4hjtTSLG7t2fc/s2L8bPwahgnKt2OXCmSSK/xomytkth
HKqy1geYhh1p8CGJphm9rBg87s5pp4zYSHiZ99ryMUeoxiK1g/j1m6v19QHkJZVH1yDUX6rglgZO
sCrqeD+6y57zW7ZVxgCs0NAPaELE0+xV/X3HVIzyNau3PP/II0KDoHCZ2V8UvjRObrGLyQMEplpp
XfsPcYYCIKhzeQhRtO8bIDL7Iffp0GXhOg+M+sgreyiqdHlFTUdXO6H3CEYBe4ETq3VK2c+JVuXF
42BP5tfJtZJbF8glezN28Lr0rDtLhy8FlA/0M2VJlqdrZmujRluAHC+NQgp8znbK2hcwLHfQd4fL
0gySMkPGPP9p+GlPsfooi+pT5hUZMu0wvAHe9YFKOS3MwgEFqq8GPoeZHsNuomcYiUcwFlMKm1we
Z19tA2mOK4bbW6cVex1X48H1koVuqXu0rKmNbOIGorCeX5VFoD1CkueyLL67PTKTGvasOTfOyq2M
MzkCrUO5gF4wtgQ1UQtkGGFQ2W9Fea1vhJDraq6aiL6KPhecxonL0ekDrfDqpA35MFI5j6CbvXWt
OE6IgXEkUCtSm7TBw+rOHJmTUszpSXVttg3HMTmh8+i5EayJIe7gc0H+eyTH5XExJvKgWEQ3Iw9x
JCeFlMrABzE4T76Rv5foxbYA+ZI1A8ENtZf53JvFnlZ7fizD+VujTKJuuDafomY/ghCfAQC25+cl
aCZyrLMJyWCplhk4ug7So1jK8EtcxiUNS3/O+AkzZ60cS5Wvg5iDwTCxkwGtqsRJCo7V9TiJJ62a
/mgNE6E3bM+rLh2KfUg3jSa8VneqDWgogbONGBOnJ5ijZCgi1LwNgLluHNrO+EeMHT1FDiEcu6KK
AIwdEBgjytuyecoMgVyJRXVTydLd1uyCW2ex8s0sSn/d0Hu5SUyPXrBR0hLMTBWZyg9PYJnYBd3E
fTBifz4v89A+uzGH2JJO5VfhicM8iyPh74a1HvO6PtPFjoy++5bhiroMgxuevLwk6ByI0b7thHqO
A8c8da0RnOukbT9oHhunTLTJyTSxQMXgRdEr58YdCi9B+KhsmTowJmPok5Cx2+flvpkREYbBtWas
AWmCGQM2Kqtwa1nCBa1cuP1l8CpxCyC6PiUc/J8a0QSXGMXpBmwcm3myaLIBZ1k/GFbzFtiqOivJ
drhVoNH3flODTnXmPIJx17+HPVN+iah6xeGO5bm0TsDghu5mps39kEwpk2GMZy3pxrR6j2Kk1Xgt
GZkA1eQftyZJn4YPSh/X0dGfwKSnMd+g6hBg5ROdzW0hlTp6msQLqEgzmekFIZsMuetvMyuN3vNW
h49dXUgoC02p16mv1MwkU9R7sOysAZnsNzNytX3pw8lAm8Dblrld9yXuKDGvxJ8QmrsxFrAWB9M4
6U44x4SeCqjfofWfncQyfqSYL/d9R002zqljPDeup+4nxxHPVTb8H+rOazdyLcu2X8QCvXmlCx8K
efNCyGTSe8+v78FT53anlKdT6HvvS6OARFUJEiNoNtdea84x5VNTGM1+6ZZHSLz5aWKLda0kWrPP
QebeCPkMyL4Kc2WnG3UPulCT4dmODMdcpRjY2YvTfKK1n3kaG0PRHmjjlzsAh6zy+hBK9K/DBu8Z
RAEi5PQORnCpVcU7KQRR71nyEtxHdZf+VNLAYqYi8C4wTSYNXUdEid1aA0j/Ii5Fy67KOLmTq1lT
bVRxuMXistaogaX20LVtumFBo2bLNIx3qzpkRPJrSH7bLQQ0MGi/RcMw0c/uy4sQsVu4y0dWP31G
GecEgmJe1TT0ALrCZ5QeVDQVFE+JHu7NAjMYO3Jd2cL3n22xymP84hFwB6yGA3j3aKgkojnVPvwh
dgkwWejLTlVF6V5W4Dwq7VjvO2thfdAgNWeBshwrixlgmA3FqRyF4FFelrdoKkwm8sy+U411bIzj
Y5oa01mZRHL0KmGsGA2uu2S1/FDNcdeJFQFLVnIqjf455ianmzjFGPXLaECYpJFjN6kpG5uqynMH
1VVxpaGYCj1EaKx6VNtbKRBqO5ZjOku9ktROKAflRgrzOrb1OS/5TrqAq1MwVTzDxjttvNhvaphF
mkaQSV8Q6ZYMjdNkqcj4CosCkmwyuCXULUmjESs1k/ogs2lwlMl8t4wQkQNiyk1eS91jIkjhziqD
sHWzDqA+7ShcmgFCCDa7RO7i/r9wvtERocc7pFjU0J6OgBcWjDh+GhENICxcJCHqKndhikG6rLjk
d0PJ3tPV89EkSEEoTosqLRfTgrnLcAnk8551lRmtwfSYCoqmF/NRlWGQnXPzmd4Ud8muDckRWH8m
AhSZUHNiURfpmCFRYUMSbgddUQhzE8fBCxGW+LT/BDKHRvVmZMzoY6FgPmSoiLAm7WVQNI1cOKog
J4UrtmWH1T0tRTxuJaXKKBzMAmR3K1RPSk8kCve5ajw1moBW0Gjm/NQFWnIYxYnPQdEXMPNivxz2
4uAKg3jhbLM4tyU46L4ol11MA/YbJfZfILdfJMFILlHp6CK+dQWmEBpwJJm/ypXLvoMNWv4tp8dq
O0/OmOtrjAKLHM0YSgTWrHXX2RnBbh7N7pVhvcEguGsbDDIWu+DtGAQZd+xUIHBlNcQ+ykSSaiwh
csFeOqWX3SrrIuFH3s0MZwi+ycd/64f/R8a+/5cMsE/ev82P8vya/2j/N9j+ENH+wfYXvzWvWffa
fDL+8Sv/Nv4J2r8UBVMdRgoRfw5CX9S/f9OO+RGetxV6pSvIk5mN/6f1T9H/JWka9hOE5PgCDRMB
/9/Wv/VH6Li5oxDwYmiATvVXCtt/MXbJV/tvNcESv8UN+F83KOYArPj8RT4hfjDQafLnGzRYwihB
rf5TYnC3QxJ1l99IT4hmmEeak81t6H2k+3wfOctR2vY1sZHjJt0aB+sw/9COw0e3qy7tubjLdsJV
9pF8SKRFZnfIfY338aHjpn2l6idmcyZR1NrKTrULt6oHnGM3ILWjUU+sJPnGbn1d7/XX6MIQf1ue
tKP8akVun9FisuWH5q47tnuBJHLrqnMzMiVpwu/SB/l6TZMMrpOd4pc3CHa87DJ79TW1Ivoa3lNe
vFVDx/KLK4ao9+Pk8JP2ejmam+nYP3S7+ka4Ut7lvUqq8bjpjvomPWs+Ak6XCF9P3Bs+sdA/k0u5
51Oe2Utvg4f8RrBs6938KaAfNhkxOeGW/rdKk36dVpGBWe/JAYDc1VxZvrYV78Ppihwf6/LWn+J9
zp8Nz9Fl3ltX8wOn8Mh3+Cl7hR/siF/e6w7ctUNxZdiGXfnZbXAn75CREsjZOnfkDXu5Vx2Juj4S
F0FUZnQmb4pQ6NQj39ldIzfHH0XgN70XPWnbci/5li943bY/Bdfr0Ek4BC8GSbjq7ZK503VE/CaG
cT+2ybmpOofNRSoSxbftGa3iqH/LpINSEFau7XoCsgt/Oih8LnoIZCA45nN3OxPwSZo7ccdPy5ER
zXW1JlfnBCTWW40o0ITv1ZEub+6TXbQz/HzLuO0g74u79gW94cm8cIRHy2dqIxK/LhIswmlPN/GG
qNMbZctGLfnALiE8pofhatyYP+cTBfjwaN2E9vSoHLrb5gr5ihRtFhQ64tbig4JK2Yrn2Jc80a02
iFT8/tXco68qHBScXn6QroRb7k9y36LiKs63hi/ZgLfJoCVzxQ59/ZDlpGXjekee5FbPjGXt+nq4
xLxoO1s5c9KQ6uuEW9P9bURXupsCP2JFz30Cdqojwa5OTxvsDR0MKa7EJBHwebrkjq065U3iY/n2
jW324Xd3YWjrDzJqemJATU7TS+lpkc1U3emJE5U9BI1E5G7ql/y0HAq/uypDO8zpgNs8b9xGojPt
6IWr0pXO4DRFbOPQymh6X9KfegOBUPdTYFQzWz8zJp5rtpUzKdtJOXX25Z1wD2bGXnZQCaS22Zd3
uObvh+v5VrvPE2SaaDUO/H9aSiaQQ6Oqfe9dtlP3mWdKDlFx3kJoL9IJ7sXsmAMXG3p76mykD+1g
j9Ye0Wc3b8X3SW0dgvKIkA82amPTLdovj3T32B2EZDyTq5zsg/fyrie3DYmppw98jX29K+j+v2b7
+Eq7q3/Gsr6djdvgTBQPEe/zvjiqhL8r4g/tvvbk1m2v+luSj0npVvz2ajiRecML8qQ9qOQ4g6By
9cmm4ir8kqRQg+DZxs7IDokpslU8fYatRLsQZRtwjPSEmkytDHfYKHfNnkfY1u9FmUaSPZTXw+Aa
Hdnp6KcAkZ/KC8niNN68yW8xU+zZfkfTzshO2Wt8K+z0jSX7SEjrzfRTIEmV/IHHtSaA8menZIzz
UO/YpGqt1ymvnF/xqW1cWX3UXStw8h9V8yh4qeqmm2rGXcHWagtYC/EqVpHiDTlhrG+R/2VIwprD
RJDb80SQbu6NN+TSECfl6tFBkXASeOTQcEd0nD5qbelxztGjly/YGSXypEc0De9g5n3FV277hZ7z
ZSLydNjLXvqArUN6Vg9I7ov7Ot/lj0SHLRrbG5tM6NEhuWPciKfG1J0XQ99QArYPaeTr+kNH6rT4
2IZ2uR3pInUAEugnuBSay1NvudqyQf2c7mbrlXM93yLcN7fj7XhrPHBPOQV397m7IaCxpeNBgva+
u07dW2MnaU7PxAD1oz+PH5F5XMUOCAoe20fxWtTswRdlrxd8aF+bXnC2CsCZe2xqN+32w3Ix9+T4
Y+22Ognqq3ESqUH7p/qqTxEt+FownqTwBtLHFf04WivFC4kWqKKRaRgbWSfCexAcBtrOjFzWpom0
IyDJ6dz4ZvSIGw7Iyj0lLi6HCDn/zRNYy+vI0MjD8nk4yEyO9o3XV7TqTvob6jSyfQnXZsobESo7
2mHnFPqjEiOE29T64Em1VxLDFNvmacxVl/UN7bdBDfuAEDB/tshER+idn+InsXiSrpqOcdbO6Jwe
XPZPpSPXuXrXmnvrSksPPd2boypu3NrrbR4qDN+Tcz943viet57OFH9NOEeurz6Gy8dwInbEriqZ
yPRV6nwaTIfFnQGHPdEh2aT84Lr3u4Qg8wE+aRyLF95Yha2/Y65A+Pegxqqvpzkp6NF4Kno3vWVs
T/fLGrwCAaad7PvdSGBx/WbemGc2kcBXTjW6Tehhb/zTnejCHYMrjZji+o1IY8LJZy4qAV9edjRT
u8XLva12Om8X9SXa9W/MgcZD/6Zcxq16YMM7DvZEoMylPCLXqekzXiRCtGEC+3zX0SF5kT4E/yVS
bTrGqQ17FKmUX0Rb7tUqdmi+GOOWPaGRbupql8T7YHH7cttpj6PshB/9LiAqZ2Fo4RX5PpDdFNaI
sdmjUcb3ndrDSc1tLbH7bey+mtuIoXvp03Ye9X3QXWiTZqMzde6H2Dj/Byzw/7to/19UjjMJ+lM9
fnktXvPXX4vxv37h72rcMP5FCQ6JUkWijz5hrav/rsZN5V8ifmdR07DwG8A28Mb9DeKw/qVj4FJF
SBUqmSD6inj7uxrn761kS0B8mIs1UTfV/0k1/mWzCAPDQg+nrP+ABIe89qUWLzTDalVrUr26iyLf
0lTpVjbmcbuQA4kBY5LPiCy63bAQMeEwxbNurErXT5qYJUeEmqkr963q4G8bPDIItE3X0XO38wkF
OC5JcaNH/J1Q10zHMKbvIAR/USp+2Umsn55ICuZpayzA+vk/7ySkTNAsK7DoJwq6ecnpRxzgegKQ
zsOZp7rQnkvsJDaSYFy5BoOBPQ7YmnkseyEgt7G2SUwqqIFp34JQ0ptURhR1l6f7dqXfjnr/0kbl
DfbS+skQ0TV1cWG9BJlB9ZVgHndlQE9OzWRyUyvRcIgscaaN33UuMYuUC8yzzuJA8mFZCq1PZN3g
p70p+/VUJocmpwf6y52HN2kmKem/p5usV1NmZ8XmX0VkRKrMl/OhNWJe9oSPemaTT3dZFSNNWHq6
uoGFbBseYvpUiySxYkIb3v586K9AaY694s8hJsBV0UHFrqbTX9oORUZ2La48yetH/lkSC5oJzmgX
lfnkM+PyM7xTrtFjlUU18oCKM93PUvX+54+xOsA/3xHczkjFTAg2oCKU1cv9y6coo6pLB1y+3jgo
EspMGn7imP0UDPNBlfNlx3n4Dm/yZTvLF8feqa4MZfbVcFjXj/TLIYcqCvquNjrPHEXdkXXzKa+b
m5YEQ/vP3+2zbXe9uhxIhywHLILe3Ff+alGRgastBMmqCdIGBuBLuQlKrfMBSKjuZPAmacla2ydD
8h0T44uP99/HJq2U+2vdsjOW+fwlA65sWFV956VBV26AVpJfqhcp6hnSLhnj31WkOGINoh6Wlgd8
H9n/xZdfvz+EPk7Cb2e5FUI9DdAIeKUWPIlB+cpA+SkhXdyuKZ1HDE9Fod/9+YSv5uQvN9MabI4j
XQFNDwny85eOhZF4sD7GJjW22o4QRPiYqVnd//kov98/JrBOljIZSQz0pfXnv9w/PduUtjCshrd9
HLmzBSpwnjvGP6n6HR3wHy4jx9JV3iw6WfKsFZ+PZZCklNat1nAZ1cM6cqixzQoRSemxKFbgiBq8
OnO2XTBXyl37+Odv+pVMyh1syrKKjozX28qc/3JCW3Ux4ZNxeMA/H8hrjuLUvBhi96KEPf3t3C8J
QGZ6p7vQ8m4R/L6MiTWjX4e3F0/apg6J+O1NYGWp8Q0Y5B+uwqeP9uUG79o8GoKQj0Zg/F4urIul
dm9cmu03p2AFYXy+pzgFGNHJJGd5Yr38fAVws5pT8pfRQJ1uV4unWSoPmYL41kRH1QoJ1tjohPOR
sM4USytwbfObR+n325qPwALNu5OyRP7K6ogTpBKEE3ITmIAfDLWy3LFS6m++6fqu+e2LQqZAuinJ
SMe/vIsYmmf5KA4cJTHuw9lAj9U9FLxtm6n1/nxSf1/0Uatyb4E64f1jfF30ExVvdq31jacs6J+W
0HiKEckSXBypmwErlI0HZ/7mJP7T11PWyg7Mi47D8st1tBrAL1PSNp5a9XehZaVIYJq3TjX2Q6R8
/Pn7/dNjS/AWVBVD40i/kY9qQUfSj7SUEM8kc3OhnhzNxAgYzowpoioZN1XHTGTszKcyZGdcV/I3
V/MfXu+c4zVPSgHvLppf08jQBkG2ZvLjNbp6snjFH+J6SPyOnck09z9A9StHSUpid4rLDXXrTTww
F/rmPPzTw4M2nPVf5D0Aqfbzw5NamC7kqGg8bSqf6GPfgJknKq67q6TqgdLuwrtrsWvtJxZCW5lK
yvb/bLRf/n3z/lpe/ZWW8vWeVlF8GjI1FjCVL8sng+W8D9sQU3k7zF4yCEcrFcsNLDPiNrXCb0ku
H1JCw/XaEuzJ6gKmzIpGrrpMQ7RTVLsgnT6FwmwHiNK2oOpEtykL0f3zB/395rRW7gp1qcaHhAb7
+TwBXzSiBdYqLy71Hv8BjVDL3BiEuuJaEL5LcPl96eRVoq/biBViDFvp89HaUdb7LsGdA1Z2+EjT
+FZTSuXnIHxX3v6VAfH5/POQczBA2xrA869xPlhzpHRKVZH+hIxzu3paYEU7c9FeppC6Mg4wkYcN
vNQ6L/ZTiD6J2JlxS/QU2jMaxIWBfzmJJkZyqfHS6eaw7UZACxVEGHbXFBPwjq+bgeujYjlC1js1
btXN7qD0K15keg+74pv0oK/XyhB5FfDyp6ZZK/evq/HYF5FeISXzejZQnqbl5uotwsewqAH46+K7
dfnr6v/v45lrzorGRlJcf/5LuRHlDL2RiS5eQ3V+KGFMXLdhoH9zB35dktejqNLKliFjZK1ZPx8l
IzEmj0GIeHJA03+pordlil/QMR/bXPTQ0+XfHHD9g7/eGhwQlonMcAn9CBuQL1X4VI0RUHR0nnhJ
w6eqTmVm3vWr3EjvUpY2do6p2U6wrXxzXOkfrt9aEytrkUiUm/rlm5L62iUdNjovw7yDwKvx5FK5
CzoDGfbYKnsZa3GiJffm8jPSzdtCjK+wvR0DKqClzPGSyIBwLYSPf14Cvj6UnA82CqxRzAE1lXiy
zxeAuW3XknYye1bdkvw0hRg0A2YamM+r3Z8P9QVCpZGuJZoaMFHuYcaDjBY/HyudhZ4Q7nhiDaST
3awxJKFSuWA9Fhs3WOotTCNdfZFetTHw53ZuHXZ+An571ef2MIGyxG9//kz/cDuYGnNwPg74OuVr
7hXZzxHHIsMuafXOb6lFHKVuK08zlldZmZ8SfCZOGGeR/+fj/vaqXjGF8FH5D0vwumn4fC7o2bCe
TwlN2Tb9melEvSNQz7EXWlMR00BPluNY9OUBkiGNhyRtDLzidffx54/xV+TY58eBQkFCxKVoIgvm
10vSZ7UyhL0weGo2Kh9aFTynQ3w1inK/CYzuB6pP/W6gtoG9KlnhTZNU8zbLFsSYVnQtmKQAZoZ5
7Ie03E4NRjGVzI3CLoSyOWABaXwVJva1ITTRVbUI2i5FiLOzChQeJXa7Z438my3wevEFW5K8CdTS
2vQRKou+KWq/RvLvtCjP87mCad8OOZTvYlPXKzJ4hu+ojwV5XmryVgiGAa5GVV7bTppuurzkQ/b0
oxOZdqksP9SjMt3M2VJg+0qHray32hrfSU8Xh+pVjpxoE2Gv9aJaSlyK0SxwSYSfTqTbq+fOTOiK
6GJjHqZRSu9To0y0TWV0UPe/uRy/LU68GFXygBh9w0JTv2wuljpBy581g4cDSPtATRfcy1JQbPNF
fNAa67ukxd+KtRWqSy8Ivi7NmN/3WRZE8X5C5gLfQ5vdsZlxHFsWWlc53WSlzr4SR0Z015sCVpYh
/Yjp7DjIyMbvAKXq1y/OY8BeQ2ZJBiIJcOzz0zDwkyruxdLrsJhd6/hXXeLqxsufT+8/PHTc6FSn
fFU6qr+twcJc426H/AYLSrmD/3DPPftWGtVL36Z468aQLWS7rQ3FC2fhm44T5OOvbx4u7ppcJkmi
Aeruy+pHbHphRno2eJURBg+9VMl2TiCJmxti8B4Pss6gZqoF0B7CdKOPwfiYCeBqoqwxDqFR6j+H
ZODBS0AfdHlbrRTzWOmdpi6hPAXr6p2K83QjzpbsoH8H/GPwh0QNgnyllCsp/Vty3++rJ1BXTSYL
gj6iqOtfFjFsz7OF2ZTVo0HuaVRNfGms2Lwyq4lnRY+CnTlModfJRiZ/86hQ+KxPw+e1a41E5W3N
J7DgEHw5oZEEiSoIaLsEUVLEfpqgOEKagjitNDvkjZVePZdxCjJlCCcDOEy8jphzIb8KtLz4mBCc
PoYFA6pxiuNd0UIXXoLVE7mkvXpIqnJ+MnWw53I1/CTpQzonuJEOciplZxMYw2zXQcEUZ4hMhJg9
/glfiOfyMtXacyFJZ9HIpC3EVvVQmWXDkCm/X6z8FQVpyDrTlTulbeVHYBLGy1xagAbLMjsV02p/
B/qwrTAwXrpMNpBxi9bNMKvVeVTlFo123ecoLXJV2QlW1mwjM5HvStEoSxcApbdQX2wLra+eow5j
YBLoWEimngFyUdUDEelz+xTl5XhPn8pidpvKAG/mEmlADaUQvTj9FK9SRE5EnjflMW6z9goTC/87
KIfyECQjagZcy8urkPbCK/sK6a4dFe1Vm+q+xnyRUqUA2MTH10nV85RZibvUiILTpM98rKrLTuyE
+CoLVu/5EMC0xceOykM2mAskieRGsmG8RnKPTVlQBnGF62gLpJKiw1Td1kV9bkK6535ao+KE3DOd
tEooXS0Sw9pPqiiDGC4Isr6Zg45zoY/tHXk7TQJdR6yelyGr/BZyDi4NRbDOUixVp7afAhTXcfFi
KnV00KKo87MyXImSq7ViCFAO6gbEEYS9yHUr2tjP1G5YWugUjzYz1GSbLZHhFWbYezNBD/s5TRKc
SHX6IYYD5tmZCfSMM8BepDE6QwZN9rMqxxsjiUdmJkvimGKiOK2Yc6vNSuJFlXSKAgbATP1SdBqD
hf2W4ABhL2WR9mPqZuzNoS7Cg1nY4Yee2dHW28QaSdyQq5p6gxa6VnZzQxMA4+3AbIblN2WvouBs
tyPTrLeiNVke3CLBCZMh3qR6oOzgnsQb1USvLs56vIfIBcm0aZcbUZCjxokHYtKAtmTzfjHm8NrQ
KdIWrbKOqdIG9PTjWylJpWONJHjTVY340FhKgeC/0rxynAO/bcj3YOK/JmAQ48HMW8dOgffQn7D1
o0bX6y2pH1PtqEsaOVM6549xj0VFFYoZqgCDYVkW8NOLuSXvR42s9XgxPGk2e3eZdIGHTIpvEnmq
9mppWA/zMFheE2jTTSNQT9lLadYnjKqBXw6ZUw0zE2Olk85dgUydzA/1FOizB29nRNwtGeCAGhPl
CjlDUN/jTQtOGwlVVaLtURVN2HfzWJ81dLy3PCbPKFsUVzerDHk0mNWukY2d1aXWXjRjYbtoWGgW
TTDu4rQzvCkMrCdU4dPNBBL3vcq4mEOIw6Fi0bwhQbQ99SKEviJLzfOcZ/rJMILh1PSL8SbzFni3
CoFLF+TJU8V7G3wS1xR6PTNoUHDnIJ7Q5LA1LQ9SZUXTltDq1AU9xFZ3jofuFKgj07kYFvKdxETk
Zi7Mbou1wAL5J9YHs4ITAfXCs5R2uvS5PN2UkxIfgikp/YFBhi8bweyhXgVfMlq6M4maeajZ/e/T
PHkd9cnqSQpJsBkAatxmunatA4g5q1VjeXKsJ5eYLfmlCFN8jvRWRTR1iwAHBuPUaeyMhMwSqaQ4
TlLNAogspTEj61456bE2tLaejfeFUHs6kWO35AZLzOm5fznEqoPGyqonqai4TdMoivPXW5D4D8Z7
YCACNmCxXKLR4137nBn8btGa1bPcN8mhVSL9Y5wAVHT1WKIrq+JNbo6Wlxe5RBJWk4qhM3IinkpR
5TNK01CctbLfNh02avJndlVkhleDZTZ+UWn1npzr6hynmXktJGgNCpwZN71pLi9wTeNHfVbn68KK
bpFCCz/0xVBZe6CV0TOUzsos5g6S7AIqx9JfjKCNpJ0ANAyFfkGiHuHFyISnIqmMqypJGmm7DIV5
Q/Oo2oNxkn19Nvll5pLG/WAA2yXOyxplt+jDYdoWRRNex5k6Wb7RWb3LGR41tsQShjG60snkmkol
2GMNmWDT6yGyw3QKmX4yzkb6XA8IM8HT+UFVFNdVqg/oekAOOE3S3GeTiHihafQrjDjlj0QSpscs
snCn9e0w+oM0BY+KoEYI14QSlWM7lE8J0wBy2PDhwo2YtNlvrQbXJ4wI7C2G+LH0JU74ofO7VFts
ZahRZKSBdmqTKXm0xCLbxIFBIm5G3L3DW2a8MAwYXoxUSF9TMY/vymqC5YBLNXWsaZQ7X57kNmYV
F5ZnAYBrTVJNZ1bo9Zd8q4UL642Y7XAoZdfMg8ufS6EgideMAv0RVsh7fVLmSyUAUdZCVJyFiifX
Jk1ZAQeQ1D6T2v6A4/cpSavNkmNAmNiOvY6W3J0HnAP3QWBViw93MjoHpar8EMX4rQJlfBV2WvMh
VBl1Yp8N2j0ucizmpYrGupImqpq0Mo37ZZGZlpaaeK6qJN1ZCYJrbDDTHfs+XOjESR94pWbP/SJa
zjAgMu2KNmcxy7FzhrdiOhzY361afkEiMy08ZE1yrWtDgQ6mto7CxMOKuVrZ0WU1FQREbOg2gLUY
61cjNag2FTcz4eYbURo7rC66+TIlSx4/GO3yPMdk2vm8pMHi9s1aXKgDF6gteTqjyNrPk7wPqcO3
+dTUbLHY422aRbtkIzgHMBcdG7ZIrnnLwYBlCVaVhlc7sGpxPSfmdIHztmpi1irI6sNoM0SVtiuH
FgXiFOf1VprivclnPFGutBcW0sw2OuMh19Y6BlTrQVf0zAaGfT2SrOzz6k4O8EsPYp9jL9Nr8y6h
mtZysd0YPSW1kA2SP0TZth+7nAUUnS3bWrJ+ZOOxCJC1ReyZesGAdDLLPwPuqa2mkZVUibnmmRVi
OqHXffhBKKaCwrStcnzCqiBss3biI48VB9TS6IEzlAJHgIiaFiKSU9MIz7VVU12bRCZoAyClXG6v
OiDku35tkjWAfB91He8WuU2sQE0wP4hi1h1Kg0elzEtvzDDmSaNYugBPCjz+peEYkwneTkHL1ScD
kUQjO8FyG1cQs1VYrzzMa+bRck4rXCyWWJHEOiuXTofHl9aSem2Cr6d3Oonlbppj1FarZDUdq/ki
L1WLfx+b9nmWWEE1BqSIfKNys+iSeF7m5Ip3W4+MW8ypYCGqbvKGcnTU8f1h684JPgnaa23qmR1j
gQPyEdc3oxJaR1PK37G8zIcso2Hn6r1uHqf1B2LTAfNU8d2jYwpJJxeAGkdxa3ot4Rdb9kDopYZ6
gokzafT/wv6evwMSCGTewHRxnVJI3WuYv85GrPlih+yw5K7d9+lMRaYE0aYmnYw6OUiOcq/prFgw
+6wwqL04yM+TVkhnQeXehMmCB1IGNobnzI9aixwoYPX8+viu6AKUVi2azxGeIUSG0rgTxxQkWlDW
x6wI55shluKd0qXiBQh0vRkgYDPP7lNBdyVQ4bnLgHhi+ZTmo7HI+aZu8HXrIyiQxCqTGzXRkbHU
ObJWY5BLgGXkP5yUsEgVO8oN1OClwF2/sHGzSU2sD8yEYsS484x+uomxF9n9IiUYhQpsL1Y0RITe
tGHqjAR8uImgLD/0RCeQN9ctMK1LGAzU6XWnX+YgUrh1zKZ8SYgbux0AURPkiynXDwNIYS4tmuG6
rdjnOom4jGfQa+N5KOXJrzGepnY4ByxTZYPjB7escMwUFfco9D0KAAhp9Mjo2aIncnt1qexA49KD
OZluoCdor9OQ/xSSWlN9OncKFx0ethyLGJzp+lQtKpy5yjYjycVHWm/CPgQN5ROrkdzEmd7bUi1Z
z1GuF4/5AF6SGXi8Kdd3vrRiZcUs5qQuzczC262IkUGmElR5C+6EtgphchQdJfYSb9tSLuhca5U3
ZUJ9nnLLKQaNTDdMdTaNJ3OTCBAVB2Zf2NRmL5/rypcswQyctksDb4wVYztEYefpc1a9z9xerhga
mh+YguFrVI1oGQBy9+w/Z+Gi4TPesEeojn+JhzrgEF665PNgS/gWX0ln0129MaV9kHQVk8DIJBel
QlwTdabfLjBWE/yxCfwCtx01ijplwsSaBOOriKfMz2QuDn7ofW3NZ0aZ0sNSCR9GkYQPw6jEb0Mn
iv7Sh/l7L+TIWcS0TB21K/BM9eGe5PDoOGMpt0ljEN2omhVbU0eZOL3Ckm4tNQRaVSHWnUkWt6NW
p/MyIJ7sGqmyNaUpnN4aAodkhfo4mPJmVKjpuq4StjXwK6+QjX4v0q3fTJoFf2fBREvKceVKRSC6
oVnxsDZM2OSwQHjJYmVPeGcdCCPWiYHEAhZxadDF0GTeap0FVoiKwWD+g8+d92sddnfEUuuRrZfS
ONrYe2svHbNNQ0vkZIl0pBtF2+P97zaL0lDehmh52QqX6m6c+sYOlRlea6wMj6qcjruqEmrZIVmP
+7doNI+OYnEQcov3XYMhN7oDmYcfWZTwm04RBWOQmYyrKt6nuKsbqrtCYSOwIozjYIdBNgSxYoIj
j+bbkAC9/TyEjRsDo10ZtSryT0Ua/ELJYwcaIZoykSXJggyL900EUsxJKzd0BpB7U7t7STKmeD1N
IwA8W/W8o5JWMo5N2p3JOQVdy7ZrsJThPUSZ4FBBP1tyO51JsaAZhUARGGmAHwMsqQ03SHeGIDha
OKpXv9joL0ECjkQod8sCMFZQBcgbePL06EchEXkwqusmbixl7AgLYvVFb22qBWsDvXIHOiaCsFov
dwMsCJTwCVkRkyTuQvIAEpFhHXsVcOfp4JbQaWiDzARp03fwcH8KuKQXn3lGyIx1fSMkcbWppxSA
bkLHT1ZLzQkI2kViPt/NgHFcYjhw2Ai6cZKUVHO0uDoqRRp7KZZ1W4ukGYYxqvI8hqOddNBhQsh2
qdnZJIZb3GL4IMYJMbZ4z0V47cLkgRP1MGvpdlSbzTxBqunzGhNLXGG7b8KqduPABB1ST4pFibLM
lmb3xkwIuSpMFwWI7V6SKYKArUG1lhEn16ommPDxs/likoZxrcb1VNnVUAg3sHdquw4T+Wz+B3Vf
0hw3rq35V268PW8QxEBy8TaZqcGSMilrctkbhku2OQ8gOOLX90e/6nuVKKWyLyI6onvjhasMIgEc
DOd8A170PzPQvKAZWH/RqMlCNqNQE8S8kTwJlTNfLKxPtnEWD1f5HLJXxBMsI9dtf8FiuRXwlALI
GsmibYK3JSSxeuAUxX1cCrnpyEi/jIQ+BdoDy6aq2gMHiHEDVNuXDGINOz+EKqIKCKghnSwvWszm
dbbKOWYhdBAFPB9xE4JqbEkSvOczGn7zlH4uVYKnJF7tOEVzJFqW/AeSE8VWhtmzNzsDwKfgNUFZ
78cA1WDsdlhyDI9rpDe9e+6NkD/LQ3ef+gyM52AIDllKmh1ph/waWMDqAMHzTwVeyYc1yw/hF+iV
4Hwos5d4WRoc3wU/wFnR20MPvDy4sgM+VCaX7kT/CBKSbMHW5hcxgXOmmLsKwTWJa8Fz9odP5vma
wDFhBDDgMOJqADRjP/8ZTk77AHlNVEkEni6xJvoGOX3USwTI3HBV8dtLMUh1zTyvOjgSXjV9WoZ/
+g3o0ACSNvATwAAgm1YCQNFtE1k7OClSV2TPPZI8AmmcOfZeufZxQJVEgPeABzI9jNDauxqTJNm1
7pB+h3UwuZWIic8+5uA2mWR9W7sUWnOB9tXPUCwpPpfmKMMsfX9d50sS+X47HTjO5B9znjuPbUeL
X3FbLXdzmYB4VNHiAYzukWx8FxktXwKgsEycXMEnbwDAQQFxjmQN9DVSLJ4m4TvayQCh6HV/JJ5a
nkiddVdzWIzPSrPmM2YXfJ5+yFL4Y+DiA2GB/M7vEnhD0qC9rZs8hmqIB00pXH3EbezDEaaXsM+F
+NXUbWna6J2HT+/7es5QMeyGTxD+K5F3zAFVUwx8jE7kgEGOkJcpBOwSQJ2/H2Kneqy6sbvuMo5b
TQC5cTD14NONmgDeR/NDBq+X+FKGBIn2gkDiP9EZEhVAkIYXEOvENA24MuS3Xo/txYPR6p/QHQFK
zp8g6jRzHj5JkXKoI8P9U5cVe6kXmnxxcLXxmyW8CKAa7W2QnHN2gZQNZMRmHBMwSwhBe/PpSwZl
vqven5NH7PEPyOgBjY8nMSAOuJo8Fsg+4qIGaqAAh4d2EKX2g09JhgMsCEA2JqkLURIskyEsv/UV
kg+qmX0UIRyw84Gic9MWGW6I8ms9sAukta9TFBu2MwTwdk6QIOkbIOZk0b9kgfyE0B1euwHJmg7C
HLsGssJbF9DntgG9PImhKSbTjN9AFq3dQFCZ38GAqbmCAOTKxipBkByL/lOKLPaO45D96cY4onte
eVC34Pwn5BGgXw8Xit2Ai54YU1xMpnC8zeqmvVsBr5+Qr3e2TuLxXQdFALVhI2jwaViDx4J/d0Ml
ICUYOmT6kIJVj4MLaSakr8Z9m2Cj8NyYPBXDEF64AxUoafE6xS03wcNIBaAxC+U6UNqR0PUDt/2z
RFrr7veDe4F32jN8Tckdpcm4YwpCeC507K+DvOQ4dqfgNlPiBqZQECGkHgQZe+SsJLD8V17jDY+E
kepqZAtUHHPcCqGD3eRXdCzDazYN84VH+/Zr3jX+d9jsFn90pFcvyKutfjXZkuS73Eub22qc1Y8Y
VYLbGlWuTzOkSA4Lbjx3EA1v78OkyK/qJblfgjqHiMOSvnxcPPPWYs5xuWWFzK2+Vj44vsBVHdfo
JhSjitT15AVh0LlxlMR5R8LnGrwkWrZRDWvfR45ePaPm8hPHEy4tXgVFlc1ES/5drNfpKQlAwJJ4
6pdu+UymvLlRjQYzMKtT5Nd4eKbP7yAOOPZ5AGco5CNR6Db6zJBhiidaAK0KbZ7nBVa323SmKR4B
LahCDMA0te443tD8SCkCSaFocJtXiu3bAGpC2gPIFZej7gwS4u91M+4DeU5AvMdzkBCjzgs1Jplo
PwEvEClv+Fh8Rj3qc4wH5qaWKdsxWK5soB5cbj+ewt8sDWMKAegBJ2StQgrAPo6n0OcaK7rP5IVu
SHkDmQa5WSB/nu/i1H9qc/odcPznBfjpbdDlI54IuKhzFAw2vQzq+1JDtKnAQwuph2KPQmRwgLRO
88mXC91pB9W2SnsN4MLuWqSCxdVVMZN5h2LHrw5g4w0y2pBchoBTj/eM9xp38gC/ROgQQRKnTqfw
Ck5CACwCjnAXwozp1VnAkvDLwrsR0EvFuaAbPLuFeEI6BmzcUY9fu4LoXRdXw5WTK7oDfqrEbab6
GoBqARmInIhXjdjZIPSaW6aT5efvEf2PWEz/Z57Cp4hMR+ID76sY/D/oOOxxwJv+BYncfe+//+Mn
/Bj6ZdVO+O//+vK9LDP1j+/1j39cQkSlBn7yf/7zpx///V+//+1ftCfiQzRAoBi+CpRBtmstiv9F
eyJ+8M/fyGP8JUrpfzGe4EbzT+BVACMCYiVwqechpP+iPDmEQbjAgzWVz8ExAcr3P1MgMAr2iFAg
g1CyB1sFuEUwN46jJZn8IcuI2z/nQ15D3YJW5QHgHB+U43keICOKN0A+JwlwS4s3/imHDmYngYv7
NQQUi+cYMNhDOVOoFiyuvlI+7S7eDOo7OFOM+dsdee0gkJQMnQO/CVSe9Qe8gegB8i3whBT9s8x7
5IQ9qB0V20DvikqyMzuWAdD4n0+BVhEADg6klAkT60d/Aupd988LbIq2w9QlF4mb5mcwjuvEGr8I
PAoKfMaKf8F2bWyMk4avWNdX6cvYTLA2FZLBtnRCSR3S31BdgjI+9Aph6tPHxRPs8oKDls4exra3
XRrDrYgk9ScyFBrScil/rAKMOAQci12+LFDbiR8KX7a3BcSHrvOkRUFIpfEV0H+wsBlD9+rjyTFJ
DBiyEHAWtnL6UPMCc+94dpYY2eqlUinUxZ30hz/U4H2mrYI+o6gvRQYN+mwgNzODoNfAlvZqLDXS
M4W7q4BExzNXX5Wo023r4YnjoMJ1Gv5t/7d2r//fHNEZFtbp7WmbZsdb0vq//+WHTtk/wUXAloRb
AxBC/1ZF8ek/100H1nigxTAAu7E2/9qUOP4TDwHuX0GsBLh3RM9fexLBJgawI4R2Av8/skI/DkBn
RUWBWwQL5+NV1OuxwjkeJvduPU2XSEP4183Un2MpnGrduBCARxB34GAm9zGwYHhHowaCwl15+WZ0
39mnTrVuYG2Lkc9VPBJohnbQNIZ3GAiFMWuv7Vpfd8c3u1/ie4UA5oBFbUzCNXG3xw7sn7kyneq6
sbWmUOCG3ufMI67CZ5xEzyv16wyE6VTb69+/6XiQdyKTzGNRlaZ4sTW3U0F2dmNi3Hd1R6eC55RF
juvCf2bVcKhmdaZxA0b377VoAK6mRoS5PzpQ6W6bAm4I4XDTuX39LXRn/7LBaYW8TUNRXIXwZQao
HeqSIt/b/TJjN4XJpiASx2HUQWFyG+ccVW7v1a5t46CvUIFFnQYTgjRCBI4OlOVcP7WbbfOu7xaO
0wo+wdvBBQ8y00kEKEdt2bgRv77jLcFMSi/ii3htpX4GXPin1aCYdNWedD6QJrUX4dYM/Baf9u0E
zxa7xo3YbQY0msWpF/V5y6B44rjXgDyndsH7W1jqTYC5YigTBuWHCDCHazIln9PuP+PG/SsETA9y
iFl2Zd0G1X1VOdBWiBMUm2aY99kNixG+HPZZbk8dKEVNJTQ3PN6gaL1wGDbZtW8EMKdyBAKkS+/z
pYdvbLYAFKja548b//2o/vcr899jY4SoMwAOCe52cl9zSDpCwRW0lAoy/k0OrCRZCxCTo8hPAdQE
nmYwqAqDHkmYvJofAbEedxwC5dzylxoh7RPKytnpZRST/KpLWQCZR/h1fPxLT2zgJsl5GBcXcLNU
Rn0ZP8Yjgx+Zji0PTZNMnEDttEGlLoi4ROaXy/bPGcYDdh03DuS673rkF4M2ykA9fWbgx2ZzEZ+Z
/1OjYsT0oDPCnWpGJigTRQbJzRhiy4LCRsOu88aRLOkExjCqDJFfDBl0XVESQoaQPtm1vv6qN3tG
KIFOBAQU5hngtiNXyqY9B7Lnj49bX/v4TmisgnpvW6fTPOogVH40jcgwNwnNNiB08RveQTH440+c
Gn4jtmksR/gaz0EkgN+KGTSbQmo7tUZk0ymNu1YySKPDVvuKhgXssD0Uxe16bsRqs1BPUjJ7kYSE
k4iR0EyKbzZNe6Fxe64hQOFpFIgjL5drJpgPy5cubqXVfu2FxvEbwDNDdkDCRZQA6g5RaAA6P+74
+wsGnvHHCyaGh6F0ywXeeyxlcLcKxYs3wus7xJvx+eNP/GZD/n1R4kVz/A3hBG1MOxVElQ+H6zIk
6gYV70fUHPotBTgeEnJOUr9kqP6NWv7SeQKg0Mz180KVh/R3i0JPAs3bDbCJ4ga65woHoqyQNpyL
z4lSf7qoB8JXonkYmuwT5D3CLWlZ/6mTYA/dQNX25eMf8v7Kx8Pt+HfAAwd2zoC6w64MTySel+Iy
a1AHsWrdTLK4Pmrq0onrqPf0sgWeElhcF3Ygdq0b287UZGMrPe1F2ZC/jtN0V4zeZ7umjT0H6Iwy
TRwZRr4zfaEC5AY4p9o1bew1Jez96kU3YQQhcWT53TaKUey12ue90NhsqqVmaT6j8YT7tyiVk+rM
6bdG5Xvr3VgnMRR1gh6NoqxZugfelgo5LALqYSe9i35q5PcA8MFtgDxj9PE4nYhiU4mFAiBaJQVw
uRA6Xe5kXBY3oYbnZdLPfPfxJ04tfnMLYmTk0s3DqEFYbdqw3PtjafXmQuHyOLAIKDEF6EdhhPRt
/jQ3Uv4xxN14addzY/uBdx+u6BRnIuqfN9JrvrVeemamT437+vdvDnMKhWpWJlUQdaTMDpw6UGJD
Cf0WpczxzKFlqNT+79uuB32to2/ArncIag2F8REUyK/FwmEtIDzw+LNMPUFSCrRHmM3BKHCIg4uU
IJ0HAxPnYmpqALTzltxXSy93VQNHyhnAnle7QTWCHnoIDozBXPgp0tTdMFYgidp+sWvbiHqgX0TH
aY4bRlhcB7AO3LY5cIN2jRtRX4OsR2Nf4YpRdKgGN3D4SMfwzPXrRJD4xjVg5dss0BgheG4qQEo6
N/wyBklst9GaHHY6Aj7mQeI8GpB8uSiWBKYcgBzZDYxJWIdjsuePJBZRUpT9pyoFrD6Ug93x4xsx
mMNTo+g4Gqfx+CAqlPuyjtstF6Q/jwIEbPMcLtbITcztfJuH0D7Nz2kUGPXdfwWfbwTfOILfCUMK
EeVsQvI/gCUmG/z0UcSs26Jc49MNAVXngcEKdRM0mf/YaP81TOrqqc5YDwn8OfiSygWyyFbL1zfi
LiiGGZUeXkYQ9GnB4IEgzGc4pAnLeTJCz00W6NXBZjKSXFzh0P1Ti4FYdt2IPCKLANRpUUaQx88B
aQZFgLnA2NgNjHnohnHqOIDERHBsE/sVkdIkTNkdUL8Zom/2efiYwqwPL/0IRk+PIcRd0+ScXsSJ
LcMslaOazf24R9O4CN/BtVYQfqbYdapl41QtmISnhSBlBADpnzrTl4oUdstEGOFc6QpUdn/RkeO4
f9YdZBW6fkl2VjNp6o8VgAS43eKV0cxqCqlfT11NAQp0dq0bEa3KoCgpDeIonlu4IeSN3JYLWSz7
boSnPwiykCzTEWn98HouC7ZJ8uBcJWKduXculiaz200FYDGxG0Qxc38CuQBVwbKpH6TPmms6TKB0
Zlpb5Z7+VoidWjLCxsSHf95QJ7eNl1QXMwXfzG4WjGgNg8YpS14VERQ8l40T909ufk7a7MS658Yh
PCTQmakVEhQDmGqfQIdIL4fZH+22AlMyLh2HotBQ8oicuFTwH4TIcgKA8MfDcmKCuRGyWk1E5O0Q
Rz7ngD5nSzns+TCVADr3k1tBKDQL1otWmttFw4q2eHuBdbmeBhov+DUCj0LQiwi4VUvr9duPf9Cp
uTDO5nCRAN4xL4/gSpTtWiYvYaJCLuwaN0LZIUExMToU0QJk84b36bIde35O5OlEFcrjRiy7KdB3
tHGQdJHZAK5QnW21JnDQU258WcGG5UaO4YIrN0g4TRfCfrchuPXZ/TbveGK6OPYgiUjyqILnUwDP
L3j4HuyaNs7hQkpXunNfREkAGaqU/Zzjc8KKp6bbCOvKSeGiS5SOWCkBcISf0DBUlju3KVqSamcG
ulHlEWQEY/jJQQli8s4E3omOm6JJHqbOm2gcHzyX/XBKvN7gDmX55GBGVM/+PLY4y+bIn0Alxh3y
IOYqsIswZkQwNvwatLgcNLcuBYcDxX3+tV/4OU21dwcGmjFG39M2q/we7tL7MSmACS8SB6oC8OKy
WIpo3eh8okEn79sGIPii+TUn0892aKyWC9o2tp6xDyuhc8/dZzmKQ75TrcnG1uoyi9aNvQeie1mC
x7a7h832DuoZdw7kgewGxdh3Uu6r1qtLd1+Uep/y4GWsJpvDC702dhWwfyQSq7HewxBrmLfQUGLP
PaoRTx/3fB3av91P0Lyxs1Q9g43f5Lp7sFbTaucDabySx6jzLUnlObFtsnb2va8Ym0zZhGNZ68Td
g2/EYVUKG6yH0q1AYdUw5wj00G4QbQuMdWDeCEmNmPVIMPfuhXaS5ZW3aWpz/ggIxR7v0W5VtPCz
rPQekJzlKnDEVzkE45XVWJoItUazlA5hDO49qAXgHHUDBNxAlg/CbR8H9Xz58WdOxPdvRfM3L5t2
hpCickO9h+3mfLXISUCrnOmdXevG7lG3cd8qhfVWLdOvkIhsC0LBl4/bXveId5aBqS1ew1J88Wei
935YJweWe+XXdEi8C6gY8Juhg3TW5uMPnRoiYyNxMR4J6ph6rwRfvoKx222huE/OPKXIGhzv/Y71
s29nQI8yC/JM70MKR4gJ4jg/MxmIVyfvUrgmTqszCehBF82oIQvCabhlPoHz3qhzarkIjIWceF2q
oFXjwu3uB3DQzaZzoX5hN3rGlpOQuW/aAtFKZvDfKtkeaFZ0ZzpucAb+ys+sWovHgzc5xIeGAdUw
3XSTaw1+I3gwGb/DXbDZxXmQXfFWxDfgMtfbGJpwqD7lsHkhTX1wslUjV8XNruOeAqC2g6bRspTg
1Kej0FuWLstV3rq02sV1Z/Xcx55hDMc0Vo2nymLez1RBXjmsQN9xwRi0GmzPGI42awWbgHPYQ24R
BoehHC9BW5jsovn3JLxZqbCKrWJ3Luc9xEchqwjJd2iPWB7XJnyp9BInVDqY9lPhgG5agmw0Z4Vd
z6lxZCAnHxZqwT7kIAUClZjrBn9Yjrnx3AwX3adZ2Og9sP/fQLWEo07A7+3m0yi61DDjgDVxrfdJ
H38f73WRv9o1bGzMfRNOXaAVNua6kt4mFDBXhgkjne0G3BTGLV1dttxL9R4mB8EtWPHtlnVDcuZs
XLfGd7bM3+juNwtxgJoCDBxavReshxeO8OuLBVpslhO6fvVN60WPGpGUaN31OKhaqYQtLaywrAbe
1AF1ajde0lIse4kK4RN4z8u9UOqcMPWJgTGxdA0PWOU5wbIH76uEODc0uCEbv2zt+r6exG8GxslL
hqKSHPcdI396pMt3TUYay8aNUxasso41cp73bTXmWzWVq0eaSs4cFO+WZFdN6OOu40ZDvTrt5z0R
hX85xyUtdyEkG+5KwFi/Q/IP7mY+TIl12Pe2v8g4VeOATu3IsmE/p9hsZAd5Hne5tpsK4xgpGAey
VyXDflDyN/2eXPJCMbuL7e+rypuJpqh1iDiT/d7riNjIzPev4I/tWrZubMbILC4ZTli1L2p2XfaP
8Le2yXgLqBUez7KiEDvSDbL+qoh/uNkviF3+ZwKi/7pomGg5ViGDGONltofjCZSpSjjITe4vq8l0
jc3YAeilR8/V3oW5XAF6fSFhYP5x22sb72yVpuvBUnc5h76h2ocQpLjk7QK3Fq+k17QnsMwcY++7
n4zjmY+d2H5cI4ahWYRHcYofQnVANrwKx8+zUrkNxgqza8RwGfbtDKPfbh+3g/4EMh6Y0WDlPnw8
UKf6bkTrIpoka3TV7Yt0/DnF7p53VkU1dNwIVnApiGp8JvdjNr1wZ/6WQYTFcsiNG99KDR9JjSVf
K9Xsc0+0u3XbsQtV01+g4Q6FvuXY7cNm3I6Q3N6Ec2aFvxHib5i5PB26uUXXsZflt/7qcF46rRXE
Ga0bVyeqCmdO+qnbO7nOd4s7jBs+959tFgt8kI43Gp+WjQ6XuN23RX/puFUJTW0Qfe0aN45ZH099
oUYh9zMMuq5VHlZXCwTLrBYMVHWPu07hmx4LiIXu69p7DFWxreb5+8cdP5GZga70cdtzm0AeJJdy
Tz0lruPZv5bTiKOj2ca0uXcIv+hC/6tIpvSmhFrJLas7AhGCKj5zKr5/ykO4+fj7Szoj5TPNch+A
s9dCcaBkV0oG3msNqOBdDTkgsplKOn3PZJpbLgUjuJdQswWQ23ZfE6UgjdS1F3XNuqePh/T9XQn0
y+NfNGDcYPCEhQaNpBJyM/2XtrR7A8AX57htMBxR1i57SNLWLwBJ+ptGwUreqt8mIA06gZ4Ma9bs
JazpIDNwH1fn8j4nhsSU8F7meXEKUmBIpuDxkuAPuy4bMd21sCPJywntNmxLdFNsmAOXXrvGjZhu
qXJCLuZ2j21OXvog5l9QwmK7HSMwYrrgTfz7cr4f/BjoMDgjd6lTWTZuBHUBHYmhdEizn7arRuBG
QbnVclSMeNVx2uN+Qpt9l7r1nZDdeOc1+tluyI3ArDyp0gBK3HuVkU967J8hnG1TLRJi9dB8+xDy
oGyVx76u9zlUKCu2KnBM2YNdt42oLMTKZFRLs2eB9wTLmruc4w5u1bYJT2ti6Exkai5h+CtgiFe1
eXLXTk5mtxWa+LRwHoDn8US5D2YIDmVlvkCld7E8Fk18Who0y+r3We9ZGH93shjigb2yi30TnuZB
9yRLA1piraxekdRRu4JkVkkcOAUdrxZIvDGaOuuody7KuN5Ll9Krjyd0beLvt3tUXI6bhppylhO+
lHtYCIk/GiiQQucRdQIVA2r38Sfe3W59zyyjBdBPaqFmlAH6lF61MF7WfnOm96eaNnrfarheJAHL
Ioi3QMyygoEW4HSZY9m8sbv4kF8vlyoB5H1uIZ/ah4/DqlFtNyzG7oLkR5Em2p2jtuAvvSiLbU1m
q5sxxtzYX9rU0YDwJnOkVaAuvGUKNzX4zDu7rhs7DLQR+aRhHhFBi5r9mH2YEclyDF6sWjfrViEM
PphUro7KtPtJPBmFyzngwrurHeU240rvsZrAKWrso3RR2X3cTcOm5Vn53PnQ3bfrvXEJCKHPCQEM
2Ue+KPLPjkzENq0q9sWudeMW0M2NV8GYTkXYzLLrrmqDPVItwZlTaW3lb5vBalt5vBmkyagc35Uq
8tOafRc0LHf5lLdXEPYcILybQK3v45+xDsZ7HzLiFgJLHHYHTRfJ3l3VoTv/u1817cscLMlDzySE
4ZqBJWcu9Wur733NCOMQGn6JXFRw8CS/xMt562SWSEPTlo7mQujUnWXkDguc5mGatZV8POcgcqrj
RhTnxRTkSUWCQwG93YY8EnlOxuRUy0YEi4aBbCwZVEnyYUCudL7SDBrZH8/uicZNIYisDsJRpzW6
TVkCHwnIlJZL3Nltyr8d9d6kFlkdl7yl1Dk4PN02Sm2RUd7ZddyI3ZqGszO5nnPI/eYa4v73k6u3
dk0bgZsNMWSsQXk4iGreNIRAHji3HBAjap3A86eh02h6qB/dBhTssRou7Lq9TvGbwXZz8Fab1HUO
qcPpNoVE6QaWVee2gVMLxQjM0qOZ6AruHCAdWcE3wSEQmpnPlMVPNW6crzBPgmWvGpwD7IumTdZI
mHblwnI6jciESUeWNAtzDo0zPTsujNeK5Awj6FS/jdD0kjyG1iOmUwbNhcv4p7yqv1rNplkhFfAy
FzWEWg+qLi5J/6Lcc7ptJzptFqVGMoR8DBbn4LrV3ai7SwgW2e0mZkVqDHi3aCCADtCs/Dx2Yhf4
ELK1GxAjKok7FMOo0O05QbIM8oZlK37ZNW1EZQKhRHgl9Q7Ye0GyrfjwlStiU6XwIbhzHJU8lEs1
1mi7gUI41NFnuMQOz3b9NmMSuRHIZWL5QVPjYQAADtKjfm853kZMAnuSFMKdsQClvxm4e50t1C4i
zYqTiLuu8HJYws3jgorugrfGwEZ9aTcqRlAWFZVyyCYslGaGiK4DLX9i1/G/lZyKjmaQ4o8PPYrQ
HajqoPXb4XTNkhNOME9xqPoeUni+4P7gzOeMMk/Eu1lwmoopGbp4dA5LDmPX9RRGssGqUgYfTSMq
q1Fh21Z+eGByeSYd01BoGFrL4TbiUiZsCpF8kZH2BmdDBvpMHHFO2WBt5J2bpllgCvukThOiuwhA
wpcs5+Xl4uuHEBKjF1br0FRnUF2vwnau8IE2mzeZx2FII3C/smvdCE8O0xhCmIDoRprCxgC+MTVQ
3paNG0cmzyaix8xvozwY6BZGruVmKSe7Q9MsMxXBqoBBNXrOh/IiDbvgE8RWz0Gu1oX392klZp2p
hBDgpKGoH8H8avjGw9LbNrodrr2i4BsIgLvumcX5/vohZsmpbXyUs/D8iXxaQJ88B5Xjondo+CQE
MB6WHzFuuTHU+xZ3XNpIqaC4Z9r3b4MMzqSZ5mdupO9WUXwIZh6fT1ULAJYWHFx7xtRmgdN9sNMJ
yw85DJgeZFc6Oxny4HKu3bNl6vd3JGJWpbJgGWHe6qxnIryKwzjb1k73ahMXoBge/57Mz+UUxLKO
oPHpXQ9SFPB0YtTqNCdmzcnPUSPVOsarI5nDW9bpTzJf7Hh2QJUed71FcglP7WSV8krTfcti9wGG
KdoGi4SJNmLaE9DRjkM9ItmRP7Fx+joN3KpqgLaNIzeBuFRFvVxB86O4h9/j/ShgYWM1oWZxaar7
3K3h4hNxF9i1tmgv3VzbgAx8CMAej3jfeROTEGaO3GR4jV3vnpSlZdNG5A4D8hijB49LNTTJHQMU
fwcJiOFMmuTE5hMYUduoEX4FTjBGNUzY4KJc4f0B8fgelpI9mGN2I79+/M2DsmlRV+1WJksbOHBW
qNktUcODXdtGmBLieD3clpfIJf6NE/tfBzH8sGuaHnfbwYnCp74KDrNyxEYN5E4o6u7sGjdilEuZ
CjJmKWi2S75hNawo4tlyyRgR2kO/Zhzh0Av6+XBf6Pib33ut5VwaEQoLVT+Bx2946IA+2sD24zMP
LHMxkCU9HvE+00M2tFV4SDMslAVlvl0WltSu62ahCZeFXPVd3Ud69WUKlrs4tyq4+8SsMtXJ6M01
3GMiv8HewmAjRJHpPHN2r0v5nZuIWWaSY+wIKcMuSnn4NWE02a4uMpdW69AsM8HAClc0oWtILMj7
DLlS4GvOhOaJG5RZZoLv81CQHCeoO4mfbQ13kiEWX1F+E9cNnL8sZ9WIUliNcREvDr7io/KR9+LS
H9hkd0z73vGCrFfvJHhm5pGox/4aDhtbQMfqMzemU/NqhGlejgrCCS04eL6gV5kTcKhJczs+M/GN
QK0UbIimMc0jL/Uhfwqy6/Z3ntBq2ZjSBlXTBGnd9BkYuuETDC9WZXE7DjmMAI4HveUgYAUoOUez
zq40j1+1I60QJj4RxmkKfb4SzhxBFgHX+znj+S++2FEH0bZxlnqw4i06f8wiFQ/+Psz6+ivYWM6Z
k/rEajH1DcIqqxwX7oGRyJ0Ht5p+9LUdAhM9X7/55oD2VVY4NGuyqJEwU1WD229UmTG7dS6MCFW0
hYwgddOoDNwvAWcvQ6ms0NLouRGgg+hh6RnKJCoW6EtNSXbNZJzYbbymqryroHo9qlUSF8CBbTCD
HCOacyYgp+bTiE+U97285ui5Cw/kbcCBS81nYQV78KHxfTyjJdglaoQt+CEcxmy7+nJewKbaLp9C
TDUDv3KaxakU8m45XLGC4UaS6t5qYzG1DJxE6bLJG+SBMnElafcEm3rLe6gpWzCOYhlblQUHJ+fu
RT73CQw069xutXDjlstYVhVkaXykx8IvyMHt2lE82w2KEZ/toFIZe4l/KKqp2ZTJ4myywnbEjfAE
ZiBkzezEh6Z21HUYkitnKe3KsOS35cubnaVlNdQbYPd9YDBzhfXuIn7NAllmu8MfjhpHG1fTuqSd
0pwdlhbOXd3AyMVQhL/sRt2M0FTlztTP9ICa7LO/tLe6He1u6KYogaeh+ikm4R2SLoRp8taDYand
kJiaBINycwcqENPBKVl9ARPrjRjSyu62aPL6tYYDYxMk04HBUgomiTiIqFU2DxnH46mUYFiyMSGr
oZsbRp2mrrwsk963k/0gJiJpkUHQQBujP2S6AHwZqcltCR8rq6Vi8voho+iWWtL+AAxYvaGwoA0X
K54HOEhGfMoi7iE+BD9up/Eu5jRxN34RWG6JJrVf5iMdXUr6w1T113pwHob43PX/xAFnwpE4YDDt
jFzyoQ0o7OA0TTaAKD3ZDbgRmykN2NyFZX9IariVVOEfYerYFR//5vKSqbGfIRiqDiJn1RbIRFhq
UysgPXS+jcttSOigi8RXh56y52Io7v2xsttUqHG3LSb4WVdNrA7wewyTDQkG8mnpObe7gJrM+Twb
QPdsgrX59EflItkqptDy8DRRSBryL9OYcXWQNIXJVlD6W6mtcJqrtvrx1kKCsciRUGwOswe79GCA
2aHXAe5stRSpEZ+MK434z5tDHI6bZSh3hJ0z6zkRQibSKA/SvuMka4CV8Hbt8N3D69au08bBOYRV
xXu4dx6UmJPLKpnbXeJbCQNgvI3ghAsNk7DVrg9zGFd3VTF5+XYoyrS6sOq8iTUawiEdRu3VB08s
cJ/OPaaWK+g9azvgDjHhBxIe9SEsiPtDrcsbrge6S8PJcnSIcdAtrtNPpUfag6tjvtV58dlJwh8f
j8x613wnVUSMO6gz5UuHpzPa5jS4iXtKX9crGCwQp8byIDWxWDpQ7kIlrQ+9SuFOrw514Fqhholn
7GCo5aiRC14fSpqrDLolMVxtINvfPH48PCfiyeSXe3NCS4fL6jC2KNZuaTfXv4jr0we75o3RJxrE
myCemgMvx+bFaWOxGZ3Ks7sgecYuRiupwpQk1SGs1FPB5Y+ByS92HTe2MA139XZp8+Egl2+1cl8Z
8+3OJFO4QiseO2WBlvuJbLnWm3px7fZdU7UCdcSBdVM2wEm4k5uauds86SwfFqZoRS78ZPLquD/E
A69fkTDSz3glPVkNtwnJChKQ+D0XyzwLoE+e0OVRaH4GzntiiZugLNEHSQbtovrQLjK8qFQ5X6No
cU5p8FTrxhr8X5xdWZPcJhf9RapCG6BXqXs2T8vjNU5eVHbyRRIItCIk/frvTJ5iMu2u4tkumkHc
y13OPWfAhK5sEzuVUOwd2rxabX+8b/s5vaVEce0HnJuI6VwMAU7HBHHwIIViOI7pvAdJ/JffyUc/
RwI7FAtnW9uhPGj9vlsHfdqU8MPDAQr/8+K9aXbOxDGXAnOS0AJ/31bCC9cY/kM2+K80mqtUGXEo
xF6r+Jyt032aTn5uxYUipZhJRXdRwo2LgBVIHD8rGvzwOm4Xi9SIZR01pkbLNQmALTkgCzyPnu0c
F450mPpogrgeSznG2wdeRUexi+EWWcjrk/PGS+rikaBFu4COPxjKRZOsP2GSmf/Rt83W5Gphpkgn
0xVCUYgi+h2V83Yc8zaCO0GNZbCFSQGmiV2cOYCx0+nX61+R0whdmBIEczlJqnkqB8kM+36EI1kv
fKn0N/Suufmi6LhyKDqLmul7CGBB8QHSA2T4askrz0XC+lgVbRjMwxOq3ELnKM6ZPV8GKRBdhPFR
LJkAtymXa/C5GjF4WpqJfN7mKbOPttqZetcGS2zuV93sOXjwtigfgxiSu7/+A694DhclZSKIlQ9b
NJQNG+6B6f42bbey+yucnqE7is8rvmIWaxhLPZqDPm1ZT/jvKaigRMH7ZXoVEtrnL32/S/s4GD12
d1M1G5vbfo7PPn8eZE5/di5zLUH9BFx2KavpDkXLH+CR9XqjiStQUvcNX2fI15WHnE886+/Cxt7I
GV9v71tW5OxacG0rMAaNJWsnyJov3GzktBytGJHOBPwWXcW1b+8kHKTvw2GW8VjyIzlloWYnSaHv
5XXyLhAMKuvKcBmN5U4G8zHs2HgGY9zs911d9BcYlCFHBvKg0ohm/KyViu/awEivwI64jAPggTs6
6CHNZbxXfU6wawruai+XRVzEl+UYwlsM7s2IJmweV/ypY4HfnXSRXcca7Ee07Dj0rsJ4DbgboeI+
+4mYQeb+Z2MiNDVgltxGVHjSOY/q9JEF/Y0jf/vKExfZZapFrdVaQTz86NKCoCz1yFoGWSq1VTdu
5D/B3H/NirgAr6jroNt+EDwWKlPfpZ7/XlWlH+Diwfp71Nvv0Fys3gUBWOo2zNLms1TmwWRkvgtH
03xQ8dqAfXRA5xNkEfNjU0X8qQGl9pSH+KcbB/G2URLuxFo6G+IQlKRjWTfy76nr1qKttu3ezygd
x0LZoiSJmSzXuP1wxGNzSlfAy/0Wd9yJYlkgLINNsq37X1Pvj8PoJ/VBXBBaHK/qaPZuKpM0Oxsq
34GJ/S+vXbsYNBZAUDWd+7EEp9n4jIuXPZhZLTfu3LWvyX42GXqEPWqL8OSzsBfCXqo08Er6iQtB
kxvtq95kY5mN4WdmGvo+YGL/5Hcor1b6r8AZw54bcLw1Kmjxhnxl57oAvf5nv8Vfz+pfi1emAYWy
RBEt0z2UzRsOMjwOI/r16q8n+4aRcycVasA7MwV1PZXEoJAbqHS9iJ3opzlNuyeVxP1XRFbmxtTA
Fa/lIq/A6CunPp2QGHVBVfRGyXwPeuB4ARX2ey5c+NXIeMjA3DOUSRg8IS+9n6bDKz0iLvwqbpQe
MoLgqGVr+lWi5vBho8Pi52tc/FWS9g2ou/CZIdYZFH2Lyvfa+9UyiYu/6ibZbjaA1bZr0N91Fpqn
rOY/fn2Frhiti8BCmTRpm0r1SNfZX0ltRb4NqvWLXFxNGdvX1Q5+GTyiU7CdoAbQ5uOa+uVDSDF+
ti1M9QRjJE1fkqB9d2CyHWOfSNf9zsV5PQ5QLxk7oyHQH823AcH03K1+3syFXYHJGgSx29qVdAyW
p7nPCrTXJ7977qKu6qHaLOb3+pLHyQk6v79J3Xl1MIkLujqaHl0jjqUp4GKntqv/BFeVX0eNuKir
0S5jZeSA5IVAn3Cj9R/zEXnG5y7sKoYYdmBbuK5+meVDlAQvvOqtV58EgeHP13CebJUp8O6Uq2H9
eQf+6tS23PNzOu9HLcJhSOVrHTBYfrCmfqdHdiPxumL5LuZKpWLtQHk0lFkD2hBr6jiP+MCevOzH
RV21gYV61YYGTCjxRrR18KjB0Oy3tmOb+yhtLGoLpmUQuyVJigH7uLrxpF47FSewS3rOZ07xTpBV
/9k182O7QyfDa98u4mpuQG8qMpQWRbznEOIoptozHnXhVk27HjRI4cbNzL6mUX7M1Te/TTtRnQQC
EjyAK64JjbJ8LKC1kHmeh9PmqgZb66Ftu5JzrDksVVfY5EZ2eCVacaFWfIlkVGuKO1JniFQYVAn+
nowYc7sc9rPf0TjGmW0MgkAT6wBEW7pzwMX7LbWj39vpisSgjp7ZLEu6UqNiFiTVo6nsb377dh7O
qTn0HhG8bYzLp3hP7io2/vXrpa8du2Oa01Jj2BEa8+WAbPNxSfRYCJR1HhN2eG7eMVDRE7ONtkLA
YufoDOBhchHD4EfTQlzUVb9PRKFO3JcTN3eJmhogR7rWz+O6uKtwD0LU0eqh1HV6L+lJN35zt8QF
XZkpgH6KbJsSMCCSd3r+tMjWz9u6qCujabpiYmYog3E3OR/Z+zkM/J43F3HVLqtIwgkeETWcbyAm
urTT5BetuHirWUYM4hndUPLOfDU7/5hO7Y9fX/Irb4QLt4pXHi/91L+2iBbwYGcDKt3pjRPhb6d0
LtoqHqSValBDOYZkKGjcxB9ZSMQ9p0t24mlloVBNgmKsx1ttjH8wEW9kkf9BYa2HamfG+7Ibl/3b
PlvM9jaqEmeTsfadakP8+hpO+RAsR5dPKpMfs4MgfO3Z8JuY+PaR6sUUqCaY9zKs1L0EQdtnoqCO
UrfsYyymrujlcBRzloEkH/PsuZSDOU3zwO/bYRL3k7X8TuzVH/2sgnuyb6T2e2JcXM9KqjTcl12V
KaUfuiz7M6xCryFH4Op/jvt4auokIBqyE2RROWaQTD7pyTNW+A/b1dDWU0txx5YZySQ52JGLyY8r
h7gIszUDfJpA1rmkdQ0twbkt9lR6SSIwVNh+PpdO6DqqmNTlvodntkcirzLmh7cnLsKs71eWRe3W
laGCVF2Q8pcsbv/nZdYuwIyJ0GJ+MlVlHY7faJo97NHgRZCIQ3EqNXyclOQcRsNE/WcdqB+R5X6B
gosA2zHvmVUGRwLCvuVOsvOG0oNfbuOqoLRQ6KrWmdVgmor6x4j03XO4ZvMN47zi61wQGGXBajtQ
XpYiCrv73e7dwwGwwHCwppAsCU5BotPcrqkfcR9xUWFBr8HBjX5HOa3R2pyNwaBcqkL4Iq8b5OKe
TMPUQAat4RKi+5hhRiYYej9YKHGRT/vO6FIppIJr234JEjufxubwIrUGkbgTioNxWkeQRhVlQqY4
XwVp8jb1m+6BuMXPHuE40GogUSPLESXnvJJRB31e9sHvzJ0gnCbxtHQKVYk+GL+1WwLNkUV7ViVc
IS6onkK5pEFtuBFrhbT++UiGW0omr/7wjWfXxT3NAGtEUVNrgOOqPTmR2bQFpgnGYpxo9JgoM7/r
a+0ZDrlQqJZJsyeYkwEsv/3UqMeEEr+A3MVBSbS7Ad9cVLlbLfNYU5uT/RZ5/uv9e+OQXBwUdMn1
rlgERNue3TVZdkoFvydZ9zt4lG94oX+Qj2/9xqt7+leNXrdpGy9Hgj9g4WQ7W9r+pVPdvgQdBi+D
tQk/H7am7+qQL0kuVyKfY7A8mFyZeHxJQNfb50No270Iq2b7c53D7hZu+OrWnLcU1AmhIUCZlW14
zFDmGvCadnU1PLcanCOFilVP7qYkah8G5Cn3DZvi54QF0Te9t/ETG+X+ENiuufSM0ROAX6NfoT50
3EUW1a1ax0CVB9vTUweJn1bOnqVXF6G6kIMmIsE7bOIsu0tt1BUgQ/dsSbskWWD5pMHSzz141NYG
c0xWnyrQtnkejPPOj1NEY6MHlB1CTHkvR23ybfbMO/5hx//XRU1Q5lqArEfqSyzLKdTjwa8a+71d
LjRNV42B3hFRZXzYou/I31UUHDdM7ErC5GLTwkygKKBQFehmhquiE5GDte1GxnSl5OCi08g6TAHt
NXovtWiKo4m2Qu8xf7d1yhP+4oLUOg3qvaSnslQL56dpUU/r3t66Mtf279g4uLhainaAwuQet48c
zKGFHMMYxjwyv1TFRaq1bYwQvBeqHGk6f+ls+xIHi/7q9QC72iwSlE2KgKi4RDcyBPQt+wpNsVvO
+crNcSFpFp3wTWuLnb9OTrD+uePBi9++HVNttmSdeKWCC6rgNBdEVDnj849fL/7m4w6NECfkiQ5o
QsyhlmW3bDop6kGSOxrG4ms/giTEMLo/bybuzr/+tTdPCaIh0c8vWKVm1kSQJCqr3ahiJNPnuWM+
x4S1nYre3jeCC0z1lWZv+gIPH2RC08XLM2B1J4kGYkDTXVhYVkLiTxZiJ79BL7m7ce/f/Aqg23LO
pVOoAekJprUf/bnqpnd81g99zM8tZuUi2viFoMQ9omHKUlLBAmRdfcvq7DnTix9imLgMZqrKInvE
/HXt9X8JaR7qLP3861vzZmwFlRxnAHxd0bJOgUREYW9Eab+JB/1IAAG619Jkv9UJl59+/UOvC/4n
wMIPuQEWuKMZ2bKuzOqUT3lH+xEtz13fLwexj3ofN2Dzt36Coi6RwADN661BlCvCMZnbDs1SrRs8
9wpV9GG9bHYnH9mSgMBorfXdsgQmB/wjK1rdggc2rYMi0qL9TDVrn9UReLUIcQCuiyfwLpbiI+ow
+tZ28g85eNFEYmknEtu0AVemRJsgYepOKszy6in5/uvvdsWtuAi7bI/GHnLBXXkE+wcRL3E+2N5P
3RKdjJ991hgeW9u0LfwK699VdSpOvKXLnd/OHd+OknW/om+HENIoUkizfEf716uWgyN3vAoHS96k
Ji7KtomAmKTrksftcCOauXbmji8xoWhkX9cSDd/9TxtOS3FY6btzx9sCvR0F4QJ/KJbobl2CH0u7
erF748VzvEnaNJB4hrBqmRGegMGr/zbXqU8LAms7DmRdezt04y7LeiPxHSQo0gJsru2912XhrnVC
cjlmAj5in6fgExQLnvpwPW74vivf04WuDVu47yrBAwcxp+ahz3j3iBL/rW71m7EjDsYxoi7rmxEp
gCgbkrTnlIJhOaRpfd5l71Urxk84phQzVh8rM7KMR3Bcbt1HzJf4+RcX/jmk2sx8W1v0OobP2yR/
7KZ/8Pumjhl1QtlotJMs540153XuTYEpntov3nLh8Fa3fUBRZS3tZmjeJtlTRzAL4bV1F2e36ySD
ugjS3yjp3yFianDXUz8x5MxF2BFUc6PBIsuDljUqZUTkxODt99u5Y0ik3vt13FBIAQghfeZRl+Wk
D27B4K6EKy7GbgzliIwolWByDvNgTX9bqvlEJvVFZMJ6/gVO2L43SYeifyLLA1OxUwvKfNn+7nc4
jqlioCZaxiGDHQn9BbzFulg7cmt054qXcYF2aQosfFYvCKNHMeTAJW95VS1eZW2aucCvsEuCbTZA
UqswgaZ5/GWPEr9TcWFfa9JH0czhHumxfpvHO2WZn3NxMV82RMFZgYiwFNv42FnxWXb21lzplYDW
hXxNG5+XNZoEuOfVpN6NA2Nf6lg3p15rEJMS0YALisZzmjPdRD82Y6obGc2VD+3ScPE42KJZbApM
6QmgxDOIng9q/va6oi4ibExi0JJlMa4ojdg96h3J/dKvxs+2XESYGrMOGjWbLIMgelinSudr5hvZ
uDxcdAEmJDEEYZNc488y6pNTNK/rjQjhyjNLnbiJ1lOaprRBEjZu2QNt9volA9r677mDUyq8Dt8F
h/Fk3ojpV/wFUzfn2nSo8OnN7+xdeJie02RKJsTDQ9r8T1W8tCBe9Ny44/VXi0Z1O80S/V60N7fh
XkjqRQ4OSVEnu1l7ftCpNaqc6mA4RzS6C1ni+Yq7EDG7HkPUKsQIEw+mPIjql1EffvFH+h9vv3bW
1jAlm05gtQEZgvg+GkAd/C6LE5T1yd5OiUDqHmFSs5ipyfpcRKz2vS/Rz8lZSvdwVsmgypYmn0hr
OyTtmReDMz6qE5sxvLLt2KI2Vg+hLJIo0Hlaj7eayldsNXVsVXTcjOY18ovAm/HYHMvxEEgVFamM
Ar/s0gWJxUuUir1bupIkzZgvkBoi4S0pjCvbdzFidQSQLzqBEjX+qdP5nMrpPMpNf2ibYb2BzX21
zDfqMS5arCFVBxj+hFI/OYYzP6QtjA4NgjVcIMvYN1OPXpokEO51LDjdrTAiBtg9qwl7vzdcPfI2
8UxOXPzYBFbarlNIxdduuO/FdzptZy8Lc+Fj6yGDhtpUgIQpNec1CdP7YKy++C3umG882RRqKkjb
qoX1BY1qftrCzWdaHyfu2C5GCeyoNviGKopUQdiiT0Fsvvnt3LFdrfYu49Uhyi2hf6pht2Dtyrx4
erFzx3TJuCxS0QWFFQySP3RJtTwlnfYrrLiAqgnw6EQL25XDXNl8XbIfTTz7fU8XTwWgE7cRI6I0
fMkeN2gcQBe82fzcjQuoEt3E2JQCZhyl28cxsuIM5SqvdiiErR37ZBM5Jk6QloB8qX5q6KRe5iab
Pbf+6uX+1bHcoVg1zASNMzv3f/Foe9fzW/IIrxt8w4m5yD5je0pELHDNx+hY0GrN0Ak/QiizMbRx
HnQf0hsx9z9R0ls/5Zhre2wHCSgQVnvXdTlt6yqXjPCHdV7MYzqB5Hypt//FQzarIumCJFeEzTmm
tecHBXmg54lF9A5SUtF9NQlehClpXmJqktNuiPmQgSQJtBRV+AAaf3rXL0TcVQZ5UZHOoCI/Rfth
z3VVxXc2G7qzztaK5O24JA/MWIw/L2DRPifH/qUJtLqbxNYnd+HWD1uB9nk15mazYAWsuyH6LNtI
8WJbArWegPAMLlF1gNMPggpnQl5np1qQ/d2rRQzAyTcH4zlv0u6xpUOooZ000upbYkL1Cbo7aHCE
qH9+5dG8v2AaNnpkHIEOIWx4AeWrvvFUXcl3XHBbc9B+VxJPLcgbyig6TnrSN0K01zv41ld1XJkF
zwsNwgntj7Wd7yiG9iA117FzGqz1o5e3dAFuUTxPm2xxRyN+YOJjJL/1w3ILP3TlaP4DZmOJYPhS
iLsZy4pji/uztGrwGVKjmQtlUyMILUakmqUCG27+hSSQcfc6FBfHtvIDnCk7Coqz3OMH1e+QEsPt
9MtGXCBbsw+8hwYqKjjrrAsOAsiz5XN/9tu748/qaRVDPAyAyUW9LmKTvp8xYe55ME7OkAaMCRRZ
EfoF9QPNdFOg3uIZ0btIthDS4uuoekzD7/NdLNZnAHi8QNa4K07EQVZg1lMAiMu93iHsGZD6S7bW
yedfn3n46mbfMFQXugZ0dYrWJLrbbVKzdzHi4v+hDR2fNmDx8mOvyFep5r1YBtLfx3CGd9qSuCnG
cKePQtutxf/E//K6YNztW6VdIDAaqVrA33vxnFTRj3mSt/TfrzxqLpaOhlW8JpgeLlUQ1LqI+B6B
GxUdp9O4vLZOoxECaH7XzYXW8VhZivRClLypnvu0eeEbCT3X5j+/+1nc2ehVFKG09SERbCmkp71O
/azQ5V7UqPMQJGACczTzlmNgLwGmaPPrNbnQtmbYTFoz1oLIJyagi6/x8qnELx5yoW1tY+3SMXin
PuvDotIMr+hmb+Va1yzFxbYx6EVl3TSiRJ7s86dWbOn9DijRGUjkmecTinnPO7SZLmpTkCBQXfei
+TTnmEWupmJIO/N+m2x84/G78r7+s8l/xX42Ubw+zGtulvE/5gb0pPWgA5RIt/nGG3XFWlw83Iom
T5A1aQvCCbUXBDO4ADHUGiM5PF1l0fSDFziOZi44rt7CajvSDAVfejyv+NPytotv/BVX3nEHHPdr
H3llDRcDx4aeTpC2hC1Ti1KWFYjcpPErNrnot9SgSZwZYMMhGETP2ZjuZyaDL7/e+dvEWTRzOdrE
Qe0GSKYowzm0BeJP8GQ06woaIujkADHezQ9TNnYiP1iy59BpnC6BBHPpr3/+2sG9Xq1/XdII0gfK
DC1cSRp9F7W8h+O6kTZcW9qJFXS884VSJPldYj6wHeKGEO/zkkjGqb3+6L/23Y0jYtUR30TPG8jV
luXL1t8spv/zBLzx4rpEaY1d970KEOb0O+kgyjhW9NO8YRosF/zQR2512v/ZMTlXRWVRTj61saiG
Qh5keQiHI7lPlyr4Wq8SdjJ11Smq4uhpB4wJuP+F5xDKG39MVUS8Kh7c5VMiaWgZCD3aEmx4d3zp
O/Bj1C8+F4S7YA92QDho2I8aLEIxy7Nk53lweBVTuCuTFwPHcDQxbXDMpuj2/ktiAs+lnVLKAPDr
0rVhU4IE6TgtyyieUXHyog6g3MV68NmOAeuQPzaZjl+WLV1+dJJJT3/jhJM2GqIpMLso6Wo+c6HB
wrt1iVf4lrlYPVXHaYPIF5iDtmg3TDWmaXSr9HzN4p1DZ3uWWIHsuTQ22s9bFK0ggaxvOMq3F+cu
Wo+H0yDHBFO9qVJ/7ej5VRhn9ArXuAvQQ9S5GQ6ywjIJhjCnvH6/EPLBz4Bei9D/8lTGJgB69Qhp
d6EeKzxSaFT4GqfjvdMomw6xdW1ZsaEusiUs2Git103hLvqNQfZgq03Wlms9f58jseZxHa9nr1Nx
EU2AB6czPifAxyn9VHP10mfjR7+lnQOXUkeaJhuW7vRQZHHPT3PM/fyKC2fimOVHuZoGl0yoodjU
/bDNi9+Bu5jpeEgjAcbQ4LJi0rwIg6rNk2HY/e64C5VqGJEbYiTsvFvC5xRW9FmYdfF67LmLkgLX
a1yl69ag0CnPzXDKZi8OJfhaxxvKI8Zr2UxNmfDxfuztw57YH343xamAJWqM6zWyDTjsd3ZK6LJj
wpxvXnEthlt/NvxejYciITYuD+QYSYhcZ2oTL6owyl2UVHJMKGh2+JymseTZJoIUPKKVV1jIXZiU
mDB9L1YRXCbVVvcQgt1PBtBhr2N3qchqxtkC1ZrqIuvhJdDm3TpSz1vugqSaA9OK4POBDUmNt63D
lEowTH6X3CUi28wRUQwXN2VAo4c07OuHYcuaB79TcSJaPtR46duhLdl+dGdBWl6ker/Fh3nl9XQB
UlmsoCpnsfps3+/Z96X622/XjnVCZbdtphDhRFxvD5Say9jemve9khlxd/JiWJkKaRggPJRz8iEF
S3Yuo6w+jb3k7+xK/66l1pexatYyMGYtzDr69VW5O5ax4KVrgHJpyq2nBzgRj/Vcb1qcvA7NBeXv
VIfbPtO6THFoc7PLXJraz+u4WLUgxFceEw4mFNIORRwcT1tMas+NO08r1XVn6yCpSz61pyExReKn
U04x5fWzt8yMZSgEhVi6oiIX+vg9bkav1id34WpkBHdmILG2nOhz1o5/9xqUD37f0jFbY2kjwQ1e
l9FYt7kmm3iwiMq8UgFA5n4+FWFVsMlkwuqLXXMoyp91ZXbPrTu2KyXt6sjoulRiJnkjAlqYBTKl
fgfjPK4QnYam5YaDOSb1FaJiX7Kl8WI+xGVxnta6zxTgfx1CPCDVH5JKf2kS1vk54v8A0UI9WUVW
3JYoRosxeLLAjXmdiQtD6xEgRQPheFY3NB8qckS55cav9cNdXci01iOFbkZdsmBPi8HGCCKbKb1h
+69lm//WRLgLRYMihwR/RxZcRBBWOVqGUz7ybjsdoC/yPHmnYgQSg8zKMAouC2S6AD2uwRFvPXM8
F5HGgz6jS9fVZb+mujji9tMcjj/8vqtjppEJ0b/uouzSIJDZxfrAw8zPSF11SBnXg+jRfr8wUP5h
fiozDwuziV/lyIWiqZavVjZ7dgm2oSvUFLLTWO1+GbuLRGNLm4xodKLLzudz1W7vJqZvnMrrq/DG
ZXQRaCqSICobbHABqkDfJXNvH0UVL48rXdJvqFSJO68P67bfQQSvqnqdMhAI1Kdg23ewsXiCO7kL
ddtby/iBNO8CbTHzJCBL94DxMr8E28W48TrjKhgQZFe7IudlBIneqoP4xvn/0wZ/6wM4z7U5WN12
BqaKAq84YWyzf5K7oIWV6/fNTnA/JNou4O5sc1uZF5ZM7ztNqtOevWqzZ/XHxlJ6v+1qLdCWBZ6j
Pz71cdoV45iSe9M1v3Wmqz+l7fgQLtP7WYBGhqRAeaZsbZ7DUAkgu/hXr6/soujsttfooxzVpcEf
FG0jpJ3p+NlvbSc+oFEUcR4G/LK30XhqquYFQJpb/Nevi7z1FRy/c4hOt5vZkUkl6plv4MjSuJ43
vvG1xZ3woNcj1EpInF2qgT0vCX9FB/t5BpdxbdFBEygqsks3xXbOu40EQzEks/KbIeIuki7LrJia
KMwuoHhdCmuyP9Du93P2LpAuDs0UGrbyS1KTmp6WtbVtEeqA3YjgX1+7Nz6qC6YLpwTNQgufLGU9
FRXIWR5sasQ5XOrDzzm4iLqo2aJ2Wmh2mSi5dKMGzpYrzyTBRdTtaXvsa4eJDxDGUJVjgB70LFs2
1IlfccLlKRPZAL6Lassux0JHEM91+k4Hmt9o21659i6ujkWV6RJw+V1qs32cAvJtT1LPjTvmao8V
PvIYYFHRflL6TIbG851ygu3jAGVnPPQwqCS5S9GwwKBDeKtBe6Wtzl0YF8AMWq5C4IuuRpy21vC7
OTrmQlXb8BT1jTzhjey+o1VEorybaPVo2RCcR5Z196LDe7lCS/jG1X1b2INyF/ZV0ZAZOsTVhQ1k
fhq41E+ZRbEtbw9SnxXvkhG5TD19nexUqQIw8njNUws01CkKafuEfl17kjEbTY5h4/1J1cdy99qC
bXPStPI+lOCA/7Xvv2LJLpoFSXJommnkF73E+lxFS/x86I1+hlAS+/zrn7hyW10Qi0rAuk9tzC9t
nfxZR8P3caReehaUuzp5lVBguZwUnq6mTwrST2m+btQv1ncxLPN2AE8wS36p++hLiqHMwpDhd79D
cYITjKwvoNbk7AJwBz033XGP8Z/55LW4CwzcwIoV14ZnF5IE77LZ3Idp99Fvaae8gpAtYAlDtDke
0Rc9LVClWSe/+XTUgvHc/KsP1ShYwtHN2SU2yUc52EcFY/Xb9+v9/9fSK42jKekXuMyKv1Qq+r5m
kZ83dhU9qYjmeA6x9BztT6LifweCeS7teONtaVLwSMF04lTLImUL2ApBi+V3JNHPR9K049yvHeeX
jFp5qgxw0tsob/jAK0bvAgKTuFJbjzL6ZeNAZxGpDhDsML9L6EK0Mmg/xgQo0kt4VOa+ArkdRl6T
T78+ltfL9kZs4wK0kjXaNrSgOfJNut5bJUiesOo4dfaAhxFhdiOvfbWYt37H+bZgocRYbWI4onmD
UoKF1F4DlvxwOFFK5APJVqBXGyhP/PrPuvJBXCDWFmTjscuBXcaB/JFp8Z6GoV8F0EVecfD3RE0w
sYtGwzFPqXl/pPLFb9tOGQ1kB8CWQnLmMqXbp2Guv0M21y/UcQFZlDULrUWEd2nuq98NbdovELr1
0rWk3EVk0SjJjk1i43yv1hNI534bU+aH3eQuIOsQazRUFRaX48Hz5ywBmOzX583fvpUuDZmNkyZq
oJt7GUWcvItFIp5aIdb7GJKfeReP7Z0MTXCnST3csLe37YC5xDuyWpqN25FdWp2ijjm2eavqv9kW
Xxg6N6eoWz//+k+7YgEuCVrXZhx5qGGXfZBpOQRzWHQB80OpQYTzZ28av3JNN3Rll4Mx4J7HVxbV
LfB7B1yw1yFHAwiXoKiwdd2pNt18ntdb/J3XzsV5B0TfTBNlA70ASPHcbfJeT9VffkfuxPxp26wS
hLv0EvM2Ox0ie+lf1aP9FndcgzTzeCSGpqgswFsjQ2w+AX9T32jIXGntMRfMk4J0I1pkj+uCKbg+
1006/9ZkaVxm2/x7H477uZfHcoaxmHzc1uUdgi0vRjHKXLCP4WTeQCmWXjCqVJ8WHcu7JOoSr7eZ
uXxUZu2jej9Yegn3KsajT5L3B+njWynF2w8oc0E5XdRMkKhl9JJNDShGdipO4KhGxlJNZPtwoFXk
Fy8yF+ePIdkjSjlJLzRM5o8pnbdiS7vhxgP9tl0wF7LY1iFRQiT0kjYZP0/gTdyIXzIMPvSfvQXA
Bf/n7Eya3baVKPyLWEUQA4ktJd2JpIfYjuNsWElsgwNIcJ5+/Tt6Kxu+sqqwySILXBoCGo3G1+eQ
fTkmni3t8KI6+lXN93oxbn22tee0X6IzGO3PmT/u84UHO30e+dqdXTZdKO1NhyU/A+y/Tvk2nwxr
2JnDGdhpcJtZXDwq+rphmJV1rWNU9rxn2oSH4+jXI++HK4Aa2m5YCFZLSAysfeuNPKIA/Z/bp1v3
onIp0SRfSQQjD77JJsjw6ufWuxPaQNcsD63qAoFuFLUfd8f8MDSFWxQNbaJr6Cc0rZuDZ2r0/HOu
c/QAwEHabbnYRBfvN7OXYsOcr+X3cBHrqVPolHGbcyuDNjlaTLRosBZ1W40nfwIlKnLG3bpvQhvr
0ijOIjhqzPuy/+GjfhdPjLnlh3BN/Hk17u0yGFK3PCt9L3+ehu7rAd1jtwhvc13q4Hh5Ai6fyWkf
n/MlMg+Q/7jXlXkjwthcVxjU5RSgcx13afK3z0i69eOX3/+k1+v4r5ei8Beoa5zQxxodQcbqOnjf
bn773A358KS2unIL6zbahRRh7X1oHeJdrvOgOBbGsJ8XTrcsKHb//KsydD0R3ngsowSyP4qbB17R
e1Ljt+b9Omk/BDA6HFHjrz0GL9cphvTji2gPp3tWGF7/5g9jewHqLh4vrmvdh2vBino7vH7dSiRI
gH8eHfxVTqCKzbMigmhRo08gUh0/3DpJZ86xZIThGSx3vg1V9aUO+IffL8Zb821t0bxQhA4aX03r
6O2xVY8LuedFf2to6xidjrxou6IMMqoNP29r38W98dw4gtCGt3RerGHFuiCDX9sXUnrn0WffnebE
ZreCreW8L2HQM0u4c0BGtY2NYsfZbXTrFF2W4AABbFg2kfaz5BqrHJCb030htPGtbkYD7ILrbYbn
gC2uK6XiMmKOO98GuHg0dVAMWVgGBewuhv3uv8fW/OU2LdbmPPpQDaNcWWaa8Hsw+N+jnn9yG9ra
mUNpIlkugmTdAEfSGBqV+s+WRYtTjTH8hR/wB7Movw+yURkeM+MntZzctqctVjYEkRiQFwU4Qf2z
aGv/pIvCjZkLbbEyM62ln6uWZjzXXxmeXLR23EHW1lcQuiQMpuqZf7B3EI9NJJGOmaLNhQXLWuWq
X0k2MQhShItGXVdFudN7SGijYW0vS7mzgWS11ie2Q9WxcpMyCG0uzAA4qCnpMTTj36Qq/migkOG0
wm0orA3w0Ac4P8gEDAEgiOF962a3ymdoy5NFw7CUdN2DjFSTf2lM9LDIwnVwa9d7jVRVXyuaFW37
iR4NlC6r6bPbpFjbvqPQ2lkm9FGacdPxNoh3HcrQJ7fBrSN5Nxs0HSIdZKER7b+09osPihTf3Aa3
DuWj1+FemTnIBm/fnuhavzfT5vZqEdo4WJ7DQk4thGR77+0PdOy9c7S69Z+ENhDG6E77CjLu2dS1
H5ewh83P5OS5JoSdYAHv3WmeG5P1zPsILRv0m0rPqU4ubOcCL6RBtYlDZ2xborMXDgo3xNato0jY
BL3fiJkootosapf9FDb9ywFPhjtH/uvXCVij/Jx38qkQW+uZLgPJNb6fWLCewzzqE52jaPf79Xjj
T9i51tV4AU+KpcmCY+5PxzhVJ9Gb4lJu/uF0YxF2ztWp5VijqWozJkwGzfQn2Dk5BUcsnJ8nqDD+
Ma14ncu2oCkzaAPnl2qjboImws64qnra4HU+dlmDXuS6yyXcANc/3eb9+nv8cGGJSgqE2DNNVvjN
8axWHqVdt+VnyL7fu29dJ+HXy6iwhVxXMID+wvMmI17nf/DWVZcxrdcxKasI5QavEpe9CMTj7/9B
r18JhE34jVU3Dj36SbK93d+K8l94qzsVvoStkwcoCx6SW9dkw8H/lJ55T+t7AhI3PtqG//1BBUhN
I5ON4agv05AefeAm6CDs/M7T0NiGFpbJBmPCuKmWFwKnwzvb9taHW8fIVPpLL1faZJMpAIB5Sx2r
3skyF8veCjvo1YlICxI04+T7HuGysZTCc/twO8Wrh6Ubg7XssnrPh3iSQf08zss9a1vx+pK3U7wp
COlYer3OJpyA0QsLeFGdcGlaobAScvVN884NkRN2yjcgT132rtXogfUfw2n50C1u2o3CTvnWMQpq
atY2q5v6H97tf3UeCODfb9Mb8d5O+cyK+khnqEZffaH7kxbw0a1HhdfRCk1xThmUsBsBmlnXOSFC
Z9u4LqdIH5C4zO+B0TeWvu1aTviOKvge6IxQJk9EzM2liwZxZ35uBE27GYCVHpfNNOI8l32frGsO
e9DQQNKOSPRnn0gQdo97o8md2Hbr57D2MR+Nvx790mZqIgaaJ2uALBlvmEQ7Wc4KYeeETHGi8USN
I9Kr4yiAdE3AlRuWJOyc0Iz5COFxDL4axtKGzI+9qO5hojfmxr58t+sotwlep1kNmPMii/4r/J7L
lzoI9J0f+8ZSsgn+RoZQqBpJk+lgPY05xEfY1nz8/Ua7NfY1RP1wwE9y3UuvGXW2CPWt8LpPo9ff
SahurFHbHHyGQteh9rXJer5Ofwjcsj73eOxV8LzmQ2zKvoVscORWShC22OvSLPmgA2S4NS/Jo9j6
8ixzVriFCptTX6L2ENsxIVRU47cyGJ8ImsTdzhobUV/EVnXH3umsCor2vBX0rain9uL0+9qM+tZq
PJpBNjLTYRCdpejCSw3Y8s7z/Y3VYxPqcwk9okDOOuNb9YbizhLLYfrH7cuvy+qHlTkXjBSHhgOa
2cSzGUURKxg7uP2eNppetocfmryrs5XBH9FfX5ppfu/23dc48eN373OF1IRUWdsX6GjozRaT0c3O
SdhMuhdINtfhWmVQ9GpOUObwToocbldQSn/+8vAA/DwfpMyGNv+zxj3x0NOdoW/Egl/ap6a87Ea8
TmbwJ/C7GB3J+TPrhull9Q15pzyPQIxf13fet24tS+u4koAxWhgAlpmJZvkE2Vh1itCXd2e/3gj4
NgRfjEoLXh9lNsPd8e91n4YHFZD9ZYLs7J3QeeMfYKPtPK92VW5TmbVljuo8HJJPuofliNMKtcHl
KdcRGlsVRuf782K24rL1Ynx0G9zatvu4bt3YCIWS7vK24/NTPh5uWl/CJpeJ2Kacaaqyql3kSStB
Yw8S6m4xwTbnrvFw3i7hrrJVzn/VBRSEw+KD26Rcf+cfYkI4a5jegJrKdM0/5ePwpqGt06uFsOVM
c6a6KSo1hl6jp1mbz4H2/nP76uDnr4amPEySVK+ych6B57IDVzjhVkQXNrrc0a3vcuN5aajH89qM
zwvpPrt9t3UxDLzVRw0NQ+ck+BQcoosrD4qIToPbfRZwFToWUZUq81Cyu2zV1WBogOW12+gWPeN5
y2zKQHop99t3JduyfI7cMgG7z0K1eBxSW+ClUdmFb6fdhG/VnLsderZWaDCvqpm6QmWzocvbqGDr
pYdJ251GuBvh0CbRdy9cyW64yrqGXOGTEm2iPrmTZ9w4mmwSvSixfxqKTy/n0iti6bH+LUcbdwu1
j2B6nP1Gn4n07t1sr7/kK+UuWwy0HvclIvPqpXXvlfy0eaY8GyWm75GexAOKbe3D3vXe6WC8cAvJ
NpROPKhWlmHppfsxm+9e5E1nXChyp8dH8Ow/RwkCEzIFUyz8g0j3z1iodyF6HNx2g7WRi9zwBp3D
OEvEd6hrmHMZ8ODOIXjjd7C5dDg8IRVpPZW1ETjsRnTdw0Gm+kXrCh4vVMLVHlTPSw4GzO1Q/4VV
h6NUO02jl7YbVnFUQbG37tze9IXNqhdMLli9qK2RrbugQ+9dN6g7uduN3WfD6rmcaNUslUznZf/U
rNWbo9odp8TKlYtlLb1Wtipj+R7CU3WHlR13Wzw2Ku6vOzpLWpy5zN9faCi+N3Jw84oQNikeBLCy
F4DP07kdn/WeN3FAyD1PtVvzbR27M0MrNFdrntZ186xH9mXH87XThrI1H8cipNOiqJcyXn4l3do9
BmRyAwWFb+1WqEk2/XBsMp385ntBeA6dZZo7HYzc5sSZxtoO8gFHQAcqK9LL36E/u7nBchsEp7Lr
y2FtZbpX+xfoTL1futUpPeN23wWbpjLffJ6n5YEuwYMu/+wDV3dC7//Lfb8eJtxmzHXPmVA4SFKw
tm22k3CCmW00v1EV/DReSlwiHnsQMzH0tfPHUHHvHUJc+7xDmRbSsMO8/kXkpN4FBBpmMXhmdpq2
SUZxt9TTVwYroY+hofV/lTiYimEjKN7PVRuquIU5jcJ9nM7fyzX3/6I+Wx6J19c65vAbvWgV6dMU
+fM/RdQdD3hgABOwNs3boiBwmt6qaYUuMxLhuPPkNMcFlkxmBDugmQ+7D6GiFji19teYFYWOm3UI
kxl681+2yCvQnRct/AFu4HWqGk8/euilfRbr2uGTVimdTk1uA/YdKyALQykU4euxjI9qzCJUPF32
IbeR+p2PAu1cMk85NJzMKkw8Bwgivx/89dcFbhP1HZwW6/n64R2Ql+8DLnvPUCX+VoaNeqMCMz39
/s+8Hqa4DdePWzfwnok8Jb3/mEf6w4qU/s4/4dbYVk5RCg36dRmiNId5UOzp/cJZ76YZxW24Hi5Z
4ijzI0/FTNMy55/QnuSUqHIbrc8X1Ge0HKNUkyiPqffBI4TfmZPXyw5o3f85z4pMCHM1b5ZpXoOA
meiuHptxJqd2PNz0zbnt/yyaZZybHiYIkxjbWLA9qyB/fef7b/ymNl+/HnIhtSeiFEWZZ3JU5GQW
UrkdDzZfHyx5B1vWI0onvuznq/Ldqa9N73R14jZfr0w5eQXkGtJ+zL+WhvwHoec/fr+LXr998F/k
Uo8JfLo/5WmxsOZcqmC5hBTy+lUE5S7ZesfzAe2MO3/s1k8Q/LyENMoyG8QS8nTrqgBFuPYdb0Kn
UjC3Sfsq8NlQlIg6+yTHUy+3i1pDN3kbNBv9/OELZ2PU8hEfnvv6ofO7N2rM3ZptuA3aRxQG2aLG
r7u0EQOJFFUXLpro/Psf+Mac26w9bzbRhBOyonEU+ckjfRXLI+jcNpWN2Y9dCNXXkMuUdXj2gwTQ
Eh+s+uT26dbbkKpIeVW/l6loZ6gw+V9LlrsFSltAdS5gcr43mBU0Mz9F/ZMJe6fbCrcR+05BPNI7
iEyh85Y1PXICGDw6VTm4zX+F3tDObL1+tdBf0BdXn8LIcxOs5TYAFtXkaPvqkKmB7FTReVvMIGni
uE6sAxXLTtEcfurpZuSbtpmHc+FXpeMSt3ZnudNx8yYVplvZPrbwuDxVUeG49W3ya4yqQtelEmm5
lQlt8udoc0z7beJrK0phBC9ESuHcG7dkfQwG+bfT3rGRr44UBMImlUjr8c+JtW9rs7gFcRv3atBG
74dVKVJdYrfLQDz7rH3n9tXWfbxBZCLR3kEbdfJSb/mb1scHt5Gv4fGHCviWk6b1yXWuPeGnxKu8
p21Auc1tdPrz6LqBdOGwNyJFLY+fBV+3Ux2RO4nuDRMQbiNSc6M3KL0AfUOvMrb7Dtul01YJ9QwV
J6TvXH6VXljEe7TxxOeN+Ad7uXnaR8SeIu9pGavaXy+CThzPjF4QxgoH2tutCwqCN2qdw/OwJ26B
1QZDKLwHxSo1TzcSXxe1m38lt/UhhZoNrzTG9YVY4z43ftxWd66xN45IuwsgD0Zc8AIaYh/WSV72
NA7C0M28gNuU2Nq1khcwQEtR7vhP+M2XGbvRadXZkFgLpwJBAsnTvfXXc+kP6wPlx70C5Y1ZsSGx
uqjMSJTiab+wD7zuqhjQj1MdiNtU2CYJtLpEwOF9J0/IL/+Tm5uVC7epMG+Ggj73GE8lLs9xfSyo
1tSR4yFpc2FSKmRmY4kPX8S3JUJLB6NuUt/cxsEOXUNuYAHkV7LOi0Pem9iDUuydEPX/avsrtRob
CNMBHYxesFquEFK8XHVoQgHVspjgfDu1KqLvVB4MH/0cesmnfJJDGUPWTj62+7SeyNTvjsvWOq7z
sV98T+bBVSfyjXd06ZxTJ118boNWZYnywrDPLB0LmjadSUmuHIe2r7/lPou2i2jqL2DdPOi906m6
h9Pd2Gvsejv74XRCTCv9uaVB2pXzmQr9SI7F7WZq235PHe9GwJFBiofUS8mLpNj4naFvVAR+YZlZ
iQcFiZkWpmuhkrx/pyPvz0cdaLeLr80090HZ6ol5QYpE+vkg44vzbrPpMFOtld+gVyCdGsyJ8N93
WjouleDnX5MgEZDbspOURvkch16ZkEP95RTzbRDM52XXdYTsCG99dZbFHMYapvRudUEbBfNoF3hM
FH7abcHXfejxLlLe+fAbi8UGwYIZpnHhfBxpWcg96ZrrIp+WKl4kc8zCbBqM6+0o5i44UiP6JpZ5
/qWr5L179I2qpq1UOgxDW6qoP/B61i0fW6aq93rtiy98K9UT66vB8VZgo2EHio9M8n3DY4D8sO0e
WNHJLdGx9UrzoAEPufI1jRa9P3nKmFM4h259INxmw3yJRwxiMLqk4XmKxv5Blz5zW5k2GzbBi6RG
UyVmZW7W2Jvk2x7lvDtn4621aW3YQ8/1cOASmZYINvD6bfUTvJbV41LUwZ1YeSPCU/sCTPH6GrXF
lioDliXU9Wkwwb3b9a3vt05Uz/d00O3+moZ7CNF90jVprmn5dslZ9+AUd2wiLC/qHmWxcU1hhtE/
jR662CtUss9uo1uHKzQxDTrkMTsUOEKsg+ALDWe3XNN2ue61qaD0pzc0rVRn7ckwHqDadmfl3PhZ
bSKsCuZ+gGrXlvrcLA8UAliPfrN2bgeJTYQ1viRRV0dLKqL2PJTD27Ud74TjWx9+/f8/ZBxLT2Xe
NfOStt7+LtJFdArUPLotdpsJQ7lunFjnD6mevPPc/gdZKKdHdW4bXAeMi0Uf25gySSD225rLutRu
D8jcRsKWnk1bsHtDyjyjTkxF772qcFO65rYEbx/ChbfyzZgW8lPtNzOuPbXjfNtMmCcXHw0MGHtm
5kupxj+8wXFObOldXcPrUBfVCK7DK+MZAhZ00m6bxybCioai/MXViBsm6Igi8E+e6CO3A8Mmwvat
ba4m8fjwYjlOnclfxEQDt7zUBsK22gwz4I4hhcZgVvvhP7usPjiFQhsHO3rW7hva7dJcbnB5pdO7
Ujqe/zb7NfczjtGoGdK58b/li/jo69UJeeY244XK8VCvE4bOR/0m3x/hc+12XbT5rpnnRSehEp8W
ZFZn3ZXkBMmWe4/VN+Lg/3UBf4iDGprqfQcl5XTEK1hGWyIeriV8t0BoQ14o0hnNldelu9w+Bi3J
iq7+6LRObJqL+XAE0UZ1qdjF8aAb/6t3hG7NLNymuY6j6+sKXYDppLZ/A4Ap83Q32box4zbOFeZS
wuWwNOkWrpkYutO+bm5Fb1v7s+JFDdmNrU1nKJwmUsjl2ScNdytO20BXB95jZmCWUqS25Qndh2e2
QafT7eekP5/HFP6AJEChPm0PT106ZuZLGPXE8dOtBDdfNQRatqBP910+c57SRdxJUa4VileqSjbR
1S4sqPCG0aYyr73p0i8GZM/oz+a/ELrW78lSRE/hqg83ayluQ15hLaHoSybMExP+JQ9nearH4R+X
H4HZkFfAm6OiItRpOHj/9W3YxFGfN05nBrMhL1j3aXJ4sknVYD4R6JOXkjglc8yGvITyj76cTJN6
4Uyf5pGfdX5Ip8yf2YwX30sZ5NPUpCMHkzx5aBKOfFQM3ab8eqX5If4iPkadmasm5Y3fnc0yoPsS
6hyOo19j0A+jL1tXNCIc2/RQ4T+N2VNYatx7GPx/Nvvr0mc25wT+KJJoQm1TzM78JPKuaOO+HWBQ
yprmjcpF+cB7crwb1nDOpmrcLw0x5Jm3XoXYF06QAyx1c74GQxmvTOfjqVhEn+RwwyUXPoD6Cvpm
x2xLim4ThnTAVGrJIDjthvszm6HyZ+i19SV2L93Drwsjj/28O9UakI7/PPVFEFY7gXhjOvZ5bDpo
6/KZuZXhmY1QNXCy7kmFOpIOcgjw9W/z2tGegNkMVUmjhSKW7climicNGezvxWqKr07L3Yao5FGv
C8w+jsQrl6/NKM9rIN1YDGbTUzPL+6jc6yMpfKoaNP2x/ITuJDfFWWaLQJitjraozEUCCOENOMo1
rkz1p9u0XItuP+xT32wAsPfmSMYx708bui4fx5BV791Gt2PMmnuRzKc9CectSHIGcycoesxOwAez
4SwUkaOoazhPtrk9ngmtypOG8ZBTXsBsPquSOR6tVR0mHl8+hijqxIXMPbfwaEufhtAm6wquBKRO
KI9XZJJxpfjqdL1jNpE1NXiR7MW8J+DJ+4d1LOqHNXeTbWY2kTVwr9JjSGiy8vCLaktY73X3nsqu
p8Mrgd0Gsip/RijnNU3MMDzs8lObG7ez1Iax8AwAv9k2ChIqsffDYqAnlJWdLkrMZrEWOiLBgF5o
4lVzks+Q2PdDx6YAZkueVq3IW1zXgwSds/t5lCE7V9StRMdsGgsGOdIU/RgkR0+G02ZQYYCHopuN
ArOJrKhFHzdZ8i0xrNB/NUG0jk/F4Re+U6WB2XiGh34waGxomoQFetuiMm782g1EZjaaUITGw13g
wLSLbojJauq40G41deTLP0dd6D9qsbfdlvjrssWmGMPzgAPKLbjYsNoGP/utgSJfAr9j+GUr/aKj
e9TqrR1q3WfUOpjq0B6CuSlhqtKNT72/fHI6LWypMrnsjIqIBklPCwY/NzQBLBJFB7fRrTmPVlqb
PZ+2pJr24FQH03PujW4UMrNZtbY8xDGrMEjESe+0i4UaXBeiVaFvZhryI5dBojb2BL0sqOU2955f
bvyaNqsm9z6M6l6IRM/y4zrlD2jpuyfcdmtsK7NYmi6sVbuGCSnoO3QUf+B76Hbw21qwHW31ULUS
brKe0uo0VAEc5/Fyx9z0gZitTCbITsgQMuwgaiAnyD9Xs/7stAxtdMjXrRJljoMI5ZgCz2lGQMxW
3LPGuzHpNjpUiQjIGgQiEx7gEqTwbPSu3Lb5ye3br6WIH5LFqgsobQ0yOeMNYxx20cNWuXlO4TXh
57GVpkfkjXOQzNuSkGl92g83B3Vmo0P9wcUu9yVIRszMg8dmPGFGq+9WyGQ2PSSnDRAswZx3OwAP
k9PqYxRSz3HO6c/z0h+SjrVot0RPIX2IkPJe6mbTbjvJhgbJWDaQF+r3ZCoIi/HOvsK/Hr1cbuvF
uolCUrGCFjRcnxuxVkA9guGpxeOAW83IFo6aWDjptTA08f3izbwuL/sSOn65jTPJwTfBLrw14Ysv
X2SxL08w5GBOJXtmC0c1S9mJecvXpDoa/jLVhf4Ed+R7Lu03YoCNNBHJOtSSKooDIzqL3L+wKnBq
9WA20jSuYcnKsdmTqhN97KGucyrgCu9Wp7OpJtxaRD/u+HA59MGzjPbmkkMpwm0j2UQT7bmsFMOk
+7wun0k5D0neHPckCa832lduLjbUFC5rQTVucAgCanogfki/aimaD3Sfhzv/gGskfO1PWKmXPw2w
0zKcXD3Uo7cqKoezFoO4bE3k4QyhbnArs0En2cOroF9DkoSm+MLC/l2eU7cMz6actLd4Y98yAhSu
9t/SiLaxmoRwK3zZoNMSMFzryuvoa/jel14Tz4P/r1MoswmnoeQdBK7WLYFocf2p0cX6dg1pfu+m
FL3+29qMU7jPfggWek1g2L5/6Mio5hi67t1F14F3PmgzvCsHhf6HpiiaP3//T3r9AYHZ753FhqMK
wl1zYjThj7uHq2vpeQ8+ILfPEPTe302kRyX093/sRlCy2ap9omavB4aAypc/0APwTyhLtzPMZqt6
Uay8gwl60q7RaTbjv6o7HM8Bm6yqYArQM/Ruo2ygi9PSLXg7iBa3eGeTVTzU/rbt/ZIEtZifA+Ut
F9w1e7f7ji28RRjrZmjILMk0QHTi+hAFh2/HjWxDVVSHKBOAt0k0NzSOCP6jtjvr8tZSsS5qPMi7
zesJPpys3nm7kixD2LhpPTEbp6p8uMHBXXFOGgUdnNVb4tlfN7d6p62vNWzr1muopye4wFZPZejl
8bzD/Pn3e+jGAWDzVNuo0eTS6TVZoKn2cQqgNhfrCu+4ZCqgZTdVjlJHzIarvMnbc3RCrkl5BF8m
PsX5grr27/8VN35eG60aQcvVbSuWZClHHkMVpQZH2//lNvj1j/5wQ+kM16B+1wVHgGrjjclsmze3
Kp/NVi3YSw28jeZEhpu+tGwwKFGGX90+3Drcm9kAJFjmNRkUGx/HbougoUG4W6Sx+SoG2gSa9v2a
9ApWTP6xNLEf8cFxdGvDmhy+CXiIW5Kj7Oe4HqH93khzT0Kdv3402ojVPM7SaCjkJyjgsgcfETlV
zERPu8hrtxPERq3ARhfrotSYrB59g2aA7ysRzG2526hVS1QF0z0s96Crpguf/T1G64zjM6vNWk2N
nPIpz6fEY7t5E3Tt8lRPPLyTcd7YqjZsJWXh45A61mQfOhNvgfxQlW7mT8wmoq4HtsinaklW5j9X
zd+LcutyYTYQFbE6gMpwsCZm3c1pn44gPuhsHH9P604L0UrakBVzQn29XPx9Ks+MUzeRemZDUaRe
Aq+XCLx+sFdJOxcQwx+I4/OKDUWtMyXhuNQYHerjD+UxDqc+Gt2u4zYWJWtZb55fLkkfkU8QmXwT
Hr7bOrShKCzxua0rzLkJmvZStfm71od/iFPktako1pZQtvLplJRooj8pf2hPfXtn7Buxy8aiGj7X
oDbknPST3E5NN+jHbRrrc7lWjjU5m43ijBWlmsopqWjkP4youj6Wmjum7bbcVataf4MF9pRE4FpS
zzs+k6U1d5DiW7NjnXnHQnGlDf0tQUW0rp8g86ff135fPY8qEPf+yI0YZmNS4WzaTjAyJUE1PbWE
fd7Dwi3bs4moeW+Yvhp8JIYMNJ4Gb4hrf78z+Os3QmoTUSXEm30eFIiPJUd//bDIy7rN4cMGmvkD
/GfbU9Ap/9TnaPd12QjUxqTQkRVAjXpZkqEbgtMsfH3x1eEmFUBtUipY+U4gFTIkVTmmG4/e0aq9
U057fR1Rm5Mqme4Cf0LZWLQBe/ZWuArNc9CdewgJ3ckQbv2J6///Ia/0I8AGOsSDXVQE2zfjy+qy
zth18dDKe2nU6/dxaktDRZDDMsGEe6zsq/m/uSr8yzxSc67KnTwrMdInvvvaKVGm9vOmN+M31oeq
k/0wX9uqry7Cx0XLbSVZNWvpQ4M1GrolaWj0WXVrGQ8KPa1ug1tRowDF6vkbH/FKyL+hb/wFTUPf
3Ya2znZTMZTxpusRBp7HxLRd9L/92BE3UxRqw1O1KAvSyXBNAh3otyovxowvxqnbhtr0VFt1JZ/z
cUyiLV6Ptvw66Nz/z2libHgqhBfH0sxyQHnKfG6C8v1gIjeDZGrDUxRWASADdpPM5T7Go+LPfR3c
qQjeCKK28lQxXZtNe24SOOlOJ1okgd+W8dLVJK75+rYM8+OBa7cXT2pLUeWtQGkZ4nEJKLnyREnB
YxHp0ikJojbtJH3ZQEN6n5OZKvM3CiL+00KgiO32C1tblu5yMaTFrzCGwfA23+v8kSxbcScgvF65
oDbutPlsXjxJ5mRiOzWxWSN6CuEgowBW4CRrwsBziw42+sT4GEFt0B8TuO9FsYGzVBzke3unpnbj
GLDZJyEab6nNMSS+2PMPJYw8E9215GGKIAFy52/IV++71GagPOO18xGpNZGbJie4narTHrRetgZz
da5loR4MKs9xtJIA8o64tbrNnE1IbaHyp1qM5IVveXc59na4eJsbH0FtQmqA82y/HQt58VRB4/zg
4JkdO0kg6Prz4bxqhqdFjsF1odsY8n6GR24ngs1HiYEKWIliaCmgexJNbRNPwLuc9pyNR7X7sSwm
DJZEHitSCQqh5qSvw+3OY92NxWpjQHtZChUyYM16KeY87kdTpKoNadJsEb2Tpb6eXVNbuqr2gs7f
GtTHN1F+x1vRqZygbvH76fl/n9GvD17U5oGKZiDo9h6HBMhrITHxoJj369tB0bD6gi7B7ilX9fC8
7lVzmlTXPPyPs+tqjlRXt79IVQKBJF6Bzo6TPS8qTwJJiCAyv/4un6e7++w5rurH8bgxrfiFFejk
1I41zv3+36/wt693VdkStnLjjFm6xA4qqVK+ctW93vToa8SQDZdlqNd+upBggZfTByNuU20GYuqf
28F0G0wTowFRjLNPEPpg021oQfAx/vnkOQZksk7QsIhj8oza52tU3GZGx/5L26ouFThVHnuB6j9c
gIvcS/vjtqG+Ct7rSTU9Nlt3gc/Ja788h2S4cQtfA4Wqaq7HQZbB2SUOAd2yYy55Jzv+y9q7Rn2r
gC1VvRY4ehxgDaKds2iuv942IuE/J9Im/VZGCs8uRg38YV+DAMFvw5Swa3AjCB+GBY22l7GuX5iL
L5rR2wBr7Bo9xUZKWiUSei7H9WMSkc9itO/Ein+JUa6hU7rhc10PhJ4L1o1HsiFyiNpWPriRxjkU
jbZPN439tQIT2mZ1swlFz1DNTJVVD1C3/nzbo68uwh6ldwM3yuCskvq36XU+wlr2ndP4L8vxGkRl
yLLGfJb0DA7MbyrEt9Wr91QU/vbst5//v+yaqJYXdYEhKer2oXNhnMMTl+9uG5SryBbbE+swxIt3
rn3SsoONZtLfJh/ErvFTHp7AplMxPSezfyzYeBzX21So2bXuGuThEictHi0XnUkWvxacvseg+tuA
X91rjY+mNuojvDZDazhpfhKkSbctlGvolGWtLLRk9Myl/VRX7RfZ1O9ENH957WvclJ5DKEB5vDbb
gtOkk4Pv49vyn2vQlIefltDd24iUr41fz7Lm75SO/vbSV5uSujqcqgDjETZ2J4dscXp/08q+xksx
ZUiHyPftJLFfqN3Stb2NQ8auwVLhCsVQrzEc3hSPdWVTzarb8thrpFSxjmUMAzB36enUptItW76V
/XsmK38b7aubbQN/Yh6tCeHCWHwqyQr9tG29Mbm8RkaVZTgz6nV4Tkb1YqbkRdrlthv5Ghk1ym5e
2PS2azr1UM864zW9bWlfw6JcUyb9NGOZqBH53FBoKIYpkd+0Bq9xUVVS2LUA6fjidauPUO9n+WjY
e7nwX2bzGhZVAfJOiQuw4ZPxZar8bmnH20ST2DUiScpNm8ZuFmhDJlPmoh/tvNwWu11DkowOuSKF
CwBJJekwjYdtdjc++m2o/t9dWZtFaTkRcwnhhxSZdOlfbpvJq3tShI1L1IIHg9SBA7bJ3Chvi0uu
oUgxdCbhCj9u5ymeWGq4X8CUhPrIbS9+VbVdSGhVHCTmMo3mPjDVz453t4GoGLu6KIdos0IrU1+w
gQCgooDSshTyYMNts3mNRoLPxTRb2leXyZbbkRfM5Xy6taRzDUdaCtsncW+bizHtd8/an17Mt4n6
s2swUkWUq9xSb2dYkfB0DSeahjq6LWa7xh9tXTOFRrjt7FibR059Zqx8r6zwlzPlGn/USUc9oN31
hTD7ojbQ3nsX35jGhle7k/ZSNk0zhudxWJYqi70RkNs3023e0uwag6QmjcMq8NVFkfg7gd6GoebG
CP9a4WmpCPVBIWp0khU0H9t+2TOdvEenjXE+/Usx5xqCNPe0h5BZ0lzWtm1eZxvRD74Z9cdiStjh
poPgWuhJQiM0khurL9u8fq+Muw81vQn7xa5BSD7sqApAM74kjdP3USvoycbd+M5y/88Q/8vgXAOQ
xBCbZZmr+gJlb5eLxXV71kTrvqjWIAvjaMqKrqEqDfQwfN643A4z1vDrTObhG9oCxbcQ97vK4Wuu
DnYq+eviUeLggS/rAzQqhwwOOoHahTT2eaF7vt/6uM5vGvVrgBMrR2gCYtzPaD7lMOyzqV9seFsy
cY1vWple42iGdqoct9S49mCH9/iA/7l9/m3Q31bq/7tJzRbBsCJomosmOIIzDTR0DmXGURwNYDJt
NsAdJs6o6aD+BtevIyCvpM0IUUs2JUW0622EqmA8GJKHlQxMCkpH/4lVAb2oYtKHsphobiFrchBg
kn8bOykeQFIHkVwnic9VsGJigreopmZR8GUeVbmPw9jf+xDtZaf75QS1wuaiuu69/sVfzr5r0JXq
tTVdj+Hk7pefkwsdbzOQYddgcgGPlLFu+wZhSUSfu2lY0nBIxG29zWtIlx6maUgKvDfMYx74/M3e
CGRm1xpXCXxLkB+AnaR4kYP8+CJJfBt4nF2DuRoLM0kVE3vpFv8xKRV8tdQ7J8ZfJvIayWUFCSuQ
CMtLa2abDtKbA9x7biPLs2solwsXUbdVW1020rH7RTQLBFRudF1h12guwJTiRJWJvnAjHmAmB6hJ
dVsMe43lUnRhroIY1wW4yB+K+M9bEN22BK+hXO0E+1eitb5g6J8EQUVTuOU2S1x4pv3zKHJGNxF8
jPSlQE6Srg7tsbYwtxUgrjFcQKIHgriZnCNDvtsBFR/wZG48oOlVvl0MjqzFNpAzW/XXsGguUXUb
so1dI7d0VUa2aJDKD74390utT51j/OmmW+sau9WTteKlnEpAfvsHWrspNX17Wys1vMZujWqJIYbQ
Fpc6LJd8bGtYJhTbTelOeA3TYnURFfAvQ7cz0GoHDuSaOVffVCsIr1FaNYMjHUE19uIqsuyaUMkU
bLCPt4x5eI3T2oZWbgt20RlVq+EUy23LnQ9vazHDfOGfe2ht5FyNZSDPwxZ19w6NmSN1yW3wNZi5
/fPprlyhNA2bsbOPlilrTMzSsZzITZW88FrQqm58YGcIRJ77ILFZH2z50pW34frCa6mptRB9IPgq
z6RpZGoi8T1uh+EdtMK/X0ThtdhU76HnAxdgedaElQ+KsO+ED92Nq/Eq+5ZDUHWSQjaAl+ajati8
q+LtPfbV27r47/AvvMZLybLykJ5W/AxSZbQXESvPQFB1edOy6bZpvYZNdW1A7FJSfh6WMciDLlw/
JYtPvvzv7fSfpPLfvsFVO5ZtW8doWYmzF30ovkeBEB/nKqFpuengPMBGJOMMonFTp+xTVHvYM/XB
+nEto+l5gNHsrwGGENU+iqHuqaqK7WPTzx9EqOhjhGB1D9Mv+jlwiT1MfEuyEQrRJ1ACYI+9wZv2
f3+Jv6yfa7xOXE5BNHU2PsfMtQ8QK2P3fcMh5XLb4/k/ty30uQGdUTw+R7P61pHmY4AQ9bZHX503
AcGSeYtlzqQK1vMmuyUrePJepP631Xl13tQygVBdt8RnqHM40D47vmUh98GHQE/1TYFBeK1wNYQx
nLWWMUaxolhf5CjXnajK98pyb6vw31bnVWTQUHgb1vCVOmv0xD/YrlhOBodnkXVj0rOMth5iQzwK
39OnfJvSf/t7V4cFmp/j1GxdfJ4TmeTgtK6HkhGbQ9JE72uEKT/fmfe3B/7LH7oGaNFgs4OZ0R8K
qzGYPjaRND5rfR3ksvIua6BCnq4sbj4WLqZRDsfIEBS3oBkxg72HW0HyhrsNfRyduDXRVx0vxSdr
1+QZ0K++SaNuYtiPjgK5sc1o/8GB/i2ofZa0Kh/NQIoDFLjmTxUEVU5j7cs+pUXNLygbfN5MVOya
srEHB0KNr1LJpuCQrPV66BipP1esIXdNxYc5hcmdSZtK91+LEJac7wzOX8bmCntSw2O40p3azvVY
Q0kxqJed0OydYulfZvgaRMb85FG7sPxssKsPECIw+9hFzc5Z337o9Wre6VD9Jx3+txm+OjXKtTdd
nbS4GqBPTE+tmzsYfgAvkc6wINoB41R/hVRB9xPkiHhnw/J3ENooDdxapRqNkENfrvIdWMJfDsj/
QvNEXWAL4IbPfbP96qFKkyqHob1puq4BPaRroP0X+fAcjfz74tKqH9451/8yV9d4HkYKa3iF4J2S
ekmnWvuM0jlOxRbJzNNku23BXUsBwSid60B1IabKsoyo4VCLG/Ha4X+h//qig/SwCM7YS+JPK6Ta
e6hV//jfg/+2J/5tlV0d8eO4Qp5rDKJzXCXJF0GH5cwMd3eREc2uL4pmP7dyPYtIzjcVSMNrRKCn
08on20Vng/LrOcJSzeGpqG5KqcJrLGBQdmu5DS46d0nkz7qug9TrIPn4v0frL/vgGgy4NpzRNWbs
XG9LXae+QURSzDL8/L8fD5rLX65ccXWBoODdVhol43NDeVlEWWmgD+uzhjIShWkCoRP6YZsn3v/S
qGMndWo2s0BpIDQzgZiQlmGsfLpZ3AdtCmu72vCnAs3Fqcp8H4xTCV90LtG225p+DWxGBKuiL8N/
tmA6LGij/inGLimWFG2EcXsw3MbFT4gZWJSmlgLGEUHabs7UD6Geq51fk/BQQEWd7Hra4LJYplEf
HYi+clcyKBwPqvMHtPHvQrsaWBHWMHSe2jqmWeTKOId8I4ThghIXcDKAAnfsiIzvKmgLPgeaqiin
my7ndFS23EMw+U+hyfZLvUnsVONg0o4mw1clFvXQFBV/cckyPnZlTfelgCr6vCln/qz96pu0Wnil
Hj3kM745KSk5lGBpV49i7LE80h7Rn8Mi14aklgXdY6Ktz3tHTQp1FszxaieZ+zF2yHVZd6cDXcKJ
uWtTy6uPrd2iuwTfAYLR5bBkVR+onBNrMmtG9yz8AnvG0Hdi32I6nygkZqaHpFJLk6m4jh+hEa8e
iRL6WI0uIOkILfDMblAEPm52CduPgGPDo710yTdiIOkmRcHDnLnwc1Ro+lNF4R++2ubcGu2/xIks
mhR0JKoz4MdsDgR3nLu273MfDePeyKIHBEQThWKygKCgn/r2S9tXITxAqhIup75MwvE4l1tIHxOy
AIRfTnM3H41XC/vcNW0ndqSp8flxjZe3OnRU22wS3B07zYMTJqDBW9YG4PpTOxcQhmlnVH+GVMOa
z3xRhZyhPNbbZC13ODYbM2SkrmR9F0h8NGW6mbLNF/RJu4JGWQVG1V4VjYOX7jhHI8mHfm6K02Ar
XT7Wy+j3Guv9rlrhgDiytofFnWhFXveapTGSkjqvK+fbZ2FlRfdx3wm6r5OQ8b2Jl8SrvHUbagIp
iuhN+1gLMsr7uFNd+aXuOk4fGxlsA08VIkea1WVtO4s36SpyQPEw3OpM12glnXlUj9U+XPvZ70Gg
LdjrNEx6eyKqhi+MBmy//RZOq53hDNawcO7SEB2LKbXtNNV3YUgrdregMaV/6q0I9F2ge/yqw5jE
z3CxoSRdMRnxvtRxzfes94k8zrXyMqupAsAsbSlcdLKpXxN5r2qRFC8C2Fi/B9IdujyywQfyzTUE
ogTzEg3qGR4QkPMC2JvP+7JrI/0bIl89enlIzqbisWVYiAc5ThM/N01r4PLWOo16Q1uM6HIPMJid
nqwci53xRKGp2xXdJNI+mWf+tWKMtS/dCuvIZxm5GBELldie0Ri07LjVkVj+mLAkE9iWs+4g6L6Q
4sQcpBjyoDSmPA28bIffLPGG3Utq7PBifbLII2OxJp8LF7UIIJteLBKIDMOiTIq5VV/wqXp8art4
oyKdGZH1gxa0Hw+QXOTjLnI9rT9VIlrGexFgXUMW2BGx60K+tl+hrzXGyDSrEusYNhnJobVj0t1v
rBjKY2KM677RTYbufo3avgiyyXd0LFKYdDF+EpAgqH95Zd74JA1YJQcTQJvkWC1uLS4tIJfBkZcJ
InfguJdqOy2Jm+Yis3Hc6HygS/R2uo4Bmb7WG2+GfTt2LbsLcRqt8a7RjTJnq0Gp+jpFnEMBiNcJ
D9O6nlVUpKDSAbZT4axwpwXfyTx7cI+anUpUH59AWI6rl1qtvTiXsJnca1/G1aGa8fsQId8atYMa
qOyeVQiLqio1gQ2bI8KYdXZ5XE+0OoJwqJd6vyUSkuprhYl5IDxCNxAOs6PjB1xE4A0EidbDaW7G
uf4t4PLJj2EDamSqIVxRpL3n3udtb6vg1+YnMh5cAPE6k3ovpjXlZUzyog80cRl1TTe+NqFY6FNd
1baGdTmI0gV0pgLaFShTcZSR+ioxdEu3oMEFlcROqx9g8s7kg+iCYDzXUOZZDpGrhLwLbDDJn6YJ
g+DzAEmjem84G9Q3Fvg5vHci6oYPkcEi/TOFZBKnEu3bjqYtCYPoR0TDwR/ZFhF66etpqdMYiP/u
t5imaS1TNsFg86sIdR/sGw3Y9L0dKF/u5o4hOUqrqZD2dRxGlTzIoOrLlwUbYSrTSMy9+ixXrcje
qDnk+1CsS3GnQSAgWcfWIC5zF0YM0ntkJgfrxy6+zOhi61fUjsKqA3tpCkyfKx0mqLNQXCb0J5zw
qM7xh5y1+dvm6NdMRWgFzWlYh56KXciD2N7pELbfOtugyDH92lzX21dTx2Z4HTZNBNKz1ayfZSNt
+Yk1QIn8HivN1ib3kvAx3nPNUE/aDUMbyDsoyDn/HBpC+/LooIcn5wxc0qE7jmW3sOLYJkqvvx3g
6rgeNBzk1A7Ez8TpVFa8jZeUb07HHMLIYB1H6RC2ZLoLZadVWicqErhtlepbn3I/+DjYARfAZZ+X
rI6b6CDGaRhfeg0hnfgwwxEBcpxrBKTcdzPG3bBmfJzQLHerAhEslWtdTDzldUDkBBqQXg6qkk1v
Dwq8gCLINU8kqc8oz4/sOZwgHjhnbEl492pcPbZtymxQ6nNTvolKZZEOKrellZyFBXdpajeey2mo
RZkl6EnSg6kJvJSgVsdMfILI5GqPgtTB9CemLReHOdSkPZQoPck83rifs144g4Bp0X0Z633QCFVU
aMpMvN5xM23roeKzDV+IKut+t4wy+mM2UQe/hZuYPbYLDFuGMAqzatD1U0iWmKbcBiY6wEW5kJek
COkCI7dYLusx3gJ2llC9XnFfz87ulScT/VwzW2w7nhAVm0MRLpbcrT2Zgp/ShfQIzbbIHCR8as0O
Ctx9PGXJBJe+e13SILxvlhVaQRmqdCHQRN2sngpX1GCNu2nqQIBg64mMvt4V8wi52naEwuEEDYFD
gjDKf0cbF8A1fGXWy5O3ydwlaVkvidhJJoF8SjfYItSnGZElTg1t9JgmUMB8lsBg1V2KqGqO6sNq
hzD8EGx8KcieCdotZ8cbbZ5J0EPCLoLBGMI1bN0AGh2C1Un5oyCs80epxTmQUXMqQwhM4YRNmpe5
TaBO1vWb1bkRayhPcdB7if/ra9KnBFU4/cOuCvyLbSpJeUZkzdm3wePmegTIz4UfVLtRe5oGiQXI
gU9AY2Mw8eAO8CLv8CbSRtt4xPwt9nnjMfxOe6d/oemEy9Co7VjAXvGPEH059uk81VP7xKDLPd6J
tlzNIwMtKX5cFxR3P64MMNwjcIpOl+lUlTHkqSu2rntYMvTN7yQISLyvioHKl2gU4/wxHgH0/qgK
59VPg3dFvGOF2MrvahCwTAdgeCv54+YS04A6WVUDxTejvE5LWmmQK/poxf71/bQEGSq2ek0bGoni
JFHf3pulAeIJ+k2tPoR2Ej3OisWaR8XHgiCirChcLgFr0IkDZGQ3SQkj4phTeDxmVDtPPo5Np9t5
h8aEittjVZnqkAiJq3oQSiZl5pOaMARnWyx+KUiwsS7jUzvTBz7NsT6FyxY3aQid68PmIvNRGFfA
ZNkK5HH7xjSRlulMR+ruI+nrtkytka57CJWtmiAdOcx/cT8TH/aYOFKY7R6KpeXYZKZd1xQ/JwBX
VXE5Pve4IHD8AUir/JIWva5ztvql/RWrlTzzLUL27iCzd6kRpg8bTrTQb6jXRaT4hFUL/VMBWcv5
1EsE0SmoZCt9CIZOohmrkjgp7jjMACOEDFMjxx0eXB0thAyWT6Vok3m575Kg7Z7mRq0ir8aqos8I
FDQFldKuQ7EnjnLxYUwQrexrz0f57JO2nA/9KNRdJAfQhpO4OCDkKiyoJ9Qm7gAINgseN4SBbteG
WFfNzoNj3HenKW7itkNE/VbfK4OJ3OvRdNOffjaD+DFDauHLzEP5G8kpDrN9sjoIDU+hWsa8hdTo
rxUWTZlGK3E/9NCaUZmXqojqDIcPm9admUHg6Q7RiEpGdypg6NztkOAnVubRyNz8qWzLYh5ydGSH
rshJtEkGJ4DRh+NTnPRz+AQzW/Kiu1kCLlMgM5AZW2tt5RdkxtATGW0LD0E4UMGbVmSGeE6gGoXS
ahTnZVQPEO8akuG+XBh97RnvyjZbDDGhysOpJYFInQET4FsXRGTOCVvq0cJyfFbTfbfMBoYtg0Ik
O6LdRatw1y+Far9L3cp5Z7Ej4g8SX2I8J52Y4ypDy2fITdeuYxr1sqlSR/ibdV0NVdwQ6W5bTa8N
GBrBYZVvjjyZWIgnX3DIOu6RuxK77rYStihzmvhwieK0ayGseOC2jMv7dfGMHWe4kI4wLoekSpkO
hUO7pd/QmYg/wt3H+jsHWcwwgQrgiJtUUZYKbxtcj6gRnHn15loaQZlxJ+cxzmtWsDD3li4vepbk
IMIweqzHlZCcLPg3au/sdwdWdbsfTGfusVb4JZI2QRNqWEk2TC07ObZOn8zCm4+jiO2SQs8sQbqG
QuaQBugWrSmFXFCTfOJRtKANUbe/menZjNI6ICedX7Z0KRL+LCekWAhJIEMXIC08aJy0gKJtESh8
s33qmccJv6iNnXXj/AW7qw+yBlY6KHQn28lCWiPjwzYg+p6nY0wHBCiLh9H3Kl0GFLU/mHYq8iDe
+mPPYnUQhZrPRuOAksHUZK1r4vsgQMEmKFuDgA3AOBkpD/X7je5E74MUmnw2kyGbM3geNodpitqX
fupxaEFZLDdKBDtoUXGECLVImZy/+iGxSMsiBE4DUu6t6umuNDgzxlBsmR34nMoGVqYrQ8EDZuRf
WDkNWHIAvuOgUDuC+kmIMSBqP1jqkTE1w2kly0+Yc3JEjQUSNifwPrqxSxYsvcL4F2HQZ84O3QXu
9iGygGj803U8+NxWOD4iTaaXqunnrIs8f4J9m/lsmFEnmC2qs5FdjfOk61NGOp45ExS7VTOotwTc
FTugxhE2lUlHjmAaj/naGYR0MMQYvo+rkWmrAJ82wIl8AmsM3SbOir2EafHRtggCAbxbtiiLiVMQ
7UPavAJ7dADGi19C+Ee0aYyj4VA0E4e/LmNDuVtUJB3kq+LlR9R5BMBIbqOnzjYa6b9Y2t8AT9Jj
H5H1QwTi56EpxGRBedgwaIWO88J0dFexrv1ZT7O8jJz3H4ulDbHyQ41mCkclucRi2HdxAd1t00bH
2BRuB7FsLHTv6mOl/bplazLMe0c6W6a0U+XvonL60SSs+NbMlqfhRJzbsTJovlS1Wta9dabnZ00b
u9du4GMeRFX9MS6K9rmNqvhVBa3+Az83AmspjsAskfLz1hDC7kHDLR8nX6vTHJYJSRcoT+QgpiMG
WO3YHDSaQK8DzsHuyDeUuXJTFupgYgXHw6itaJltWq1HlQRFuWsoIXMqqDVB3jZNjOJWP60epSMz
1rnF9bVTm1qDl94tuJdTXa30EkRiG76E8QDJ/SSeiN5VyGP6HbL1KEr7LSkf2CaKexZwO8K8VVQo
Irn1J6Wre+HAG9xzArE3zB1SRKSVE+oJuCfJbhDSf4SKGjQ+/Qirkz9KG9tmFDHUQ2HChQNSOsBK
XNitfyoChJjDZsbzOoZw/KoD2RUP6Ia19mFD+Fvs7BAVj9DlrJN8K+Dhi7dHfJFJXPWvnC/iBJxf
sw858X/UQP2GmueszsD2liKtEavGGVaHKbKKwr0sCwE6f2RixjaapzcjMxHEEAGoPJnjfbjEwqde
JAmEYXvROvA4DetOlcDtt3OOdW+i5K1GBOni5zLsen5P/CB/UaHrMuOwtkKOBxPjF9pGAqsYHQC6
AyAGYYrArDa7Sq7Dd8R4/VfYvqnfTedZnAaSFGHG5wihcTnWE9DgC7LMbJ2SacRm6ek33czjAw6F
4NV35fzboy33NEuQB1NKLdYkmbfhfp4Tfp7LovzJqyH+gZBNfK2pE8jJinoilxXq539KhfgtDdto
NXmBOOlh2vpyy6KFJZeg6EMc5kMffrADoreUYv2X6TZVxSVEBFJmnanDfq+Wfqv3RR9NzYkHjTt3
wVsJROCPJSkeUQ+IOx2KGlVXVhkDE0J8hUt3VOVFPAJoHIJkEGfjDA/ChyGmFlqhogUh7alfBE42
GeH8e9q2UZFvC6K6c+yXYWchbsfzjS6ouEL7yCY7ADyGj5BJhIo+jRYZw4pGFcnzhl7rERUP5GY4
FKlCYUhWzV03UNplol4JkLkdzouy6Xj4tSza5HELl+ZTE0BVLN/EoHwWwfHH50On+m3EdbD03ceK
R9vPYYAQ20JlH+3I6uoPDDbk30njxKHxctCXsWMI/+Iusv1xnbX+wjfNppwin32eIab522y2skdA
7LYx8wtKe3vuQNsEIaJyLxXg0I8gX9UPrQBrZ6fipvQ71Cz4lNXIQYpzgar8eMQnknMIiFF9gAoC
N3nEfYN5ororskVS3+44B8Y4K6kokXMA8zHkg4/YczKvmFA8u+xSUdbbI3XALqcNLguYebAFV1YD
scz6MhdmftVx3/u0Wyv0M3gXyQON/IACyroiCI/6GSjkSdtZoDhblHkJR+Ztp9lSNGe9VdipFlCN
8IRxK/guZoM56QQdvrkeAnoKMXSvZJxReq8QmNwnDMyEvaJtv56EtU10qpNIfPNjM9knwTUs2Ee7
1dgQuNl4d0LxoLQ7L1AgO25kmXgWjU5eVLmsYJbApwRlbT5NwSNir3VAljANZSanhWqkcGaac9Wx
t/s3VE2SHIuhsF8jTcv2ORmCkjyLNQjXDAF6sxxI30Kj3a4ieBqn2rzaYUMiHesV5UxIulj0VoIo
+FmVAhEIZH76YhcMLUDY1Hs23kc0igfktBNdct1p8dgaMv3ww6ih0GWbZIcMD4UVUHvaCkZQZfUa
T4blYhtNiKW+TmVec0QGHolZs5fJXB486JYitTomP7dJiHtUJCQ/rKxbT2/GleYnaz39MPnCIRfy
yt21/8fReSzHjWth+IlYxQSGLUMHSa08ctiw5EQwgmAGn/5+ujtX2TO2ukngnD/aS6efQ+nZVyDI
Z9lu3pNDGeUdyXB8ssoovJWjW4SAjX0nvXM/7UhW+2opfwxxa+rEdrz12gVz7adutZfnwyXB/vtM
IUFu62lkwFfbw+DXPlv6tvc6E7so7bMVOsM3PUxunDH1jgrtulqGszZrw5W8sJglQ+NGuQKojJNO
ORSErL4cbq4T1XMyMVl2ie9186vsCXzgdNm6s3La44/0FljhVhLw+ji46zjncYzd905ojn5Q3ojp
QlT99JUZZDGs2a4mcCSZReXLbA8Otea0y8f1pQnsKEhBR73uRBxTt2W9HVRxupUY+YNpC+A8TGBU
ElQgNoljb5yont/HjyKy9tTyo+r37jXNyo5R2euptkcV0gq5M/PYpjwFbh/XiRXThcLmQAhfUkrV
zdejH4zOemVklLQtHYZZp5GwEeE+NNdw8YIncGuR1a1XPkaFz3PiVuFHMLvgVRFrbkL0RdF9lNZM
LnKzxy2jXh3/v5bLr5tMQDd+/SiIQJItXkqdbI43n72+P+ykm7w234XofhSLnE/utrD0y6mDZ1nj
8XUZlfkp7EXgrO8gENJtZOTOl6riJHAjEdnPknT59/Y4GjK4iqF5tRrqmB51RJ0My/pG0IeCmjC5
KKwddBSJ8nBW1Cx7KS9e2CfTQHp8ApVmXlWpzZKB6XMPuAv4XzIP9jBf7bINP8tYNv2/wxu2OmG9
BC2wB8WH1NOTe1+MXu2mfe/36HELaR3POiiL5jwqa9VMyHP8gFZ/fi4WwtPyoK+iKKsQrc3ZHsbN
kY6FLl93nB1rashYeIdZG/8OTmgoTamd+iJapz5zz3Mzlbq768DFMDmxNX4xC6t8qjaeKcLqTCvu
pd7kdGeqMBgg1MAZLksZd3ve1qb91IDdeamK6vvmB+sPImHNH8NicwcAz1Pnmf2d9Ca8gi1mnejU
FNp/Wlhtrrxa1ZYZz9dt2o8Ylthu2tAjusizpndH+XNwDjrVDtcvibxJIQe2x95HF3APgdXHP81+
OLBxI9M3B8bY/R2G0fweD+mWp81enfe6hB0rK+1cUS4E98vmFBSMDmI670dRMaFDxvydg5GnoIx2
B/mMN4QQw4Fm7y1oahUBwN+KV+Q92rYntxB+1gm/WS8MCCqpXSOZKfT8J1b7tN5oW+3dvA/K476h
oe0aaW98mLdOnKUdUT4MLEcOWmRoU8qo9N2vii8agJQc3WsXTlxwTHPVlHS7PwI7AJdS4ohR4oy8
3v0jNaRKslqQM3NVr/9W/D8VR/3aJKqsig/T6j3k8ZpClZXWuHLwbHq+CWuv/nV+zBAsSHwXdCn4
sCxhWW23Ye61uqg5at52S0JyYhr7b+dq4zKejgoAc/chgnXU3xVd7LwayyMhUVp2vg6uyh0brqzm
jOGg85gMvUiGuefa5d0xLP1p8/jrHXuWp6lSYH5xwyXTQfIkfRjJE7DwUCZbuFY6W0DWXpsmZhMj
ZhPqfbSL21ApRt612efPtW50VoxCcKtYbZcMkXucioqEPzirskjVGruXLezXj3BfljadR84QHCfh
bevC4eKZovfhdqrgiQ0MvhvSLO1bMQICFKX3Y2qr9TR3ZfmCciDK5iDcsn0Q27fFmkzmQjm/6tBq
nzrqUlJgTnWRYWF98LYjF7XJ0E9Aw5zzUox2vk0ACNyF5bn1loY3qCpYSyIK0dKuq3gvu6NnhDP4
PYJNfjqOxn4pIsXqVi2PY4feMyqYe1MHauviTmAA9lhWt8Xr3QRIdGflnAlL3Ed/TGi4InM59r3M
dPp1RRWSuR5WKrGH4tKpYr/4DmRs3xvzwLJhTjtvxPMqrOqCJElc21ZFp9nqjjOpI+3D3Io473X9
u8fKlvKfYsoaxqJKFtVQtWpUZTIV7/FzUwv7Y6uUm0FM2k+Auu3jUHXObx52Lzt8qVLPW4si25UN
y1G6ZaI8aSdFfxR50az1p1eCGXqdXV6mypFZWB4Tp7hlfSI3KwA0q0/HBN052IrotEbosXgu/D8h
1sNF5ocHPJjVlGS/yLCaTyDS0KLFvmfeGC7ncDahlVTF+ouoPaCZejmuWvl/GLj/6nILXrHpUpBM
rMDjXsNZbeD073Zph2doXzerrD2+RvFoPU6b/gwGNeSNlrArZRHT8Am1xwpSc1vWof8OsjCdAa2a
O1tgWkN0qLnITf3X9Wd1AYcMXtpxfp/Ctvpo7YBatoUZAIfSVBDP1jT3JKdGr05bhdkxgkecrCDu
kkaOsZsoZbrEzKGdFb3zG1/ZxOe5iuyIxw79ijRBmPe4dscUJUufxJtYt1SinpBc9lgXMt0ga9L7
XD7vVvXDrUkR+5Rb7+0khYZ2H/h5SbdjushDdt55mxcuwiaw4GOetant8qFbJtezTibAWgUqNc/l
IXgBOrF+W4947y+MbWZ/A0qtFWSVGf34Pzmt/m/RGCWfbLmHOldOZMZ/lfGOuUn2rRFDJiep3dsR
E6f8GVXaVnd83NjVhYuSAJp7HOSTS1S893CMXZP55dq534znHPrObZwOutGbN6lfYyxlI9fe6nBL
2q12tv/iZZT6b2RtgTZJP1TOiJyX32DaIPByS0ifXmS6+HUJpmuc+Ocyt8zQfhiVj9CfjZOPa1/8
341Y5244z+9yW6ou2aZotPJi1bVJAXVDRkt/RjrOjUjJLBrSQbny0+jGh/MqLD9oH6uy0B8slAMz
Ustx06VVe5gPm2zw8SWuok2eCLZy7DRu9XADVHGRMzRFM/xbUe/170MtTP/qEPg/pnHFxb/T/rGN
dVLxstYPahp0l8YOCZvsndBYfsK13PdP/TwffNLlAVqbNAbAOm03Z4Rq8HwkM3dx7PnmAb9nUX6f
LWWiJ6Ytu/owmziG5Fj8Yfuoes3D5LpQT07umc39AfEaOc8NIEv5TxL/928JUWITMYdQvcpWYUds
swqE4arGxfFSkKbDemb0mct8iqT1Hm88JeTf+o3UNsKEKmwKarOFoDzbWqqeRre5AjeexUqycxrJ
aNnfZgk5k1UTqicrCRVCX7S0at47aF+7sJd/zjag4Mvh85QvHvZWUhc0BQXSB+79eczpLraW742w
+u1vDKQUuQTnjTtN3e5Cluueaq51MGWupwryb9qH8ptXWzDi5IN4kXXtBjlFXVYPyM3uWhfJUQMZ
T9nALTaicy7ofUZznUZr6lQWTl3UPk77uMfnUNbRoK/UR5WMRZTuHj/9denKdLM93LJlv8A0ZV1H
Cu5/EmjLe9mpRBh0tk/hEhSEZVC/Tm6qc4hHijziBdLaRaFh+3xCayIKBANDYlnl/jA5Xuh19+yk
bLtJ7xKW9kcYIcR08tagOpD/SAVkcY+xt1Tjaa9WMLDFLoP2puHD2t8QWP3xbeLAEv9qZ7YhJoOq
3Sr7YmMD9TtmhRCtHNxWw8+ezW5XRU5+OEHfszvJ2ZpJMD0cC7Th3PFllu2V84QFjpo75R7f7XIN
h8yb5qhqXiELzKYeI9sNOzsjfUQfvwKnDPbPNlxkA8NtgvbXDiKw6FPleaU8DVG16yGdXHHoW3lA
YJM3HeAq3oEHuvPx5Z1/HQ66BiHg11mn8KElmxFxkjam0Bp/QkJyovsPvL8Jc96+NlqzaDbjDVV6
298cwWqmTtylYUTz7yLYT4zHOcEn3bXDL17m2r/Zs1vpRG/e5p+cepa8/Q0VrenqTBH5I3P8r5R2
9bky/+wzPJcU0ZTSnBl35Xnwy6N9LYKJ6/qwqbHiMAnqK+RWJ96aqFqKp81u1/lmDahT7wiqoD2t
mMYuQ7MucprmBbPJqqM/Mq6bONm9WvOKlowVjIx6tj46zmyV8/O3S14hjW7xz0de7gT2sTwWPoDO
pyiPYPiJ4sv9o739iIAWIFCBtbfIfxCQ1OwcUBveuQhGBFeOitvXaKhiGsT2wA6CbG1tdyROwG+/
S0Q2y1PMemFSiNFQ36SievhkPN7ffIghgRNv2Y/BTbVEUvyxqXnz8tix9ylhfziejFLboZIVg8eR
1jX467OF6kWcoJgpZqk9IwwDya7vtauXPS2KtpAXMuMkrKQ09OXw8uDmVO7+qktr87/ZW2Dvnzb1
1k5mFhZywNHVfOyus44Mx8Q2/lidWJ3nDcWaVwbhNfZmYD+BtjR1m5aCn8i1eZUAMmpe9CoEwY5p
0Uhj7rEjUwoVQCIOGRKhzwPgvheNACUaWqslgb5unyc/0sHTxLTL0CLnZYctrLu7pqnC4xrgcb8i
Xw9+i3i3ZY5gw/7uBuH6VvLNEj24aUNmaxegBg3t8XVEIxD+CcDmfxUFb8tlb/qtz8hBABkMbUbB
awj77t8hSlhf/Mo3gPxdH1G2JOz1cWusurmvG6mYNrxu+fSH2Nsf7T0efsLl7X+6IuyaNB4K6Sdq
8X1YvRKfiIV6Nd3iYo3Seq1lx8VBkwowI79cmIShmviyyqQ6rPY2tFGQ92W3nkUU7jVZ8xswhP31
Iis3hg0xw/hTbvOB5wo6nbtiHcoQKNRtPtxpVX9biMI/JCCr4+3whf5pLGwHLzVVSMX9ODYWGcPG
WuNTAUM+5ggnjyGL+6ljMNk82T8KQxxa2leAKCc8X7X1GqDvwOx1NOMvKLkvnfEXXD8l+64WEP1d
DlB2TWmPBUxMWXvpVi0o4ITxYkWFV+Q1XKjCLp4AcPF6Jehdm+kf3VKlk0ukLAxbdrzETdYL0zln
axgt97utCqU/eKvC7cv/AMC1aQpEn2Jg7DHhi+vCv1M8NL8qR2mHZ+hY5IkcziG4R0PGVV1N+L6C
uNFheliOe0GgVE94KwEW5kkNL2vgasDNEalC9Vy6yi9fAaqCVyDYpvwTTOwU9lKv3xXZjS9YTPc+
dQLOByxTy8TZby2t9Vpydr34xV6GaRiuIsqDXTbITkNt+dX91g5e+63xh57jspSWuGwsYOEljoCM
TmEAPHJC4VUtWWlvSFQ6E+HdEaVG4xO2tW3eNL+7jwl9Mz7nUuj3kZly2geI2/DKUrvv3Q64u59b
tzu8rMG491zOtAjkPqoknquj27pUUlILPLu5McKVhGD4UD1J08jiZyvaWjwACK1FlAZDEfkJINKh
c08HobhFJaPxE91U47VTledDQo+ac2mp4+lujsz2PkyHpmxYuJNMYt3BOigoznNnlvIadpz0l9Us
00YZIwI+CA7OofvBTLSfIx+1mzfFrYSovfcNP145AFR+F8ei/HyLB59/xrqtY7YdFT9FUJGAGixF
/xbvW/hux0H8zdU8ySl1brb1z+yD5NeiL/66szf+jOw1VKcdBmtNZDHsZd4eQMepxVgW/HY5+yyZ
LDEpI6/RFogjXzs56Q8fZ791ask2Kf70jBnht2MQ68tYuu29xajzOg2RRoPSjHxfbSEMHMOyhIlt
+fUEcByaiad+aXstn33dt/bT6qBDfWiL2XoYOhQt3Jy9eRwomXdRZ9dN86hnCaeC8hPDVSfbNheh
JckBaOdDwJY7pffeo5u7KmcOyue+G2W6sSUkA8v0mmwiiC9jj75z7S39nfqgKU7a0pVPg0P0zrPg
VJTZUc/qB5tJiQBA+0xdChCnvzVdO9I5RqNRi26pqWVqR/7OIda7MbEw3u5yRkXy+BEYR6XIlqfl
Sy7vPrfTZJcv3VqP6i2i0LO+jrLVX7M/r0pyGA94yayeeN2DuUJ77SLwO0um/25OwsIcaF/AKt/Y
SGKV69FdH323F7dyKPQ1Zl5AaBFbrveKomX3M5atafo4Whd5ZbgFXfteDYXd51W5o9hx4GBABLdi
Kh9t2hGeGsfuBQxDMzWnciu66NIPq6geEPHVAMSrnot/UAr1/EPH7aDeCzqiRcIgNfMNHN10KwBk
/RMa+DkCelwXfnOalT6PCOUlFxEc0yVW87pdW5S9r/XiNu5pcIeizaCGTfnsHAVUt7QQYz52kGEE
zHQOu3niKdfeXg9r4bEfmnKecUlw84kbBDc/RF+5CBVr3iqc8mIKkr44Zn3ziMzvLn5zyAOCZUbL
CUZ+nCdldacWjc9VbxwVSY3fYk0ZVOfHic7ruzEikqdXqnyJw0ndzatLu25sBaiBLIN6aoRrEbmg
3fRWwn+larFo0tRj4XnfmShMkIaWr7yrf4jjXz3wFr1vR1vd2t3VPycsJ2VSKxrOUtb1zdzmOQ7Q
V3B1zClELMq/wdhOfb/ADm15p63pupFyyD9Tq/BZFF9RuNbiLY+mHapfYxwM53CfbfxJs7fbFyT8
YjzF2xGSLngwJKf9F8pzB5ZZgOMU8jj7FJquf6NYiDD1183p06Wa+ysyhPFVK8uXzJvGN3EmFFdX
igxsk8/rcqBC4E2cWdVC+x/SiS7tZuU2OX+59qEbdODde9oa4uvU6bHNsIPRb1c07OC/eaqXn+Vh
5hydF3YEPyjUmA9Ox27vt527ntxyGhgIrf1J6DU61WXdmHRdFiLBZofDKlPans/6mNQfJqwmX0Wz
PQjf6U44JpdsZ7x7WEpwTYXn4OcWq5oHcmgIQjoGlfnT3D07dTF057YyzRPUSHeRzt49aavycs4y
F85xN+tpZBZK6viIL2KozTOf8rzkjITtgJoksOeUDRd1qTeUp6WEL3gZuGxGvkCqnt/snY4gPx6W
DEkFYa57uSBW9ccYRbdqwhFY8Ni4L6bJhxNR480XR/lDDP7u/lePzuz45w0Xkft9HOuK0oF6ax/c
yRZvrgyibwXKtzLFY1SsSWRBEoeYV6dk7Gr374466kjseN1uUqjt0noNIpjugKDtxy/YgPT0ewLU
o5LPfvR+e6oJ1AlyFe8A9HbbpWtPNP21PNBPdI5bDhe7ELHHSOCSWGWX/gPfGGPAPhYIqxpHk2ts
+48Fzce8XoNvzSeBO+dpl2a+8T/5jmyLYBOCCI43vIeYWptobJy0kIt9OQRqo7xsG0ulI3q5g1Qm
7oromMpruVl7MrB+XZCPT2+qGb0CTClYzWsY9QANB8l8KmnG0DKPCGbRhTP0Wf8Fqwcdvo3r111/
qLPjimg+Q3SZPe+5Eu2/tr18tTSgdGpSgAk0hpvntUc2s+eaJ3BhxGocLFoMuXU43UbatMNdcWDs
Uefd7n0r07Cj8hVyid6kxYpZLBLIPc1gWduxFd8VtSxGxD4t21GM4kjch/MCQ2q4oC8cgwiz5n4o
WDA3tT6zz/uf8TAFWI78Ve4UR/vlR4C47c4OLf0sSPPyc/8YlfPIuLkUmaOQyH+zq8YCFrStKA+3
nWmZhza6aJ4J5jYGbJkK1kdoMYe+sAxT12KSLgzU+Hz0mywA83ZHg3xPZYGiA23tG5PKuvDfViWW
jFb178SUhtbdNrDx5VPs6P98X+0ZB0r5Tn8Eoy3BehXjd3XEARVtUFIyQafNQQCcyCluQwI8ko7H
0AUrv+Z8x86nzWKSy8UX4sRViVahRDYE59UwSSfj1qA82QwK29vKwBqk3Kb79EAYva5PDiIQ8+ws
enIgTai/OX2dw/TeQEvaUSJaVAwpXhJH5uVRB8HztuMNT4Zg2IOnuBPh8YSQT25XdBFfzQU2b9Wt
5lXt7tZQTP7FlEPF7mfvm3+OVeHIvy6WA/ICrQqoQ0K4bondFNGPWEV+8EzL7uTzUlvSxWmk2jIL
pE1l3bIXTZDOHAp9Og4zNpNEo33TL2bm7uXoL1tEWClpjXafTlwgkBFLMaPmTI2H2PYhXvQoENEC
Zlv/8WdX/7pjO6YY14seulGp4uaMXlvkW7+XH97Sy0/sYcDdvhRbmI2jEcC3se9HywdsrN/fd1sI
6QNMiWwTOatGl+3p6TTYbNDJimXKBVdFA5A1qOMBi6bpPxfTznDqprCyz30Urn9LOcQnGRzTcJk9
9oWEYlRzClF9lrAzy/Ko1bx0p2M10fjaH0tjIXqpSooiCjmMMl/jvvltQeJPj70soyn3/dicg9Da
TLKpVlpJ/eUyYF7uypMpqgrzCGblNNiD6A86M/9VF0P1IFUIAxpJl8022irEJscxm9PIKLGnuGTs
4R3elo/eKkMbFJ645zop29UrLosauuLRsw77y+059x6Cchu12M0noLD/obapeur7PjSUBAfiXQzU
j7Kj21H94Apck7dtgpz4WzYhPq+jl+Hb+CXjgqCDQ77zQbS7k1uLAzrK2o8bD5LDJN1sx2WaRPHc
Hkgr3zoW9mefSxcNAb66rBDTfjy4ddWEpwia+yfDFpl6bs8pWiXonI9v9iziES/giPI6Mt4K1L9U
ftK4h+DBUfrHFOs+G2F+/galbRhVyLO7WOsmv8lt6t95myEuReFeFlje37oSx9u+i+DB7afjl6nq
9kQmUv0Q2mFAowaaBtgHBIbVWP8m6GLo09YVBtO12B8shHlTuox6h/Urx+8dhgZW02EJHzucodwQ
3J2O1Xc4Exsg8tCdhx9xFVjQae3xgYhxfzpgH6+tFeId7Iq4ymui7O+tXVWPTruyGR+FBfoVaqJx
WMXcEIV5uZy0465npCPzT3Rl1tMmKxh2lJj3GEt1nGNo6/8gjbJTHDOg9dNmvUdyG1+VGfZPUrn3
BwezyvMe7ncND9KZWUm/2avm7rLDcTkjPi/vonUcr8pyUVdbDTMm8V927oj1N7gEbpxJ1g+ownCB
ubtDeUssfiAcHkjx2eOvi7FDlEP7q7oepbAv7tabW8gpjOCkU99UiajW4hv5LddK/evbADPLPlvv
O6qhV/IMtodm3ZerjwjkwfPq8U9jPOsK2Ldd+V+x2TBWy1sUNPFDuX4p+qbCaVESOtg8R+bidh3G
jJMsAnh0+hIyzDY5nCksJIJsATy2o7mJa7hJXPS4YMolGF7JZNpXJGCRpRNWz+7FdRE4is3qc3eu
tu/d2gG5Am7JODPrKC+T3GfWYjLr07Fm6Vs9v8qGsHO5Um1EpxTTTmTeCBDutGzpaQfyGhc0gKEu
b5OlkSKMhWpTu3E+pya0rhRUFHdFtIc/dsv3AOUicYMDmX+Z2loQbdj1x+aEsC7L5j5AsGxXaz2W
e4wwfVbEY5SXBDTeDYtVZVZN7Tm0KEGskb0nM5Pvl/vQOXssr2SR7icMUp8h+trLfMTrhWXW+4z0
MN9Ph1AvgIagr97ErE1yXWoN4dpCt9g+R15lndHGNlgT7Pi0Y8Ik0LM4fh8OTrMaM/i3YO7HXyUO
mheocQzPG0TlYLXrmZK2mRuSxwj18bhkAFjulJo+PD54fhGtaBX9V8BvNZm72uU/0/RWDhHAzgpn
/ejwzkHeLoU9M5Xa/W0yjXBS4fnOW2kJvUPN292dKZuBRbre3RtbmH03QHhy2RDHjIgZ1obSBXrn
wdnFhzTjnDZ6KauEijEs0tHGBOEeU9a4CyIgUBXzNlvLEJ38xrTfosAHhQWCy9mH0MqF61Q/owkD
1QEosK5miLuL8uAAqenDOMQZ3SdM/k2G5275HfRB9R1/xgTpEW4EjfnNbShl9xpPJlAvnY+LQMqh
+z719NQmsSGtJZGzH7Hg4IvGUdeiKHLn5nFoPCRcCMvOrajru6UrgL1pvt/hAHdzVw2+fY9Dezxb
cC9dzuzbvO8Mhej/cLlhxrBaGEaKyIQ7eN861fzso0DjO54XLsIlqGkFICQFYjLw3NTZEFdfajMi
0pWLCwONaztjqlizAEwB+dDSnf3aiE8XUd7jhJckc6Oem5avNeAW2ViBJNxEylTcpDxl+4eNyGxJ
oMbw3wW0Al2FvSMm1xMburT66rShhsDXDt8Q3uGH9F7UFowv5XGYi3a6ZoVdlguqJu38o4K3u8Oi
bqPn7yx0h7HPAoYoS8d/NchqmZgv61/qeNTRuv7S3EjAmcN7yN1aYM1nNbwgUTeom9AW1QnDTl8k
G6a0C6NgdNNyLHLAYOQk4+ClHSUBv/C1QSSjBJtze9LzfwUeTOcbUQbxy+4YhBqlrpa2TgJvwwOI
GWU5hd3sXLsRqQ6Wz+Vk1hLPl9RdsaSrPYd3ui1J5VOx6vc7h2wCRrPZ6c/ztDuk49rD8SwChvYm
HtY1C4P2+FYEskg7SS7ruSGO52epgukvQ4W4GFaq0yFaO8c+o97dI3LeD291/g4K94pYooJ76YDy
27y2/CnH1ZXIe1z/QXb9nJMGi8wYPEc0CfmH/KXlRhxsXFnOHYqLDRxytn7OMWY8AOaw+U9vnX/t
5sr6BGLw+4vBAX2PuYyQ2Karrputx5sorR6RZ6z0Q2OtPBt0CD1Kw88WC2Zb3iggKVJqJR6maYsT
0K/9nx9UU47jQPBvssX7RvJ+lUB5w8uh3n0jA6y42YhXHktv6M/AbQN+JG1OM/CBn1jlOsic+D31
tirNsla3QDGy9tSjqXr1q6+s/tmKA+siQn28a9Rf+D8Bo450jpehxutSg1QGQXxyl6Z9OY7NO1Gy
LQAfVPw3wJ9EgMFhf4mxKQqeSTGiGnWOn70xqh6awmwfX5KYRxdm/78w9NfvrWT6wE91/BmdCbH4
vLI7JCyw7R0Qmkm9cZnuLPT/L18mQ2wvFg9FqmN7ve1Th5lmdo/f0va81xCp9bXwou65do/llzd6
m4d5I2gUpz1UA0pfUFZi1hpIAJa6CQuEw0Hoh0tx8vdifUTJR8ghsWp9nfpTDZiNOCJAGVVG6r9o
xTObc9OYp3Je6j6f6BN8C2yuiQZ/66998ZEW7TFE9KONF6v+rAoHnskxqMRjsJN/NkrD3B+X9vhb
EUV2mmZ/iZ6i1UFXNFvt8jCW+C7uaE6yP6YJmCqXwtZIAOchrK+yRGOiAIXLucmKqUaDU9VE451x
XkfdG1ErsZNPRqobSmHrP3cAhD7Fva/lSYUw2GmD3rE8YSYSfwZZBOpsNE6ZREbc34QhuZ390ThB
4JxHutnc1LR8CQRqrOsxBqj+elzZ+2IVd5NZ91inA9cAuXVGOIVJWfg2/YDKzlAXGI/YqYCT6lXg
+ZGLYQfFJH3yF8urwQOQ2eyncZ7F1QqNdn92EPLp3BbO+solGM7v2xaV8nood/NfiFY79qTRFm8u
y5x3H5r/y8unwjwh/Yrah66wWtLcGKTr6VFMut4p+0WMcSKpA0n4PlZ+lFmDXi118kSgM0ToLiU6
Y2gPA3+0VGaxMyNDe/uBOP+LLmTTtbAcDSoi1oSQmIeW/D3vo4dPit/hZhvFydg25tsgQWCr2xBM
HpqGXm9ObndECZrzdBj2XWjZRtxIS3G3FHRHo42MEeWvr//j7MyW40aybPsrZfmOajgmd1zrqoeY
EAzOk0TxBcaUKMzzjK+/C6rq22KQRd5kWlqmySgGAoM73M/Ze+2xTdgGJQ7il8zXrXJcx7bV1Oe0
0ZTCbZLZdYCOTKK+W9lBXs+nZeea+c1co7y71B0d8fcau+FcX5mKfTsqZ9t27/Rcr9vV2FvdeEa1
bXqyCxcxyAqfTLcrQvqc7qr2kbOxoJa20686ZELF3nLEsDEajYZ9Njfi1sU1f+6MCn8GBcLRxCJR
yHuKkerrlM2OR7OwOphsHq7r0bwOjTHey5zKWVdLa11J2/qzovn9GOBgOXSVZW0nS1IWKFFV0Wqf
xDfWeRrvDqg1EdbLK5EJFpI2akNb1chRhtbJtnaWsH42Yr9DRuSm51NYqjteEa5nlS1vqSjhRWyo
xouwCjxAn2H2qGyWPavMpqIkgXEcLGMcfyJtEOu4XmQyjZ8btL+d9CrvVXg1l5ok0KHId06Kvr1p
4tSmmOqn1gZZknE1zdp0TiUwQaK7+A1XxME332pfIhUKSzt8MpsSO3gejbt5bKdNkDnll7HS0f9b
/fgVhUx97xgavZzUzsWjW5nD3jUH9DgsfLo7iIcNHvmoHte0U0aejWIYLpaI3YfCxFm4ZkPp7sxE
TadR1aVfrLQcHhNwRfU6ZFSY9Ng51AzL4GyWNRJEkWVfWkbcxiYkjljtpJPXuFTFdy0ivAe3pXU3
G1F2nugyDlZZOXZfswndN2adwrPZZZ8p9q37pkIsvZrw+DyU5JLdVMNUo/5n37yzmA7Y1WEQJ5c3
DO90rQge83AQrNqbztokgija1DXFbak3vbYdFdzKOtAw4ORmdZlECZPNBN3gmzXGeG8iZw5uK9VU
B4Th86bPR+eHoelUDiidqTXvD+TaVWMeBhpr540wjAfTSserXKJQ1rENndWGbQj0662PaAV/xnVQ
Y1DFDxlvO6eOwa4YwZXLV7xo5Nz8xHuJ49KEg1FPGFqxnSp0DG0QnDolyLiVGWrjA6WG+qKl1EUZ
OO828C7iLy2GifugF84GeuG0c4Igw2CO0lZf1cqu622qGU62wQraXETwb5wL/Ajky1Booyx/Ywyt
8RgPul2gNkA2tME6X+u7SSvmtUhGcZcl9AMHnpNxp0uz7L/RQXXE3kCQVO6AS7QPlPceMN6h+TSx
HVYrYvCwatkyVJskL5x+q7M1jC/0trSD83DZoqz9uKo2zRTn87r3S0pAeZiVu9xEYe51cz14AKGp
QnfwEReRhOs+OirQwp3mDpg2CmPql76vVcx7ofcNcj/oJxcluMK9lYdqV+hIFQ++1mJ9RmZ1A4YH
C89kliwAXBn186EtcnPnNmzy+kiraY9R42KD0XZM0R3rqk5BPsraLNnXw6KjXPAbuzpLHSpfrpV0
a+a1btPTf9iXzdD/GU34TUa7RSdFR84UPNQupbYKtAaxDD3Zn1pRoTc14+FPFC1gqwzqQSwoUBst
SN24WgvWZojMZTJhZPXDGuRJHQuqsDnqx4w1kdbXYFgBBc37quxRE7NVOvC90IH202Ky0LEwUyUt
t7700xMHOfEBdNJwaob4YscQtWWjj7wPDDYIPGFlQUA8OiA0zr472t8RBA4NHtS2uu8pb/5IeR39
GZLgsc0MM7usZ7f6WrP93Y7TMK0pM+derkvcnElcavlmSgPtNrbd8nnKjGyL1J4OZK/VxdqQFOHl
rJYYCQpDFk5Yv6LdqOU/Mrgo97Mv6YbbrVOxLJkRPvs2UvIkFPU2VD1iL9/Q0Ds5Dw1BnDRjlbiA
aZggR49tr6FBsuN95F81cpru3cLK6dfE8T3lWHXXZTjLkI5EWbbrG64fAhFaaxHKgJsSthojHdfW
88DmZac1Fgo+nLrfZzuZUaipolxLBJPsDAV1ZETldKbyOojXfdxrB53G86YedJbAaDEEEeEGUcsE
1dcbZaC59XQTEdcJbUnML8ZoahF19ILuFt2GWt/0EinbSS/qbA8JNr02I6pHsL3iNTsBfCluifRw
1AJWtx0Qq6duNlBPuUhHIjJ493FrwKaZ6YZc8nKevpJzUd9oFQgH/IZs3nJRYitzzXj04Ha6Yse2
aA5Okji3Q57sWpxTkV3UIXRtzmzee19gV7T1ruyasKXn6WQP+qDmZa05Q1ycg9oorhG8qDPbjdr4
S1C2JpwcM17XaWHua9Mq5TeraOaMeQcj3TqKinI/O7jW2YZCNBhsgiuSuejGmxgxs9yEmW7MG3PW
62Zv58giUeUJRZk21FuLrkXa3KVTF2e7doH4eG01w8qDYicDz9HzfmYP4qTZPQkDfbxuoqBehG5u
HHxPBz/iSc6rmv6khITl3/YT6BR9PU1lxMbAzDP20JM7ZhZkJkqu3/sorrKfbSaRytAhS9KTafn0
Q6UmXdtTvtCyDTaJkcqoUjXWqBYoTH3muI4wHkEASMnQk7ld3ri5Hlrh2qIO0R9SaxikR86wmxG+
yhVZh7xmnXXYCrmE4wyy3sPwyG9oT7o3dSn6u3YoR2NbywkFG4vcMTvX2qwbTilExtc5KZFf596Z
0jXB8EO0M51s8Hcp9Kd9UVrlaZQnNDWopdHFhOsiDiNDcx0mlfoStTU2Lotd4PeIRHP/YBYs2b/F
ULYc7EawfBG/TtPTRDOkInhoaJ5wUMAl7Dv2bad27frSo4tj+9sK/fd5kIjoacThd2tqk/W1ZUOB
6gQNGc4EO4ysQwepZFrV4GHgirF9VLe05IbqNvaLNQorargZk1Gp3FMfYMdWxR2WUYXXadwCLsQi
g2arvSnoieyMdtYvJkgf53TnbeRVSIdaD0eiG6xS6pf3qIJiXgNJ4LMuCYefJU1nj5qHHa2zzu5O
Yl/Y3WoYAOVBbIh+dA71TrpkaniitRPfgmkYLl3K/smmsqm+cbJWuZmMwt77wkzyFb3y8ksH3c/r
ZeicZj48lpRQzZ9dSRfHC8QwME1r9LQzPu/CbZU0vHRumwuBWn7cjg7Ss9g1mngb+mzR6JvHGMNd
fBS5m5k7hZbcPiDx4u8yGxX6BlqoLNGZIP5YqVmLUb1RoPbMNrc3XYUxAsgTi1eGtglSp8yYotxq
xOzS0nD7M5wxoK3AE4xeXUmdrvM8nYwJLT16BQHVS7buK7jd/VMlywFURdK6w0nnTnJXs33b2XWc
X6InBGSFTCw9FDFZUXTIh4s0S6qD4/vhRV7EPoK01ryXmSaSQ5xmsBE6enwXqq1cz4xdgGCafSf0
YjqxfMumve0n7iFhZQKKaRr2Mh4b5yqvfLc5p9nPQgZOSCyNYlNNI2w2Vwsl+UUzhqWq9K9w2s3n
U8PAbDtV7JpGZKD2EP6AMsoO+L4t9nc5Do0QStN5RDeVDnjriEfA+6yN/SjMnv1w8b+FY/0YWG26
dhci1DqvUvmNfYDY0gaaN5A4mkuqSRMKNOHrwVpobSe2gRlT0iRKLDkbkOJ6hQGOUa/s5mGEEKGf
xLxMWUt25aYrhb23hq4usWekrdoUMtGgGaXOFvvT19TGze2I6mtmlOJCQE6D/TMPXu7O9l0X6c13
Itbrq9qBk8TYKG6teTZvwxC0Hq9NnVIduU4yWlUUSz1pJDHfM0XWQqNS1TYC9Ow7TJDp1GzGYWsL
tjorBpNgVp1Mg/qa7oPcm6DcXKCG7eUaEbY6ZH010sWALcrST431nWuM2Y7lEKWGMhmaPwvYXmeT
s4Cc2mG6tQUc6HVT8kbrZdt7TTKXJ81oubezljuXUGPsWzb02hk9RetUYPuhkM6Nzg96S3m3ohCU
eCBHpA7hM0lPc1woYj3mUkZnVpqWT1Vdi72FcIwtZzDSRYLn5WFc5c0/1Ti/iVTuVnPUDvswaP1T
lfvDRjHpfbcJFLhTTj5SEsnBf5j0CzeEyrbrMOt5Iw8T9uU4dvcG6WfYB/0UxxS0+2+NXWFxqXDb
rWyE9x5NBkafr8ty2lrUdoK9KpLqTtZGcq9DMljh+tR2hlbieW2ANWxqRGXlqm/66KRosNXPud7c
wBS1z5T4pSgajAqfu8ZMibDBYF/b6vlFrMwWhaZNycyf8VyEcQ+UiiAaRNiW356OMfKTvDTdQwq7
6L6myl6vDNrXl0HpiLOxk8NDU+k/ptmMHoQjwhvZhsml44TVJjDY++lJl+6R8TjniA2aHRlzDlxx
5Zf7koaIRwuNdSvAwmXeoq+JUjh49EOoeduWfTV41xgXEjLUpW/KoESn8U0Xk/11aDptp41WfE55
AaqA6NKtNNEpB4XqoRqCE/vBi1d+dzRcNxNP6iVFDYEfyu6Gi1Crp6dOG4PTbm7jLVQVgVGsoKhR
7WEbJ6wyswi8sHWSGvDapp1LnkgMkSQiSODPOC6M8izmZRVi3RvsqiHYCT9KuoKwlw3Gqtak7V/o
YVJQP0jJkupuUCRHVryGHZTRJGDbw3TIcHZVhjAatB6jC/lcdsUuaraBHvlhi8uU3fPcXNAjSlJm
AoNdwSXvV1AAq8JJESSfo0UhSnc3w+MJWP1CZ9+pGWnojYYes3h+HzD8H/jFjgsF+re0sTYYUKxJ
srkN37hw0R9XwB8+99FHIGmgJ5kcptI4cHG+Vc14yGv9A+T6f/rW5stvzSZNyDTNxQE/Mf5Jr0nb
z0VYGc5RPoAmkHIlSW0fKHFcN9bsrBp9KD8JNj/KBA00n0JhnRiHoOku2et+5T33AR3+P12SI0z0
5KMiRMNqHNj7QDYIbrUEd8Sn7uRxvL0z6AirDDxFReb/abXTo+RR/+RnH6H5ackhCjNlR0kEwpVZ
iJNI+2RQy6tMexMPs0GL6BBiQNmYkWHCa1L1526mfYTjx2uiYluHG8JSEUdgskMp+LkIDHthgf82
KrOqhGIS2SVba9h6D2Y8fXC1lw94A+5uH43JWhR6qMeyPDgIlTQqTgReswxsdxG05U+GEtlHo9OS
1CWR9HEQkfw0y+wS4/zmc0/i0egck07FjcjLQ+qqx6QurhBE/vzcRx+Pzcpsk4w6yYF36qXOFq7o
PxeNZR8NzbHqarqv0XTQSW1Q45U9JZ9LYTgOte8gpYIVCKZDQADoxhJLFJEbDJ97wI9z7WUp9Io6
+ciwV+Yl0qLqBHly97lbaR3FBIUNQvxGdcPBGfrTRgSeXsTXn7qV1tHI5E7OVY0C9JCz1iDr7Fsj
209e8aORqUxoma1o+oPfJNUWVZq9ldVkfPKKHw3PqBegIVC6HcQU+xf1yNaVjIfoc29N62hcJpBO
KttE2N0sUIWyc5593/7kNz8amDFVj3qowSvbITIZVyvYG2RW8sG0tZz/G9OWdTQ2ay0rWUzOLQhW
2eJeoFzrh+KTt/RoeCq3CRMQvxlhSRJnS3BWW8XTpx7E44x7LWhU0gd1dUBzhB8lTeSqEtDvPvfp
R69OKxhteO1g/pnAIapowX08xsPnXkHm0fAkdnY27KQrD74Qi3dTsphN4I597qsfjVAl0F3NsigO
QT4rqDL9BQ2rYv25Dz8aoznAsFiwXz7gnEpWYHR2Akf4Jz/8aIh2aRNlXc/LLdLTO1BI7CLz7qOs
a/tXgvsbT7p5NEbxO+rmFNtcGAzld4YWe4XVfaHlDl6wJJRUCK1Y1P3ypJTzYSxoQDT5fGYrN5t3
wFeCL7h/k5PYpm0m/cZlr7PUytnooGloftgjcjD0jt0Sz1Cv0YVc+/UQrgGaIL3SMGLXEwLeDkmu
PRn2oZrIQhj673KkloDVd8XeX10NuZtcpjpSX2Se4wXWpeggIa+twlA7STvrNqrdy5g4t27ov45T
SKFqThChstWbcw5bylwb7lSeJ7vW0YMtGjR3l9TuUhYurxO8WNs06ATi+bA/EahpbfQ8BA1Mp+Mo
g93MPq+5Jy1jb6b1UKzwQGo/4GVLIkzsHrkQ6OreQo8uBtMrEaScYdsuqDjFUJfD6NKtfP8SeOxW
D5r+WzwZ2IFbZzORpLzF/HIqVP0wo204sbr0Usv7Zke5XmN/XoxPo8vKwNFPM6oMle6Xci806FUY
kKkPqWjBYkvRQ0EZe9TKWjMiOsxRa2Fsz3GzWass9M+ioEPdXJyKMj1h45rfjsr3PVuDFO/g+biA
84cPdEIP24PPtIyr3javemUPOzaBGQ5rOWJ9bN1xndOO2tL+6dZO7KZf4wgNYtRqnkBPdZVAgwNY
eFG6MIezIr6f00ytWZ3l045m8B64z12pTQPVEfzGrDc3bqqSaQOM/MrCsrZGQQ0ZrB6nPZANch+S
UJ2BMB2Q5ExnGsZkjKL2WgS+v1bc/UozbUkf1hk9Hwzv3jEFjpxc7hArNl8oKaLd6emIEpDRCQx+
1LnvADdHmH0h1a2hAOk7Z6CxuMaGjnHTMepTZTZypJNtVeDI6Wm3JskFZTW1Z77bXhQ8jAvJeatc
mJaeqlllAZ0a7HXWT3tqTGdDkN8P7eSJRHX5tqDX4liuk940yFrOJls/j8G2bhvQ2utQuvj7BJzZ
HijzKVbAdt1W+r1APrXTQcbzoMWU3G2VJQcaT8qTmFAchS3eCjzSJTx6t4sIQnFBy+6nSyt7k0ng
BZIa1EmHf3BT0eVcBY7KiH+ZgWh3+vNszddtS0bblRvIBuZ/UwPiEuMZ/d4J+HnOEKa9aiA5W4lp
PJ9IDgQcNFUzZmJaZTQb2948BGNqP1hdh2W4VvotDBfnzB4K+p2AnrOvA2gkLoI1rOl+utMtpKdz
m7qGce8XHakgxUliOvpZBP+Yok+j7zrDvaq0mGbLEJ/Bv9vA/DpxTEQw7tjvmkWYgRdUbCu7XnVW
EnMLpslTUQBMCrgHcBGe6fXig8MwNl4nYLN22RAd2sQ8pcT+pwx6dSFiA9RZWzOyp7mcH+YoTWGI
RJHtkZNhrIuBdPm+Cg+Zbjo/iQKZ4LHAgyaSxcVt4dgymndVH5lntkGTf2N0o74Dbn5uR66hNoD6
UXHOvdwiQfK1TT6Vy8rqMQxJgAEJlK5tmvvPws+1GLhR9SWK9GQvmpwWIebos372v6SRs5gp5z67
tCj97IysOCBYYWxAqna7pY5VWEhscZisgEwxzfjWHkvOE25i8cXV2MTh7yA+mSZ5tdGg+yGYRWvO
n3v90oYKsx2HSUO0Ui5KQFlr2lZhHbsPsRZuVVPLjUpqwFIyqLkXIU7UKdLzs2ZKL1Gh+edknFxq
TOFlThHQNDWcDAjOCN4Z4PExHQh4+9+EU+7zpN7zgGmXAf62nS9DCOE+vYARUWNRZ0hp7ArkHK5Y
hrNfzT/KHBVh0pjJLWpHA+ntEDxQnwIf5oyRtq7zTjvXC3TC66Fr6aanbtF915CO1DCo8urOr7tn
ZJ7aKaRIlMUT95L+SHcINACOE7d0U7VyvmFVMe8QcpTzBsE8CkdaYd97q2ZD3TukF2rYtfQMv9xk
pY9iaicCgPsEq2lpbN0ZJUjo1jn5BvVVO2BbTVqCKU2rDVBl1SO3xiocF5C++0hdMdjrbRV9TXWz
LQ69ZvXTukWvehYPvSvXptt+qxtU0ybY/UOfDYhPk0ZN9Gmc9qkD17PO3XZGxGTZd5j30VO12HVp
LGcbYED4LyF645UC2CSEgk0DBG3vIu3w5qQIzvp0OOltUR9wzYeQCCrrKpF6tjEdyseaq580JEZt
TRv0+nrKgisKj8R5zVY3oFeKzXDnkJDTF64jTzUY+9WjJMdnnYx14NmlBH7n1nd9mIqvOvcUFWyG
NxF4S2GVdnkP6WzuNorupblRsSEf0t6lhVbpurqosnkPvXzaWzZKuZGwFK+K6Q0AUE+egiRE6QEV
Nac1av4EQqNuipq2aJtGP0ydHhwaVFE8dFOun5a9Gzz0dZttK9zwm5QZGSpLEcp4xaImXYdR12KS
iqDExKnoL7UOzUDnZ7DcZKtMeknGHX5GcRKgrf05EZN1L6tyutTijF5tbmfo561RbF0Dy6aZtfSU
QGNexm0/X1n6zM6DfhczWgBgNEV0siubVMZkvqB2omlrjNU609Oad1Zh4lxwBY6SrMyb0yAcgbsR
Y9ZdD1iE7wqK5Wf4ffJ7rIXdtrXN4Asi7pIVQlcO7Y4MrWmPumgsDokgM0sXZmiTzdbQj+vCnEko
TovVULJ71mYLu5MVakgO3G3kVyRPOJO5GQrrfAArTbsdE08ypPdW4w8Ee/jXNFQ0gdWvTj2DVykL
O8hOZscR0CEhcIuqe5+V2BrlZX41BTF3LpPavxJk/+v7+H+C5+LqX6vN5p//zZ+/F8hYMCG1R3/8
p/dcXDxlz81/L7/1//7Wy9/5512R8e/xX3nxG3zuv4+7eWqfXvxhm9P6na6753q6eW66tP316XzD
5W/+//7wb8+/PuVuKp//8QculLxdPi2IivyPf//o5Mc//jDYlf7X7x//758tp/iPP+7C57+tnsKn
7Kk5/qXnp6b9xx+aNP4uDWVYCn+rAOaks20Znn/9SOl/N11DGLyHhEkp1GDTQR5DG3JU+XfDZC2j
XNdafmf5UVN0v36k/52PEbaL+lcq3ZDmH//z9V7cn/+9X3/Lu+yqiPK2+ccfL3fHtq2jfdXBApp0
zgUNs6Na/tJch8tll54bAqC3TWjk+N/L3W8X5d9H/f0oL4Nz/+coCh8lZDf7VRY7aOUOj5dZesuy
r299jG06q6IE7/dqLKZ80+YoFd4/5ptnRk1ft7iQJml8L+uhcxEi/LcweGOSKLZT3dRrDYTvB/vo
5XEo/3fT9a9TMy1LlzqZF8I+DjXtgqLFWtpAEBUZ8RFWlON20kO32DRNigSVIEkH1VYbBYRdtdq0
mgMtPZh5Htm7WlQ2K59qNBCYZX9GxsB2ZsiLzryNiQLDWFVKsgegqZCZE+aacdUJOzB2UwTz82Yi
S/Xu/WsmXp+NYZlKupbSLcd2jss9A1GUXef2BepczbrSDCOYVgjZ8MFgG7zvgGGspoF9MYp1fxfX
ek+ATxnvJkSA+UpD0PDB5RXLXXp5eQ3LEgLbnXIM136VW+qy+VKyKrwZccjBEgY5EWM/AJQupi+T
5qZXGvoCL9AW85TKef3oo/WXYrGXW8ybQViGabqW47rLCP69sm4Xlo9nV+YeYrbha+Q02Xkv2TS8
f+2XCsOLM0XrS/Cn0Pmfcpzj+FeNBRqilCAldYIVhsLXedAdDf4ussAPruqr4chs46DdZ3bhQJa7
PAW/tQpgPhuQ2/PQsxCEnWZjO34FsCHylSrye30ctR8iqJEyvX+C1qsTNJS08FbZjErD+FW++O2o
E4Dciecm8FBHwB7S4zE9dJiXP2hmvbqOkkdFCJPLyW0DxPDy5AJD9oDjROVFZPscwqhNFrR9fNqm
lfqrZ/TrUJZ0pM3zScfp5aH80k2ssRkqD85xfBf61mmjyfry/cu2PF0vngsOwn0C8uUwd/KflweB
ag8ROy5LDxBpyuJxTPZGO/aXWe3W55hT5F+dq9kGMQlwKCUoqfF6efFwRLytXGcaK69Qw5VhRmcz
tZpNp5EyMGrfbbapHzz4r56LZd9lc0jeP8o0j4v6JM4Nc+4oJmrlBGvk1j7ZGCxb3r+Mbx8FVLvp
WA5ul6PLKLvcIAtElp7APL+aja4Bbu5nnzkK5wOuQrk6uuqXF09GLVc0tUpvqCty6dizjkDsPziI
WD7l6JFgaeBI1gGmgx7v6Bahi+2BO/Nq4+fzesBGSbUOh2w9iy8Z3NUz5cfJHpVlCO6ni3aVkROl
PujOB/PIW9dUknNoLw+KLo3l57+NaCPvYV763LmBwOE1GYrmbs5t/4MHUrwxol1p8mgI3bIMsBkv
DxNRHVINu1HP9d0S5h9BEHEIIj0bbomyuwsrYi+gDOI7KxZa9IlfikfcAnjX6yURSfgQ4IL6g2/1
5rkzkXH9hRL6skD7/dwtvBi+LYzSAzJ4h2cSEks1fbRueusgKHSZpHlqeQ0tc8NvF5htXeToNQfB
h5N7mtbna2mR2/X+0Hjr+iqQBjCtTaZ596gn0NBwKOJqLD0fptMeSUp0lzCrHeBYfpRDv3zU8ZPL
i1w3HC4ZAIujN8/Ezei7uiu9njgWcMIq25J4l2+QFpbQH/Cg2Vk1bWs4mh+c5OtBo3SdEqZjScgq
vP2ODu1DX48tYMCeMywV3M7ODxD4NQ+ZMWBLlmOniJeKZ+JDbKjTCYHSFugUxyc38f3Lvdy0F9dA
sbGT0mB+IG+KdcXLm4poDs8Gnk3PCKqfuo6essRFsPXJXFoloOA27x/u1ct+2SPYwuH0mZeM45d9
4xPVnKVa7sVWRnYUOTAkMvU8vhexj2AtATM9gV+1pvv3j/vq2eW4LmsZ3VEWQ/fXwvm3Z5fCPc76
octJpVTGuQPNYEWf2f7g7firjXd0NdlPIMFgA2MxKR7NuEAtbTnCFfBScC/3+N2mE3dKu71fZ8TK
YGpbAwkdTugwhl5LKtCFbEBqZuQZrB1kv1S5+A0inuwSS8DglBsLF9A2mEgLk531kFnpdJ1ovAbZ
rPSeYzTcpKSCGBYvqP46KA+m1rWrHHzJRtPs7trEtLlNAshLIIF0kqPm8NTHdLZRFv4Gs8V2HaKb
8IAx1zvwhL4HBRx/NvK2zTQzr/3l22DidnMF20X+OV68ai67EENOuRdO0MUJDRw2Vdx/e/8g4o1n
mqNIllvOsqMVR1MIrHstnZIx92o/Jec9uhxJ5EJ4T8nPFX20Sfr8iliA21yfaQSA7Bp8xwMNvDMW
STPijLNi4UCNpfvR6uLVjMP2Vmef7Eo22UyiR2u0zo/IOKxmHn8DQMQs8ETM6BdXhkH7oBe0HBKD
WYDoVfXBwHs1rR4d+eiaAGmKKX/quQcRcVh3PQicnKSWTRZ1xWdusqIJ4drI/N1Xa96eyBOdqGS6
GVhwcyhLaxKL7b+6UFtOyKUCxjSqWJQeXcrELE3EhcuIbjqwEBn31aTa/f6j9Ma0YRqS170FT5FF
79HsqGNPjPRRIzBSqGozd4Zc4fkTH9ybt54KChFI9eiNslk4ujeOie/IL2PuDYuLnQ9W4QGICMTg
ZijO43hwDgNAVzBZmpV/4io6rJfgNDEuTbkMpd/mxT6JcPnnY+aFuRXhWNTzjVYP9v79y/jWgCSE
yFz2Dizm9aM104z7V7dVlHkGGJpTgq9hI6ZduCFqwsIZZIUfqBXeuKDcMKotHNBeqgcvz8oYh7Ey
nDjztL7RPNvEol73genFBIyu2g6PoNFL3jM5Qvb3z3RZuB+9ACyW20w9Qujsw46OTPsx7cGBpd6M
7WNjwz7G9jtDK8W0dutwU4Hk59AQGqSNZNyIvyTQWnZJ+ovDL7PAb7cTyz+gzK5JPa0iX4iw8WQ9
OvhV3z/JN26nZSyVAU6RMtqxuC8ZfUiPDUnrmmvZ+5GV5z4ORLESodHtbLNuP5hQXl9UJksmFEsp
1ksALF+eFalVrKqLkDhDfrbJ44JwGGF/Uyqmd9XRWU+K0LrEElGsMyI3Tt4/29cPk1DgOQ3Tdpls
DHX08OI6gQTg6KUXVwkw08AlqVVql2jiYH+VOXQZEi8vJFqC949rvr7M2Lqo4bFy4U2GMeblaQuz
orge+IVXVRjzQJVC21kXsUWdfEwr8xlhaMIOpNaqBth72EAgDOgCD6SBEz4TjO7XEVTVupMj04aD
NYDWkMBgRo1Lexpi2gq0YyfwusDXyAXVO8IG8SNO7Y2eaDTwy65j22IEviAsDWIGfiO0i19yu+1O
iNEuHml9RMO6VCUZmAFSuEv2ORu6b45aCPUKMG4xhI+Jyurn9y/NMopejjKh2NECFmO/J81j1eDQ
ZmPs9zG4TFfTvy1ySlB1dfHBOuL1WlW4pslmymQh5zCdvLz+WOlMIi7bwtMocPiA8cWAac838zs1
YWAxGuV+MHu8LjCqZcfjsCFh928zX748ZKVHTajqKPcIi+9OFhPbYdKB9TE+goOLyn/lJ0O+HVGT
UX2pjfiykcNHi7TX5718CV7fLFKWPcrRA5+NTZEYjZ95PfQKDBBuX4EFmNWJIAVioQ8G4lT31fzj
/Zv61snzAuRBl0zZLB2OFs+OQ6Notq3MazHj7fDh6hdMeNrGgmKyGYe2xagdqyW9GxZI0eQ7Ao5m
7/0v8XqqMQydPZlpYHpf2hovbwC+qjrTw5k3R26Wd6kpoxP8Me1WDpA9OsC38YriPZmuOCBgKiXy
g+O/fRF++wJHT0DRsJKpfCPzOhBW1xWJn9fkHieAMAcNsZJdngaOjikXgNK6t7C1oRNwPngMXw+v
lxdhuUi/vUX8dtJBFJuZBwLoCauQusEm13zwjn7rIMQgOL+qe/z/aFJvG8rbvaEvT5kZXjU9xnxh
ZOb+/fv59lHUsrbhjvJgvTyVMEiGxYmYUS239E0rMuOq9kkte/8or4tCyiAKmhKbSQHGejVVmL3b
1JaqWEbFGeYlawhvx2ZqN3QRtHOS9PI1gQP9VY4J7zzP4ZROzZg8Kys1t/OoORd5aSf7YOrg3SVA
497/dm9dg9+/3NE16JywQPrScDtVMXtGmk/XxMl9pIJelhYv52QuAYZeHYkUdQ3r6H4CVjGrTnAJ
cujz96ZZ5WdzlQAFtMIPdtmv34scySEjwLaB5zNDv7ynfgl4B8xX5k1zRFZ1nZsrlE/htozqx1bm
H+0BPjrc0bRECAnMprrgcHrqr80CVYBTBz5SIhWfuD7Z4O/frjePR4fHkjS9KEYvt/O30dfgaKoi
WH2e3vvBPRh7IgGa0NmElWypShf+X17NcTmlMlm28hqhJ/LyePjwgUhAPfJ85DBnKZKRbTJZYLlV
M9G8B6j9l88P1BVNY3iwbBGPm7x53sBunWgthRGcC8chgkvB8puR+ZzKmeTO9w/3q8p99GDCVXEN
3TVMV9jHLhctAGztF1ri8a7r8TcmP1tQJUHb7oogv9R00LcLJIVQ27NYqw6Rr8hyLLAsJjCVg7OC
Xt8m6eJd5CC5KsodIB2PpdgmXLDy73/XN2Z/kzFkEEqq055ijf3yXhhdG/VIchPPwCO8HUdclmgQ
Ld7//QDosDyzJu3ct3083SWqTxWa9e37X+H1MDYZW0pnqW2b3KKjp0EOXdf9X87OY8ltpOnaN/Qj
At5sQRAk26pbdrRBaDTvAAXv3dV/D7QSQQTxazYdsxkVq5CVlebkOUgeJlhDVRyhtanPGoxLhxr+
353d3sYZLMVzL8OFTg66Tns1+LBAkWgxEEEV0rDIXGZtkUTmtyXHxoB8qWPocMf6lttzbQ0sSpuA
AjZN8psGlmUiJhonLDqpGggwCfo2imXtzgt6uzXITIicSAMhuaLJeP0d+4Am0qINdNJTxnht6kia
9grGArDa1Doe0mnOzr4WJ369L1ZcPhyyOXjgdbBqhaESwfiUnDQZnhjNkpZSI8BUuYmfQ4gbH0J4
3qiBmc3xvsHcHigLo8tBnUw2jZtcu0doJZeKkZHloTMg7ophsClQsry/iqLd7k9nY5qzeEWL/7g+
UcmS56EIouTUJjlEQ3xYZLSj5nVkgPU81LNg/tOaf6St0DxH6eQXGdqzC1zSiVfqADVFWu9Nitxe
FVWHSneBkNDdJRG+/kkNoL0gm2Nw4YUhX1BKJFSVheJpqb3Xrd5ciicB5I6p0Z9cLVWlvU2Vnt0n
rS6gl4ElXw3b7IK699f7B73xOXl46IuThSw1vMWyf3t9MrWC2buxY5LOAEygVtVwndrxjtFsvHGG
YtBKojoDsnlddmpA1U5ZWcSnrMdy4NRzPqI1I3tdAD8FYnF7UJKN84MmmwW5jRiQvIpoAUj0JPaL
qwkV/YFO1uhDacKkXJcXO15tcyl2RgNLpiG3TuEQ+MlGobbI4Wb9TLiAuBRqICrSLbG+Ewj9srDV
pXfw/7SRsQwI4NYfq1GKrusdQTdFGT45VaQfHPjRAFMiG1MnWXOu5RqK/nwCelmZOvMIZn5hPAPy
IzsK3qAjgeyN0uY/KLnBxAZpOCC3sPdyaPg8uWea2mSyCNikFD+aCbQGUx70r8kM0asRjM6hgVvq
T/EtAMEtZNGofQCbMO3lfH8zwE42kwpWM3Ea6Vp5Zg+j5WQw7XHfzG8dNMVjG4ep0PJSrXWep2TI
8EKzLE4FhP8IhJXmsTfs7sTMfnEyTVTEkRKUd0KRW9PgUSDMWnZFh9Nave4aAr99lgLzp2yW+IiB
GceqAGllWf2n+9vbCiQUulx02haghr3OrkYpjuTI0qJTh9LjaegAkipaqz7AJagdh0gVB9hp21dj
oBU0DI56MMP6z0Zcl2IkjTagfDy3Gm/bGkOE/FADDV4mUGGXVB/wbHuEen9vjEm59Vgso1Olx6No
5HirdKBDuyFBnzw6MXm4KDiHEqqbsRx40hyMdN0D7ZwC9UF8qMgvSDqEr5OTfw+D0niah15zJ4z4
UZvm6rTzDVQs9fp2EpqBvNA0g/4Bh3FtyQpNNM1E9JJvIAUXRBeRhxxDSJ2yGdnIPB9fchX63SyG
yytVZ+uMuglY2lrMR5R8/hjRxQ+gemrzeOLbSVKvf41hooZQFWZ0CpkV+QueHuYMyGq9aEyMnTnE
21iEr85yBHUE3jdX2Gh4nrXWSE4y5k3pG9bEeBF/mUIYkc0cavA2HHMAw8y075z5xhVTEW6yqeFo
lMKtVa4LaB/lyUqPT/jLl3mM7dcps+WLE9nhoVSSdqG4bwcP5V8CefQgLlCBQm0idHixgrCi8Qmr
Iq0DJpuU8sv9H7f52wC4UVei9ceFuP4CkRYiWg4522lOp5fE1iu4zaHMAp2p/9HI46+bp+JilhY0
SueytVyZ33yoDuc6pJlZfNLQhITCFZ5FxNNgMNuJym6fcbB7dFgs2/iFal35at5wpEAWuhpbA0Qf
6CYocdH8L1blV8w93Vltw2ezGiE1mD0cyrq30taqHMEam5zIIANYRXRCLVHliPJklR9ZcDn3Xarv
PBRbHw2gApEtUFSDsc7ro4xTx6mG0SFSyQvhl6UZ+qZDUKT1cCXft49ffemVw1hCSZlQBY+mrUHC
soNAFvNCGIikfIxaE5rfFn5R7SlA0qiPrHNsVJcmoTYaKK7WW+9yVYFYbl5g9/EQa/sLFpsX1Pg+
W2V/3vltG85MdXSKW3gsB+zr6mJB5MbkT8h0YErp85AspHzmWCLgoojBM7PE8Ie4LuG3VIsLWwzh
CJ/7kyV1JnCacK+GsJEOUM8j+gbtRIxFI+D6s1SQ8fVJzV2K+6k8CtlUHpnf/gFZevIhbIb3AWIL
eDcNGgPAVhfm3vEh7Y0aZT8EOiF+2wsolgVvvp0hL3BSwGfULq9/UA7uQ1YHHE9cwtoI3MOBmUiu
DkEuq5cy0+geR475tVCj/syk2H94a/ko5JuwmesLquh6eaRxYa3s+TzOUJIDKpV+KABy7Txpm5u0
SGxBQGsW9ZTrVYICWcxemliFtgmkuXb1RbYnxaMaDR861/4w2b3sxoOevTSFru3cxV+7uDlkshM6
qybM/WvvPsZZKMHYTXKSKsS80RuMynAvmZcBIZhSto/L+JrBB4Ze8VXL8UBOFb9SE/xUD+VpVgKU
ciyvRXcoU4BaiORBteFM0xNmu/KTnsc/26R8YrDvCeDiAb3NN7kc/jWm8imHEbpUxdEwwk9hMX6Y
5PBFybUDGJkDqBnHRRfrNCJGNTvqh3FMvsJO9nMJdqy68smpkMm2fTKAZ83mfkztJZEgwhxGtwKQ
M+RLYG1fkqr0B804x0gzlCJ4HEPnwQSuNKDk3mXqBTa5D6WZXeQp/Cklw2M06Eepi17VBOIuFsMJ
ph41k8NgFt9aSTv3tnEKxvyCzj3CE0N1kZrq433HsBF9OYaylB4UuhaAdK9NIgF8IedSSJA32YPb
dWoBlX+i7BjeBl5uQbzT1LcXzDuwj+tl5FRjXELwAWELFi6KIRlkiG1yzuYxuJDQWk8Oo57vRY6a
klxHML+btXzKGvHv/e3evnhLpkWgaQESJrRbvXhD0CGMClufP0dq8ZQYDVJgkqaeRuEUP6pKs3b8
7t56K7cid2pYo+4c+NYUTzAb01NgEj1kOG2CrV2t94iGNp87C/+1VIMNxVmtZ2ldWA0DfjVCau4g
kCH0mVETWJXjfLp/lBuWQ2N7AR9SldXoAF1/Uk5sRvR2CYegNz1FDipJSOztzWxsr6KzDoUGAsOV
fVYJ6tZZIcenPHSqhwHH4JqSWvyHgMuxQf39GgwB2Xi9l2rUUjU1h/ikd8rswfAde1I2ppf7J7bx
cfCrKgECpQVKYKsTK0cjSXN68idgbzrAsRL9rCQP/KTca7Av/9LK0bISgAs6dA5LLtHAbwGk0dd6
FOs4+sm056deSnRUfgr7gtRg7MVJWexkDBtfiXBdI2EFFahR57teL6Pg13bw0p9SmiqP3dDFL5OJ
PtX989tehWeP5sPSaF89X5QSukwmKUBTHqnRNDPMY9gTQv2HVUyZbuCv+vnaFiySjiFdzi43p+rR
FE7vkfVlO7WfTVug+sisHoAqhvmuT4wAbFYRs4lPXaygO9NmkwdTQHk0rDI83t/Qr5LVjTWQX9v0
21SAm+tz62UxILMWnWJ0jZkJq0RWwcAqmuFcK2X02klZMR+FaiW1D9IPtv+ZUvHwUOuZHbt1FMyP
FiTxSN2PWiE8AqXkax2p1adkdv6BkXY+SmNrfBkFrD5HmLTBXuYTEgLKBF7FrWBGhzXXKFUD+YGq
/RjKQye5kTL0A4yXJqrWuaVMqGnSIPlpAS720VxidBChSyd/4MZXcISoNbwXfZ/138xaxAi519nQ
niqj7yxXMCw3wAzdm6cUeVr1ENSF+pdM9g7HNMrTl0zpVbrTmgH/aG+gQ5/RIMotOKZrtFpUBJng
Ch07wcwu7dEPgw26Bhypmn4vW7ht+X3TeDYRM4RH3DH65NDYmfltoUN5b010yF27beuvUaU0f88z
DfdD1CHS5xGCJd+4Mih5xnmHMKKhH5E3NjpIsI24PThqb/6lJbH2jmpYawBqGxIYrntEYlEqtJLR
nSx0mWrAvOcuU8rYa+YOXkwk1uaHuozDz1ViQ4lF0fdDZkb1sUOPBGjFjPLUoHS+bEwICwmUAw+h
UEe0KEqFmqZlVvPXhUaFFgO6W5l339w20rylF0nFhI49hZ2VZUu1ElQw1YtTZlAgLh37f52G0K5d
xx8Yw+8eisbWd8KLLcdAHmXhegCs0nW9vkwQQOeUCaisw3kteWPDdH8Ea8JOZXPLqXKLZBuGYvKW
tZPrwpbzBAxwGkjdCU1Voz/NpTH6Kposz5AtVP79k9zyERRS0RbkD9nBqjImy4M8NAbb0iB3ONoJ
5qcXlGWGzP58f6Wtb2bbADtBzvDlnNUB5j0KXQ1t8pMw49aXQs1+h6OFIjtkxqeKxP1vJAL2CC63
zpPZJlBSVILJRpYf9dsjlXZqHwjUPE75MKoP2Gd/0RhnP8HJ/JMum7xjJBunSanYAKLEGwWofBWC
osNiKbnZUFQpo+zgJEbhlaX4ZyZQ3HG4t4OvVG2go1zmbBiIZijyeme2OtdNUlC/Me06+xSkPCay
XSuwTQjrIPQKZUZQHUcN0SNvCELzsVbLBrFUcomwl/eGizY+7tWvWQ7mt3O2s7iCtp+OxjgOh76A
PN7I9Mzr4VU4VImUXRwdd3ffoDYPWwOKtfTsCdxWa7YtfhK6ovjEvL1z1I1o4Y6eDB/KLW3H32yY
kQ4QwSY2pGKI17neHm4/tHndCHnnJD0zVSD7YRznMOfoDfTFVOrvb20jl+Hr/rbg6jkdYHQfVfDe
J2sGdgmzOUiyUKfZXgdQxOdNf6DTKV2KOM99tRzQo0wt58gU5E7QtVzK1bNO2Rz8DBVCyqX26tIO
BsPFiULeuszqeHBelJSm8+9qOsJt4VjZsW306iTXiXRWYavfuU7q4n3Wy1Ovh/mK7inJ3SpmBsU2
5lCa4zNkZBGRDT0Wjn2ApPipNbv/zZZ51Cfhm0n9JRjQ0xq0JwK4A+bgSW35F5Ks35D+uqRm9mrJ
/WFMEeiBp33nV268DDrToLTYlqIy8K5r4+iZdAurpU80mE2KTGbuHJOuGHas/dfg+PVZ6OA9ZDDj
1MwpbaxtMNfgsJkV3bc7SupegKRm7gZ2q8EIBsa2e2nKvvxEZ19Qxm6MAhn6GX0XAJDahFowvF+e
5UwIXFsIuDy2EZQv3gycsvHK0BzsY9THYA/mqbGyAzrNmez2SaC8ByVHi4Q5HJwHJy1i9cmup6qi
ttpBLh51tdx4TTdqPzrHKFq3ydCAcmVgyP+gATz8YLY5+yasAmodhQ584dZ6XPdeC+HzpY50tYIK
aqbanqOYkR70hBQJSVlp9qcxld8dQDAy/OxVaz/AUZ5k58Ao0E4WnNJTL9q080JTQljKkgyIo1Ld
KD1zdNDnNqqwSD3b0Eqm1bIRecqRwtTbiJ6vOE6IaqNL0UCOFgRjCoecJH+bgl5/G5FgKCG7G8f0
kSbLaKO+6A1oYCp+CnVU5pnObAIE6rPxmV8fP/VwCumHZMqT4JB0stYfaeLm7zvu4NbVEeMsmFOk
KB2bi3BtYiqcXODyUI5C+ggOq06TXAlG4dhtC1RE9Gmqj2jBTT4dg8BF68BC3AqGdEQXxKtdBf2D
cKQ59KDEq7xC3kOj/Spwr0yTHj14JIth1yVdv/558VijHlvZjt9YDTxCoXwA3Qg9OHILsOIo8PzY
78w3ouqjDRJoPETByo4d6LS9380JxHLQPMKX9xHzPN4/ulvPzd1UQPHAp4ELW3MBW2U1oUKAiiu0
7k/DrCH4XEvyGzTw+ldFomhyf7kbf0lwQ1VEkQmokHVbBzlhW8VRVM3iBPf+cMCskH+Bkv7Z1ikE
jnFIyz1ojiJR/hrLud15pZZjvvoMy+JskT4L7c4b1Nw8ZlrXR404MdOPUI0WQq6Uf0HuJ3PLrvzX
0PsP93e7uSDdQmIrqMfwOtffXUizXQ1lj+frS2Rak7z9iJwKYpcTdVa9ggmxs9s/ztAB9YNg4lng
kAnp1n5QYjYu6tml3Jk8eUPqQBA47dn0jd0sq/DoUcHTwC2tK09OMjI3ELK1KlTKC4xelG0RND9G
zdQdhwCBkPtHuRzV6ttRDaBJQSecYul66DUfaVmmUbUE/hbq6kz9UoWwnwMzn1wAd9ahV0tjaVvs
dW1uXq9lo78tvHItFcytiCAQIceZkNEKDHs/6Js95O/GcVIPJU4Duw9maA3NGk296VUx0ecu8u4k
IUntt/MojqYM2R90T3uTf7cBFMPKOutxGZd29ho9JIWhhM5gFZ2CUlXPZpdqiFaN2gNCJcGpsUV5
aacuPU29ETwqSJd6gUD9J3Zi6dP9D7txvgbtTwIlJjbAE65CmHKMKynKw4gIavqZw7D1IgxlTyJA
3TCfq1VWlwKWIqOWbCaGUT9D8U6H5BGRwv+R1jOdw/Ph0oe5oHHjxyENCWpC3lRMkIXR0XSdIEZV
CcZ4emm6NyTyMTCXESrkmCdBx0HwrI+y/DYgBN1mNE3AybmispCpV/RHsnDz2LRts3MhtiwGyOfS
SwQgwB289i1VV/YBohfRqWkkVPSIeY+JCU9l0fWeqsPHeP8z3eZTGAz8KiZTa+TDyrofPqLDE88t
AllRX/1jiVT14knXPiSMnENpZrwb2pQcgRpF6AGZLaWGIPUnkzmrXjP2ML4bfpV3FOg6CFRc3JpL
PdfstmDSPzw5pRYfJW0IYQlq5kOgDuTLqUkMmM57GeWGCS0lYzgHFswT0zXXB06KEWaoJkaIb7Zv
eRirn5ywyz4qYAQ+KZFeHfKOaiIEvVZwuX/2v7LwlfNjaXJ07iktBWNlvVQLZmUSIjoNVvEYomPn
JgE6MrDF0ce2qDm1CLDn6fhttDr8VPCWWtZFM6ufJMD/VAaRFzqsFGv7f80ooZ2bEvNJ/Q/K5OfQ
sWWvqbtnRihiCJ+qH5ZRNMdukYAOS+lwfycbl50BYNKlBZ629D+vz7DrCtOYHM5whJTdd6zW8iGE
NXaKRJurkG3wnQBVWOu6LlUxIZguCE8DeYeHRavMF072zo3YMMJl2pcStckABdditZcEOdsElbAT
YJgZ9Z9I9qIkRd3bZGvtnKMcTcllxxQ2t8bcxsIyAf5l3YpJZJE5vaWFp0Z3flatohyNUGQ7MeFt
WkkgzS0H/0IVcWkuXW+tqAP0P4EcwPQQl696BV1to8zyMcyjzs9DLfVIv5MjqDHpMzLDkDnWaBUD
+RMfwTQNh6EfdUqkuvEKZ6ju0T5SiGFrC7LaMk9dBBz4K6W7rHSbpwOaAcICyp7U665/dxwLEbSS
zCfpnIU5GIojs4/+/Q82TKFuKawunnd1GcukCGq7YhHZbFqEyDLjaNZ56f35KkTJTFyAeqN2s1pF
Q293oAnCh54hqMgnCLO7JSq4v8rt0BVfeoHKLGQ/jEyuI9SsSxw9sFo8aSjHX6phRhBJph1hzgIK
HpJ6D3wYiPsBMOxcjm/wuFggBEDgJQCoz8M49W6R1KBZ8rw67/y45QlbuT2qvDKrLLM1NOSuP6ca
0qgPmT73eUu6H6DJNDdk8OsgZ3P1IBtNTDbN2wI2XUe6N2XUsIMBPy6bvVNaFrr5IYy/LBRNdL7W
Zct5houxS1rJn7LCeQ0FStOhZJ9nOdN9I0bANC8HtDed4F+6GNm/gR4SAMz9+FYahfJ2/1Q2bBw6
PyJ7SuwLw+QSF/xWSQydZqjRZZb8Mp0qD4ItxY0CRmv+dJVlboVoGwjVwvK4euyaAglWeGUDVKLV
0ZXbuL5EabJHqHHrQlmF81w8KPdpPVmoy5OZ5MqMFj3wMa8up+ksYOZDZE6MZxV8yUHO1XHnZgGs
uPmcLEutmzeVQjTo3usjbMSk1cbYIm7ZQSYllKdSy8qfNA9s+SjryXAqgbM6bukUiMt2WZO+G4E1
9m6dGaPiopXFI1xa8jtAu+kNnBh03Zb8Cve68zHs9eT7iI6kfnTAZtI2mNXsUxRp6s9KM1G/K61u
Mg9zL+TvXapkaNXpNsTPPYTF+mWsR0m4Dh2+9BAEidp5qTbHn+J6SgOmGoUzuQLq+NC1KHSVXoOW
4OgJowgDL+gNCYJjSa1jsC9p+NwjtvlUZ13w1zhI0VL1KX+IsJtQv40ZZHRVZpTe+q7UPyvDmP2b
t2r+d1yGlYDPUjYG+lhGjzk7grxAEn8neuu8CAiOTK/JZZYKqIuOWLk5EoFZQwnGwWTgfYaU+Wds
V9yAImnED2lw4LWFfkB8DdWi+2LOE5PvzAx8UQrIvt1awwZOcaTmp15tOxBCzBP9HHWlezUFmoUu
gxz1eQKW+5YpNAZBHanSk1LrIjgiPqyfo45xMBcB7fR7JNnD17zUm7dUV2a3CuTmzabdcIiM7Cnp
MglCNRtVAwBDJQWXfAg+mX1lPOJdrE8piJQ31EeDY0a5qPHq3JkeC/qkzrmVoNR3E+jQJK+2m1L+
u7SS1nb1wREC5U00z6HTTEgV4GuTGhe9OmfwmfMOvyv53FdepyjdS9xHyXSqjVLSD/8vbWPIdSoV
4IGwImaxS915kxIzf+nl3PicwlKSubBvBh/GymnfQ/BXoYuQBVNrSiYhaEHCHX62U1N6GxAg/nL/
9i+3+9rfUaNieHyR82IGY406D2vHGoMkDvywgRo0iCBo6AoFOcjG/PznKwH1WCZQ4cAgs7++ikQW
lVqHGZgkyEYeyyb6t+2S6kV2GrETem7tCYCYKhsE8UwFrmKDIg7DqB8jViI18Kswqx/nMjAOyAx+
u7+n28EB4LUwk8F4g++knbdaKrFLJL4xUL8MG2iatDn7JFm0hvEN2pmHZPIivaE1DMDYi5AlXcZM
9lzrr/2sviE/gh8gEwPTG1g5uaHUgNINgeNnoTn76QhnrTE6o4+I9Wd16h4ZlK5dM7CHgxE0P/LY
prjROcUj6rf/C53vsTQ8tm3wl7DNRxMW73+7cg7PTayVO6/8xnehkMRIGpmsjEteHdYIDbqO6FOA
FHPTn+rI/idtsu7IfHTg3v8uG6+NTiMQXA8DBfRqVhmzjSZDggpH4AcQnHt9ZtAf6izLo5otwwSR
arDEAx34c7ujmbuwVS18WgCcri08RC86ZhlK01Yof+vRMnZDNUYXw3LM/3CUDMdQP+LiwvG8ukyW
0upOhCiC7ySRjDJ2ErkgTCr4JNt5Z1ebNk5Uin2jRAyoe5X9OKgCDXB5OH5fD+AqiiCzjugcNMdm
Vp0jks/9ZeDxPUqG0nuVXeaXikhi5ylfzm5t41DokOPBfatSOrs+WzMU4USlwvFnhCJ8ioZ0VKPR
9sVMhxNO3PpTNZKdpEa+91U3V6a38isBpJm9ul2GnEWxlFI2bxnuPqLcXsHtXtkPUg+1aiKG8PNU
xPVRTQx15yPfxn8gryxGfg2a4qAoVyvbIXQqdcjoZgfK/TiVpUJ/w9ljm9q6lchoEZoZFta0RgkP
Fb0akY+Oj86I8JrYDH4wJPQEHMva6aBu7ocsBIgFRZUbgmqdIKhKE9XxdWFWL2A1UZEWYg+dspzK
jaWAvTd4ZBRKjcuv+C1qNmixOwQcrJJD5dTXWuNrypg+y2VcP+dUXnd8zeK11uupC1E5UA5qczfD
ywhdj8BSHF/Ko+rVmSC9Ccu2XPQE4Q6fe9XrW20RUkJoN6+HvcbwlqvDm5InYCtIUa+cqjDmNJIz
lg80a7hY0eh8UGNLcjsVWhb6XcwQyWL8et+/bt2J3xZdU0wNpRIAjWLRhtbkz8YM4kfNyoTP+Fb2
Njl6zShsrXuSZX66v/DmbqmEAuRjNIis/PrjtuY41wBZ+Lj0zyANqQvP1tL0jMoHylhtVHyEguvn
/TU3KsqUYFSwnUsviUxidQ8704gDqJy4IUr0A5kJ1SM9j/7pdVM6dNrU+xClzLXb57rqo0qTP9Rw
9rqh1GR+0Br46ClrAMFJE80T66sh1dWHxmjNF3Vmrj3DRHxmPM1zpTsARmgS+4CmVdSKNQ0cH9yq
0MHl/K9a97POs/D9/u42zXcZSQeQB55jDWHW47GIioETNXIpaVDPMSFTbRwCeaQRfooUHtVECaNH
2Qo1V3GCeo9uZcP/UN3lcdEpuFKGWnn2qJ4tsi2elxZ5hWdZFumzGO3uubbQMpm1vHiWjT57slvL
cRuo690qqoYPEnmclyuJ7JmJlV6ybrTPA9Ri7tT1wTHNGL5Npso49DIQvHa2h0dVQgh7gHIrgLzz
DMvWIkyVmc8iVcIj/BbyZ8PukZ4qGwtdrHxc1MIiT1aBL4z8loM5q8ojFIOwpikareVRzLS5j51G
E0WH4YsGqh611cnO5vxZ78T0TVHC5HL/a224UJgPofsF9kDhax1Ey11aSXKNTRlt1j+Xdu8cZRFp
Oy5t43ovVO90qGC8pp+5MvgoQ1hetSsCSkOyjmE2QnZaKrEX1g2loilJPTVrM7/gMfHv728rll2m
BSCrxHuTmKy8dyGUfugNXltAnNmljLQKsVCmRLqDbY4ICuVJOX1PjVi5lCEXQo0SeNnS0ToyCTZO
aL51+l+5qLuPbYkKwgHKJ/nJlqMih2W6aaBgFoq4RLM1/PFE0wLLXyaZ8EtE4etGRTIltpRKy5nl
inaWwrQ9WAg0g+etCm9WdVTrjUU5iYTCl5xuD3W2dYs0IKC8d0uVbw1eDAF8IGdfEKRlYDInNdDd
Fi2cs6EEOy54ywRB+FAqwgGB/tSuXbBobAsaPDaqiD70hQ2HXiiH8o4J3o6scZ4E70sAZIA1XbNN
jyITWTPXRHj1MAhfaQQyUwA0IeAbCdXSg+jj/mNT1+Fb4xjzwxCkIj2j+yVofwAGJAcqpjZx29ER
H+8b6UaTZgH6w/jAZAGsjmte2sKxpDiwUscfkBGsJOf7GANNk7vsmIfGuSySx75IX5yAGkmov2eD
/HfSz8/llD2EdfnWVcNxKMXBkPOPPYXxstUOiTWeJaU4qlAZowwVeCEG02m9x9BH7aowkuyc78ZD
StFvgQ0wrEk9bpVAiNTs0LxSbZ8ECWhkBz4lKzv90OjGk+K0rWctSMKdc1tMYxUqsSi96GUelUB+
5VfSSU66eTZtf7K65lMgYuPVATaRU/QeE7ZbtY5L9l7/zbyz+g2I7lC7Tef8kGpKUi66b9PrBMnP
zwAwXO3p4/gcU53P3MgQ8V+qpEBwOcGU+jVNjDZy6wIO1cMUBOq3JIiVvWnejYeTzdA6gVURvNM6
Lxg7OOyjfLL91vmRptn8CPVtdslLYGV2D1NzLSemG1V1ctRCoPL3j3KjR7twMxnAdYBgMlC8ejXT
QAmskgEEP6Yf7Fpx9agEzUmK609yaNP6VnJf6tKPiDC+R6b0r85shSqaPSreTSuyaB2RH/16vq99
gQIdcpiASEOn0nlRBiT/6mDmvcxFeHSCqnWt4H/3N77lfYBnkw4tUSBwpusVhy6FIoi82C+VAeqa
zLYORYQLur/KL+TM2lLxcGgwMF7MJPOy8d+SiELIEIB0PG9tOH1naNf286xmkgFEsacmGcKWCc3w
koYKEmZ5fQai2h0cJTI+28HI8Kqw9JOphNVpnpfGrciHM63s6GmCsfERMkLNT0vKt6MZpS+wuv95
w3IhVV8wQQvIBI3J65/fzJqUN6Vm+1WvJo+0+FRfVofGjUK1PjlzLD2jyTfuuJTNT0OMzMQzI0kg
XK4XpR4+Q+ixaGea9Jdzu0KWr6iMnQhh69pRqGS8hnYlWZ56vYo512WtBYPtI/dW+Iy5mJRFB8ev
ZgRPDUM0T2IWDnqtvf2xTqt0Z/mtaghFkIWXBGaCZXj4ev2g7isnlVg/mWIYOgjHiCUTcSlARhza
IHI+WqkYiAKG2ZWthOq52ak7P2LzpBfYF0g+Xsd181MqBdCrnuqHHemKOwWWfm6hOvPuX4L7qzjy
6qoZ4BVHKue2L2l189Q1OYwBjtT+l72Al1MAmIHztlfnSdVmosDSYKpKh9RAp1heaMP98R/2ApYF
mhxCWqBs118tNRIt07se2xRRiEM2P+awIe445S3TBITHgBmDMQsH+vUiqo1KXaPgDccoV19TRG1f
ZodATJrsGOliC662sYH4oSoQsgRttrPHrTyVXhe/AH0mhhHXU/6BpSWFDtsyVyOyoCeK65k576RD
3KCy7e+t6cTfdC0ZCxdRJXl2hWxICe3csNIfyDgTx0W6pwxR2cmDf7uempuLsHtvewCNLHoduQHz
qDKxj7AqFEjaaofRUDPW0/6QVFb5OiMMFx60jr+ulFRLJ8VysnfcZ/iuOWnz/f5H3UpTiLXpGxOD
MU+9egNBZURlX6XEMAXj4YsaMdEDrwIzfcM5Jqc+tlpnHEbZmj7eX3nr3VumSuko4oOA5F9/6URV
K5OGOq/QHEYfauQgvMpMvil1/dHu7PfImvdAkSb/4vpB+n3FlQHrqQ3AReYdgkvZo43yM7XU+cyo
0GEeZmnnTm4F32hvgAGD1pdBqPWEV1V3oks6Xtl0kPJvGULYlVvC632sGrgqIiKPJwD1dDgm6Utk
ts7DADulN2p2cujs7p9Ksf5YEZBpZJ71ZRwMpAR44usTrx3J7iSaIH4IWdg5z/X+4f8j69j4rler
rG7w3Ed1GC6OdYKU4ASbuO5DJmfSVWyaD0k4iVdJ/g/5FNRdNggmilqk3dr1zrDdQXIWN6sV80Ai
ME8Hcylu3LfYW94nDhAenYXj5hfOZ2VAJkKESgFUkeKS2r8ZnYN2KvVYb4yU6NiEiv2ljtvJn5qg
9hp90h4KLdd/0H/sXxUjSB+iRJIOcwfs4v4P23CaJAILKpTsWaaoeL192GL1ti9gqEFrsXZxks0i
Mkmm1MmoeicZzTO0Uf3e0L7act1/vr/6LYmMA5XmcibM1DPCvZasyEhEZpoZgU/K2NcHJw6H5ygw
+vIgGOKA2Q19Qy+xm/BdqRbulGUKPHKFJFmPc1sZSDuCGXbtnATFk+gaHxFjSiM/LkS63AVuF/rG
qb7zszc8H9OX5MbLFCHAyJX/sUbVkOJhqTg56vA8dV32UElV98VJI+hFevhSLApfvtwE5vP9A9sI
CmhH0CtmthnIyLq3msgKhbOOKXpqR90/Sjx2h7if7Z1x7Y1VfkEguenWwnxrXBuFE6dxb8625SsT
4qyuY5da4xp6mbn3d3N735lPBGi5DHbh5dblZDm1aq1oessPGif1ZCmJ3qO4jg+GPlqnkbTHzZwg
ef/jRZdmC+gioDALKOZ6c5hjWSYK0iV6oDaVOyOk/qFwlK+BqdZPRTnnP2trNHeCgw2XTtmQqb2l
YAGf67rNg6aRoP4UWT7k2eEDBdfmfTKoLdihokHJSb20UsrgpXbAnIyj6bzAN1H6hUkTs7HpXutW
+ecJA2Uyrj61zAXqusYERZ0dhHajmX7qBOlZS6ruhKRtdbx/3LcvJ6swGAmNG7guyE2uj7tM9Uig
XWb6KN6l55p4woN6woOIbSRJKfa4R/eWW5luozlNi1WZPlNA5qGRy/ro9CB4ZasLPFX0fx6lc/1J
9uioafAX/vruv2WqIpVqaZYm0x+1sj6NLT3YtJSGHfO5dTissgTo+GjEHtddproxNSQdGtM3AzXx
tKAZ33ot1IDgSayHBvKTBeLgMItxj9JlOa/rwIdCI1hsXn2KwjS8rz9fGpZOlk6l6YOAlg5T2kBD
rKfVRSRWv9eKuF2K7QHn4EAZHFpXNssUPhUCSMMXxaBeGMsLLvKYVPGO09nY0cIYg0wG3XtiulUo
Q80gCxm6Mvw0ksLHRMTquQdG9H+cnddy3Eiatm+lo48Xs/BmY2cO4MrQivI8QaglNTyQ8Obq/wea
3n9UxVrWaiLmYDpIMYHMROZnXhPWjVVfOa0vDAUNk0bNhmSEhXV2uepDgjpBlUAETqUa6by18XAe
cXxRr9dKQReH2oTtNq8y4Fln65R0Sdq1k6OHlZHWoTShnBpP6rRTIBNe2YwXTm08wUwZ14sNEHAO
x6aRhg/3qushtteoG+URottJbNzLa5p/VFpF3lGyW6+s2oXOBNPIV6BDwYUEdc6xlhWSJuyoNeRP
SYKbCWm7WUA+LSz9OBZ5i/74qD9Nsfo1c7T0ba4BI8QLJg3n1XF2SW4oxxXxCd8s9D6M7bwIRdfK
bo/6za0VTR9eP/UuzNGPIhnxMu5xCJ2dfjZkJBFJ4EqvodRtDjvOhtDTQaLt2zJK9q8PduHMI++k
/czcbDjpbW/8dAbRo3Ns9IL0EBt07YbQw9hJizSic4gByiKV0y+j/gmzgPeQ7SKJDsLydLypEBOf
MIjcaAW22SpoS5V2mV55qws7+gdbCUPnTcfg/OOxsjFrRJEyirnoT6ZTLEFcrD1y/xznr0/g9sBn
hxyJLMxumkdAwM9hqliQF5WWWVQFl1Z5iJwuhsWeXgu1L4D98ZfjFEe7mWY2Le3TeWtKazaQyldD
zIqlo+TY0VOXx4KuFMIXuZvqUh3YjZgPuI/N38u6XcJq1udDi6DAAy0a48YxaYcaaVOvqLQUBYIG
So73Spq4g5WsnQco0nw0imQJf3WCaA5Tztxqvnx81tlB1mtN3ZvCVsPcoMheiOirbbfxvzPIpv2B
GCg+duc9NKVZywHtXTXEz3sEIld3z2bcVO9ef5WXHws2yaR5iBFRJKLvfroIehnnGRJwlJZR2HPp
wyTe2vekCcAoEBdOr/L/Xt7dpwOqpwNKE0zvbDYt1BGk/rgUbU3tMim/T3WeHpPbBK6fMowe6ZmF
NshAJpbOSYiO0PS5xOkKSrjlPHVd3QRWSo2THLLadQKBvdfn5eXnxmPSVtvKxzRUzht+Wro2gPYs
K1zSvPGagUBQTPLgggXQriz0BUokY6EdQBGX84qr5HRK8C1ywHBhv53GSCFCPWt9pa4VT2qyOYwq
QaUc1eeDLOrOR9pn8cdclzyzaqorZ8zLD58HQRN/q+SS0J1T+3SHDA3GhxXiSDbupwhJcm1xrhWP
LhStGQYmAe0ACDMvMEpxtRZdRPuarkMM5x+y0j6OksFt7IbsyhDIhSxINha4kN0I0NAoRCrKlfW9
9KqbCeXWb0T58xyXVWcJaQ89/zCJLR3P1aT2NHnQf/kkJdDfQMbAF0gtzluMsrCVejNkCtN+svxo
mZZ9VllV8PpevfRJ0ZQmhNtGgkF1un/koZ1h0agbpc0CBGgr815Zre9TYpF0qwqMpykvjyoxwJXQ
59JHsqljbyXeTexle7CfblokZfuoaHQmcRXWTd8ZUdBFBVbhSnVtqEvnFKcToTcQUyQhtdOhkOLX
JLGwXtMwV/6Y0dFSlDTDVbnnUjf0X09kfqRotIhA0G4EnNPxFBxGOmmerNBUl/qgDmnhFmNiXwkd
Lr4V5/v21W8H8NlbjcqyAfdnKguVZXt0TQRpeFrt03J6r81N8fj6RvlBETu92XmrrRFHqYbw8fwD
T6n7JeAD+fIANQV11cxe5AwqGOQlCtVYiw+rNtJCohIBeDWdjyrekJA+RLEvZ/R4CRR7X5F7/SBn
GqoR5Vj4vZR+g4mo3tHJU4D8GvVe6RVx7PPx81pAr3AUsAljVA4PVWVpAaSH2EUQJPYVLHD8XgGH
EmdRBdJ/TXavv/Cl+aWKRnC2UX3k87601gyaWFYqKlJbqGFR5FFI2YHx4ATQftSUa5jSbcHOJ5hj
bfPWpA+AQvzptslpAMpRYpvh0tcV8uyD41nMo59gxeDFsSbcDnrMHs1dcz8Rf4UwT9CTn9rkIdUn
e98Mo+ZK8bqExooPSzHok7fIMEnGrlRcJNjHuwGvmNuY+5G+id0dncie97Y5Tv6wbmDPKV4O1uq0
HhAwuXYd1IT3oo3wR8YQQutQrTVr22UU26xnbLcyY6cuWnZTz2gL/IdQ2j5O29YK8xICpZDW7lhk
3HsrTcaPry/OpWPr57k62/xCaRL2GA2izlEbt+1L7YPRG8pDE2Wa1+AEtEOPzPAcQFPe6yNfOPzB
c6E85pDyUkTYts1P59Yc147eWSnH8mg0t8OMtrpSdN3+9VEunI6g47jSEcDczsiz0AqU7JybsJvD
seixfSwMsU+1+nY25u7KMfIyvcKO66eRznZdWWpInRcxx0gcG56mVhNOCoC0pRXIkSVhmdvKUvvv
TCLcCWLgLUg9N8SQ4HP0TZdx6xjVvKscIdEzyK7hmS9NItV42mNbA8g4LxQmTRILXVAozNsBhRpZ
qhDYmtRjLxnXMHMXh+K02AA0YHnPjY4TqU1jQyksgs288RtHfQvbN9t3NSiF13fGhfYHKc9PQ20b
9KcNWJfFAGbXNEPJNKw7x0pE2EV1fqvDwQpnJxLPUl38mdlz75pjkxxTm1hvqFrLbQq5vRkq82sB
4P9KTPS/PBb9D4TFLlB3+rFy0r4s+S60SpZ3loJppr/YtaoGaS2brg33C1mKdFoeRLnqrRsZTXdj
T7ro/Abnsb251EDP0DlqPuW9PF8rnl5IGam+b01O4MFYEJ2LBqFyxeKPLJGemEhPJKGo55vVsZ4V
Z31IJFBVskICo8N8S7JHbZj3o5rcTRviecjTx0VIB1OpPtRG7y2afN9ZkjetKJa+vrw/gsezW2AL
ouFpc6+TP29dpp+Wl1KHtXYFRV5bkiL628O03DhGPAZ92iNihRlPWKqd2Mf4prlirac93l6NT3RX
BMusTYGE8H2Ql0u2l4pCv3eGbL01JxMEN5dEkJmr8vE/IBUoYLkNTMcF1s1yZU0B6AzdhfdzDZ93
AeDFxFOzRuVqw8GeS3gva7PEVq6b4abP/XURXe2iEjP6mayjUB7NvSdpo7qT1HJ9TJwK6KCTksKX
pbGnPX2VPX7pAAdvBg0ZYZCNbHA6wbjIzkuWOWaYbAiNri3R4lFjfWdEOsJqxYrOqS2lXrlpm8uF
+b0dqxH6dJG7xKejO7XyELaQMa8cidu6vlh3SgIAosmeOPZPH8uRwKYUXHlhl0S3XOzVWzOPm7f9
iIarkOXvZmqJfQlxNdRWhPle33WX5oRcgyYValPwTc6uG3Ua88zMIjMk4Vl8JZ1XnFrSay7HFyIq
yvuAejdKGRH/2dU5KNHUUcKlXVTjMWtEw3RbLcV7HbZBkPXOr+NxIHlhkQWq0CLLOG+0b4SDIW0t
MxySyAqiWUv9RkVA+PWpu9COYhicF3QqquRP59JVZZdoijTRJqnyfHARAyo8CscfV7Vx/IX//zwt
CEe0rXHU4hq5XfvOlgw/GeYPrz/Iy9nFKB2JegR94FmhZ3m6gVq1U8y4mNRwXorPpFyqZ0jQeGOs
6QFWVf2V/fryxmM4mE+sJ8VrdMJOh2uMUacjWKmhvkrS4FIGGdyxKJMb1az1X25nnI51vj25GRAw
zClnRfJ8a5rjN0tFiv/fmD9scxDp5evDuer0hYo6yo3WBF+4LDAt7cGRA20RdWC1PZmVtVzL7y9N
oAGFeJtE4Of6Fpj9dNBjLLtssFclnC3RuzWqaw8EQ1XQGcocvP5ql4aiDCWT5lOZpYZ+OlQll+gi
oFBFk72SgyEFCCX3Nr5TVpRfGerSLjS31+IQgfB33sRDzhQaNGL4JEy6/qDVQhxRNxVBDJjtJhJV
c2UbvkwEkN4ntYdnsVEMz5FqHNdLnqQ1r7bKFLYmilNBiu8leUtfBpHclL4Et86fC+faF/Dy0GRo
lUo3fFK6RecmfMCmU7WLCyXErr3d1fhwuBU2LVcm9PIofM+I9aAhd168WHtpaRQ7VfCkVXSvH6iT
wOC/5o56aYfQySOhQTwHitbZDhFDK1DiZNk2MXS4SsuKb6HACkVv2isvdGmHAC3h5iX8B3dx9jGj
IKzAj2qUUM66ws3i2fTbZFD9mPzV7aHCXklwLsQfgFwVzMEQozIQTtre/acPbcOarZOEum+h9Omj
ZCN7o8ux4eZI0QclGyhxNWSUfdOJ1L3cyOtBV5vGayur86JJVFd27Mv353GI4BFD2aTJzhsAUUey
RWtWDqmHmMFS2wNYtBxrMsiPAaShL7/67Z8Od3YtVHKtQO/TMX3rbIg8cpOGE/dlCFf23esjvdyp
4I748DfdE+Ky8wOtQw+gLCtG2lQrdk4TTUGhVM0Vx42XO5WGGDcPVUPyIPhVp6tpdxVqsbWzIpnW
VYfUKOKwAsR4oIB0rVF64YVwrEJmiKiM0+UHSvWnjdMBBezV2ljD1UBwGJ+bwZMRcb6S0F3YD4xC
t8ymBcwOPfv07Eg2BoSB19DokobKfHEX5dG9MnYmq4Xsyq8uEpUh4CMQAuCYv+imiiFiyrRZDQdV
a0KEPQoEZTrp/euj/EDIn0azINHQu0c/FlgQLajTVXKqpozJNuVwGLpI8yZ5jp7XSjU0v5lQ/nFH
qYtyfyqilXgWV/WbDKCpCOO2ToYjvzLFQd2pibSTolyMCBNK7ZtltrXPo55pjbfW1uonePbdN8k0
VDhurGCBe7NvUamtUrt7UqXhq5GN4j1eYZniRmJYP2Zr1E5u3w5QIpNRUulQZFNRPCT2RAZVKlmj
IAIssaHyFujrbNXv5WJS4Ltpk/5sdAO317z1W/zXZ+vlPjPJ54GiUDfYmOtnOwBXJ3qm5iiHc1f2
u3ZOZXLUJPn8+igXZLO4rbZ6Jh0LiiLn6gcJYT1UNETHo1mi75tOyX1VrS0CeqgiZLeGWKQMnkNl
ZD5WZg0UU3vsH51s0Ki5Rtpym0rGdJMPUf/Qr3kEMxCc1bWPYTv9TzcO+4aS19ZYwR/oHHyxQnoq
cJvoqSjPiJGbIvHof9hoDk/2OvtzrUura0iqLe+ascAmPYocIL1dYRoTdZBJ730HXOgNJZHoi9G1
abmZY/XFQZiRVu4tpye6yvpGA9uQdoHRWciEao1Iv9AoHp1dnBoMkCAiu7qdhnMklCwbYmYN9qpy
SQMrxQWCIBpP7+por/VUAWE+q+o9NJ/1NrU660nWZxzI5KavOj+ycAxzUStLKg+1ySFQVMRKPCUy
nNnNanmE3TWq3e2SicLL4KvCFC7z6ktnVHiCdrKkfE4J7e7SGouO/VIuVG+QJFcDG8etGsgISHUv
ytAjdruk1We/sI1hvNWcsiNX1RL0UhLakVSCKcu/vqFehl4gcQhdQS2AaNLPoY2TnKfqXOVLqM1m
dbNxWn1tSsr7tpcAtJROAhm8qx7MfL4mPPvyg2Fk8BlUEEm5XjAtcKmnDezQmm8NedyrwFJ9za7G
K3vxwijk2xp2HMQMFqoVp2cY4bkuTRkHcz9kE1KyK1r5+mz+MkAUl4Pt29/Yl4TMZ/eZYjQWwnz9
GsZ1n96YYMS81Cztf+Ndfh7lLOjKG6jiWtuukIuawS+bpQ4dDT7X6zvi5d3MuwD6IMpiwlCQOJ2x
yc4nCeUrZiyvGrduU83V82r1Yk64K2n3D8vBs4MCIB1YQc5MjYz3LF1rilYbm0UF16EPlGWSuSw+
tuSj7bGQ1JUTQSqa226W4+pGyltY04k2YUwSy0stuZkm2WbQr3r/RYhkvHVsPYl2erQ07x3q3onX
Cgnum4AUiJZX40iu064Dpn11pd73EZxZf2yU7FoV+cIXxW7bajAURzigz94pz3EUWqiOhoud28dl
6mPaON1GrJXVyqvsTgqkcqEinySW//rSXdrsHJpAdhD+tgDXnC5dUU0ZFioZSxfrsl9k0OMpIcv/
zigbYnADu9kk2aejxOB6rXSxl5AUkjqrUU6+pEXXErOXEdVGDCDT/R9kyukordyWkBh1KACLlnxY
jbHfgVMsdjUCQF7pIDz3+txd4FhSG6VRs9V/wAueh/TTahbtQC82LEE+3xS9Otaekq4fYy1CeJuP
250FeYSzKMYH2FLOI+bjYmeBlXQ1e6ye2mrtDnIdj3hHYeAgjTLyb2kNpmlSm73eNuQuIvum93Ly
HvpQdeUIejlf2+nDaUpMCGzhvJNsdsIa5Eafw1ZXpnBqq/w2WVLzbWTMKsa+g3klJbkAWtk6W3AO
EaZE+UHfNuNPgTXBzRih7DKj+eSA4M7S+JgmXXScVfm9OWtZiEgJBBI0D/dka6Wn1PpwlwrtSpR6
6Tlo2Gzpytappx58+hzNEmWmPPcTgNVKfAK2VUAOovv3WIu4/VOSKGcBEpjKKtCaaXlTKVZrYSBm
fan0qbwmVfHy8CQr3rTeCAM3LuRZyDwXqcHW+KHmTU9Ra63h1kBozi+XQv3l2wC4EMUgbu0NUW6c
3TlWluAyVDDUOE7x87hIg98B37mSqV2aXur+VNKIDTZu+dn0YpzkmKNZTCGtgXeI6kReMdKtXVYE
Y+bidu2N42xNuiep48Hosz8o1FwDwl1I/kmySUdJSImtAUWfLrG6GNZYLAnbOkdDyWAnYcqnxg+F
rjUuVdGa9omjhXM1lF4/Ld0xyvByqNO498p01K+cFNvGPr20eBpqfWSUZHwUJE6fJhcUjUbJGMMy
NbUn0YnVn4Y6vsImvLCT0HhHTW3redLnOLtGlMaGHtExitSoDUL8cfe2X3EwcWVJ66680Y/qyc+v
tFEWtzLlJklK0n9eBZsmKOHE002oTLKKdVvWI2omq0mKlHGaEDLH7Vq7Qh21HnJWVe5Hsx5uCqV5
Vsty0AMI0BkJXVPnOui9eC3dIdamD201KtIRD7qsRS6hqKB3ECbfd30yfrCQ+flWjDWmQBWuuNko
s2/wizKvZUzn9/H2bpQwOaO2bhEI3dPlkkUl6YiHYWcD4iwg9bQ/z+gzfx2w7QnVPrHfFJFRPNtS
Hh/0erLudCEJFy1nem8pWtdCH9ubtrTUxc1y2eGlFGsPBheYdAKx/PVb6HxvbQ9LFZkCF5ijDTVw
+rCtEJIZzUMTTnplecm6WoQu03olxDu/KxiFDYWSCTV/NKTOO/eR1W4qAVkTghyDKjqQ6BSJqN0o
XZ4r0CSvv9MLUts2HOVx2GUA8Tco3OlLFbFdYnANtGnqcicoh2XxB300fWnzd7ZXowNU2Whv9DnR
97KMDaZTZtK+M5o/snbiOlXjLjC7oXPVXO3dfG2bwzTQbgKmei0detEB51lV/rdBe5HzBgZw9qyA
lZORoDSsEzO5t5YmvdWKxHmj9mZ7UKSa7lqvRS1+FG39BCtzecqseuuaLCBVMj0Tqrd2tfZmdfRr
4ugX9gYdMFo1qFvgyXOujV4tuKIbomzCGbN2yHxaEuZ1fM3d4cLnQhTEKNALKNCd1zGsRsYYJhLY
US9tcY9Ie3eH5dToDWll3ImoMu9Qo82DBHndK6noC1goc4+hAGZKwM7BhJ8TsKJSRYMPx5OwMMoP
pVk7bqzJyLG0uTy8nRvNuo86aLB6F30WuYlGcz5PV66781MXOUmaHrJNJwJmEYWW0+XH+9dQJ0sb
w3HFjDxtze7YtFSwENS4JjJ+cait07cJF23469OhUEKV0t5GbW3N7e9dvmiHpU4/mqW4Rod4Ma/b
S5nkBORYJAYoxJ6OhGJ4XQqrHMMmwr9STjDnsfJce2subRw0OYItM+J5fjQV7btcrtZA136ZUsAz
kBtvAZpDRK+d3zBmzGwrozOEqw32QkvLnuuiv3Z8XpjTLQO3dcrXMv66Z3OaGasDfTIaILxWOXDK
LvJIlIabkhrAlTvz0lBQswzmlYYELerTSU06QHlWbQ4gUArZV/S4ONb10hzn6Zok3vkXuU0dyFC+
C7oNeCKc7cnV0OYpiQEsJJZcebFEn2qwjXzf4rbsaqvWPWH62odgha6ZK76wD9uGRlaKUj2XBX3H
s5fEu01rJ9EOYZwuA9ZhmuIaYoBa78StqyRrRb02qZq3XbLl4PK6MwfwZ4PSipslccQ+Uslx+dyM
UNPKHG95fX3XRFV2Jfe5tBZku9Rf0cmnyr/9/KdUZKQHFCXASkN5AtJhIlS/a2MxBkCGjSvLfn4I
AznhCmAdKF1tomNnyS8R/TLgSd6ETi9kb9EJi4YpunZl/tBS/TkgYxiD8hjl0w31Bj339I2oewIw
iWsRavqA9jeQ1eVZk9kFbrxY9nHGZgduDDab98XcdTguJwnuSdWitopLdTtLUdnUpigQlan6RaJr
LVhAq/dbKEShtRTFsAmoR2InRkjtLvm7/lkZOnrYYk2xOI7zrl5IZCfMGNBDFMdF7fH7k9OUY0PG
bdhdnKkDgpW1aecVZmV/4w/J3w196N8LXYtjPxu7saJPDTXOXfu03mXFWKHxHhXiS5QZie1WemUA
FDLHMQmdyEDTw66U4Y0xKli0xlq+yfYgzC8n5fquzCPAXmQ6bpvquk+vrx4DPZMlCANSalNiMUX3
OK0dRvSvhy/nwRJLgZbqFg9spM+XV4KT6ZOeGSIs6nH2ZS0Xu8lxsWgSSmpdGWs7n86WnaCMyj55
PH2dc/lz5EMWUNulCEG/tn7pqJGPwm8OXom+v7CkyEcO9NqN/6Ondzoq7DUTH0/ufFgC5wnNIGB/
gvpOecNOAjma6kXul2a7mViPq/NgNIUz0GmdMmDAET9G/LCVvxpWgi/xukBZSc0lekafZ52CxUyX
+2bIa2On132XhLqK+G3URmZOt69YRTAjp78cTKdNnxY4vKMrJRC8g7TpI9WtsH0IIidBRk0jdZ89
KdNmLIbIC1Wf3jf0e6vsYwjTsdkPoTXFaY6GhCIjTK81WJHiGzavQTMNovRLTQC4TtO0+BYhIvqk
TcW61zfzy0XGK4vB9OGdxOeON/k6OjU3hgEN5fX986LIaTiEbLCVUejj8iW2PP2Wq6aXS0l0OQUR
FjWTMlrS5TCsj+kq8hLWSZ27qtxqFV9TnvT7vhdaT0mtl57XAt2qg7yO9XdtWFOgg9RS3aEsEXLS
U5mcK2swCXe7cS1omaxdH2RCmGUQZ/La7NGlw9Vhqpa6fHz9pV6k5BxLbJTNIUajF8nkn75Ukgxa
nw9tGvb4KsNZGvVh9XVNah6jxZEsLCRTR3i5lHBvFJDpWn+chVN4YoZTFtS2rlDAjup/hpD/+XX+
r/h7/fjPTdv947/576+1WMDjJv3Zf/7jYfze9kP7/be7L6L7LRyqb184Xar/3v7I//9Hp3/iH3fp
17bu6j/78986+UeM9NeT+F/6Lyf/EVQgN5c3w/d2efpOltr/GIBn3n7z//rD377/+CvvFvH9779/
rQf0mfhrMQ//+18/Onz7+++bddV//vzn//rZ/ZeSf+bS+Pyenv/+9y9d//ffFcX4G/YjsJA2bv6m
Cvr7b9P3f/5E/xslJKilJogOgPH8pELfNvn778bfEBmnp80mJnj8p3gbvNntR/wbgIbcu0Qnm24C
Xi3/81wnS/WvpfuNCswjljV9x9NsV+e/jqGtTyhDAt0SRM4h9He3q/enW3wVkox+2FQeoO2j1Ra/
l9ocjmtUwVhwlg+Tbpeuk93m40HIZX6whjHdr6u4X5zsSu3l9Mj/60k4f7neUTqn1H36JEOX5GUU
pQi+5tMhWryocFU9/Ww4QrlyOFx86U1NABsvJFRowJ0OBX6ea70cykMvRx8TvQrUWb2dI1Pba23C
mQ+01s3jqbiXlLhF0KBeArMtsnDFqWbPjX1NFPM02Pzx6uA6aV4giC5v8dTp82CtWS/UNotDVE9O
EBvOpwkqc9AK/ZCYUNjKOk/8Xjbf/7RJ/9oMPy/+9ppna38y7FlNTTJzTVmapThMTd0CvcRFUMk7
zUNH4M3rI11Y259HOoc8DsqCnVCrFIckmf7Y4MFRNo7usFrfYDhfe6sfHpL/ei92MWUWNE5+TCbL
e45si1qnlXF8zg9SEcl0kHPLn/SooOaSuaI1PqjLskMf/s82OqC8FMT5USRbZUO3P6lLl+zKecdn
y80hlGDAz0yp40M/7Yo+XQJwOvl9UgPz1SsVq+jGV6IFT2RZqp8wUFAegTp0tND0P4wseWhQk0KP
TPkUsfisYB27qrKniP8+By4fdmb3PpPs1BvHYQ7KBCdoItQJrH/0mQNifIOdq7vFqh4QHWSaVPs+
yhY1mLSo/tD2ukjdYaw+q510T4BcH2navJMXdIXBb3yURqSPl9QKWhVOxUolDYJ+clfPzp0z67uO
GqIbJYtbxsaEknV+VAYptBXoUBl6R66YS9PDVm/xumR4bxZJhLtyOQVoHCpvHU3cYOmbP0y5EbQa
cnfF0oP2T/BFaNE8wIIh7NL+u13FCIHNmCB3xa7XR4rzyeoNUvLZXq1wHYewnmTXTGKkUrU5wIf0
vTyVn5Sqg+aGrGEs7+ruq6lOElSoNNpnbV4fBqCRfiyD5J87ZyOK7DknPlELekhz9XueLZOHwku9
s5cZ/EC9eFOjDy41WJ2OzLAXoFxcJOLex8q8Y6P8IUWJ5HbQ2XFKf7ZreFoxYpwTMt7Ifzh+Oai4
B8ccR60Zl7fGEH+SEWzYjR3fS9vnmdt2Reaixfe2bXvFrdLmvovtAt6GIQdj3scBGkyPqoE8/KLz
C7X5wVLYF86CWDAOf/aHfjC7QF2yZ7WWVZdWmHDzatlZjuDMWYlLmPQtyLIK14EWcpxJjj2+gw/0
a/+AP+B8zLPpvbEqqNlIJszM0sCzD4ZfNQ6B7YyVK9AWXjUtmE39TZz19GPlOaiaQ2Y1X3F02gwL
MKp5UyhyICX4mFugInp8rHwp6Y9SCR1RNOkNirKYUUWyv9rTUySpb+ZkwFa7sx7Kzn6DaoDs6oXk
y2Ov8tWUARnI00ZPXOYUlN5c7J1C/UBV4l0WiSOns0cALNxmCObso121N53yVnXQDJm/xYl6i4EI
kUuxK8ZADIZfSInbV3/I+uobY3uwo/ZOxcNlKZ5FTDBMkXKUpX2svI050OtJD4A2gXcxXDvDM936
NCvbCUDq00THciCNLIYApIc9qxv7+ePM8WrL3iD4/ECbp1WIDSL9+mNJ+UubfVW6s43MNYedpuf3
Q1HditwOKFfGwy62n4iID1q7BvIKQLj15Pk57nYDvBOsNW6H5gEsVlijHrs2z4a9fNGTL2L4Ji2d
N+AmCXrIyr5hZQjs7zFW3q+J7uIVNgu2rfpYYSk/i9lzJLE3E3+Kv2VV67XJnzOFarRFRP8tnSA7
Dv5aSje0UENbHOfyqaJlETlKQDV3FKQzJbz90cWt9b5qjUCTLH/eIEy56iVJG2IpFEjOp2R4Lmbf
0mqXtPYY5baHk1fuOd38NOvUrJoS+NM98tZuVOgBbSc3yYO2Vn0lKQ7r8pbmf63KN7rKL+SRiyDI
MZU3WTRxzLSJW5UtPCIb31HcrBNPa74a5RosmsU22kmr6tsxdq5l8qBiDJdVzPDk+ADPgm0uS9id
6WSGbT97NBHcspTdRte4SBzfaSqszkKtVJ8MCO1t/FZYdTDatm8KkkdZRZoQRYNmDMUyekBJ3Sr6
VCprMKzB6mSBjm0SKfBxcTpXSVU/b01PqMuNrX5J4X6liZ+lOGo48m2fKPtGbj+YUeEh+nanJsXn
dilJbOTAkG+Xst0ZKGtKSNmVWKRBgoXpHpCcQZmR9gkI5EZ6XLMA49wnnXorcCCvzNRAXYdQn4BH
GV/W6a2ZGNuZcgcjgqPwIVOfYV57ZanwV+7UOn/K0uTeab9M1QPe6ri4fTVqO3RMNLH73stqy8XP
hTJQ6o8TBbnovi+GnVrKhmu0CNI1nRN5zfbYjVE4OwJcFiwzSD7bYq9k8gGoFPV4JX2u2hh2U5QJ
CN/4qAjAo34W25/kODa9skcbTANPlI/j3YQDhjdwaJCeAs4v6w9lG//ZlP3dFCfrMS1w69Bj5yZS
kLqoC9jxApKwNb5bIvtPTR0fW8Wn97eT9Nj2U6m9qWXJnXt7J6Yy8Uep+B6tHEBZK+65s270rPhW
j62yT7Phjdrkt61W3CpdUwQ9dp2vBzD0GU+CpS2ogK0B1tQEnQNS5xznnSrYdaSGI+37RvKndGme
smgPqAf99jIfgzxZAfj1GZxPxcmxNIRG59fUiJFLmZqdoqflDYr5E7W7uXrAA3Bwy+YwFh2q9h13
5Uj+nX1Z+k04oDaT7lu0Nrrp25w+oAw/lLjAvmsk82MfZUng8N0q4ptA9hTbauICKjHZu7nXEWOp
pPk+Ksp29Wr1Ts8OziKlfyrU1x/NYS2/MDtW83kVDy1uqWlfe7Vc8yidU7l6J6n+EK+3lPOUNAaD
AZ85HiY0o+7hWHmjIt9OukUbRkGWY3U+rhWWU2rMdUoj0B2nDznqL/U4HEyrj/6o14IrqxjfKsrc
32DC0DzaJcP0i2I+oome3S3YE3vyaHOGrKIBxt0ufyRLVn9Eqy2cquau7/p7VbPyN71pY2iwlJ8m
I8JLh8anK3OalGCX4H84QWZztMY4l8rTuHIc1H/QaAmUrBgekUh/D5pPD4wFX0UP68bJy5AXQfqy
tDjh1eVBdZbJrcoO5PqEb5uBpxTuzk50YyHL7cLuI58XTr56Zd1w744FkPBifc6imC7aSGl1P4He
8qRp4ipRu2M1yMubulc+1mCgvaGVjy3tzTupXdmvdnxv0ekJ4sT5ZrXx4kpGScmtEZk3q6Rg2UJY
UqINtnOmxT4SeOk+OXvl2a0U+wjH2ABcCM2E06gH/IX2JTY7D10xCr+papyWe/CZ4p5z8HZejffL
qhwrGW8SNc2DpSyfsTj+0Cb9p1gSKP2vy+Lai9kdtJ7PetO03cUyODeFoPVONrPCLae2dykKtM/R
/6PuvJbjxrJ0/USogDe3MOkzmTSiu0GQIglvNjzw9PNBU9NTUvdpnYq5mYmoqFCIKSYysbH3Wv/6
DTKuiLhKsm+AFeBmdvMi3ebO2H/vsmq4LzXnSS9UCcYnB2WtP0dwaV1wo2vWKQiwc4Jt8+FtMWEV
622dHqdqajxrCG8WOAN6QRmykKhNiNZWBhX14wZP4USJqETUWPhSV/pdaz1NeUOFoQ3PdpqL8rUK
bXP2ITGLyC3mzDm0fGQL9wR1yAKbnEh30NW2D2LVQJY9O8JpSV7sOuHR4X3HcIcTTbWK8ZOsHayn
y/h+qRWJpUBaI5nnuScbb6l8SLMtyvnvGQAag5w0eui7vn4r5e7NmOqbGJ1aJ9XO3jSyaEfEfeeK
Ykj4VL2+N9rXcmR/8GaCgtDPdtWlUfrpyZqUQzeo1jVT5t6NhbL49TKQvdhHnpQfM4FVRBVlbj3v
a0DcQ4m6cbZ3U06rIOlnRTKe9UgiCnxODMttdQtEaxgJidVf8cdtzjRIVE39HEhh1Ac4jnm5OOtN
WTJiO3JkMl+jKmgX21d5jHiw9+SE5mF1aJ36jGzPrTgvcysPHO0IenhyjC8l3UwJi4Pv9F3rtzic
wM0ST4PyXrX8/bRRnGJw5XKrTlWAb6priAcSVr0lU55qzUfg7A5VfV8Zlpfl8d5JrgJ3sCrSyHcR
V7Upzop1GusnAl/MefYyqghdfbPHK8DaJreHVfWuuuSMZh1Pf9f6Rv+9H0trDVTdLkJ6EDywZd+e
IjsMXVXL/Eh9T5byADk+YXaiR+vJWBKmUZu7FtK6iDUvnbrCk1Nn2WH5L4I20zcy2Ud2LQernNYe
6ZHy5378LNqj1sVpkDS5FxFsILFzDXJ/jJA3ZKUZCHM8wMHeMSbA7I2aijLax1rFRQCNNTTla5Fa
vlQUx46YEl1/LJDRhpiL4SjnjqtJuNApvYlrN5ei85dlm88PFltEn96ktX7MObzz4SGPk3fN/uyn
U1qi/McKJmeikNR+GKeXZjpLIWUYQYuB6Ui5ZynSNVZbKJmLfZ5aDlTyCNcAv8/awjhNHkfMvEaN
BALlqDd/Wjb/LWzwoSr471eQ7ydg8P8JBf70qu1nteJt7a+/6n8jXgiE82/wwp566uNnwJB/8J+A
oSb/Ya+ziJVxgKqMkdN/AYaqA/bHmBxXhjVgEizxH4ChpP4BoMW/YFaCWhFJHz/7EzGU9D8YbKBO
gyGH+TPDdOvvQIYMwn4qhZi7IhbEQIoZJaoIFZoJP/8LZpjiDC7JWv2IAZB82wojKBwmGBmOaYep
tXfxnOsHHMFTd2SnEOOLZm+LivmzOm36LgtM437Q7if2wtTO/G7OHY9EPo8i3B0HlVDju265r2Ec
w0Y9VMWREcUJ9/neNadIedKig6beKdJb3pk7tSMWuDE7v+8H6bFSPupB8bvlKNQdpjeeQXMv1r0O
5LLEMdS3lEZ4VSp3m4YBXKx0gWWnpDPAvzftz7AhhUYZXbsnjjaz8dXw+zDFa9SJXRHdpLnmBCS5
7nM9dR26KTO9THZzZyx3iUZvUJvRfRzB2xrGgxikw2oSLRGdbAxCBViDPF2QqSP6VnNlhflcQ18a
J8M2bMRO6vC9Jc/SAieJDfmIrs0Nh9fBIog9Yo8mEEjCzib6qIiOLbv0POpnsAKvbPZaiBACIyp3
NSNBgNgf2oHr58hLY8OjY/djHvE6hdkkSZsxsf2+5VRT52DsvqQqpsb8omgPmKpuq+ab7XyQ/+ou
puBwWJy7QVcunYKmpQWe3rZQjtOshxpnflsm09xpCtXLJNsRWzPfSkl7oSeu1sefcTu6umL6hTE2
LrKDx3QUG5G0blmmO3u2a1eZaUsl1RJnRpyMjNIIqOGk6m/ZZDybJkl0jiq9LMX7mnstWefRqfbD
mGmBVnc5WKX6HvZLuc3lpD8yTWwvFH6uVhqPvYLtpomJDSm4MSiNQBuCOaj8IEbTt6LwUSHHQkkM
NYiNJzNZAJnGS7GmHXAMtofZWK5Ohy1SYh9LWiC+/H0eST6KOeOIF6KSYAiinbVBD+ZhpGeDGYk2
BrXIcWUlRWn/KcKcFV01BwQegVzVe41FKuKGEzQDhyu2OmqFsCfTSmBfWutK40nGRA27IAgP7bOZ
p4cxAzerQx+pMYV91iDpsnoUM1bqOTQ4yjB7KFz9rrR3sJAD7rKXSnWg5CON/eTGPX2KnZJTeEsY
AzFExIlPS+HZ9ryVajsANLsJrRRWCqTKQblVdU4D+15PRlduRtWLGtr29mzr2h4+kNfYxo48cIGz
zQF6p4eLaS4lm7L93lYPrRXE8mMYT0D2034O86DSQ+eqoGLZGwrRVhrVzywda1vhMHOorl8nwEuz
vO2Neq/GyHpokefRrG+0oqGVjufdJI93/WRslaW60Yk9NeTG1fSkcXHWCQHX7sbqKUykg4IrRpob
vh4PPvLediNPl7SD9Sj3LqyjY5tOgTV+SctTIj+ro+LiHCluxyLDATcmjqMfN0SMl9O+M+6yNorp
sfUe5cqtwuRVlgvoioz+x/tepPgB31Y8/MnQdL6Zlqd0KnYJGGpogVdEQWKGHpGmnliU1J2z984K
MRE0By8EiVSTOmhiHvfU3Gt1Q3qQdK2yFzNWv8Io8bCoBsx9mMLkGcJQ7doLjA/lHX8RzxpZIhq5
0eB28/TewetGcgxezJMGwdQTJIqH6rdipOrkMa9l8mDE6E3LZyh9lRnVWm54tXE3mOq2S28JPWeL
uAwGETmk9TwbSc7SLunvondlxokhb79VJsb3wgLQkLJTYXTukh7iQvUmERduM8cHWx+vTZN55B2z
rdHWSkQRu8CGuwFT3nweBx9my7SJQzbAJXTXWrMj7kTQzC1Pjv3m0AGPI99wXAIzyAHrjtGHPGyF
qEIuHo0MVoz4d8Gh+rKa5bDY0mmZ7uV4H3c0CLp9q2v1Q9slhGo3L7VubeNI2mVKOLhVUZr7vBLs
8VHkLCebAHlf1eNLYyTdpTMQucQiyd9bwkwkdc3OcsTVKpxXCM8eg7RbOHMRTa380nLWwOqfXpsR
2zuJKK0TLI0AKcLW0UDz4ZQKcPH4Bs+VW7UxcbEwdIr8MTk2aXZpwmJ+dVLZk4WyD4v2jODBrzFL
ALRLhktVodBUqjE9ZHjJiKWTCQBVekjUoDFL1N6JIgY9BWR2O5mESzHCoPPSdjBOWh1PTyY8kC02
Fc03rVTgd3HIyqbUfg6joz4pcgtdaYK5MJit7hmVmj035UyfD7MkNOTJj8rQx0pQDwY47Nt2ZCDA
B8RjZNjpwv5e1Ep0lNom2sPSqL0U8Xzopn1/yAer/xYadufbDXbL8Itnr4KD7ydEiLvxYD/FFPpJ
PAJPOsljO7bQxzn8HWu8BWziiYzPYlK+hVIYoGakwasiinJbeXRoR8dGv2sTM9pmzXIlVmDck+Du
Y3nzVMZyWLqCRMUNiEIU1V+6PNmuVcnluyJq6xC1IcCbbfaK1wKnAIGQReVmlRzxPMXKN9UID9lA
GLoe7yZneeqaxg+X6XvSZQTcJIa+UZPJmw1z71j1XulsspBLbrDVFzTXCRihiZsb1s+eiTXvJgJy
7UT8JJfjc2WoT7WKW0PWJG5VDvu4ENeibjAfaJ8aa9zGTRP7pkpmHco8IkxKsauiG1oPP+fsb1Hl
cry40Ll+6KbG2NMlaVfAl4jTji8zkbrdQs89LP2xm0z7q7Cd5pjXCCXlqisf61AisWQOJ18YrRYw
y2kJI8udmXO1S7Ruq5ttd9tJWu0Xeqvf5JYVLpssITYPwDrsH0qdDEAdQcmrqQuwR6lsGsVjMDbD
dDAN/OuoGmrcCnMaUjbtOiHfDuWr5WF3AEgd6hRESdqe6XWtbaPP+q1N3kDBICnuH8Pa1OO9ycjq
Fg9SWE6tlnL4z4OW7FCrdF42lttsEYguVVT+4FiLHYObgjuWbihVzsGSaipKqx+dHKgY7DATPEdA
QKRw8FS3NxluaS8kYAnXQQx8wiwB9aSwWuN19Rm1kHcuyTuWas3GFFL/XLEYgqHvOtmPBR7dm96p
B9ltOF8PqHfzE607uXJp1u3ZE41AHyJQziUmxrlTLU7RjCGilC3HDt7VrQrC6YGFlmepWxI30783
zkNmjUeD8uIRcHXed/pYb2ZydOmrTe2kTeF4L7Xx9KJz9Rcz5kAa05A8u5TQIrttzdtqme0zyHt1
y6WE+ySd7qw8HPwiBckv0+YxmxVnn642NQaCgNblAhb6YTXZ5oq1r2HYr+l44ZXDWMYdiXlAOmkh
9aB8zGpNuvRKVb6XiVw+xlZVnQyiLHn0UtUFZ+D9ymWO/KqtEXho5EPqafwN/77xlNRi6yi1nzta
kMEX2qQaYdOoXcVBhjnlYxL3Lcqbp1khkoksCSzMTInOuwlaQltfLby3DlGuMuAujflBWrLqrQB9
fVxJxkRmZ+OulamUSbBigNGvHpkQtL5ZJbpYaWTc55ih4gkxShm3i9pqtiW4bFl066SKQZZGHwJz
iP5YaUN6p+fmdwRhh6bsnsYhIaz0dhHtSxw9MPEbAzkcsjMZUnvUGBUl3CozMOAfYI1704VwrvVx
eEgIqXBFg1Uj21d80if9Qeo6YA1Z0G2PNEAhQ1wictxySJJPMdI0lMksu1pmnVQx3ROe5EEi+lEb
7qyMLxfLR1LqIgr2PPkeJQMso9R8VnrrEVGG4TVTtxlS44rzWHswB/2UZl859xJfpOQuTNvuKiN5
BrEncqlJpCxIo4VUafWpNCZK2zRKjx2eCJHaJfQjzh3RUSC90XF2ltLNtfGWWMmnEpF6B8vx0LU9
3YHI3UgpVfwn2m/zoL9Ua9+i0qTgQXZQVNEQ+4sBsjlm58GcaEOckobJIYLTjy0Wiukc7NbK79lM
KYobZdlUaC4ZZPXGppHUxyiZmnOR6Oq+62BLXi0HkG9h3X5CTMSHLQ6xiiBUJxgVCaginMtkIxmV
2HPIMgRpQmfc8NC35yzv+0uWJOm2H4q0AkhnHGLlheMnkyhJKCbQx6/ywgIbiYghM2NmScIZlKDo
koU+ygYcnZeuUvlO2uZjGCfCMvK6kn0GNqM/4qXw3naCb1uLD4j72/bUDTk0ylKPercam10todHa
1JlsoDxuJzLed4ZWL8+SvGSBwPbenJXPVK4ZrAjLz+IKjqdivtAUM3FbpreoAtscpcjZ/8AR/hbe
8v8HptzUn+V913x+dlC2/g8gKmSv/ztI5T4po7e6aj7/ysL68W/+pGHJEKeAU2zgkzW0d7XX/5OG
JWt/QCgnhcaBeQ2PHeLRnzQs5Q/4VbwYvdnKQMYB6R+givKHggITx5/1/6tro/J3MBXtF8Ufl2Wh
feDNOaRMaF0/qH9/wVRIjzRE0kjltne07xWk2gwOgkjLxa0HKaisLPc0KZVOfZLmgT4zRyna6Jsq
00UuIv6IGnNnYl7J9IdhN5nnckwLh+Z+k1pp7aElPFUkRC5KjvkslIuIgUJpN63vsNlobPCtYXh2
JJd+xYNE42/tEXEGo9HS2yZOAnZg7OKivOLLc5lXyopmR8cok0n9o7nWygjzv8bid2j6bYpVpGr1
/vquZlpc81AKFqM7D3rptbbh0Y4zwqK7ZBDUaG29MfOKlFrmRQDVvp5pbtjXV1xEiK/Fer7NXzEy
2GWFtYeuD74SDmdzfu9EEWhphS2Rvo20u07q/CStr5PKy8xiTYTdTfodWp3BVePwQc60civgILkQ
Y/I9hfGeYgBmhFReywRmUDFGDoPbSt+kMfht279XZDbzUSQlP8nZ4MfaHbiwZzJ84f3kbAWrpZ0u
6TuDy8C05SKWZmvqtbu+uutgLlTeskRb3AsOijLfL3nl4u6Ue07YPo+VwdwrWe4zqfAM0Z1jeP1S
Kmrvh5OFHAY2B3En2a2rS08yN4MrMkblEc9zL5Hv8v6urO5IJAkwYXkUym0oR4f1jZ3E2JqNcSRG
+i7vKt9aPkQ8vOYxulsNsq/W4A5p8544JnZOS09QeOPc3EsI5ZUhD6YV8WdVdAp3umN+YnZSUGTG
rojxzSzT4Sz68jUj8dGt1OKQVoyhWGuzwD9kIJQe451MRBB7uAfW9Iihf9C36bs1Ow9xJz/+WDe5
zm/jNSjUXFwFDiIxbkvsDXulxnAsyftdxxTIaLhKPm1ayo8d9VReTdssJIBQ1bbwxrYCVf+sDmd6
5KNdPdFgU200h2EKBp6Awbb2RRJvJREeW7FQ2pVim87GFgEvw7QFMzDEd3Z5P6QR9VMUjE19js0c
f5DkQy8jYqh1ibMo/ahVE2emOzxI/KWKj2Xaql7T2PsUClc4J/oxMbFCqWYTr5DRWfx+zQsC6n+l
Q5/vdCPPIF4Xp4Kj4H4phXUq+ZnTUBdlc2UdCzMu/UVOGNZUfbyBwB9vmthSUb3DdxjAZfy2x7RP
mPEL1v2GXyu5CXuIHzZ6Zvg0i9dYz+Kt7DRMbKy6pV2XiW8w5rn0SPR+jibnsxs04Q6WfsU/uHBb
ZWqDdIrmOyZFbbBe0Cyb4b4y11VQmPj9DuWXWRbsMwiLjpLDs6vZBaFyCmBQahilF+tmfrS7rtzq
hZPsu6KsdmbI0CjWVGmblDTjfWehc5hCH4+RaqeliXGN8KK7T+xSBFgd+PbkbGqhY5+/bOW6RiKe
bOSsekVOciy0zFsgadR5FFiVdcgnJm8Fo5dmOEJ8+h0pdOWX/jdr8M8dGGuFVY/LqP9X7a/EcF+P
9LHahhLPvH03OKobm+9WBWSG40whZ3c53bMsLY+S81tK6g/Q/Ne3X+2JNRV1/2pk/jOorhUm9C5I
IltSh2En1oc6HOHI1PYmjlmnFfwzAElau3V3ndrV/V9Jds1CVqJUVxrAkDjA9bW8qesB7+TsC1PN
1EfX/QAJzJDEg2VmJJos1iXpdXQh1iZVU08uHiSSHY2IknBKnrHLQNQhMaYDw8NSKBiainmeiilP
Xd5bcrUpo/mwbstdbu/BMNw8yn1dN/cG55I0mG9F3p6sQYUHWNAumpuls/YlQEI9RMdwmAPZiX18
d5m+DZ7dx99H65s9eNgDuXZe7TOUTLQ5rDFQixJgu3+PNEIHqForWM4m6e6kpfjLitkUqpsojJJN
Y9u302M9VveOnX0ZqQ5pwLhgj3fRIuvkhMMBDxJybJdB9kVielIhwe+Tof1o8P6x61Cnb2xb+0HY
DrhLF4dftWnvJ7ZrKYHWT6Noo8ce8/e5qO/XD2RwsBL51Ezkx0GkPDE8f7Gqcmc4QbUYF7VtDrX2
9zi0PyoE9CKyiSsYLry/Jvu2OXl9vTEj6SF5wh3YtZ3YbjzK7g1Ode9/KZ7+BTX4R73x63IkRB01
DFEaeD7/IkKTYaRABbGrrVlZlz5p2fUyxSMR5Zb0V57BugeoMzeSLjPnBdbTN1P4u0/84yP980Uw
gLJWx3iIjD8/E0Qg6aWdQOUce3hKZbLT5gZ3qJCqYssP2IYAKbmh63Empkey/Twr1YIcG28szcb3
Gq5YbXBYQGwJLcYREO0SCCwQoLZaaG7HGo2zHjKIYL8ypX0syZfQxku5HVfkbC86ZhrWWL2p2vMw
hR4sf8+UmJcPMK4S7SFUDxLhOMp01rFDSOMPXX93EvkqG+PWygGtpOg3YW4/xH+/fiUOEzwKVnwZ
WQo/fyUlA7l4kKtq20uKC7y11yLZm2AlpvPiDXkTLFq0ifJjGz+1SrPRp8JTl6ulzT5NTjAnx8kM
KcZg8qX6zhLFqVVi/MrycltFbHQjLMTxTrsuSnzUJ/kCIeFu7gb/36+uH4ref/4Ua+1sIGb+J9Hx
SHBKpvfstcSKuKnAnn/Wt6pevGDNHcBl2ZXa8A4V+ZgbD6MxX0A1d3JDDdupbyVzQ2oCiKEV3ud1
a92rTXeZYJKpyrBXhXVea09CjPw2jn7niPkLU//HQ7hqaTG/ZqKKwOjnr1+rpaQcjYlJWa+9z1J8
NCTLS+0FWjcquWqAr71OP7pZ38V4pypjdyPwcC3XqO0RjJbwsB+bW90SGEuR8ZtDTPvX14dsFPIg
02DEIT+NZrVcrJ6ALTygBKYZJbGis5k7af0aT6VXW9lJUxhIOdal1PV9KinbiANEofTuE/bzRbs4
MKPNVt7U/TWF8Km0d31WBLpKxmspbiWg/LCJH5VC32ZyHnCY7c1ocGez2cbW4Jda71co8XUFFiVe
T5gPfB+0eGfEH/9+Cf3LDQonFuzkmARgJPvLeZmbS0iee15tjVS7XasxdTU0C08rO6uQc39Ozd2Q
jOf1RJlndbdEzf1vLuEXVcN/LgaselebBeqGX22yiUzqmlnhEmqiWmvZ3rObgty8r1W2ksRHpc0D
WpGPFkGshh8WpJhnIzU2vV58rVU2ptPBby7pn4sYBCQycmVM1zAUlX/5VhZ1LAcQbb4V+bRYAqhI
v1qMG/S6ulpV8iF6bnXWXazcCjL9N4rgf3FPeHfuxhpfh0+2Dgfhr8SAEcoUuYwGq4/C05Jeqvab
UVJBWlIgp/otfSpivN3CtZiC0cJo/iYI5peknbWG+/kCftkdBdaHhVA4MPCrwA2wBXQztjW9C3dF
V6Uf1QziXNfGUiIjySEbWuQRL4VJ+7XMu96Y/NK8WXieeWS2TfN93fUjIN91XZNMxjy23You9uYW
X4SmCFa+vp3S6o4EVTvJn+4MfwvO+Z/QZ/4XMmNWhzTq0L+s61Wt95Oc7iEhVlA6IZL7Cc35x7/8
E9FRrT+Iv8af2Ea1bWOL9g9ERwXr0dHaISDGeOGH5O5PREey/6DAJlvKgIHL8/ED7fkvnowDTwYj
1TVBiBEM1jX638F0eOZY7v99yrEn6YZOogeqHw1v9H8KedZVvS8Gra6P/TTMCByIYnUTs5y+UIKb
DDdQR/oyUQ4zOO3sbOaoofmV6nqT1iQYJTWjuxqKTBBaerOHTMCkKVxgyi8o0DYl5OLnibS4j1Hv
2gcnU8OvQZrxArJMOGpKXeaAG3E+LF5H536lzwsPiTkywZcbtdlXTrmcy56Ok3zrNr5WpGfs8L8x
vxNnUFx6iS6i0HUAcNXKN2rfeGOHTBdv8uYWp/4JiQP6zrHH28/oY+mhZB76ZoxcBS1gzatrVG0E
ClVrmW5G/M08hGETFLO23Iw4WX3Av7A/f1xLi0YrdBsNfXogk+zp5bG83M4GfyJQNbmtrJXahyXh
fnDyjN9q9xr+R1GvMowuoso3smQ5W51VselZ6I8IiY8/5F7hw1UDMG8B2PKsEQHiy+Qw+W0mEdIk
CWABt1zEmZRPIoVJRp036SQ8RPu4t5V5ot4tyABOUdsVD12h1i+JUYUvCmSPit5Fmgk7NpfSuKph
vUCUGMMDEwi8aOgjAQCMsg+iKJJRiXET7ZlUCJPklEOa9EVDAV+KJ1JLQ09q1fChm1BYIyNL5B0G
IZZwlaHHzU0W2Z2xcl5ctRj0x3AoYqBBFYiO1FO0N5Y+tU+4+RqvaS1bu7bmTsfT0D4oSig9DSFs
VGtpHTa6qIRhbsPlcIrwYLWT6qm9+VB35vJqmKP+keB0A4qTaO3NZBobGb38C4LF6YIPBraKvT7e
WKXNpKlHiUVoYHHV5YoNPZuNvSKP6osuK9l1mvrwZewzDbYWZHaPUV6Lglyej1HYbw1FwXklNuLL
lKT2eQEUeJ6iTn4WcTx/S6LCvGLrStdn8xI907PHYalTtw9lKbCttR2Wmw5tj4Kb48pGKCXb3urk
pe5FugzejKIxcKZm+DaV5Q1gYOvPA3YISTVpb4ylmXzEIbKRodWWHQYO4aF0TJprkcmrr2xRv6CP
h1meS/PZYPh9LbI+eoV3MG7HBtGI2vFsqoSI4H/ZZGfcfbOzBmKBbGoJD3NCF64gedrqsRP5nQH7
VJi9cYwSIJIWhdSZ4ZHkysBZ+Dfz+4bRIqskxHBiVnv5GvdWA1XTAG1LcDcp9ebZmYFesU+dz5o6
F0yAyulidnN8DqkBPkJU/1tMYpGzpKm8S7IkO+dzRlU5a/pjjvaPkYVk5sRmI96n9mwYM0GW6LFs
lptqF0ftdBH4K/HhhylmBksUo2pFzNQZyVrXaJzS2k+4ER+QzVnCas3SqSLVh9or+2jsek8U89mE
uIAb2Rj5TZG7UH6G6A4ReZC25aawwp3MQZyK2SXWqMuLrUPN3+e5P9T8Wtcqj7b5YSk3WbQ1IALR
d+4SE2gsOabLG/ItocDEEGDhd6m2hWrapnD+w29G4mGkhMjoJNpdOVluuiQAq94gXcvmrZy+CY34
r2KvVjfp9D7n8S4dgzQ5DjUCAUfhxL4d1KOTXCBXTGxLNbwggLkEzvj0RnvfRNCvHDi8PEJdctPX
GxKfo3lIvLqHuVFXPsInjPlSI9lnWCXnfqkeLau9i95rC5HwrquwPvDLCsckZw/BW5evGfS42vJx
Vg6d77a6S9mce6a3cePp9Trgha/CfEl5C/Gax/TEix1r06hHO34Km3ctf1W0aRvWGjOBfURwLLYe
TLcqxQ+zftvr/ceUtg9dSFiUocLpwiZ5NA6D0I5Zbr6Z+C+r2V1ifE04fic4F6oKNiLizs4Oelz1
rw2ibGZtUgd4k6mS342jvKvtuHvSMC0JmlmQTjj4taMdNFs5SUOReOoqHNZrzdMy6SGWUZoB17hT
gRgBpL7MUM/aUlAC54Rl86AlRtAK89ZQheQpXftdZW48L/plSeansevOeWM+Fvhl8Orp2TGGU58v
fsuRp0Ie9O1EP1t5jTJ9xQESVftaxvEZdOq7Fnd+ZtyVpv2SGVhKSNpDTcurJfajSN5kXt2KMzsI
gxBSqsq+v5nDFvrZef0WLXhTBpo9MU47dRRHscQA723pSkXHrH/BkWU4ZPnNIKVeEUN3CYtduzCB
LlPfwLXO4tRauS6OtFdKFtsuF581bL2hfA+1fjPF2imSjEM9Ajs7i5tPCif6wVD2LJKl32ZDcUmU
9zpJYIKE30MIV3UJiaSrPmJjDubcDJbxHWd2d0rOllrupuJ+iTZLeQRtWHoFPu3dnGyrOfRq+2XG
bEoZJ+yAWAbx4pAWNjXzyVjG8jAmKp/MUmdQgoKMYaQTEMhEs7PsIuE7BzopO11chFPcNn0HOD5f
ukrbJGp6ThfnXQUWFv1LISfC62dpNyo5XSH+BUFUWvd5v3h2+J4Wh768InZL2tKb7XfNesCHAnsV
ksBP1chU+3vT1KekuBm0hzI923FQlM9Qo+QwCmZmIm0R3Yj+YIcnVuHOAcR/TxP0jvbWrrdd+RWj
2qmk2m/Gg9nc9Xnm9c4m11JYSpy6kf1hdMam7Ingi/ZK+lgYzxEAh7EvbSbFTnG0wvtEO3XAJ7W2
WXOsMMxXGxQpMDAreWVrzTQE4U2PBtJA5RkiruoCA/og3JTKhwvrxfO1cbaLHRBUgeoh2pLJGujT
TSRzWM2QtXp/QpdRKs8wnKZPKfzqq/0SfonuyYTuKL9DTujFQ6I/jq0/LLt4aNBgViit3YzJdfdQ
ys/at1m5ZigM+nav8cv6/MGu/ak4yO0OlkNaHwv5bs4fOnl8zSS/5rbpeziEg9ltx+XTyY6SjnGA
v7RBbnyG6QFKOjJvZaemdxN/5Hzy5O6oSuKUasI1mfUn8QviG+ZrMJW57jQYDMgFtzrScUPuPRLS
2il1VedFG3eWFVBs7s320k2Hga1qUbFvO5hQNsb4WAGZdiqs4/xSFWekBxzpJ7n/GvvHgSdIaiGE
H5rhpRA7Jd+NY0s5A4MACGVsRuYMGgKYnT0VfokasbCsrSRdssaBIgxsAsvE/ATO8GVhbW0utprJ
ao4ejOaaRbZni87DfcXDD4khTHnJxi7Im9Mqke2G3k8EI8B6DKzhYcHbWl4Js/HtYn8NeNVbfZD0
u6IWnFXHaqD83vdoXkrnEgsIQoDfsdtmNzn12Lio0PzKJ/k/uDuv5bjNLmvfytwAXMh4cdoJHZhJ
kRRPUAoWcs64+nlA+bNIiM0ucaqm/n/KBzYls9FIb9h7rWcVtzbCORwdy5ZloY/OAkmV3a6RqVJw
GfAZR8toXPXNZZwg6pauzegpHa8p8K2rYAN8Y6F3P+L8E4mh6mhST9/KJp7SL0X4NEbBujFP1Qgm
A8F8X8IejD06Sn6cBuqsSGQofu5pShZjwHJ5YsOyo4QvhBqvArvg2YKNgmwsVev0Eh0XHtvcktsn
2tNIOeXePDNTliwttb1tlirtY05igmMNdUNxI+gclGqIXPNYfYgYS/IO6WApmeotn+zhVRolcWnG
SnZZEzG2BfSPV6CTOwokXP+qDAenbEPuqR23hzwqh5Vsa0+iRkKj7vOEd3CcFmt+sCy7mv6leWEp
yfeg6m9F4DIWM2QPabHyQwebFM3lTxnXHsuPtWosEpXw/J+lfiQvvdbduixMFn3VbrVk2CCpRm9a
OLH6w6pGuNdmSl1Lbcbuws+lbEO4jYWC2pve8nMpac7NbG0OdM0+qfn3KeV5oYjzOrnxBoyeJWKs
WOVORshTjLxZMx4a+BtU/y6GY9nml3GcnquQALW0ZcRzvKpbNoiWaexj2WQOIVLH37Tpp5o7YdXe
SEmRIfGads/3MbjQdOlq0L8kfr3jVbtGmtJW2ybdQf55UDriHOC+TQ8TknanjYh0knmQivowCutW
wX8Qj/g1UQ2b4R0qWUSFgKSy/KDReSl+mOO94osVGR6u2Mg4mAOA6ycKlbNSESIMQJ9sv6mh2mzR
KRe9LhWNslHGpYHPK7S6B7sd5SWBKmdl2Tyx3hzPIyUCv5D2wbqrEG9OVcAVaw15Qy5p9LMa/b9W
ZPn/1aM0tVOOe5Tu/L//y/mSfA2+vFTUTL/zs/wiKdpfUwYkTGaN8CJTKPzVT0UNuo2/SBajTM4m
kb/TpzL1fyQ12l/URcgpIZtXs6EeU6H8p/7CB8qkOBA6a1kGEBzjz8hG8zxQCycr8RpQKS0FnjPl
mNePWF71ytDH8bUKfQK28BCKpzQpjWstsXhhCoP06/xSV4LavrNaG2plXxU2ixWj+z7mMXOKJ4tw
P+Yi6UhJEfGDNsgCI0oeYgcBN8v2OlBlRytkVrkoOW4ycwQtJud65++LUrKks8JK5HDbDU3wqanl
4qmkp9E6o9ozdhmly6I0kHwQf14Se1hOqXPVsALgvkQuuV59UYgnOxBMU23gQQYIrFyrsSdlrbJg
74DKBdU8mysz0XAwY/6svEXku/ratFGxT45hHH4DyCbcCMKOIROOaVlv+EhUxnmhyWBeC6FTDpXd
b9UYW/2iUyMyrsdQ9z1WdUqGB1ZrbNQG4tn7q9MBNwe8rZvKRDq+dL0OY6URVS1lE7Wz8mXdtmG6
ltiV3uVyrV/UjYXXqShGPKq4uHSb8oiN76I0Si1aJErRE5uJpz7cabqPV1UWQ73QajuBaULg6KpL
9OKhy6MYLpFdSMHa7Pu0XeZlGCjrMVfjdKVpLeZfS5S0tqURgTL1GOxFckfm4XawQggXQ+cb7IBR
JPeEu8JFXrr095etPqrfmQ917Es6rJEVKdwDcBQN4BJiCZxiyyHvJNJu4ojljEhka7IwkEuPckEa
7+ohHGTlnrwlAjuaPILq0o5GVG8xHLBxKM0Wr3NnNfFZ3GEz3VhuEnnLKLcB6ahqol/IIqr2CXX8
eBXLHpWrxLdZV1Y0utiPhwoVtwZ1zT99oj8a8v5vygQR403auuPj2m1efqnj4b92Vfwl/V69HNz+
+d1/yssMYoTJogg0J9wsJLb/DG+UnP9idQaInmizqcLM8f4zuqEYNFWZX5LBs4F3Z2n1z+hmUnim
REzzUAc2rrKG/ZPi8gwvLGG/ZOwk/GrWgCz9TmsHvbGAzexJOvrmqjjsVPdTqiiOVGbUEbK93V02
nn2iZ/u62fXrgNOfvxQm4mWI1UrtdyMEq6K1HUpVBe6k4D4Y8q8v7sRbqoOpP/OrYv7rILMVqewp
nc/zP+yQWXWjviLkfNUhD6J8um77ry5OyjZQD6U2Lkb2gmiOFrprnjjD2Zrk19Gn9fKLU4zNREHF
FUk7OeyoMEUrBIvLrGTjX+HIzK9k7Hec8GKKt5H65AwU/4nz5ol587xn/SoNsgSBb1K1m0SMiC3q
MthBYsW1NBwaub3qCutgRcQ8AiRw2XudOOy0yHrrcs9mRtblXoFaP9sN/dq+bC7iy/rB95dEdF8h
yHv/IK870r8u6nTKLy4qqeBqXY2Zu0tbbZXr7JPtzhnKSw8vZ5PZVM9ORUTMsH6/DjVbSwZDJ9sU
b3qYNcIZB7aJAtIYTVg2HFcxsBvhjs5Z0pLgfgfCZpUkp5I5Z/Ld/xwapfDrszRHqUeH1dU7PVac
Vr6qOwvZorcNKplZEed/xRXVD4Uwce+eEo1NH/777UMy/PqgqNGkTLbGehep7M3gI1Gmd1C1Osja
VnrvOi5706DTTzBwjp7kbMxpDXlgUy3ELn/Mb4O/JXbpPTKshftQnrt0Ik4+l2+/DqB4X59Y5Jah
0CKt2E0w00y7S5R0oQ328+MzMqJ5GuikZqOE2if55ABHl+/I9ZyNPkZH17pzy2xXb0xrGdwrj+l5
5p/7t0GB+u4q3an7rrHIQFi2q/YbaS/+Ir5Iz9ly9Qcscd/c8KD4a8RA7Vl0YTTL6j68MqQv7Zm0
kBaMlZ52XnzJLjI0u2tthT/AMYxzaW0vq03JH2PI3NXnwAYf4iJe9g+0qRffEH+jH+pXotrW2h7/
nq3iAvtc37Q3NBKUtbLMzqZUUqfawU3ZGjvp4A67ftOv9KXmbthF77N1TRziatil2zLduNU3/7y8
qLZBsq+35YV9g9STmjdKoLvkRto0l8VVATSKeg9FvAdqlg5L1WLrHVA2yUvWWuuw+B5fBz7dtVX7
VdcZMC4kioorMHpO6ljhodlWHxsZCYl6/SgoHWlT9GHUHTsMNsD2qtODLVghKlUt1hGaeBQ4VwlC
Q8F/B/JwYth6xpe/9XLNhmRJo0Ma9bK6a6bXl/a+pdir0qDToD75Lt6+1l1W5dOkPHQZVto6v0oC
1RlcA8nZqTfcOvYmzEdos2fwVFt3J/SDTCFSTmxKrmLV2eG+Gl1Mjph1qvghxsrlJoW2psG5p7NG
MxEoiu5SSskx1eJeXPRtt+h1tKzVSg3Ya/RDR7QCpqBdEQCxClalh+qx8dR23wkl2CR6sKbWs2JO
xD+nxpeSBOe5k2Q4OXB8ko5MEKNLFkbVgj4ETRl7D9YQ8LANn0JP2fWBQHqs4fpum+FzkPqXFb0l
wm3IwvT0q14xzofUWE30HmhtFvW8ccWugjpycuG36UoKYUgH/m3mV9D8KmPRKMlWtqJiM4QTxzEw
LtJMvbTTblnnXz3xpNSndCxvL0OAd71+6EI2u7GO5X7nBkB8Hm3b+wpBCEF6c2XlXEGqMGZ+gylP
QK0pueOMwycWIcfG9Nkc1kCZb40odXeKW3z1NWWViomXwxLApWHkWbDQaEqU2qkx/cipzoPN9VL0
gSkn7q5IHU7NcM1FzkM+zZqLLLvxWyyawY1P124M6SFbp1LzjixgEW68vsYjCbpJ70kunabsKsVt
nuZiEccaobQC7yNc0fHQ4gbIbt5fhxxZHSARen1AXUvo9xpluE93uW3v46r8JNX4f7mpYeZhYDxv
y/jKUJipiaAbvf0/nizKPm8zlt9eAaFQeX3ggQJwVOVmuG+FfSh0dSUH7aF65ngMh5yfp2XQiZN8
e0WHGu31sTJUEwJLMlaMgUayK++FcaeHFAC96pMwU1ZGIARI04NVuD5xyGkoemOgRCzzaoHXj1WZ
alSZd61bH6RgXLjdjbCHFS2yda0omCIYIQfr0mVpa/BVosE6NUirzzWctw4+G6X1ajC1OGDJ17eH
qLO35BtsBJNDmNUJXQ6beMBMvtdjhqgoqqeS7yGJ7Ut0F0pRXqRjfxhjjOUFoTZadqaptF6gfNqU
hTRs/vUW4bqoNpG2L6pNlh2GkaEIQ/pGwj1IoHztLv0G1aO6Rc1CV5XOFwScXoa6UW197qwLXLFv
lqkJZg5HBWiQBbLa8dDlX/X4KmeR6Dtt65Q2bamtJ297azvSh4N5068zOh4Iz3ESOTbM08E9DNGj
pl50ycHVHw39plHv7P4h13/UIKTSW6V1Is1prR9tvbWqXUsgIvoNxUkiOu8OUC6+NJEAZQ8yZCu1
tP13nrEz/K2E0ggFDV3n3J18Ubl61gqEuKIN+6WFfyPUtMuobO5CtTz7ScMZLxQvOth5scOntqUS
tPagtGpBi0HGpu+/8tvioqcxNIZkVpS10ww7WR4vdEET+VObpU5AuETsMYfyutdArUB3bHw7cHzR
f59Yb5YYbu0YkHCliR9SqtwMlfik1xdKBuomNu9sLT1PteRbbfsHK6BgrcMrqfzdUJlrHzScl8DQ
giuo2NJaGapv5NdvbFY5SVWu8jD9Mso2JbTAvw7goAzjwJijf0riEHwYYLSQiyFV0NxCIZ/JfnQH
6n83hAsj/tsPCpqEmOGLp8r9EXhbElpiexW3MDRLrTv3G7EOjdKRyT1fkwqKT9TcFh6but6GxZEi
UhL7TlN3HpCWBFH2UMhLgTutzcFgeIMDaxYoxUHk4lrxy21a9+uiwQ9eBGuynEeP6QbBc1tltzEI
SQDaq1BB7YUG3LWzbmE5bl9Ml+aSPeVdHT1o0eAtRmRyK6sRLJXCmyjpvuVptvRSeWOP+c7SgRnl
FbQZ4Csh+SW61V8MgfhbV/vbJj8v9A6HLC9NFtGWsxLzvB22qhzsO0+/iXr9vBnM286zvhIwvRgj
evCyuvXjeDMYxhmhYeZwVUQS60bjupW7M1VEyK3MXSc/S4EcLVG2kpvtDF1dupYAbnuVDCBHDANb
UXEIGxKv1M9S7vL+9te+B5OD5Tbo8BiBQvBFtysQDFQEKpg58iMjK5ghC+P1lWIGp+bJY6PcbCGm
DHapZ2rT7IoB+ku/FUUL96ZcB3RIqDk7448kdJcE2zqNOe5pD74/us4sEP9uLOd2IMuNR92qtHYn
NCyennvu1bzg1F2pSV5ojcHzHC91nF5NflEZGciTW7dzQXqokK5vi4FHC2y4BZ88j01q0iBI6Epb
ab1uExBYoLSbye6Nr0kbQSOEywh8oJ7eYWSRZVY734NOXZMPs+kUnTmSbrqQHBcvFIIqepnVuqEr
3NnXXnuVpzeR1UA1KpbWXQLO+P1LMDML/LoEsyXR6LcjVFkPrjLmGzU9YFOKVVrjnycRhsGuU/TQ
rQ0JzUm/7Ieryob4xJoVs8ACAGfT70huIrZtkcLThreyIhDgjJXbRVKY62t0PScm3+ft6RuT0Twj
jgohcTtGVO7QNu58JmEL4b3sdU5aPtY6ptGLcoyWVkA0h3pdqsqZSJNdlNZnqltvks5algGKqPwq
UM9b/4AKRRCFKxd7xMbrBm3QJHFAmVXGj1rN4/a1wSRaxBBb4IFE2Mt7/BCVjds/Slemm25wki6r
1sclJS/AYiKTA7wAbQkzyzRiFNkdbsfAhmeqVXBUv8XJj2kLYJjyMqh9mvw0rD0LVwxKBh0QYikv
XcapvP4idU+K1y079SzHL6xKw3WNzEaN5IVaXkPKgOmohpc6djFaIZTPeAqlHrZTcJY99Hm9yVSx
EYjjAkJUCrLshrDapHx8qRqLHt8ECsClXX9OaxnR+J3O7K33Xy0G3QY99/uPlTGt+966W7MFqGSl
pBxVCvvmMxEqTpaOMk1f82qoMwe2D/39nVHfNuG9B9Wo6D8X/rVBFJ8H5Wswm/XYiGVcV3d6421E
fAg91KQ0o8PnTda+s4ZbowDdXfj4FMtzDU5TE0ngSJvlYLtOGJWXdgQ4KshWDH2LxFR3CdwIVeAv
FiiWSG6pqHZ2dbRMI4LiUIfoRbQMIbCMMdAT29pGarEKE+ZVI12T/omozVtPmDcTZCfqxBMjkHVk
hzCPddPdUslF5ZY7I/7s4niNCvOcyfsgQ9jVvXobC8SDASGNjf4dW8xdI+MAkc9VbhyU7wuNwMjW
LK6VcqfzmIeDdDniUCdX8FPl6w9qUmEcqcF6qytJz8gPi5ZGOm2iW489yWezKs86rz8ICd8o5H45
/tLYwEaZS0cvWvU4tuC6r0kOWA6pdElk+WXemTsv78C5oOUC9K8MTzoKa6DUC5QZa7Puz3Or2Q1B
vg1q10kSXAn8u5BNfAEmEX3NKryH3bE2px1zdjshr1vsXfxkWsF6lMlSMwRsNcHO/9TgMXVL33wc
Z7sE1JQ0DbTQ3wcFdljwstQMrxsKmMJtD2Qa9BJ/HMPA9owV0O5PCbou1lyLWKmvigHO6Mmiw3PO
2VtvxmwTMSLQ1ikBSDsR2hWDl3aQh8tqyCBsVwO2kbFBg0gry+ruWH7vtPG23sEjPhiZwvhL0ntR
X5cLCyzhiMUV183DEH8aofb4JmWFLvmaNOOOsv4eLDDxLqxBRX0zZlm41zBMq/YWlVYdnfCEHNv3
WbP9iZUToFR3MS4+V6c25j9qVLRyEwHXkiyzNjQPae3dq7J2yHrwgdJqrJvixMtz9OCz/QkkIyUQ
ZUubhoLwADG5SMUhy+0vsOUOPlqrdGgP2uAB/K+v7DA+lNxWSTdOHf/IfnDyRrysvsepYkrIS6xd
mFiXZe4etMKApRNduaAKMkhPz7Wrzrgas/D+/YH1SAXjuZT1ouBfRhJZ6f2kBmdbm9IsEuJq2tdP
lZOYpUnny+SCfPTuzhYH6ORr8kRtbReaxSf06yvDjfF6fld9+2CIuwQcLpRhoIDllWQMBws8u8E+
6P1TPbKzn7Pg2yLF1Rirxs7sKMklpjM2FwOw5ZDTrCLXUYuTtffpaX3jnZxHA6ntOPgj8APWn5dK
p61CkXySOcfpykqN5JQ/qkIsewWujF5pqzQwmQdYmoanQtaPVf/nIaIpgVm1po1iRzvaSVQdKDat
+IhaOdez4BrXteKosVh2LD1o05+4xkePOxsY47hVyk4fxA4cNQv7x+ndLVx67Vjf0/GAkmJlphLJ
GNFVkZ283sdu7WwMtAPScsHa2ru+aTLohtsqvReo8Bch9TcJDYOpbEl7aWk/hI23T4V+3XuPnVs/
NVp45VGP1mANeu6p5taRt8qcjWL4OYPGaNhbI6j74sKYrHTjEMhQLFzA2Yl8KKXhoLjGqf3OkYHD
nA1chZbQRW4hmXdq+FXQekzMcl+Ax2e8ElDAVPgTGYR+NsPvv0tH7/NsqKoMzzMkwRNu8OYEurxS
jXyldY8uIRCAq6+6gWJx/ojWU5a8j41Vkwjp5fCY+Dj9OpC6rNjbgzcah5BuWcMbPA2LIrUOMs1K
hVn3xDkeu6qz0aox1DguI13aeeZwmAaMjPe0HzVm7+GglmivSTHRK2VlGO7PY/6R1OPuf0Dgng70
b4Lf/xthfIrK23Fc4XH4Ox2+vNR1PP//P1UdOtIN2UT1amH0gzRisyv4KVrTNP4GA9Tk7iZv1DZ4
8v9RdZDGp2KmxQ84QbknuPa/qg7Y2hYOw2dYt8ICG1v4H8k6Xi+2sTOTbQz8wyACHD+xmL7eyweT
JKpgSFLlq9GnrqKSWRT2VG6xN9Tdo93HQFxtt+6knYQ77G9omVgjwLD10pmbAaJbQUUdJRvgkNEM
6IwIWhk+v7iUVz9nnHcy456/oEARg9/Skk1clq+/oOpZWY7b5HvPujMjRMjVYfQkMYospW+oa75/
tNezHhpCYFiqqSGWIXAFGeFsr9aOfVnqDRFbgad4Kx2J2n3eR/n1nx9FQ7RDJrKKq/95p/hi5YL3
LNJ8NcU8MLBbjhKMwXFqtSeWKq9nlJ/nMgmGMJ5iCxDzJZmQM9uzVBa6OcjsDUU/+cIGjblNTcM7
RL5kr2U//1uvvOHE6U1T1q+lwz8H1gyipJEmobucTSEF5Luq0zM0gJ0Xsxgdul1ZSdFGGYChv38l
pzn5t0PphoC5gv8WEP3rpwPBbm4AwaJeqoQpguaxpmlWfOmk8YdMte/ElPHbiQFl4922Nfz/5GE+
wxBe3DcbmxxJRQqmicF7wLgirwUwwcFUTpWgpq/96rSEIjiETqsXLan2vGF6caBQjqISKGqwcBVF
WqkhUJhUJ2GsMGlCGtCxD3bpDie6kL89+4KoVxRkYjIyMx7MZmJXR7bZx0RBR11pkaXW5c0PpQmp
fb1/z948jsmBLIUd0W9KbGSQUGBCjjPiAns0XLrNXpCHX98/ymx/y1PI6SAJfv5H5sfZFGiEBBfW
KqUNPaxJO0G4uQhtNCuBF93lpX4eY+ONQ3IJS1oneJKm4nBktsjOsvPBhv+ioJXQzPHq/e/11tkr
QsekzU5PgPt7/cS2gZFm/tRmCYGi7BSDQI0IgsKJ9+KNJ5XiooHWnTOnJza7l/IYJqLVucak6XQC
/H/W6zTQqzwjpxe87Ilb+ttryLWGvgBexZqmE212ON12I0mE5AJIoQfyX6dH3ooD6L29Z2SnorHe
Phh7LWgcsBKV2RU0MigpesHBOj1Jtwn2jGslyHQafpJGqrRaFKcepd9fx8lRr1gaEyUyS3V2RNfo
saxgAVm0dldchL54rBSxpweC1ZLoAnl0pPoxmHD3lboa8WavaIUQNFRgYKwleHrAXXGJhPe+lJUn
Lv3vz5OqcafVCcECmWSuWzGneZPvDMsddzotoE5eqthLdu8/tb8/TxxF5ypYE+TDnnAKL5cJikv7
gSMRS1HJrCD73Pd6Shqx2zmeG4T2iZOarc2nl5fjQRvi9k70hPkASKi9XKSTfSeXyyrZt61pxsts
9KMfepnRgDNgID+GhhfSPC0Jv1wXmgBa6IdsRUu3y05QkN66yGAcpgWXrGmmPj2SL8bjukk9kZSc
PpHcTbUl86vpt/2geeqJEz91oNl8loWNb3Sk+JDPFcbbjGXCWlGIVnv/bs60ED8vL7OzrpPQYuKX
mL7Gi/OJewJ4i5DL60mye4OVDImNhAHoBx12eso4es17vNhNsK3VoBt2OjCHfmE3EQ2A97/KWw8W
6eKaKsOPYZya/v7FN8mUGClPzXAYWRKyHIbGTeJZkB2hkG7fPxRuED7s1bQ6TQjcPoB3HJMfXh9M
rjQpDTWfBg0RJ8U2VloXm3QJvptxMgWcAJPIviNRgvQKN6ssHPj9gA2BZotif1dcRXwKEhcIwEID
e0Oyqp+DzO5xh7Yi+8pSv0i/lb7XWOQk5g3aLcP38Wmx9PJoxYQj3f86HxplbyUpOv0+DVRpWXVq
H11LeFtJ4irjQb7x+4A5KO2KimQKrx7d1JHLnKYlZtMO66VCXki9cjPa3H7ee/qyCflOUCRIidjY
Kr4rNMwmEK2u7DUHbrsk4SEPg+8e/N96lVaSZx60zB69lVAS4DIV1f/IoeyB2WOiKpqU9QetXcpw
rMtVLQONRzkgymLPK288sTbSkrMIP5XqJFSq6YYWiYHYQtfgUZmLPrb8Zum3CbsLkKNeoHbueVnl
lhdf+1I7lPaBYGK9DD+HOaQ+CxqYH7U2BrGktfXtYCu95C99GEsI0IQEP2BnZW79RS+0+ipP4uDa
ErlVL6sqyehJl8QaLYtAz4dVBBjhNrLBgTpyCJ8CnGEaPbV1knwvS4nsAy2K4IhXeDRoLHYkhkSj
5X4OEtpUAFgzqNukbsTBXvUnIJ8SlxNIoy/ZPAe95gcrvbNbf2+6WvC5lUy5PEDjEAp4nnrQStwd
hVw+yp1eVIsQNeHnSgMCb63QN6D5ZvaA5E/KrV7s3c5LJXrprqRfEVmQWvuC6EqMvykrrlWT02Gj
8ubGqIvjLF+E6WTLQ+LmfSFjoiL/Q3chH2QRquc1usUgP/htPtzrRiKajVvoSbtqelffegjr3IUH
FAWXCsEPhbIqI7LVsCLn9GIbYWaEmfhNf+OXKUGhkjKIy1AU9nViW72xGSP40jUzrddXGKDVHESh
1eVBfx5amWRg3BmlErxCSNRzxYHjNOaJs7rywWuIZlumdZ1fQ8drpeUAKOysqnQ7WLE0Uqy7VBt7
QlUSeKA0hRvfdnIdMBjen9pr0/u+B38OFKOWbyPRmyU0iBR8GJtS0/L2OvmOVLhToiakYEe8OlQE
NjepuaWeFMbLzm8gP/SoKq4sSQ6/glWtpyzqwC5XGAygPwKSFxc+yCyUDOwXvAlRTNINswCi2Mob
03xhoNKVgJBX/t/GEKM8jvwKJmicst1a9L1RySuQlihZDEMfwbfarYZcgERkdxW1eUp3WK3lZuMX
ozVi/sdduDAJiuMjCbvq0A6FE5miUAixIFlY71d5l/TR1hQ1VU+1EuNZKPU0IwvbNsgj1W0DSclo
V5ds6zJ7nVvFOOXLlRG5crhSQWGASjwzkxRoWp16OglteZxHZEpoCKijJFCwIfnpoC5BbwpM10E9
flHs0XiIB2Qt695v413gaSqBi2keRitFlvLPftd19mc6DGP1gNAzBqqhutG3Ika8+bkdS0JeTLiJ
9iErM0Pb44rKrbWCurLclGY1xVXHifaEaCtWNkU+Mutodk+mqWvK4Tcfm1jrJIMvb1U2IOk6D0tE
OQUmBGPBVertyaNbwL3FfG0ufWosJvLcJCFlO28GHxhWlWjL3JxCsJVMf4ztJvyR1aZLfbhqxobg
vMKCTJAoyWNkyyOsacA6hO5oKaOERkaBv246PGSLyHVpREt1ltSQ/qA7eE2KlCE2tYikCbgwOm61
MENmOnh+fEjjuhhukeBGqrIUSU0JHlRiClMWtV+pbKqolMt108Y4cruuDy6h/CgeTdo0GKP7zrSB
9GxZ/7OeRf7alDl3saRtW9d/W6FrlKgOcqOeuDylQuIPaaK8YQ3L+uaqbz11J2F2eOq8UKmWvWuA
hrCMIor2fmboKSNO3A9rQj1lRAAlAW90xUst6ag4sidBTePY6iBHxc9l4h/V/v5v2rzYRb1YbfxG
ENuRrvflVQlw+v9/lgBt66+pNmFD+FJZJ6BE/k8J0BR/8TM5edT6KAU91/n+KQFqxl+Y8GyTyhlr
Ff35l/41dmFa5Q+p6LDgN21b/ZMK4OsV50+xi8XeYbY9ttWAoTPurXVt+LHPOE731FfN/kQR6sjH
P8uMXqzrQkuKhq5Piekqi7K86UyyZO68fsx+vLjMVz8Xby/Lg683g/9+fX22JbOTMRJN5JprWzWq
8ZoSF7J9XwsNZSHrMggwXSPGb/P+wY6dzGxVXsHIDZmwzXWPRhB3j6x5SNQGUzy9//mv95m/Tma2
LiUMSsbjO5jrRsnJWVXY2N52ciibZ4OoU6w21miS7T0U+c37Bzx2QrNVdy7kvAUugA4hZpqfwkrd
BnFX4wfr9w9AnfzFivvXGU0HfnH7RTB2yL80Y91FlQU3ZUDnvcwjfKtnRuSH6rnSRE20BIiWDhZa
C10pNnLqt+WJNf+RE1Rmd0ykoZFnXaA7ueVWMHRH+++8Z9fzZxupX+fHy/7y/HKLmGyjGox143k4
kcl0cEAP/MjxEnUR2Y1dmwBmwZANYkRBkaNmmYDv4wk1OXv/Ch85wzn6Mgb7QMoaUTAdvI2lVmY/
LKMLPnb55kV3OLc0mofaWA9wJx/ljEgmlwbAHxUcf1282dCD+C8wK1IB1pFGeI2cVdlZKgVRc+Lm
HLky2vRMvnj2MqkzcgKljHVcW+290hXwoVwo5B+67vMacImvOs9VMkjrTBrHtdxLJGaC2cusD379
2aOr9p4ihjhksMn0JlwOpknprih4U1fvn8GRofMZY/Di+iQ27FBayZYDOb1wb6wkKZp7rRhtec9G
3LauBy/TzBMFpGM3Yza0qciwUhKdJCfNBsu8qoLKr++TupZ+vH8yxz5/NpJVQm7krjfQxWZKsh48
XSrBVkXVSfXe2wPZM9rmxcWyM6IwUZ66TiaJMdl0aNTaddwNSgAI3Acu8P5pTF/3V4Xi31diXkDV
dNBYXS5ZTg1Mv6ZFkxFPOaYKTJk8qFFovn+YY1drKpC8OJuChCVX6xPEXVgI7oDd+JcAOO279z/9
2Emwznn56V3UC6VjqeOoEhwVfC8Wpj7i3IoHZGxRf+JSHTuH2ejhCy+PhJULp4z1YSdR/720PaWM
TxSmjnz81Pl9eRKZS4wWF8d0GqtA9SaHvf7ZHLP8xMR47ONn65YGxoMlQO47bcwdwKMG6rqRrPyD
3342eDQEng8x4BFHr1pYTvEANYJd4YBb5v17fOz7z97nyJaMwu65+raSFBicFCPt1mVojd0f9Un+
fRPmrChgcVqlSL3p2JUf3Fvk0l31gYct7GPfX3t9e62hnGKRDMvJNb2mvIk9zF74+BTkj71i81SP
PhgKs1ZLyyHaNdd3VaK2ghBLvTw1N09PyhtDxZxDPnihJycdt7hwh7xchZ5mWVcJxT9z79XgPtbk
rQ/pY5wI7Ym6dZeeGMlnxeNfd2b24sW951ok2DEUwqbJ974ERZeNQwSKZi3qLtRBydQhWNTAN/Nk
E/WjZ6EN67TstpVrs/nYBVZmL+jgmpIlIoL+oHw3EBfROwor/pD6jH3Rb92ltu6DQi1sR5PHMluP
kEqB8bnjGG8BUVrDpUfV8Ucu6V2y1UeRGhc91W3YWsDCw0cRqcYpTeWRV21erY5LqNFDH5JtKeW0
WWqFACSPNKPvH3oTnv3IL+aCRilNEYZUAry8F58Npp+LSpaSj41zz+kzLz690Lw0JFqPgCscwyF0
SJGAQQV2c8qwfeQ1mHc4q6AYDMJNhVNTpFOxLZel/LXPFV4JX/WhLZOxleMgHs3c+5YnI4Lyj103
9fUIQuU/5i6j3zbhcjZQjVTaB+CKpQ8Osc+9sReXbtTHqGjM0gKgZgDbHDC5IWQ/JSU99lTN3mLT
teU0LPqRcrdXQzyzwoVZgh380MWRZy8nmHNf6llLOqFKNRn7drhyh0z92EMlT8/CiyvDtiSj5piN
jsq+kSBn5YEi56mV3pELM5eSKGae6n3sjY4HWhCjWQrCLi58JfzYczPlAb788n7Y1LlWDvSK3cTe
qW0frVwEAs7HLvy0JntxabS8NfI64tNrV9WXnWbhK0lIkv/Yp0/X7MWni1QdRUu1mT73hInSsKKa
kaV/bE6eN5dDWSpBZ1Wjg4Y93lR26i1bCuqb97/7dAXemC+fm4IvvjsWD38clf/m7Nya5MSxLfyL
iBBCCHhNMpO6u+wqty8vRNvTRiAuQiBA/PqzsuOcCZfa5TqtV8+0Sil03Xvt9V0stYP4L7wLQZ9n
s1R9AesU7vkLnJtvtCQLcEVIhkdYuB+yeYAfPhuk33vZtS6ce9xV1p3DKoiBFJ1mMepGLECNvx+f
X897qJtefttw7logiBoDS8gWZDlQTO9hTObVdfhyvmwcJ2mJjFs0F+PQgKELW4spT8QmxdGv8859
Ny6rSQY74jCqr7cbOVfzHUqhW69FRf+uv/tp6iA+GizIx81nbZAwfopWkrbvYp3yN6sufzk3gRx+
OTwyrGEkt9ANdzaYGUsVf7GZ7d+Y+K99WGfRxk0gWYqintPYCliaT5CHIJH0lvTntdadi3SEdAgt
m3TByAdfNMUFrM/A3fP7rM4ZK9UOLu/E/7frQN7DMGLhvl13V2uclgZ09uWUrQga00vrk//AOAcs
CKWqbCe0vjWZyE0KsRU0p43fanVtNAS0kDDmIGid0b+Q9G7PFcw6vLZ56qpf5da1aQ1fkFO2m65o
k0zjacQ3r7sBTZ21us0RioytXE7xXKLeLUTpQgiza8++O8crkmW0HyJiTv0Cdt8q6r9Ms78lAH1l
srtuF9OuZzWI1QBLKtiBs/hLsEz/Tvvzf+8q6splCXJ9kRXBfEpG4HCnrf4TecvJc744yxQFfFuD
m7A5NTwTsN9F4ttomni27qzTJAJwrg4ydD0z4f2E9MhjCZXHjdcu4Jakb4bRHgp4U+yQYsKxu4dO
/BhcCLWec8ZZqnTc4KStqqWwUBLqQxApwJtWOn/36r9bph3WJQWHvcPJWk4tSC0ot0A63HpdhvG8
fHl2GA0uQ2VjU8zwqw4b+n5i0Xu/jrsrdbIo97XBXNQieMD2+MXSxC++BofKl93O6rpLwj6Zi2aF
owHkbs8DELt+HzRxztNeTgF0SsYUQT3Xedskd1BKvGUl/com4NZ3In0LfON2oUu0G+g14Scad2/g
/l5r2lmlab0C2NAEFmYl4QSYLp0EP9gpqvy2XrcUYKlATJIM7ihZlpHPbMY+ALelPfS7abiVmGZs
KWnLwcBkX8P8fEu+iVqVfntM4ixSICPGZKk1HDystnnXKXRdvpV5fWXg3cLKrOesVsBuFIOes/t0
qsL7NijVJ6919I9aypmilFHXmI4CAmDILz4nae33Sd0qyZ0NGQTXwLDoeAEGKN2+tGP66NdvZ42i
0mBb6whtB8C7MAM4EZv+laL2v4cdd1bosKKSfY5Qh09KqBKDpryrd+IXH6Bu7WIYKpXsAbB7EI+/
62zyJdW29dta3DrFQOCergeMSSv690M1nMtO+O3k3DlFmVpttCHoDZTvcgWR3S2L/U5Qt+xQ2Xjm
g8LbjnfVXQqaea9LrzwovIlf7uN1O0NuZ9Bp1X3clwuW5Q+vyRc779E2a7TagQM6MSG/6S17n+7c
b5+K3SNzXCTMCMErsVMTPu/ghYFtDH9Wv447p2bUlxtwTtlcTAFy/bSXV1mZffZr21mRsq2nSylN
cIpr3G4DwmFGFHkebBcP6Z+jO5jY49gSHMmi5oDrTSw4ovZi8Vs48WXr/ekRDcOpZGbxEqB4CUwN
yM88bxKX+smfGxaVGFEjZWH5lUJtsUaTgtcaf/YbcGdNrkiQA2ZfTiewS67WFsl3GLXNnjPFeYBq
YwjUp2g8bePHyKjvNbP/ri7kvxvsP3RdLLZkTDNgRrvoMUbbm1k823ZFXeFaJ1G0hQgbo3z1zqRV
czOy7S1b7MuE+GegDswG53tObGlxn8VEiXcO6krzseXC74LFnLW5ZcAJygwrf4vsDAg9zLwHuJOC
aO+3tbgVIhDuMvhlYw1BdftnsC6fkHz46DUVmbM8lygimkcYF2MuliwGbKYopYnfPcItBdFiASMg
29DxbXs0A7nZltFzhTJnhcIKhLAECtsildF9C8EhoIoJ9RxxZ4WaSkMbaZa5IKp9z4I2b7Twu6S4
8icdB70FhHeCoBeIyrULdR6y5off53QOTouMwgS58AQFAP8CIOJNncRPXk27yqdNz6VMaaBRcwtV
ewuK6bnvGj/pAoACL9fnEK896ifROlJI+7Hfh4ckQimCX9edBWoUnaQIV10M0KdAyG50cBssxH7w
a945P9cAKJWRGXzRxf5nwg1um9Jvfk07y3PGwYNikWEqJK8+bEpdk67zm4eu+Ggp4YfRtEwX+zKK
07IChBm0/Xe/fjuLs95ZOelNTkUmUJzE4FKHcs3fN3356b/Yyf+mZv905K8B4sGLSkBo75bYQNXO
m/uRg6O4NtTY/Pd/5JXj4qKq/vn4h3fx1ssB/pdtHX1t4fAVKOl3+EfOEt0gSUSRSamx/uG5vkw6
hAqf+aXqqKswqqiIax1RdJyFn7olAFoiUH94DYpbqSq2EQgzIqYipjUKOvbIWHboU9RX+V1dqLNO
QempUpO2mJJb8L7u6DMs699QQb/yQf+2Zfxp1rR1POLBjKZLm72fSf0OVYh+aShXVNSmFp7lKDwr
orKjRZBSlAxXa+0lxaWuoJImC4lR142OE9h0w+SgiJinootSZ5l2WxnM2yRgeL8ociBLch7XyjM6
7IqVZnhdGJZhyLE93i4WLpDx5reGXJlSBusH04yVLpKy6g/JbmFZACt/v2nuLNAMs4RsVOoiHJbH
KBzvNJn9+u3Ki3SN7ARfg7GYePqpDvX7Vo5+jzhXWlRuDDAm1DcVHCMD87pqPYy2S/32Q1fyPkcN
mFZDBqBgIoD2ovK9CTK/K6grRSIE76w+JmNR1VHXHFYEKk6GBNxzYJwjtGkyyMYai3WT2S5PDecf
2prsnl/0st/8tK8sTcxLiOGA98s0zcOJPeAk9cyeuzIkgyLEId4GTJchY8AW9KmVoKqm2SLfOEwv
3fzFYepm/8G7hhOuAc420gDKodZ/uzKyW658VlLoZv9nEmx2j+KhaDlMEjny0YfABsnJp3X6NwDp
p6GH9pdk1dZj3lQAFuc9An9FWbLRMwfiSqVgZGFS3ZVA/QaTHFHRq7ofJkP5qd8+43qIhB1wf2sW
qEILC2PPiqNKcBKx3wvGFUslybalZCGqMBj8nHCI1iO83P367oql5hbqwSnqVTGxBJXF4U7ln9Ju
gLV7fVtXL7XVmut1w9gMAhWO9dx93NrQ77x2tVItHdYuSAzGvU/VlZ3IBKT8ILzmPCXOdrNES2RV
u6oCZZb7J4Kq7yv4tKh/53Pz3wgMcfabCHt8jOJKVWR9CTd/eKGDUB6XA3/Lwe61HcG5EiCRKIde
LRj5aIK1kk4/irH1zCu4cqlEdhQCZq2KhM1PdTW9X+X85DdjnBt7VdoVdq7VWCR99hWcevgnMNjQ
+TSOmsqXu7y2AXL0LTayeLEGdlDqRvZvqZj+zjX9cw+GIcnLxsd6g7wupUOxcFmVB2SLGyxY0ABk
XoEbJEFwtuuTgUX6dQSTCV7MQozxM0rckvERZduTfsqSjl9J5CVBN5I93GrABEUwvtrGlKxwmGhG
/XEdaWByYsde/jkIAQYbx8WSHsMYsfZTosxmjjCtaG3OkaXers0I152CJptg1+XQrDYPCaIJnwMo
e+05jJopOUbJhjbXFqXe52rMwOAlLd3NuaN0A+p+QR301y1hrHycGQ+ab1MYA0qc7jQDLWLD7z0C
4xGfGrLEad4nNJQ5t0llwKcYquyOp0Cq5GTc6RO8etbDQrm+VvWkd3AJstSe165d4H6rGYjlS7Iy
hLBbsbC8alUHzNCSZRbc0Bq+ct1Q6/B27csGuNMonFmxY7ThdxVJuDLtQfcgW7ytCyhAm+TQlLrc
n+DHNSRetxBYz7z8yLqrlmVRy1AAgm7+0MAEIYbaA5DqNUFdcc3Y1zPk89lQZIjlHWLa3IkdPvJ+
jTsTlGDkYpaqobBwy+uOwLM0xTaS2u9yCXOyl2MDQ/VwD6JGodK/i7cTnXqzH5IgluPR7wc4e/Lc
jbBaEHBER37gx6rYTRxMb1Vr/nq/hPnWy84rs+pltMlQCJJBvjNPydbmUdbQH359d/bjBQ500WKo
KtoRLNVDMowRUpsppX4pcHgjvfwBq+rbkGwVroAkZAeTwDK8rmvfK6DzbbuNGS5NNBQ8FgOincGB
VtFbjk6vjL2rcIxYCRz92CoYj3Z/lUw+lUntt15d56sFGcitpeh3bIAmyNqbMg69guLwVn454PEC
RRZME1UBuex2KAPACjIg5P12AtTvv3iQaFJFXCJZXVQULsqbBAG90c9ec/EfRDGUdS99QobCWIA6
UDlYXw3R/BY/9LWv6by7YatOTE/5VFQwl71jeLehrNrMX7z67uq9VLKWDagzA6IRs86hKOO5ClZS
+LXu9H0lqGWO635AJWrb3vBoiecDHzX30/fD6fXlV52avoKQacB07E1yI2Ck9RVvWusVCg5dtVey
dePeTbjzIZS1XcP+xxQJmd+CpL3yXV30Ao1ak9WXVQqnyQp2UKBbG3is+M13V/IVaji1bngnF4Ht
o78E1OZ/7Z3p/JSfoSv6imnUN6KRCjyjZAmuZdaHOSnXNX4jd/hK4RvMBV9+WdSDliVv077Y2zDS
z0rWC5y6k56q4zoNwTMqwh6CIGubI25xMsurDA+6swji+N/50P3fkyJ0VTNrUg89UPKAWekt+NY1
a/RdBzgFvFaGK5uZGtYPrA/h8dVVD8my37Zj5RXThfvay6GrNmRduAaFa9qouLn4acHrc1j9lrQr
nFklB3hXRl0RyXSogNBKxxuRmF743ar+JpX8FL5A/TInpsG1f7WjgMFa18D3o4PHT+sVAQhdXR6A
3zueW5ebSTmH5W1XVyj3s6OdiecvcJ5cOzEalcC0L2BvWcsD4EQrOzSSwW3Na+646jw+7ZiWFH/A
Ggq1+G4+oWjiu1fbrjivnTs7Z2YHL1L3MDmqoh/7DMsxv8ad92I17uE0yaQDRJmdWypvKJ28oheh
K83rwC+tVhi3FDNbplwGDBmedf/g12/ntjYDOQd4+dIXpdEpaE20OnRx7XlVdgVjLNuGiPeg+CVw
lMrHLL2SLLSeQ+6cwFr1VVXC7K7ImFjvJt2xPJmb5f3vB+byUvjFG93VjWWrtMsa4nwHyGzE1YdM
Faza4HwLEg9ut73fZd/VkKUWzmI8qoaCmGhWBxHPzeUbk2w4/v53vHIWu+bgXVBPoN7X2I1j+mRm
8qEKS7+NPnbmDtwf5pRo9B0RqvhYa4TydwPktV/HnSdcj+03kFAFwvtNlx8WG6inXsR+1Ux4zb48
SdoazoiETu1lM0jfqy6Ki7kGHcmv7845pRBdIGXXt0iGIyoxjOn7gMGozq9x+rLrxs69NbZuoRCA
hVOO4sPxC3wOh8WzfWeTh2NMWapZwyxSJ98QO7rvEvHJr+vOkmULQbYaFYIoWh3AeB4ns/y1RqOf
XQW86l+OTI04Qi/Ky7CrtERuY0qvOx4bv+nuCsoG2pht1+h8WQmEnUKqDrAh8dwqXUlZxvfExhPi
b+E6hxYgHOgR8qbvm8XvEepKylL4kyrcbNsiBLTjmFbAJA6o5/vg9WVdVZnlNV76K2wYATrYhhvY
2pMHSlVs3uj93w6+v9iPXWHZxWJ+49xg6nATd+/GMOzNVS2XUZ/xEDP0HGeMTwD6tNtwF1i8Cu5U
0ozdF7hQs7PhdAcuNLDxIdtLAwsvG0j5ruvjjebdONoaWDZR7t+GEtjwc69wy8xN3Gzfo46x20U1
842txXKOSrOiCZhUgCPf1Wx/huenbd7Li5HEc1+najriwcZ2/K9gjgoC5edDowTciPH/nur7iJbD
4nejcQVx0DWO9FKQfKrKsHlYMpnd0ZpWnges6wk2BDIeGFlkQTfyF6fj+yysHv2mi7PH4K1pu4Cv
YBbv0Nm2lF3TAaj03zd+OX9+NVWcXcaYoKvAOpXFqGCmAVgEWMnHDLar+rjiqlpd84y34svv/9gr
56srkgvHDPgDoM+LQAX8xOTannfVVh/9WneulcKWBm/ESBbLwASIi/unuQFr8veNX07SX4xT5ER5
Q1LVRmojC96a+gmqavYuhRH7n1sTvmWW/dqfcK4IpMySiqpRAsoZAcYk5lGP8L3XCLZf1ysq2t54
VL/yFajzybeGjGaCB/Vx7li9nSldPyot5VsPq1dmlGsrDvVDZRbeVqeqhrX1GfSlEOKzoD3V3Z7S
HIJxz+ipq9GrBEIzpW7xTXqYeUvGP2Gf8zwfXVuwAH4miDP0sgiRMZuj9TxH4Rv7/2sfmr48ehOA
QtMdJb5HWY3JfJ21U3we0gypeV4tLfESL4T/EOmhbV7XCcx+L0aCKKWvPmdj4lc5G7o6vckCVV1b
3RRJEs9nSLoByhRw4/79anttijqXk6VGyD0yoQAjLGVnBew2cJm1X2DEFeoRrsK2TdryGC71DQGL
kQ3cb8xdiZ6NSDsNM5red3Yqs/Hc1dQv4OJK9CyM0Oopk7C3rultEge3I2zN/Ub7Mk9/irVAtUiA
MapLMNPX8aaZprkI4ujJr/HLJ/6p8TJOxGKjAJM9rKaTAv7lYLOWnf1adx4PJJO6jElQF0k9qVuI
aj+NlfXzng1diV4Fs/NgoaYuWkvbs8nm/oqMrZ/SFayNlwMT2A0vrU7XBUD0IHeL9C5I9HTyGhdX
SieGbB5bGIPDcH1E7nYoGj34HeKulM6Kbau6Chepdjb1oTc9yfc2fmNrfGXhu0q6Ber8HRV+mOXT
MhygGoO9OByF/QbFOWB3mPRMy6xqVC3Bw7yv1DAeSt1nfoK00LX1ygC0Z4mMMxRaDTs9pG2pwZuV
tV8dZOgaexnel30yRtkR4HXkrt5DBfDGyPzdxC+uN66WjvEdgKq+EkVog2i5JXUXo8CogtnmM5yS
hqKOsz06JOPSxSeOePKaj7OMF1hYKm7Po8nIeNpBDKB/dklMl6JMozrxy7+4SrYtGEP4bsyX55Ke
q+saeDdzEpOc+qPfvHBWYl/XMwdJAnB1LTh2ENuYPhcxDyO/t4erZdOzNPtSKnMyg1CnLmXrUWXM
L+TpStlwp4ojFXXmFF58v9Z4RKU2S7z01aGrZFPJwqZyRuOLgblyO7HxMLTUTycXujo2Jgyq4U1v
TiA5qDySYQOEQ/vN66u6QrZBpikhUQkgCxUA2wcBCrg2RvwOHlfIVkFrSlgQzacByhrQQHT10CbR
/Idf351Dk61KgZIImEyQIfzO5F6daht7DoxzZtZ6DQckYucTTCTpYw/sxTdO9n+Hc/xvvswVse2x
WMfZLNOp78GNgrU0HGFY6ed6EhJnqbbZHO1RGk+nOtn0OS5nGIAH0lPs4ep9o5VGeyvn6RStnYDi
an5GefX2xh7766MNCLWX571ZR1hmJXY62STcD5JInSfS7zIBtunLxmNpeBCNGPW9g13LOtsfRAu/
WkLiSvCCXXVj2UbmVKF65pitQuTYj/2S98R1+tpRBlHWC24+gId/A1DkqRPUr7yauBIY0SGkPChm
TjUBeHdTtAQMHTK636/SX7/jiKuCaUM5UjlE6ZkDcL88CtPV3dly2uoz0wqn4O//zGsTx1mvJcg2
LGzwI2KaBseFxlXeb8ZPEUNcRYwSZTLPHK1XVV8fU8hh8myw//HrurNcwd2KBfSM+qQ2ZfO6G5vj
1JVeBx/IeC/nfKYYmbs41qdFmuXciZQe4DC8e518xJUk2i7ifNerPs1ib8/hJD/uYfMWevuVT+oK
EnfRsX1ArOekUpHkXbs1OSSpftJ54rp99YlN5iQt1SkAkClvdtUfImX9nJuIq0csGWt12HB1qudR
5DuAwHkKa/mj14xx7b5MaBFy1lV6bpp+f96J2v5oSP+W1/tr4375958fo9G6hgZi5VOsQ9SjXC4c
ioZvxQhfa91ZqCwMEa62WXZmAULnS/B9aPtnv2GhLzsu8XwsAbhIzvD5KtvDskMmO4tt8tLzAdn6
svmwHaJhJzo7xwoMunxtNi7ueNj2qd9aTZ21qqYUrK1BZedsCkEsozct8buJEVf8BSOucbYUTXcM
x98lMd/7KWOJq/wCQKEuRTJm5/1ifSTXkOVMpKvfhcBVfjWkFfNuB3aEC9dVr9UjYOZvnEyvzERX
9gWOKK5JXceOHIIfEArvWF+/95qJ/5B8wUZI6KgHJI2bLiwYKGfqWqyd+ejXvrNEexWCAmiG5MyG
cIPHOZvYzaVU7y0/wUvA/p8vXeIKi+pAKpauJT93Kpiu5nJZuocpIVV1Qp1qUl5X3b6Ke5Af/x+P
678dQH71R53lm1ha9ksztni2bmu/5SEoeFSdpMSqa88C8LP2MA4deDKHPhpxtm+N1X1yPbSKi+6M
h3Uju0O7y8Vei9IG5Z9RtEJ21xNoq+Uhauy+rgdcctR4J4F2VffLVK4hv94ClozyoPe2CuoDibI6
qg56ThQuQgPHpzvE2ThUfyotOhMemEzq7jraJeyejxYP+qQ62nFZdS5t1GxPsJBbF7A1AUKUsPm2
9Tb1hzAzAWeHzMK7HVg1JS+w2g5Bxbk7oK6gNejglAz9R0U7PGSapEl/dKrDP2szsuXIoTuPDgYj
JPNlWWkN8qIBdRB35Gjq/xwQVU3MYdN4DYA+m/JKfOlrJrPvXWVA4kEh5z6A1gm3r8Z+vqjFrtTe
AQ3awzRqyte1nkJ5TFA4WZ52pGzoKaDlNuVlipmW5Qtfbdwd6bLH5DZMF56d69jsHWqrxsFewca/
zxOuFn7fEDBKj6SO1igXCR9xC0s7UDI7GOAetrHiYw/9ZjOI6jhneO8nOSIkWzWgZ2Ovk0NKeYK6
kaUuSpbg2oi9hHfmBl9rAN9Yp7jZHbIwaLuj6Xr6dZw7flztviXfTb3b6KzA+JMPu6Yp/0OMIM8/
RKDFRnd7KVJTHVuAcQ07Z6sJ4Yiw88S096jQSPG9VF0rdK4ie1aZM4GrMW5jHRl2eWV5tK3fxrSr
hyofFkRrrxMUO2bP4ZZsk83bnoEkVqXBxQayNW2/Bqhi2SFThINOYhZzsviWw3BNYwTS6DWXPbjf
ksvszKXo84Fva6cRTbHBtFxulst0S8wkT6vGHvXAh8o0z9tGqz7FdBioOTdRPG35UAlG4RIrbHvE
u0akX9I56ofbbNvx8BMxMZs+rGpGtP2QpXFCcYOaZ/Dcc1DgouZ9KFPNzzBYkdttT9cQYWcyw1tt
R5p5XirUPxE78RmSQg6TNdKab7QNUDOjl4SppyTuwvQoyiluvuHtk7ZYNB0D8XQCM3B6kIZU/Bny
rLE7NzZBmVA2kCG+2eOAyrtQrHL/T923g2FHpoOBPYxYtOLUK2HpterCZvwkgi4lFNubrEBbTDqW
qQcyzzL8xpqyTIEZrbKuKlbgEeMboms2fG5WbuMcnvcE1ejVGoUZrJ1j3n4v57WS1UGOMv0WR3xU
n1Bdvosc6R+cXdC7D/YeOtYpxX88BOz70OhlvwaK0dpnuZMwzJXASvreMEzzq0rS/WHOSHUmdEyb
d6k2CT+RtFbiwyjFtj+uELrTAJlo+Aakx4sTMb+e1rnvf0ikVsRtw8fIFsMARnUx0izUt2bMEpo3
LGL0S8opA9F3leUDSsiDG+R59u+Q+HeHZo2rYwWDoOC41Xu63gDysOxXMA+KwJasWXZULaoF3ydW
tP1DCPp1eL0OtbGnYBTNdpVZTXiR8E2ST4SXsvwgxgz4X2XnAJ6IDckmFBN0fFpuln2K9f1E9plc
R4qr9iPIGuXwzsRZIs5EyCE5zluzYO9c41SLM/TTob4fs4V/b+EJ0OclQobrO7ERja1EDNt64vEw
6+pIkE5abmUDg+NzWRmFMoMgWapnkU4Zu+6UUhyU50Dzb0JkjcqrfpJzc0j7sCSAA7Fou57abpqP
80pJcJynnoaHvt1X9SWaM/TgGJMqhJ3hhl7UQTXpQ7MFU3/qL5Y8Bxja7fJhXFGYdoqVXr9SYlcO
/lnVw5cTKAh+j+tS9VeJJZzkQIrSLufdGg+f7BjFMQyOOmB+J+B6972+XmdUmj5b8OnAshXjnICa
Gu5qvaBrZxzT6wER72X6LsN5rj4sYs9uAXvTOBUkLGuyDy2aunxNNRt9ijOOfOSpX2kXH1BE2cdF
m4WZPC1LFbX2UIVzut+u2wTG52ED/ym7IqXFRRHlbEJcT2ChBYdd13XwxGOp6VEwboLjRJYwOyZ2
35s/NNmj5mqZ9zUrTDcE5XFcaWnvIiC2Hkk4NfUTwkfUykPdtnN2hnV8Nd9kEs+YB4u4WHpmssah
N5dlPEJ1zMR211WkkSCg63DOmdIJQMJcT2W9ooRun8IPM5EdSoN6Ns+P9UYSCnh4NTYPA+zu6vGw
WAbMDczFD+Oqs/A6jLJpfhdPY9D/SestBTW2jSZMtF50rfjPBVuM6dDBt206DVVaL2f8sq05xZ1k
00cuF1HeTFXdRNeoRuXtvdEUZKwT9qSWHwE0isq/dvglw9h8Ek18NQ11VUFpi3IUTJQUZko3ogHS
+Eo1XQQFK4WilZwmBfThYZltT5/6IEtvlq7N/kipRMAXNulx+cxC0QY/ILV/usi8r2ClQu15tjp5
gvxz+zFMI1mPYYADMF+aXv5QqPL6o0MZRnzFsT2HQDCP0l6Fa/9JatYcYYdcf8CrBh5JOwkAJGz1
3iV5tlFM/Y4A2PCwqG3J1YTL2qOkyOudqzmgx7UBxRiunu950i/rfbtTy4513UzxU5eNaXAWQ6By
sQ30AJoEwTTo1jYnJt6nr7qheJalDYxU8hlvwftmRt3no2BwUzxC5lTerviH+71qK1CnA4bYApXR
dmyYtp+lBiY671DiY+9gCRj9KTTI7Kzh96KT5HqZpiAqUNKvousRCqyrLEnZ0x52MIMRGVb9Mwmx
Fg8ZDRbMhzbOwazFnSxr6v6IXWcaH/bApKclzfrckPJONUH3EZ69y7vEYIs/xmD5Hutx+L4TMR5s
V9ZfwVZp7thq4Xa+TkiJXEmuLcONY94GeyQ6juZPY1ihfBQXrT2GfeEMx0F49UnMg8OwBuyZghVD
j/Wqwv57ukTY7wPUMN2qZoJ2uoFouLrNonlbfkBfM9cA0WfzfiQBXeLbNJn37T9J363napkhXT4I
GPS/S8eZi3wESFy9Fy02w69gYJcHPQUqAvxXWgNHlbJi4FlLAIurm52Gsz5CczSbYp14d7+C9L78
6OfkMZr3LjyC2F51GCqBsvQ2C8bykSpVbmcII/v+AzRrc/MEAwJ+J0hdAmk8WmsfEjggqKPekDm/
ZrDKWQ6doSs9RNs4is+m1xX5WotoeddEdHxUWu/isMKCfVqQhNg3/n0I6zF8mkFMDD5HSIUFnxjH
TgrbpnmOUUXLWh7bPKn1QvNKgUB7I+pd5+NoEsS7uTFlnuzxck5n0zQFHie7ul8hWnnMcNgm+rCs
HaRWVfxAs67PbQKkoS4hy8P+bQ5BY0rIjwFzp3pPThvP6mvb1Xm59l86IL8OyVav1yt0dM3Qf4Ia
z4LyPbCcCiY5zE1W4BL0kLU4vlDQlTYlgUmbsceqBZraQkgGVt+ShXd1Pwf2KDQg0PEK/a0tkRRl
PZ9PIep+87bV46GOYpgvaN5/xK33K5fxOxMCzBDOWKLMXpTYHd1w/+Sfqzq7X6IsH0YQzhEPIYWQ
7dLne9MgexQQ9hR263gNCJjUh7ABsFwyleUGpX6PE2nTm6BJep2TanjAO2NeCtomMQc7fiPd+KDE
KOCUEcIK9qyyph3uo06tAc4KuBTcZryKjs0wzts5Dmu2vAt7omHojMx69szSfhXnpQV66XGkIvqc
TsAGHSdWIraU1sHMH2yvyuRMdLPSd0hoRv2Haeb7u5i1bVgAvj4E22G6hC96hh0X0n9oINNiCRXe
JntfZbfAwmdqy1PGqkcL6VOQbxyr98O0ryO8PVBXTdccNpmlzJMsrNU7OSGGicGr2vEUWdRtt2fU
4oantIz6/qhJSVUe1qIN75lRF1Iwny6X6xTSXVHlWbrE9NiZkYQGjaBmvO/m5NSkLay5DnuHEsFn
hVLe6I9q4sOd7g2u9bmomiAPG1gPYuqm2wIAO8cmQc3/cPZlzbHj6LF/xdHvGIMLSNDhngeSVapN
pV1HRy8MrSS4ggRAgPz1N6s91/ac6xnf6Ogl+rSkUi1Yvi8zv0z4U+zKyEoUlbGj6AVLDSYXliST
RcZSEBK9F3gy9M4M2JiZz6IxbxbEvl81DvfJT0YnO2/9uGk9ZOBMMNfzQhHwfInb6iOZWZmqwFu3
hhv30vdF5aPlYUWtzgZqPZx4E0p6cQiEtOD+i+WGL5fg3XVag6PivKEbjuQkh/INpW4+rWHAni2y
7ct9E/VMP5q28Ob7fjJeBm5u9F8RGm/njDlBctlUT4kzJp0l+VoajBMNYHrSydXVrtIS5igh5vpR
7AXZuupEpjEa8hGy3+ZBT9Tf+Y1vr9xgko3t4uDYBEnyo0VBlbmlfi9hZH3jAdK6rTw/KhFToB+Y
nQ/DgJvhwG25fHqy9p7HnvFq54sK4wVrrdbkeiT+dEst/Idhf8+u4RxqUh4tcCIxdL1C2TI+l4Cc
ptuZSAjMtYszQyC5KAh75rxX6TLwa9CQ8BhAKG4wpYigP+KIm/fLxP0nnO7lpvHrqEm7zmmIYxB2
4jNLstIiASJvsHXw/hiLM6MQO2HicoOFgcCwqFwOa8Q/OS/1XeiH4SGiDRZc0E6ZoNFdy6buyVtb
d8MjWd+VVCoonUzbNGPqqEisSkv0b8t2QWDhsotmv3yOPCcPul54ktf9GGXdala37aeaHRYIcsMn
S3j8ULY2QNCAr/uY7Iounm2bFtgrHMYPyKn/FLpY9BNjUbSks+gchzjZm+2Si4uZzr5d3AojID55
i0RW9DgqrDIngqHOy2j2yGH2QsxZY2Lf0sNUeUVyVsQpvZ3hXEGf16j1oyxZwlkfTShZ+YperBsR
muETfyeFFOGpdnOLfOGyn3G0enLiz4FpJb0ZAxPIDcw7lh5+Piqq9gOZk/Ynwc5ECBtbBBM5VXWl
U8MEmqtEm1hkU4uq26ZFQIKgTRe2GPHhOAvG0+yGeX1HzJpFgV9pznB7t9jITKY1ZrHqDXyhCv9q
4q2o75wHNGsz9GHQbXWMgy9Hj17G+/EiKN2McecHN5hXqtkRivDAy73EsWTvYSLNfQvcot2NUZpL
mi1JOVcHNaqARilsZjjqv7X22+UOYE/sA9eBCHk9KtUqnERVH6OGkh22/kMD+MX+bFiT7MMBpG+g
Ohv/9FTQkNcOkgEAP25gyN0ErVJlWB2o/NPCzA0SYCbj8rkrJ/4jgkuFfua2ovxFqTHx65zFI0Gx
UvSMzA+RXWtXpsT34wBVTjF1WVIErX9WK3fLdwgDi/ZzEhgU3PAa4ZX3S1u5BBYabJhukVrOGrfp
Z/gVXyWC+MNthP2JM5gG06VAQDxSDPi76uEYsasDWtld0FQN7fJwndw0pG0URSWCDQZ01Ghf6jFb
UKSisEbdo+1drVEi2qukKZvpuVVkmLdDTXSyVyoxDJ/YmtgpH/3Wza9NwjBPGlVNol61bcZ5K0va
kSxpjHcUY1lE2Qhphz4tdR2W+EhigfFWBd4om+Q8osMaI5gMPZs1TDi8J8biNJT+eGULx+/HwF+0
SjVbV3mztG2bTkiITTFvV5oAiXm8HraL5ShfSoTqmv0aKEAOVWLiVGmL+jnVRlt1F3s2rr5nhPXw
zdpQWuWRhZ3XkJYKqSm7NerY+4JsRlGnwUCS4oCA8TAKM9WuNUFztVBy5Vas4KvYZ1580LhZ6rdk
FVW+9DA+uRl8NW0EGVcDlQApyB7NWqAzCmQcpyLXY5HBMCx4CmYNyeNsq1Luk+pyPeHd0h78iodB
ZLgDZffMQErRbV1Vvc4lYcJuZofRHMAYBKOLa1x54sxrSwEBiaU5Y7LB7NtCRD12ZGEOAwV0d534
pfb3qLfbV15Xgz33jVUHPcZ9W+V8WVzGGA4OgItl8QojFzQjZYfTVNRTc601TTAcARMvu29jXmVy
XZC0g3kmuhPxFLTXow5Uez0VRh2NlEP95k+ON5uBN9MjYJRg05EAVRieT8T3yxqHU9a60D4z2Ot8
TbCCp2kFQxmBRYxCJ21t3G0DBJ2bbESvOmQcVP2MsEfuwFfg3FQoRyeXtQYYSAbrpcRlmOFaytSr
sHjHpfHbTEL6BdE5HHP86yHpNQBDTdakO8R2ZtWLs/O4ntYQl90TjGsG/9RFwgiV6WCW4jhwCMNg
CuhcTqN6MEgrD298JL/n8xC7GpYcBQKbexQV8Z1XBYBjCoU+P40Q5nhY64I4KFrHds0bkOioEgqN
sbiPokfYzN5vACGmBWxP+NegAavhKkPjgrBJR6GhWDWOt2vCk0E/gG7zp5OFkQHqXouU0nNo4NGU
cT5Je9OBDX0PV3S2r33JdPWjGkpMyzVayhZCwC587PwE3Q0ye9EENAhJAQaEMEicfbP8UQmgHsCY
1bZRZvFSnBGuEOkKLJrlTRxVVXtcbAzgJMWAmfc6KdkH2QBoZb5ZZLnaOypHEr/YYuzNjZlFIg68
StDSbDpTNGI/l5XzKpy3PvtuLGra12YpbTdv1kTCJrsZxvUJzEEH9dsMiKlzqcMVP+1crSx2tj8+
+0EVbEHyeEe4K+Ai4Qwe52lvIxM/YT/YdpNUukLTwr3enSw3ffPTdkBjUvSwJrz2iB/1X7JOkiZv
hmLyH4m/dvN5obyez8WAiLc7DkjV/wNIMmepgqD/Zr1K4p3zypZmYQin7BMushKXdemYb/Miih2X
GUKyIMzNVg/ql4cZtkb0EMGiiR6xsOLmYKIglMjso66/TiQA1jSSgYXRuaymL8oCUZ39teghKCpo
0+/gOE/8Www8xtGQIb5ptSBu+kVuEbxopy0karLLQIcw897bThEkG66a70kLCOSFtt2IBiJC5Zh7
UyJr9C6oZ7uzAfDXZJhc0MqkcPPx/CONfIaqnWnS7wQEEvO79ZdE4VVFhb6ypeA2n5iUzaYNAj7m
PqJkdJOOU7dUWxRSLTqCEN5jUE22l1wvxJwNeV2JxB0KDa4xw4BHmbAcFgpUwRC96EBEg8McykM0
u2DF0axluMM5OYBmH3GFpQBQvSbFpOda52PXm3YbOuONX7FgTUtQInmhDhBUCxucb9l0LQaxGlBb
WmVzh+swzEg7JVeRL/3F7RuPB/zZTIhgOV3WnJN44SKsw6z2XDDcsFi07gfBq0lIWqHZG8z2YkON
+n7m6xyezaU1ORZkaBzuGAhd17ReirK8WTpPoSabTBDRGZwScKY4A0nCrE6p6pL+Qyw4siHKW+KO
fk16JuPWwF0CdSG2OXp/xMwM00Elg+E3rKrnEjcir9fPpgKN8FrXdmi2YRn2BH3wKIMeKcfRJO5C
VDW4GvwkDtlW4mgfvyoZMstT7SWwWbZxaPijB0xNILcFwL1+T+DD2jxLYgZyO5Rgau7mpB4VZt4X
3vpZPI8wJMa8m5zafdWBsMIiCWWwnWLUd9EGAYhmPGJ0r2Q2W0H+DB2cHKdYxDllkeZHK0EBnVBE
8OjUmDBUD31bN9MhLgM77IlBCvlrQCna86h3EcZlho6YtI19S04Dhb3OHTHKiBeyIlAwS1AA9JvF
dHw6C6UxQtIxGs+PawstYsapAjsjgraHSdFUEv3BIyWLxwDYUOb3CCao5/VAVgRjT3kAU792b2UZ
LCnKjHrNvNhps1uGPgl2E+Bxe9U20UqfvUozdhANKLxM0g7M/QaDwHRCb9cDoQdurxwj23HyfZMF
UVeTFHvuOpLqAkX1DAYLWwprqGHcCuKBqIl6cDNL2iIbjafL6CTLpypm4U47k6w7GTpCe3ix+dYk
aROUCDlD8+XVJ+ZNSj0zBTv0r7gMTXeiALXjbcsqkzxYC04lb0vAexgrhJLsVvR9Gx2Lsu2bB8vx
xhwXnzfqQA2ycABUQFqOrPBlZbe1ibvy4OopaZ5QzwJFAmIYLWIEosA7QM0hzNUEzQw2syQZ3COi
ReYg8GKebBvo+C7ew/FP2PdR5WVJAvfHbtOBw1FmH3d2whur41pOt27CmwayEysBceF+nCwPAd52
jC0lrGrWJ9AeALZm7ORtsq7xCb1CRI4+KYAgphGF7Zx/4d+4f0XrKJJXTR2P7LS2A0amPX8Z9E8r
TALorjEwn9hqJEwvVepZYLAgJ32opeio+Ax3u6lTr90ccv92gEOI8rcXj1YPrZtjiE3n05rMdZZ0
1jb50k2XKDitojObirDfhxjBtbuxlybIy3mR/clXMJhJXdFQbx+ukgUnojyPbEErapG3vExQV8tR
SSBjQSeCNxcjmf1YrGXt7gEohxpIeVVM62fQs6B8l81A2z0NMJ24p8Iu4zUG/Sf92MJFunoaeha6
kxcStXwvI6vlScymizerYRzYRwJ6OgVHZ0CHCKWgzxt1eG1op2ymF2R97ic8hTo3q+83GeTsEWju
MLwoYme+TSBGPrczwnyfqG1KdT3p1esPMZLqUBEA8S4wnpDoBWnrKg7rd4AmBMgT40QqoIMowTLV
Y513G/BIDYAGHKGXPsZeKpGETHOQLYR4E7YJHydMOEh2ee8SiTa9TAHaJjcqnlsChwARi09zuRk/
YwOcDePfrNyPQ4IihOKkax+CafK1ycISyP2UmjaEB4MNEO0UAwqleeAzAkFMUI7F2a9ibbc4P+Fe
OLe9mL907aQ7DWvcsR+oAqLQpfVYm8MCLNL94HEn5xtc12WwU6hT0g4+KWOK+J7S5X0AbB6XLSjH
W1TFSXxQFWYDzmA1OoyoI7BgRes+NujKGaImQ6bfjCEjTzGr41vAmbIBYDGN1T2EDV6ZzzNilO9r
aBFxISIVA26LycyL5DmWNIE2vKdgoIBwFdM46FRghC5MBw7mP8jAVk/mC41yCTgMDSnVb+jGVkHS
SEP7UKcMx6te07IdMJ+RwlZe2nLrMNCJOJ/ehVH1EzPRAKVTYxE7M1516DVEndkRjt/2gEbYMS+f
ggrii/zPaVx+kVtFS9h3Q6/aDU1e6vAxmv+UKJ3+6gjD2mB2Cr35JhD3HD2PYH9u9IT+6gczwO0t
KUQcb3FLUbSqyUyvFQ7L/y1S/h8YPdFf89rQcPsaSi7U3QSbYKwGoY+dJQM81BRULYDD5hp2+nEy
+rdOASDKEINLaAZUFj3HP/9YLnNA/4NK51fzmNIBYxNkircDUkDbXGAY5BqiuzFDuQTGDmwb3//z
3/QPREjR5Rn8Nx3iNKpFhUEQbTFIP8YPehkKk8sSZSamrtGJAQGvSIui0C397p//yn8gCfvVx6qG
rgqHuc+2EUeWhYZdy2YEovW/vKB/9Oi/qLYkkvBUXCUMiovuvZm8Z8tl8efEbL8aWaFKHjtZFmwL
mgv1+rTshWmDP/ngvyiztOfpfjAR2wLp2kDwCHjVA77x597zX/Z54cBhsERE25IShSt1LtB34/L9
c4/+i6bSb2QAVQ3eF3Rq8LTVCdIZ1+Hhnz/4P1ihv1r6RBOIGulqLJcqTvxP1YvOZjRafOTxcL+T
qTRQMe8wHMTkn4q1o7/a+1S8tDG8TtgWMaLsRzhO6lx7QGf++Qv6Ywrvf9jdv5r7xPUSRPNShtuO
JxVwrqRfLCBc/PW1eDp6DlH44v/0oddHV0LWj/UqHj2sNLYrlDAVWoWy2iDV8NPNQSX9VMeoiP7j
2f3rh/u38mu4/Y/nof767/jzxyCXSZSV/uWPf30cOvz975ef+c/v+fuf+OvV13B+677Ur9/0dz+D
x/3b783f9Nvf/WGDslgvd+ZrWu6/lGn1H4+PZ3j5zv/fL/7L1x+P8rjIr99/+wCmqy+PBg+5/re/
fWn/+ftvf/gl/ut/f/y/ffHyAn7/7fwl39r/5/u/3pT+/TfO/+JTP4hjSJmCgCWX2CP79cdX6F9o
FARB4l/+xcPLV3rkhFa//xbQv4Rh7FMeUpgwePQSmKAGc/mSH/0lCDnGA1kU+IEfYqD3/z6vv/tk
/uuT+pfedLcDOFCFn6Z/jHP/upQiFtLg749v8PJLqW097WJQIXeqG81NVRXdHvKOdYM6kNxRf2hB
luu581IB+DG58sF/X9VlbO6HhiTZSIdxA/i62IlqEZsk8M1314kob9jSvNvAzDvexF6blnU9f7WV
YBvoKVswV8bP43Kw2w778opGYfUwXmi0apibNAR03WShFwyZb6y75mhBHta2Xzfl6tGvxsL1oUbg
HUov2sS7YBDNXQJrlsMwW/q4ynqAOlsU/L6B4BbWH5q/zJT5+7pr2/eVufonLicHRR4Zx20Ev7Lc
6o4fiefVkKTRhl/7I2LFmeqbnE+kP1gXx/swFmI/dlV8X3Tlcg4wIfYDSrRiTbUFVg7oCIBb7ukw
2IKbH75E3bs7sLQhbGVMRX7GViUVjDAKeR4FOgGgCnDFxojqreZxhlD28qhE4501gMLdWNjlfq5l
+9JhUuZJNCP0dX6doF1J6FJDdBmsr/OgUV50BKBb23bipYib0W1oGPGrpg31yQhfvjoGTS1bIvUd
oO0612FnPptV01ONZG8FWIvxlLiKIta7mb39WK/8B1p41IpqDQ6Lw32e+qYqAcfFtR/mYxVOP4qw
BCjrM+59SMiaPwa/6/c4R+RnwyRiJWuCSNl1tnXaQ9ybK/g6blUAIco0qwev5zBc1I+yTIJ0GMoQ
Ffbww7XeLlrAeERhiZqvKcZslaa+L2l/J0PQPOyxl3WEDsXGm2WxcJhrcGGQMskjGHSMUFrugO+c
A0xDGJD+eRn7yf2APORdAbvLnAzfJTwMr0SASeZLLwG6Elnv9foOAmLnJd0V8Zopj9lUp3ODbD9U
/rMJ71UfinTs2nVXNAQSmHJjRfJm6xpSBH7rLxH7hjTdy2LATQ7Na0g/rW+KvOfet5SzfUaVqDYj
D7Fb2hJAEv7hznuDYFXskrb6YVHQ3Khgao4T57lT75E/pUk4zZkmyVWM2ySTIFep/8o8PK2mWTdF
RfaigWsFBitfUdbh3u/uvXCW2540Tw28GVv6aNAaDl11LQ2P9i2mCyEJQ0vHRyC/8x2GZKs07Oyt
hY8HtNTIGFftzq/6DxSxHHHAaPy94gcK5T10ExXIhjXKepCKKRzg9hMdb8KRCJhlgjkY2E8uys/Y
q2/MNEHo4LMvEUPuJAqb4gKWuQebvjxcIoBzroLB9Vrw3LYIaNPlqVurCkiZhxdtb1F9barYZiGF
jNibLnBgJ+7XKr7rinh6GhGlAVxfNFeTqa+UFxRnNovMeX3egcTNNZohFyc2h8YXfSbARowQ1Tvp
YSVGYdjnWnQ/KEVrG3TjdjAoZVrJoGcM2wd/7L9N+2T5SjPI5pA6FiwJdITs1m9hUiG0F26op4eD
Q8IBMk6gXPM0TSfsusd49vmthQJsU7mvaF2AjMfFE9Ftf2scwUvnDvLlGF056aDK6/ZNPG+hVV9S
YYKHfiTZMJV3UCJJgEuO3i1TGUM5tEKtuBQbM3cuZ1MTnOEy9RYXElRsITv+Fi4S6nTYJEwiqzHq
nV8Sgu6iaTJvLsSH5rl+urEhK6+IlvWZYr5EpKVc9VECqc5nmMMcgFDUS0rW1XsaECWSVzhij0mF
z5dZ+bHYNXgjgxUfK+QNX0FHg9tyUuFejKPdFsnAgIpAizNYsDuaqKshKtiOEe+5HZACiaYXy63G
IBFncNGKQBweVpALACAQeZNFcLv55i44wlIwzCZVhtnK6bBRRr+2fMoBBwCeIqs7eoBQDr2k8QZE
ks48rc78wsJoYD+PMpHmzg8hkcYgP8SL85upvea2x8g/oE+KNB3QNzdFHHUfYInjj7YruiUNANec
EwiUwNn4F64Qsq8eSpXFbThykO7QtNSXiwthEIV6RCLnAgdR764rvY81XDXU28LbsiryH6FsmPNu
gLvSBdRyOM4ad2p9Xh2Lao1ftBsfxo4irWKIdfFGYwYxb41shrmGIKOsT2DsLKQBHoakfbjjb8EC
485JvHbXIW44dZ29AogQ5LAewcy9cAqd/AKoMYJkN5reZdTHO9YO9qjncN33Lbdn4Lo9Ypbqi0Yx
XEHxb3CMtXmIOXWAkRZ2lnmDdTZN157A4GRWzPvQb+nWwCwrB3TM0qU32QyP7qCDqsjol1ZO3fsw
ySCD+6sH/M0VG0d7ttFRj/3dadD7bbPFR9HhMu5tVpMYyH5NgP1LfPTNshkqn9xMDi8UVDXs/70Y
hoAc8REYZl17SI7pChzLJj/qqgkA3oE4TMcECtWeEz5lU6Ig6O1h0xbqOclXOWGUt7otWQnQOCmv
+7DINFDSq0oRkwP+iDNX99kYqe3Kp5ep0bl14TenLk7x9L1NFakC7878ZAeLS3od42sB34gRnpwR
37YRAWk3HWRAoLNFMXbkEdj1pWv8LFJQqk0MF8d6eVTS/QS7VWwH/5PEet50ZQJkEM8Top79EAIl
hkDlvWtGRGjHmJQM0BW71n7NzgJsgxEzw/FiN77F6TeHFKRcO/u7gDBoC53Iong58MZmyVwCuoXG
MwTFoCK/2cLgL8mCAKbChNEDLCHzSrR7RLs804W8umjszysYCehdlvoId1MHg93gO4aOAqN3LfAv
IEMk3CVNfY1MkRQ5cV0qVzemfUQ/4gaGjWJZdRonYSYY/sMDdrdBaOf3QqOzczfAX3/OgKhdWEIq
H5DxMFMvLTikwvHYfWldQXfL4WpdCcxCjK8ociBK0QleB0ywrxJQVPka2GsDO7W70hzpUpC0G52f
1pU8xstj0fRFGnnKZNF4rcAKvgAi3QXu3jMdcOzioxoL/1R60UY7nutWN3lF+ixU+twTSOVojJyQ
eas01IW90Znou2ePddka0/3i33KQhq1e9lRF9FCP0HLgY8lZVb0J2vFzGF6onK7Mm2C9Y9BMLGI4
qza+nfXcQ60WXjTaxY757Y+VYFaEO71njbrmAnqendBlfAhnjPaEptrPkH46VACHuK+eYXEcPvQr
//YHMAjTQ8WRuNbr5kW6FSd0VXwkFyEl7U6NxVSta+d3YIF3gS2AKnVYrKSxqQm7V25FfRpHlkHW
INPVW++qgp3jtoFSWQR5T90Lps7EjTThBOeRCNPXdbuF4GG8DkMSnpvoYWzrZ+76PSN2M46ivQ+M
+3ZRgTmqYaDprMi6tzycPolgR1XWfww5PcHc6hFEFAIFO3XCmgVSvXYvsLeqcQRYni0QgGOXgeBq
Bosrb4U+n623POq9lA1gyHVb92lCGp7BYPNnjLhZNU9ZGYVq6zEIXL0FOy3telJcsQ6c71KPkIf3
9dn2wwlEH16/6+9NGe2krjJH+GNgLCoNL6oejNfsals51Bh9rgS0oNWwZEZ81pzdmoCC94QzHTRI
noUssB6X5OTJ9SoMxzzyzG1UtkcIW64r2PpBCIAxG3gOzzvZaD7kJdbbstZVWpaYSIZWBR9GRLJF
sjqfIUXeMNfE22T+qLGrtiyWa+q7voK3vNlPXFboa5YvHPxwLDwuqEX3ZlkOfumhplp3HWpTgWtF
+ZA4MI/KB7aUBA4LNHoiTXCA5JSdqMQAUTyuaVvf+3i03AvbXZuM4Pz5EWji44SSxx+D93Ge0Clo
djMrHKISiL2/ejcFA5o818MJd9KJFsMzcesIKwR+KHGIc9jkDNTbVW1bQXCrb6h3I7i/VxHEUzXw
n66PwMkbH5vVXyGMWOWxiMkDptiTjVLVK1HdNQbmoQsucW7olBGBc3qSj5Gy3QhiIOnPMCaNfhag
ahnGR3NM5r1jweIeXiZ4pbXghiujYKnNvxnI1gzX46lehMabXZ6JCzGDRl9QTBUQkXIGCb5B4ZNQ
u4mn/gGc5XnArAmO1aF5njFhgX3iXc6kGssBDGMaDf6+n5ft0JNxn0yfU1TYfPHwUYtqfUBo1ZwV
xTPx5kMcteGuax8DhPKmYUsGpCPhZgElmBUQBKdF41e5Ldma9dznH30j3KuJkrMgB2hxXR5ASLl2
wcnHyAZkXrNMQdwR9L0jCiAdtnlVc7uN9QSt1fBEXLSzkf/ZGNLgLMBsU9CA6x7Dq16WTz0Y/ULB
iw1jF3rPB1ZDuVJgdU/6obNBhS0GXoLVsEUFo3bXN0Gd+kLfDEp8xJpAA7Xu5ph14M2DCt5lB2/y
y6vR0MxGHMUysV61rcSczVDwQe97hpnNC2iKMQv84TTU+svFqzjLRNVp6PfvC75FF34LzqOYtg1B
KGrivcw+7XMsZnXvlcLtoXfGdyv0CKJF8h2OyFeRRP5mcOV822GK545XWFIeKMloYiEqxXVKY9nf
Qv98L7wwBHNn6kzO/QnjTdN+lmbKSY8AA1N9rmP1FoeNyoiFpg3DNRBYR9NLPMjppbcx1DJO5Ogj
ZF5i4AhAOxwWvfZEEX6Do6jG0FwX8nuWkMeRtMuuLiRLRwauO5FfU4VJhZpO7hgEcZcVgfJTWG6U
VxA5p0y6Q2DpPT75DuNSTGyYKLNW6SUFgoPZSkUZVMlFByUVoA/IbjfAM8pMQ2iYR8Lft3pKoXzy
MXRZPKjQbcGpeVeE6Car9Xwci24X1eWjN3USGUxCXym/o7AOjO/gGHyo5/ADSF5aJjeYAMlKwz9K
CMYB09RfFwvt1J/CDSbt4VZb9jsLSW+X2Awe0q8tNJUp2Gw81IBadniaBwkdEPeuykocMbCM+cCq
R8tWezxzMxTQ1oJyL8mAeaxQpxqapbbx442sITSGpB6iijVHXpjJVzp5u5VMeKUx2s6xhcBkQagf
hD6bhSCjbZ6Fd4Jf6reJ6bFjiP8kc3kT0mG7KowzjlZsFnyqINN+gApje+uxOa+iCJpXWfzEUXsO
k+IB/I1MxxrYUYMLw58gxfCn6mYo/Jfed7dmtM0msladIGo/SEnfheVfZhBdui4eNMGUdFsU53ce
mM0srjmKDYYiE/fqlsza3GFs+Yc3B0+8wq0bIdN+LGDSZdgV9VBbadlkuu22iYPSSsPvSfqZsEpj
k1Z7IsRt6Kt33TVPNaIkw3q4BVpmsrLhKl178dgu7d3kj99FAb/ewRRLRtcBYrdaZKQkZEtYfxqr
5htarCErA3IfkPqWyhUrvfMyaAQhnTe4eC5D0vBsAW8PDwWykndLcNauS41ALXjYAcix6kN5toCs
ItxixAn1KEu2dA2vB8xvIlJ3W4TVdw1NltUspZ6bn0rQks2F+ZWAV1LISEbMG47PgfDfW4Q/Z7OE
Vy9V/4e8M1tuHMnS9Kv0CyAN+3I5BAguIiWR1Bo3MIVCgX3f8fT9QZXVJVHRouXdjI1ZmFVmKUMA
HA734//5lySChCrfpASlrIpSFDfJ4MntAg+p4KAj3XUwRTwqHJzop09P3LGtdOkxhX3cxOpSKNPq
xguKbKsgKXvsFK1bSLUJCNSEz6053Y5jXi8rRT/lPoM4IccYQ4oAHMQf0ONx8BgNJ5llgG1cnuAm
LaF8P2V6NKzSSr+rJGOfTf0+CjsOB+k+0e5VA2lnnGaPkNI2sTC+1Zq1q4XqJmjiJTmfpauYwsT5
osWkSlCfUxwBBFS4EE+6lY4vf8FCv8QWx6GNjEnWLBAW1hakWiY6NEcNKRAqK3ravrfVcb1dgPbE
TmOI0WM1Ly4oyj1NewxRCUldHLiGUGzqbNrV+uRWZnjszALRjBc8xG3gppIYua0aX5Vldy21kttL
5aH12z1H2PyaJLsbaIqcOHrPLlQ/3oELMK7ZVaUmtWvFhlNOvSsm1i3spmTB3mkbsoBCpogG2sf5
dSuYN3QeI+rn+AbuRriKRn+N+MhNVMBa9qdYDI7JlD2qUBNduOaFoxkRgEvTL8YYxyEzEw8+ZwQl
qhqbtKV+VQgsPSgfxdNQP+Lttw4VVzZ11DCaX9noRJkSg7jo01cAsWUdiQ2RE5Jx22vxCBtRWyGA
XUWyZ7pmRaHCVN90yo01RVeCau4MK7/h4LlNG+0XznOLIJbuoK7XSzERHoIcCKvODYr68bH1w7Ws
ydQAxUk3hNIx8kcrptIWYfXW1ais++GESg0AlrN/6yHPD6XRRQ1f/0gk6YeA9kYIgqUieNUW9LS2
c7jjA+wvh3+5bSz8iqZgvEv68aZrmi2fFHLM+L7rLH3RG/1DRrMFWgWE1TG/0jLzOp/Mla43MD+n
QjqMeUuvZRhtDVo+H4UTdqktScqDx5mA/HZhTTjebdRXT/BrIlhMVbuSdSvwF4pXXMlVeRUTG2ti
2BxqykmUk40Jq6xEzYNVsTNEyZvRAnIBR8a2BEaWlBztsA6w1erHrNVNWh1YFgUIcmxRHq8ha7AK
1NkWhscEmZsjdAXJAwZYtYQdVDoihb6qU3xOfXhtKJz90pHsGjhlAb3kqI+3ZqYi8FaSTRdJr2Ig
PCio5+wSNbsjKtZbCCdxATsRDlTHWtfFyXhsIYEthbwpHsEWlQiHTOiwPTqL0YZU65Sj9mx0zXPC
YclJoK3sPFQ5LJP40plWtdbifquXU+SGcuqMVU6Z1U22mtbKOq9O0DO2Ukj4X94G97qo41+lGdV6
QmsLomt1h2yC+j/CmkbFV1ZLiG2w3OmjLcyovTJko1kISbxTPGmdGU8xx4/lWNf4dyavYdQuYaiH
CO27xTB0WNJTKVXFval5z0lqScga2e3EFyvx78Ru2Jmd56bTEXuMhVpqjtiZv30qddxAFqah/MBc
6zUTCzeYwuWAD1ysCY9aZWx0WV9COVkjaXrAvmIzZdGvkXc7apQrTXAS5IPAOa9RDYidyUEWk2HR
QFhtTX83a1ALo15Hoh7AFBSipSXrOUwX4NSQniF2mL66D7Htt6uAt2ABTI0PkVzKNoA1DNzSus2n
6G6qklv6I5S3Jk0BD+io4njndlGLBrz372iqzhUEawqIEeudFjulKq8ITXppxJgy1nMNK1FcCLH3
uocjvlZLtzEZogsBymG/COreDftkWsBPgL8PpLksx70cmq9Dcaxala5myO0YIwTLHtjHb/wIMjhT
Vw7866YRFrFmvND6bxC/aq4B65vup20Z+PIyWWQhDciA1HC3yMVr1NYgJbPlR3ZDdtvIj3V9p5n5
xpLLpRVSu2qq7O+0LjFQWQo/WgjwXQjULYS/KCkfTBpSy7hgzsTUbxthlAwkVziwxbK4DdCMelaF
xkTxdMfPQBElGgSh9SabrE1GEK2HIDzoqLZsuZM0JxfEtQz6DUxc/UY+z5AIgdOpYXaV0XIZktYJ
01w+5FMYrjnxF1dWSIkGED0nnSraQsitYtnJll1x1LZrSdRX9OzyBV7la7Qsbi4Kt0UrgrbUHvjq
IK4DT9bdqGzsKpR/KC0fzqQITlBEV1qpaTZKJ4jY8GKx3pBz6pZRF8R9p2n1Gu0deE406XdZaTUI
jiazuIVTq23IWrB+oIYe0QBk+YuGnoO+wOBb6QK6XEv2QgoRzqoD1alnxQbSpSsgokM/YifgtBrm
BoD9g36H5qhrMLlPi33fRgmNQdHrGjeT1HLDugN4gJWGHIY/MaUt8cSoUZ3mgSPp0as4Jrtcwkoq
grAOaxfyt1ovOi9xalMvrifggp9l4WW3QwKTUksi8+CrHcB9OwKlJWappovOT5C0Ngnvyperl0js
YE6k1MBk80IsdOH8y04uZdOWMGkiY4V4oAAp9HLV+WpwQyiLeAoCRV3p5Si62ZRj/wBAYv0qpEig
dQNwXTWReZUrfrgkaTJYekZbusOst6DMkJYT5sO72JLMa6RCplP0bQMQPJufellRvY2IvuxRq5ql
0XKPcdaKmOpMfbPWOEds+8SPrw0jFI9G1BmxjRRm2nhTxtGPyt4LbdiTsk5eWttsuklvf2Lukmx0
zH2dyCon6Dn10tMKDv8CJWVRTkybdOx3jGjjIjnQZFeIJox+Bt7tuqHOkW1PrrqIBVtNB3cydOSD
GaqJlaiF6c2oDObOEwyzQUksVb8Hv8Sz1Cj4ZKzeiO6nrkb7CwcdtEiUBOOxjcoeyUaRryt55Hg9
xZaygdveIfOjtnLRVbATaQHRKIupVqUdXr7UTR3Jf1C0E1duzfBHPKXCLwGt3ASrptVdpZL8jYeU
zNW4XEalbZVsoqb14g8Dvw07v2utCCaXTq0Bd66J5echlYaDOhWy43VW5TZ8IjEBwV69GvWmuPIB
gtbxkD6bZT/dQQglYRJ94I79yttNcH+vTeqZWzCMcRPlA2IWqUKGmKigDFqhbnSlDY6Ycao3QTvE
SzEGguoSDvG4JeRqf8NZh7YcgV8VxXsdVtNGahsfRJ2v/2cVRMZ1PbbDrYY46WgqHNhtMdOFPYpx
DU/CcOwQWlvhc2MF1R5rr+QGDwj1Suqt6tmyvGrcxrUmRuucqngHxl57C6KnhfrZiI3GnrqBqhKV
efrbR9u+KnwB7q7/rh4zfV8a6DVFHaCIP9J+zK4S2AaLANFq6KASnTha9W1Bt1wetFsWEB2MJi7N
a1kvw2CdpE3hO0ZBN7vvcl12ZfCL1YRI6igWwhEtBK9AMFkWPSlLt1NjDQ+T0NWPJljuskyk1k6M
DrZoEQ/7ysyVlWz+SM1SW+m1FFh4PUjWKcQlzBlklIuTLBrY4jVhcKgJimENyhsVImeVxquWJf7o
9YFyOzahjpc4ZYm/U7ueo2AfDmDtZt/rxWLIujk+2puuSiVAhN62VSnZugki45p1cyvriWdnURvs
UaHQtRQFYVx2uG7Zyrtuj/+vUF4jEShP7YK8WpEBPQJyWD5SpwjNBpO/b+585AQKPdlee2g5XD2W
uoGqTjDGftuq7bADZWs2Ta6Ju3wcvB+tUGtAIuDndp5No2Mi39pXhqUs8xgUH6SaKkKM/JdUbeOj
Ba+7m6tv88rHpv6pHHx/0akk84pZ1h5Ko1TXijlpbpwNw0NdBidchoND5He+K0G6l5AMQQSHMOD3
bo8Wjo4gaiK1I9rtVqimVjiNVW9cG4gj1aQU31qw4kUIcV9baCodFKgAnNcqksttxF3WJoYr693C
TNPvJiWY7lM2Jb0eZsxtvKdfaZ26UEUW1gmgwsU4t/lGcSHgXgFSkUU9QeMDZAhckdTj2OTCY6iO
6rJPsHPSzGZGqSKrdXC7HB8Z7nTXqxaAniB48ZXIwddO0GjYmV5WdtfEwW6ssZviqKUqzyLC+seJ
NsNKU1M3iICn/A7vlAy07LG1UuMARUM00OsxpgsRjsQyHJr+jgxNbdvBeFnGes5ZBmeOJKJvH90h
MQHZLunZhgqaOpIDfHwgaQ/VaRNBOzCgBUPpTR0YL+zhlqncJPB5r8Y48Q613Nd3Y+CDhhJfuPeC
UaSPJ5MY6gzFlIMdQY3RNUviTIW3zTKSOvO6QAAXMHFzJV4U2SR2eNm35A77zJd9pVZNhSCCShvq
fdrdTiTQBQvPKNT9OGEtvRDgkGFWYkwS5k4Fpw1d0WsOCwNC4appln6ZHYC2sWFILNBXq5XjRa54
IIH16CmsfXRQjKrsf3oCpSHy0+4mH1UUUJ5e3Gg5zglCpmmJw8o8mk4oFcZdlyd06S2DPGC4K37x
giTWyJeKSm2UpzV4q+AnSNlqqcR5WWQ/UjoSq105yePH0awsH8lT3O3HqutetFiSD1Ei0bdCDqTC
7o36p+i91aZoJhEu6BJvqJIQCMtEVddr2apglTPFkGfBEZAFK7g28D1xAImz7dj01W+dBtWiz43p
VtbEeqcOir8RqU6XiqZof5sp///Ml/tAZ5zZeJ/Ycv+nan++fGLL8S/vXDlBt/5CbqiifZcNCFOq
CO/tX2Q5/Fpmthw+sCqcOQQp84/+ZstJ8l/A1nDrdFOknQli+T9sOX6kSiZUb1NhbhoaaU3/hC03
c+L+w5WbJfmSKem4oMg6v0055x8LdERGQwBqyXopPWgcUfXFNPnrnlkRbFKpTzd6H6Z3rSn4W2ks
24nulYHiSJjiO8I9ui31duL4lbgsseSgvzqU0k0RRkVLE93StlXuhdc6BiJHuTdRhJm1mbuodv42
B/9HU+6mQ5XWVm//tX8p6v9y2+zXSwPv8ZyO+YnBuQ9fq7zOfzfn/9X/haTNmXv7v3M27TyP/wsT
spfsV/1xMs5/6+/ZKGnGXwrOuaKs40wAb+5/qJsCEcp/wdmi5W/8z0T9ezYK5l8WLR3LYsYxT0Rj
jlH7m7yJo/xflsaPLVUlhs7UjX/E3pzd1j9MR4PprmuSImkKltemfJ5SZWiD1jI3lGMtyAOkOSA3
9NPGCljX4+QsGt5ipOmPCc4FQvVnhjxfGN+ZwfCoiqVohnQen5KOuqrVfqUelczLnRzaFtL0KbjA
w2d4Pz8ejFkCa6DBKiJCAu2MoarhNtqmJJgeJkHZC0b55klCgFvcsI37X74aIWeSxAtZM7No4dOQ
nl3zTAOATrKCMS6KhzpALBT4xkqq09EtRP/WhHHyYcbd/uvXfmTffualzwuVpaiMpCiLmooGZx6A
DwqKXEg57lpcjLaL6GCaoFLzxhiBdIvpBGUocL+/njRz9c+eTpNZwsg0h1+MT9rnC3YtREOvMeRD
5cdHGQBwV3nlJovjjS/0d5U6QiyU2y3loddeaw1mUhdu4LPL/PsTG5omwafWDIv1eh7+j0+sQCcH
TJAPXArcSpWvQysvVqXQG2uAOxj5em2BGOayoyP5PgE8yZRTBUGWj2EIALNp6q65kMny5Z3LMnsO
o2KKpqxq5x7sPmgN/d/QuJ3U1qeMHUfoCbXF0dWYwOLKS3PsjL3PKHBBDXE3tYNpYjJ09t6rDm8V
s5z020yDCzOa4amShCvOrKVLb623hUae7hJqc9wKsbehY2n0PW2iYiw2cqZVjpjmJ7+FS/T96/my
nnBfhm4oFl52Brvl2X2J8hD3qTUZtzlJOF2ibdQGf4ioLdF40SYMdHHXVlO0HhPsML+/9B/HhMBO
Uae6NGTY8J9nRpX4Rt12XNvw611qRL+tkU4cMj2Xux0eDQt6erPIVpNGfxMPTh/+ZbfKDSVfKN04
7ixaUc739/SneWEZ+EWqLHWWec6QF2TWV7+UeU1FFd/irl9CMGvfYjpFWW3KF2bh+eBb80KHWp21
Toalb8yLxYdPg2xET+1ZBY9YKL3Qp9lUheAiKr/DWPZHMDX3A4eAJqNC/v4p3z/6j4sCOLCpSGxj
CBEgRZ/HbvRhgA9dM0lHlbO0AefM9B01RYK/xdatE3YkuHQtTI7USRAsRmHoKN3zhXs4X+rf7wFb
UJm9RLWYep8fPvcrav9elo4d9lF7A/RW+anKIIlodW3mwm9DdwcwUXyfqKZQ4QJ04STwT5en89s4
W56SKhzxmOY2/N+66lavUruWAgcutmBsdexSW9hCdvKiQxSXtlivXRiF8/3g/PJnU6DJ/dRDMS4d
e4R7EvaU6y50YIRlxk0vrP17FcdfiJDTPbwmOp8A9dgXvV24iVlx9WU6fHgVZ4tAG6UZ7m+idATG
tbXyGfPIRWvi9DfQszgUTJDKAlUf1QuLz5kQhS9snoeKNG/Aylxfn29OGAT7pFzLRzVdxhCliGTz
6EgBY6+66Th3zTVlzdYAgXWPWn+BLeyUX2fqdgSkSO4MH+mIsu6UUwAUUGxDeN0xjLK9LK+/H6L3
uurLEPG9KOzcbGPq+TTRhBZ6kSId48odrBXo940+OCaGz63TwJfMOaw7XrykgMe75rX7XW+0bImL
EHVZ4hYZxJvrcrZ4wH180Tuiqz3UudMGdmvAA7atdi1finN7T+I7v2eURCwyVIsmSMnnLwwDQQ9b
nk4+xtmqxzL7pYI4CXKYPRvqMklRgiyMdQgJJ1+W0VKHmOkfpv5+EJZd5gz74MJqp/5pmn28n7O3
PUh5kOVCy/1AJsHsxLeNa7Pb+/FyCl0ds0h/EcX72t8otRMMeAreR8paohFjtjf+D7xqo+SQilea
uIYwKwBliY+w3Kp8KZdbw1h2lXoFd4qcPPjJyVNsHhJvjRefeKTf+f10+NPa9fFJztYuC8frdrYk
PYbTj8bCMdVNUrLjXtrxQVFuv7/WlwrO4jir6myTnC8kTKbPho1+ETos5H1Hq7H1g+Km63zlra09
DZlteSHnQpt/2ac5c3axsyfrSR0yAoRtx7Z3CoU/uMAvQ91a4FJg5FstXVgZblkrOAsgxIpnC9RP
w3QM+3U+brFh7dpr/K1oWcZQW5azJ9RB3E14RkD3NG0kNlDPpFN4ijsbvWr9pLp0SGNc6vGULXIB
Zs4dzd2p2wcwT1QnxQPZd/jL4auew/Q9ytmFzNMvZci/xtfSRMpAjnznez7VJrzYbJSO42puupU2
hHzpVXnqoVzLLryBOrU7A1n1DiAODtT3r/csW4E1cB5xNmH+h/WQAvnzVyr0iWpFBSNu+Ss68DQ0
oVjNK7AGkYBNZzlG1zhO5/0ycgcNmqY9/FJhIEB+xtMz3/clQQwurGDUYg84COMr6nnw2A9Zh/vH
MU52U01Tc6GeZLLUbSVeVm9l4cjpk5Uf6fZLuRuQJ2neTdKVWKwFB8orZP7vn/LrWvT+lJSMCnEB
ljGrGz+WOnWB49LkM8hJsKonOx4c+UVk9XzQwfUKu5X2pe/KwzaD6XJNK7rRF1gJDTXcRuh1q+bS
vv/uKfBlolPi/fuGzjZer+mktB4G6WgS8IRltvwQqTs8Q4IbASfoBMezmy7ERmLbRleSvs0mpxUW
8knD1BAdA3a68BxZP30HRQGup3rgDLwU+MHka9OIttuf9YPxChnmGBy0F91bGCdmF5HYrg75NMEF
YlEdTdd70rH2fYAe6usL9TdbC0Yg/UN6TQ1g3Vi3ULww68cRlKRoeJockoqt8Ov7l6N+KULml2Pq
QB5AG6iiQC8+vhxZ1EV4rr10FE7WjfYa/bIUW/uZyleNuhElVxfcluV6V221twpDCjQcNzx7+kIh
bj0FGDK/CJKTXjdHZVk8pHflRvtdXTPlsErKnlrTbth0XsNjtvOusmkhHOpdvckvnSbOS/f378gS
4TkahCub53mSspHkzWDxEAxu1S3gPnuwV64FvJSrVYG2LF7z2oy32euKJuAqu/Qly1/KeYZxPuSp
IBicuc9tLFB7CimmavIx+IUUp74PBDtcxTiCqCtkcaAySe8mlsuiCZdXfCJp9aq+y4680BZ/fQd/
HcjKSrdv7nuIzpNjCKvvX/R75Oj5pNewzAFA4sDFKerzi6a3URW6yRhVLo7ekD2GO/Z/7YAq1Yby
dG9d2CcvXvBscauSlIyVeWZlFUeJhf6GvKsQYU05FWQwWpc4mSyq7MJqc/Gy85v6cLDKaO6YcGCl
o3c/vTbyor9u3zDQOkQv3Yv1kFyon//43v8zqvqZoYGgp39fzX/wIGxArHqRf2lQKCcb1u73r/DP
k+zDxc68GfwJk/Ja4+g20s5HqgnddLzJ6YplIy62+VNgQI5QkwX1VJ64oeiqqElNN2QH9u5aY53L
t7NXlXctIsnQqgc126tMNzyXWu3GK0/4oV245T8WMB9mnX62vAQ4tbdKyFJbGg689fE+y2FvOT2Z
DcghXzHphj76/TD9cVP/eM2z2jfrm4TAHa7p8R6kxUjWBqkJ9YkaU/CWyr0AoH+M/AWPrt16xaUP
7Rx1mxcjcBVRlmbcV3x/ix8mIE3UTEUeIx+93+KLP269Z4tW28/iSlIXQnMTphdq668n+s8XPM+1
l/0OT8O8lI+6tZQRFcc2BOB0vEN8g5sxDqqMdLPKiGCnzkJc4hKU9P2Q/2kT+fDIytnE7BDrQa/g
kbu7auZgOFhgUqeP8d331/lSe8/lA2WTaJgzovleT30Y2sCv+mH0PPHUD5wZK3iO27F0O5z6i0Be
hNY/xinOrnf+XCTBGlXI9dAzJua6hYHbrSCpjLqNbpjUo4YUpvIAmyzm8HzfHbC41ZdhfOENX3rs
s48IPZbm9R23YUpbHPW83k7rreQ/h5mdmv98lTl76LPPR4vgsnoBVxNQZYZ2OTh57cKEpHeKL4Cl
Ljv9Jt2bPWlUS3/YiM9ZslD8va7QjUBdu+CPL7ojpCdsf3EEloA0gfHtQna/nw3vIOGnLe3sTtXP
S70WY31W5NxpAnFkpiHtAmU5dasIpPA6qDc+mRD+aiztelooBDjwQQyQwrTxtVSvVQRdHpaoRp46
yEUWarXvze1E9DwJGnDbBRklHuvoLphajPNXrRjYGhuXjvwsQaDYorJwEmGdSzm+fxQWxintfn3/
hO8Z5l+ekNBu3ELmtsh50KwmBBG+Djxhl938KFB2qOjf9U1lOJryrMQbi6P9dJsMdqNf2ke/nNjn
wf1w6fN6wQwtMcDk8UQoj2GtIpQiCDkbh9yOmk9BtuVLZklfN4uzS55VDFkGBfRf7xO2n7gRkaVA
unBF/ZeBnai4V6ylUV9YrvUvyzUXlbGrxF/F1ET1vHILBDHUEcVLJ1C4ptyo4qrEVloBnEHvDf1h
PrSODyTRxRbmVtsodg0i50HieldWoSSxa27SZIUZFigQgg2yCjxjiXmeihPHsX+29qK58dRX4cf4
jFsYWo95FEkL4nysyovuWOGC662wKbCQkkIOx0CDgnUuVOGzBeYOkTUc4EezXDX+FoosIkYyf76f
aO+GVOcTTVZ0+nu4zGBFc7bSJUjjcZEWROhV2CRBmbb9XfcbZuzkGt4NimCkXswC1e6Cn20Ond7h
86keh+1gAxCYd8KRcL3EZABgaSBWWYrmWqmJTliHz/5dvE/5LheDtiSNLulWwXiF5g+uKAwsfKCD
4d4Slq36uxUI2bShQfati9wQawp5BVSEdaz6GOjA8W9etjE5o4EKRxdKlS+V3Ps8+M8InC2yjUVQ
RkvmyKmWD03BMWIVCmt981KmGGQIm+/HW56xlO/G+2yRDchtE2D1iSdAlk31avCqMeHoiQZ/IdQO
rwMYoMIbJuglQoJshflpteWMybnqtfpBMAkbjfczvoQA/emm5qXGgEShWO+l9YftFb2pGMZTJJ0q
xVGg10L3vHT2/lqszMOsEQvKr+dC54gL2jhi06pBOhG4OFszW7D2Fs2v5KePDBxJf+9M1SIvFpm/
9h8vDPr8Cr8M+odrn+0XyqBYAVRWIKh6oT4Yj+KbiUEpwtTH7hE5BfJFVH0Gx/Fn0B48Uf1HD0xl
jVYeJbZ4wTLsT5v6x4E4Q9t8S8RoY+hJ60Ggntr5IdVsTJUr377Uavp6JDob8zMAhpDDUUirSTph
eIpFE2AeX6MjtrYp7Qx2dZjpigsRfGwvLCsXr3y2icTYiKLy5yErXGmVRQlLrV/2vV1zQpEXWInM
MtbGgTPz/au+OM3OtpI0xnd61Liw/qN9gBibL/SXyVzANxQehLcA5UrpIKegMrlw4fnD/W6OzcvM
h28IFnJkGjFjrSlHUivICvXLlXhNAancjC/qWzus8MBD5XJhOsl/nk9zux1PEZq6Zyu4lRiY2/ei
RD8ELqZDqqRANCRER6txxh+zmUUb3FX5U2ZMBIC9hv5pvJ+KbaU8l5KER/1tH9OBoRdLK9DDABbf
CxnflJBsF7mmw7L8fqAu3e7Zcht4hdQ1XPnkAQKopA64Rg2R+4H2Y1tegnn/uMfP4JYiQoUA9vv8
UppESPpCLaRTBs1YlwjhJM8WIv9MNdgFBdYfoVsE24vQpzLP7y+z4cOFz2ZDKeRm0Wo5T0nZnmCS
hRuUXcaoL5ambmPt2uIlg4DxkUZIjPUxNs2tE8cO5jAWjgrKspWcGlFq5gTxZhyuZJrhzUqNXEXf
6cahU09+6Ebdpuu3WrufhhVq/e/f0x+3xf88wXtj58N8NvHnR+RfMq1UuwGZrpgfoKFj9NwM69nM
KYqd76/4FZKclytcqDXT4h/Uc4JGIk1qDsuUSxrk+mqLKtrV5EWJWuaoyUZundp3jXZVinaF13yd
4sDmdhKxOqmb4KafPWjIQZM9oJvcOFp4M0x7U7Y7wVHkRVVsyn5vcGpCMliJz2G7r8ksSJ4SdVNl
G9lcIxZZxNOuSJNFQchVFoGXI33SpWPg7cL6dOFhv3wHNADgpcIGkhREUuex13PGTqBjHn6yin1O
aaeardNi/SuZq/ShsjZGc4iKG77WNL3y040RuVNCW/agod7VMSWwswJCu2O9NXjD/JbGZZA6sey0
1GoUYRQP14KwJPoLr7VOv2pIBbNLNxmXJNLWxqZ/IjQAOQxtNkgwjpkdvn+89y7upw/g7PHONgBB
m8YGUxHxpA5Lq+WEaNelnb+YtrC1Nl3s+jihBMugOoAiGzIDv/SNK5zwW81VUS6TucmzqTbOD5K8
9Ah06n9HglPJy5ZhUjCgwvnfxqWwKFY8e5raw1rNTpWIg4Pd1xiYk7RLNIujXRPUiCicocEEHnln
OpEy+5K2y0beA7HXoYNJIR1bUpnnuBkS5AbE/IvmBzzj4gfH10p2E1Qnumerpltpj4W1+36svu5Z
81jpqgX1HSdIYOTPq1QlhRJMG5/SSF2O8pzoupia2wzBcQMlSF3hmlW3t365nebae9jqzQUw88tq
dXYD89724VuvOrlv9JL6D0sRs7wvmmtDR1V8hbj8wqN+2SXPrnReiRWaAieKYlv0lg1Hy3F8kvSD
TPpTgR59a3nruLrCSSLPnTpfX7j4lyXt7OJnlZeYKthZzXMS5RXtaD1xLCbDsCX4p892dbfRAlcb
lp63DauVFF371UqvbAuzObbFS9DZmXs0YNbZ3ZwVZ1OlkqIbBdIpza4aY23SnWiX6in/BW+vhD5Q
X6rJLo392ScJo0etJpnHh+CYjb/KbpOa/kJXHsX0mI1OWR/a9IlRp3Qhc3zz/eB/PfjA+5BFiE3Q
/WHMfiF+1XIyZERIn1Kt6Ci+zWyhNqTKED/+7Bl54kzJpHK4bH/4pRVcxfPxq9aU3qkNTkMoC7TV
WHnXPcIPWx3H3+ZsqoRIC/Kz/oOab1wp6fga+G439caeHetuqqvqQrE1T89PqxoPgR0r9HByzXTT
OvtS51a9oYRSfKqymVShY8SJo+W0+n6svuIhHMclHeQU/gbtufeff/geG2PAFMI3cEs19echTydM
0pEVSTlhu3XsSUs49TtCJgBkZDqnLU11pbv0rF+Xpfe7gD6qaQBQonnW4hgQYvk+WeAnHZ8owgJ8
xyz1yCauQt/gM5Wb0KYsVSExloi8fC0IuzqST0Yp3bd9OF2YvfPX8GHkESZBsjbpSlqwhizxvJIr
EfWRtoJD7MBFHAysTsFQ4/DW+L/7iniC79+AfPatzJfTCIaYe2Z4xsIa/bwixmamEUCf8+ydstNl
zJokBQOqspHvPZT8SaGG60ZWqmWRpS/YvsBhEHPhqhanpxy3MGyYDEwt8YpY+gmmCDRQSe1Zl2TW
LtJBVZBq402t9fEm0LXkQtV73nefb37uQpjMHcpeUTs7EeCvYUBk0ayjPND6mErgw0rKCOnw4g1h
YXtNMKRN5g/NggQEksL8VHD9ih4S1hYYOer5w5hjchGK8kYuTH+lmFc6YTZOZOCXorXtstOUS+9X
/vqC32lWMrwWEaj/3MS7H73Wk43ZYUKXroMU4VOJqyFJKPUVyVt3QhgLBzmdfLrug7FO8BdZZrUs
rjBXuiZUo7kaBsBC6KXYt6XjhuRAbD20fQivezEie7v1eE48eieqAF3rkOK2PR5OmGzmKYEyF+bP
vJV8nq46BCxcjkxa7AZ/Ps+fBgsXK0RSdOrQ4K6igNH3hTqkuMiMpUbonx1GTwY2ZK5cUxt5PkQa
I8U+SMcilOZoO2wFoQeNorOcIeW8jkIgOH/S3ZAmN+7S5aGR8R6MpJEUxa4wF7lQec4ceXbhU3gn
+X98FFmFLIoOh+/PMmY28+dHEfvB6qy0sI5RUeVXQtjfy5SaqW5ca0wkO9cxyiIeZ61NYKUKRsTX
aQChRZHMeJtIGLD0QrRVEMFwUM0d6E6RIyts9+8j/o+ULv+rauWTtuWmeMtOTfX21iCI+X9B38K6
+52+Jc2R6nyStvAX/iVtUdW/NMVQRDRMFpRvc4Zp/qWzUpW/ZF6rbPBeLcjpJmvEv4UtkvSXggIK
6pkMQQrtB5P738KWWWglwwKfZwQnagUG7z8QWqmfD0HvJx8dDhbsjXdK+vmJj2wJGeRRV0hIbCsd
ka02rhvJnI7thN5daXzN9fpWmze8snsVMyTlXlykJzmrtWYZYaa3ybPsOYFEzwnKx/SePlWL14KI
5NoOJh2iSt+l+a2H1DzAWiDAPEjyPETohGACA9V+e9drmveQSBCkIZCQpUhgVLrLcSBtoWcAkbVA
aPhMq8N/s3dmu5Ejy5b9lfMBzQPOw2OTjFmRmnPQC5FDJed55tffRWVVl4KKE9FZwAW6gVsFVClT
Ujjpbm5ubrZt76PFmTG5UeEVxyTG1UPPqj6iJUu7pA+yEynP59IX809Cr+QoQ0M6zO21lPSN6KEE
Ch+6uYrRTPoUann2fYBSQrjmd06LN/OEasQnJutnUoUmo3+6WQMrlcYkRccGORXpacpb8DuqmUTk
HnrzPh9r6UcTo7CnQ25bO33TD2TEvLp8sKSUlsuYa9aEwOF28hoYKWDQJVWiTjQuyOnQu4i2dnsY
mQDoxv3kX3n40xPg9dlVTVd1TSbiIURchOeJgJR9OWYa7K9DseotzaN2DU+vLoQmYFUkgt5slLtf
LuxtW440T8bfnu39gPMDvQmzFE8MAjQYUbLTYUePxNuUgrIEF4zSqvejGiOcBnukOph7sSVPGmQ3
yZR8SBJ5X3njJ9nrVjVlGZoprlxUTqPMX8/F8QGoSLG4JijK6XPJVT30GDwaegOovslL8z2cFN6V
4vLZUSQZAmGFaSfMPB2lEFDONQxAUnD+NzdVJVUrhIGvCX4sMmGvL8PxJ1qiqkMUCij5dBhFiSeE
+qBPmonYINjOVaGzoaT2D3LSex8DeKKo4Mvl+AkuH/FjpekCIqdU5r7Gkk/dw1B3RttBo6j4Of3A
Ed1KrpWm8R+SnNSQF02Ew1M76MFqMIccODaKiFtEsVHwgsxTpp9EUoYUXCn9x4+QSmWfyyLQ96OW
UuvSvGTlh3JeUXWDT82e5JoMXCYlkBp2JH+kaICgMVPg2vmf44r+bzQ0OFbebMN3XcFPUOvU/6Ib
81/O1/B7Xp/rzXz9iD+bMw3p35Ks6+hWSBZdW7LEp//VKsxZBLCULpq/T7c/z7C5/xLUNBcFQNSz
iAa/9ecRxreoP9GbCdcpjWmUPX/nBDs9wLh0WgZtQwYCnjOUkuDl1LpHAVEb9H+BsfZx83FMgUhK
PckLOEWp1TXhT8hZi4+KlH99M2lnfNcivvw1rqXzfrRQ0JnA+711XdNoZH0hIM3NzMluR7/fA70S
JRTQGUDay2OdOopf70hxQVfpiWayl3chprLtOtRo1ijjQQ6Xhv661uVr8Pr5if92xr9GoSOIJBh3
F3RSFn6irlUj1SVGoRcXuE0N6ZIBY/i2jjRo0oMhvRFybyWrmwqG2d3lNzw9CF7HRo0YCijax+eW
rMUqan3rT2bC2IOmKSsjUG8qYTrmYgsVQRVKq6pA3uPykGcWEHQ//Xe0CXNVWyKaFM2LGlQDfci9
yxAeIFFhermHQNcUXKnunplZXSJ0ZzvIXCnMhaO3rKCoeoFssFAX4Z3sDfSgwlS58zQjPqBK+KLF
4gGVVOiFGyj9Lr/nMoswWyo7kA0nSyoAg2XeRxfqmLE1YVV0uYlTNqaNOJYk1LrA3Ka9RMVKniD7
hWZpHUaTQu6ejL1k9mDBY6hAZH5JDLUrc3Ju+ulBesV/EGmgrnO6fyQtqPNcEVaqCjoXtrkE7JwE
KCGEuen3Z4DeX6gLNLgO5l7y07GkMurDRA3hKUdY8pB3nvYNUsPkBXJY7bnsxM619B610ijbtfGN
AGGzo7Qe7JQl9Y2JbMI9lENISF9+rOWFe14YonhpbodVFY28yuljaalY+E2tzgh8pQ3tKiEBMIgj
nQBhYUk5nP2J+ZQA3/+gdJPi27D7BE7qeeMHK4eLpkf1FSrIgd8aJfTGa1VHBjjLivJGhp4YlUjD
AyYHVr4y1ZvQh843Hmj4I+SiFjuEyTbSe40qYGNJV15tEdjN+xnUlIHdcYNRFOz+9NVQfw10uump
fwRGvNa6CeI/K0preCRFAl4vD8Sfg5friPoKaIHDsES8QCOqbMM2jupnNQTjMR2Ii5yiK6xPaQox
tlv6PtSRkjLmq8tLATvF0vdxNYNBgP2JjzXEhYUMpaeN+aB5qymnz76paMWF/yeDGB3l0wPS7tJD
nQTgzUyElI9TpJp3EWR+3axhDIWVBJcwcZLSUKEbkCaEMwa6WrVP+ItGtmB5HWShE21T9R+LfOrv
whIaoMrzQcEJ+WAcwiDWUNSA1TVMNKhOs7Ufimbjem2jbsqglvdIlUJMpHtUMaUatYpcQjWln7Lp
OVYM9TkCVfK9UZt2LbXwWl6envfnDz06ZOFIh1IewUufrqbSaR3iD6q38pSwe06KUdygb6O5/2QU
qBrmtmhg8os1KKYAHjKLsoSF6JHby+MfObD5K6/yPlzgVeaMokTrhYWhnr4KLKrhVGq9t0LklhJl
hG4IfJzQyfkZraAQEtlt0VfOWGXylSPuzMjwjBIMcLWa09eLu05UN9YYyjXKE5oCjCgYYweqoAlU
Pogi33ju/Sr4KJjZtV7zZd6fvTj7GMybCIJkxDKXXQV6CJgRBJ+Si3MT92B6H0lW11/lGokR26o0
wYUSV1hDkkUjpzhCkA+5WqE5bSRDVTyYBqX6WBx/RLV3UyKT7soeXgOevKR68uRIOHQ0rz1Ngl+g
Z51lwYMQZ+l3HfGFW6Wworuhjb3NZWN5v2F/OU5yKxIJVnGxjkOhlCPE06gYoS66VnvTeiy08qGO
Gxw8zE9r01KRrpGDjSUAy748+PkpZcPNOXk4crTFWsbTLOogVhakYEW7aao5gShkFWyWhbGBlbq7
TQRAhsVI/Q6NG05YSYspH6Pqk8reuCoz82NswCc5BN5Ev9g02IZoZNsCEZOVVQNGS6uepiOx+MNX
uAGTAPmahLQPkPG+lmlf1jpm+2A34KupgYMLe83Ev7mEw9YndUFHK2fpy8bDhDuxPThYDwESvg28
JhWAU0OydmHjqW6ildZuSCsSOugIfbw8r2cfRcETGwTWLJChnO7OIUsUJYxz9kgVI3UsttXXrp3m
Ellb78xJEm6NYBIR+vBTu6zpN4Kp+kZSqubhyoPMHu00FqZHH2enWZBGKO/My2I1E3TQeZCyusla
eTdNmrgj+RPeEKE1tAzpoNAVlEpqdF2UorYoV1JCK0JZu2JsZyxdwcJnTiSdeGnmxnl70QgUmX5i
ArtVWefKs482/FFnpx5qKQNIpUKcYvjSVwsFx4Ng1OWVBq8zrl9hRfCW3OFghFrEKKjtoEReMvpg
IYKOMoK5VlK1+hUv/Hfkjv/vuJT+H2RJoi75xgjfXcsdbPn71/xtGvn1N/68hevmvwmmSEhZKsTF
XKoxkz9v4XB5cS3EOhR4LUQaNFijvwm75vuUCLkG7ehYEMv75y2cHLNl8h2o0Q1OQ37id27hr5eI
txtG1/mMuTlb4jY6+5FTKx3DmZt+0mXAIrIAk34XgObv4fTsikrcxp2su7luZOuiUGdos/gFUfro
0NWoyDnKVEIyAWmqS+wrWauw7pT7UNAHZ5K4ONlqX2fQFBR19ehLHXTTmTcrPEa5AWmEhZxeJgHA
6ToxhMiZ4H6Vz4JkAaVtGLMt/diguhBXoEtR0pu+IN1LO7EGr6ixEmv6/cxA2UIYDQg0gRcEPbuu
pb8k8lFJccau4k7aeO2VCuF8QJxOl4IU6Uy6BOBXY85Op2sWUafCT1+pBfkLWlGHfqif1dggCE7T
P9mP/md3/cl29yvphWn/5yLNcxY2f/z41/+uvn771yoNq6/NH/XJVpP59V9bTUP39fVU5ySUVAis
2U6/dpomUcyhFo11szVfSy9/bTTEYimMcxUGVTLnzudL+F/pLkjzgCXMdCukqgjTf4sZj895YzgG
5R62MuJKItIPhD3G4jTQMY8ykSnA8yzdOlatbBd6mf7LH1OFO69We3rm/BoFah+wA/gFvP/C68N9
GypFBSwLr1I5Qt4rL0Lb5tugEcMbeLYEu+zgZpmaQPmY9ChwvFmbu1/74G1d4DQ38Dq8Sm4A9ipK
Y5RQFsMnE+Tc6Jogb05eYyWkYu4UUgAyvqLMenmo06j8r6EgQpx7L8CoLoZSkF/CYQ0ENqW1VtPp
qde5gKWz0MtkUC7uhAx8nhx+uTzsmWVkfjW4DblOYUocDW8P9aqrBC3hWHd7Lj1UeSxhXXhedyVI
PvUyv14OKCdzCWzjfYIhBkdDQ5kGL74QhDfjkGQvJIJIqoepeiPGcfv98lst4rfXAdkvVCeJmuCV
WcYqVlHmUtsbiouWMfdUrUl3QqRJ9JF4pPjRjRM8FObi1Fi3FLt/9lP6Eoo5p0ImFc9XnmWewr9d
7F/PAvIY6j4CuaUR1eFImjHwIbPousIG9eqOQ3hLPQ1psc7j0EFaMPfqo8Yz7+Btstsw11/8qPdd
QeT6f/lxzpg0M/P30ywcvpkikGGpUJ9qwkwNr9VfRc8X92Jei9e4387YFvS8kjX3wBLFzuHAW9tq
1Ljp/aGad09NrF7Gj0lRy1fiwrPvw6yg6YVLfAevSIxRarNMZqXZqXsF2JkzGFGwjaerbb3Xhlq4
PNVrzEGnqcAVjQAZmJkD0WiLY+PX8eryIp2dOZgCAT6zW0jrn86cIvqTSoQLActQV6vcEMtDr8Ck
cHmU9+9DuZ/dMR/9AG2W3KZx1DVqYZDl0zxF3GXpNALHTdKd17b1PxgKWgbQY+SAwG3NL/zmahew
TF6mGoWb9mnzMY18YTuZqfzRr73qt4qZ83YDkYfFzagbk5z60uraPCorC2HbsTeKDXzcQAxhrL+y
Qqd1gnkUloaQFp6HGTWhLLbRqCNyo+To5YCSkf7QawWA+kTKXNRr1AZlXfoWyZ23/d0FOx109jRv
ZrEd0Ng0PEQPEWs0P5pC2Tl6JCJjgliVfsVlvzfBeakkYAwcD7I8hyVvx8rLclC1Sqfto/cSB2qN
EpLIxrsCeH5/MECaStoZ6+OmLb0iY9+8EcggtHk7rXYzSZC2Sl0YW6isZoGulGmUBO0KavPMspGA
gmWH2o4G6mVhHFoCMgxWavTLaqTcbRQc6GE2huIwWNm4LyO9XVkgsK6c7e83GnsYXMscsYFZfO3b
efOW5KB9xUohKUPuQHP0rEr3CcAt2Kela1DNMxOqA9fBMKEapa65uP4EQdkN/kDz8kSp7jbXqvZR
nOi4zAsqCGpgoUt92SbPHLWcstwcSJZANUYN4dRQaj+uB7kMKxc2eko2KK/mHHIlrANJP2dwQgSo
bLBs2tfCUOmRh6G4ubekvrwPrdK8BjJ4H0YR3DLHuLQZSG8sPGfYZLGRoreHAAgSEPbQJFK2kpoG
wvYg88nLRWNqIEatS5MTRdJVQsEzBoZfxpjpImVClgB+aBhkqQ8Yv7Uab62Qh0PArG7cpJYQqbaC
XdmicHl5Cd6ZF2VSQggyMjglGS740xXoYXSZmqZuXVnKolXd0Uga5yYSpXn2x+WR3i82Q3H314n+
Z1TsXIJ/6xUKZGNMvU5bt0f1IHFTQ/Y2puhZu0pvFNHty17djDkVq2mkikt/OP07Zq+2e/Rey9C9
/DRn3numBycbAcEt9r5wUX2WIKciCzW1pUqzDfiCH4A6BU8o50VXDpV32wpeMIkLDxen2cyXqckp
MymvaGlDJjQPVlUYGU4h+MMzJAlIZ4yt+fnyq73zvoxHCVqeawNEzMuOdF3oIqPy8BhVYFnf42GS
1lZTXWtBXlRkOcUYhs4jaikk1ubky+lyRh3sB5PW81pF7B2k2opDO49JHzZCKEv7Ua2qVTy0aAMM
SrAeSz9aGQhU7/vCbO5SIfbhnGl99WYym3D1+zOgqYSOc2WckvXirNPlpBP0TGEji4q47xQF+Zk8
Ca5Ej/MLnsTmuohjnkMghtBBQp9OQNh6yA5oU+2OcYhUb9BN8U04xagxFGUrbxRAwccal+rKuSds
tdCyrlKAzi/y7hEUcJlzrxt4l0UkMWvDSrnX1S4ZVXklGbqHTkRG/3sua4c2KRv4iYsogk3LCz5j
o9Zd3cNCYsZ17MoTKpwoGkRXjuWz06KRi6cwTBC69Ci+nMsG4kPsLC8Pi5VaiLP+Wi82hsNhFkPA
KHpO34nJfswo0vSIqVwjB33nSFkZnaOaeylwE7pETlemSkxNGIzZNCOpvC2YjVlSPt61IHp+ToI5
YKOTdGWbL8rF84aA/Be8HZcJKiF48NNR9VYcBD9HEtwzlE9q9SHLm6PpCW4moCOswJan6jtUfh2q
wodoWndZvFOMH11tufVMJYRYS+pPVwAK72di7i8hx2ICLjLIA50+U2BJQyBWVJ21SmnRB6/lD3Uh
lXBXE0Kg11TdGqNRfLu8/d47PEySPCqxBGUt2MJOBx3LrG9NPRdpQzVQkv8Z1yt1KNIVR1t6JYI4
834cmbDac27OmM/FnKe9mqEFGk8UQcPqXoF9eqVkWfYYJ5W29ZLQvJko7F/Je763cI4NhSwZKY+Z
BXB+/zchmYSWakZLDczrJrMYyFm096e63iboemdoXpvh1hOBoqGA0o5Uu4ppd3mC3x9ejAuAWuJg
AXOxzFD4xSxJHIeTK1at5yA/7COrnddf+iq5VvB9f5goRIQkxllKZniZRCuiYo7H0BAaEs37kWZe
+DFrlS+X3+f9IPQskt1h+2kUaqzFKhbeaEZjI47uOEnSH0IeKN/DDA6Ty6O8N8u5M3Juj4Q9XyTA
O102cCfwRgQREuhthbJZTUO3LUgh7rpOQJSEo2X+9jk0H44iugvzMYEYyWJEc0LJU2xG1wNmvVWq
UjjKfXettnZu9vA5800L+hni6cUool+1SpGwx4H3ulKklTCepPH68uydHYXQmLI/2SiwZqejTG0X
9gNs924iEbakdaQf2gj+psujnFkjlEsoEwPcJh+zbGeOW7EjsUYPcy8P8i7PS32XCl75oKoBSn5U
0X87/FUlk1Q0yUXQS/KyPX2IIbAONcZLTYTYFejmLOgEksygv2q4djKeezkYHo15lYi0lwi6Gjmm
Tq8RhRe8JoDqhq4j0f8pitEd1pNdsfYz68WVikvE7KTmY+l0vSTfrPRyBH1DocjiutTQfx+U7fby
er33RK97CVAG5MKkaBZXxrztyE4KaHpHqv9H6oUqcY7ypcEbbf7JQNzPuJqSm10aORTalSIVSut2
bZk9lH3mOz2Zrhtvaq84o3OvBKLvtQUCPO6yWCyYaRfSWty6Iki+OxQslZWAEvPjUAzKlTVatNjN
IcOc1v57LPl0kSY1kH3T4MZdFgaESVWRQJdhTOGATLHk3SvIV+jrVJCk2kFqcMqIoIpZaDwziPmU
sc4tx/AUEGkNylmTM/ZygwJua4SHZmimhyGrhuypFzJE6rVOlmHUS1HFTqccUaLL67PoQ/71KoCI
2UKoVUDMs8iOCCgPBp2Qd642+uIKocv62A5N83nMYIHWrBTuLc8T6FtUJ+FGrkNvi5pr8Q/McZ5Q
SIjmFrMl9KIduc+OctW5uSqVG18mzC1Evd3MMJwrQ53ZzHOYR6Bjzt59ibwdmyJHl6rvXPSP42MG
LsWDllwobuhxQR8zUMprlGpnR6SioHFjBdu8TBtqGdbUxQ3UzGRNdqGit1ukzeDr9FtPOipxEVyp
YJ1xISpxCuUdYiTKdUsXMiGOqsrIvQUWWHTTGnOoHvRrfJtnXkudYRnUK+cYYMlR1ySqN3a92rtl
VIgumocoysQRUsxiWN0KNTrxv2+pOH0K1mRXDWZzYalpJEe6DOGv649gH+FUgyzMlzNEi6P8aSwT
4Wuq9LBEkLnt78PKsr6ZLTHQtb0/u8bTuxu3xzlFz2lA1umVTv1NFOn7uQ72ZhxcUYf1vIpj9GpI
qfuOogbtDTyswa2Smd1hlAOZ9khgpk0E6rQXJpWcbVvcJTIQX88YVXsyc9QIgfpQ6vdz2HLZinZW
UqYCoNBeOaLP+Me5HAXQnWgKbaCFyx+5vohxLsDxbgKYsGEhG7YWCOy7LOv775fX6pwFYvFsaQuI
HHo7p/7R6n1BFFPEEcWgQgc5L0o4oDR//Q9GYTND/QyRyrsubcQKzUkusoFEcuFtkzrK9+Dxgmt2
9/6uwoKDeSEQpIQOC+npy4xZAL2SjKFLqa//6JOybqERAZ4lx55u7cTUh+FEJq/7PHppljl4W/FD
V4vJzlL0nyLSmFuNqAQV7Ni/Qzgz72zg0dV2kMTu4+UZOfuoRPvEKSqA8+UNZwg1dUhy5p0cx7Qb
izC9SXwQuf7keZs+kWu7lQr12+VBzxoWYB5zZtPXkeY7nZ+S3tMut/LBTZv4U9XCuSOKJXrv1pSu
Lo901qzejDS7pDdbrybBGYk5I2Ud5NIZounHYEr6K4mQ8+8DWJ+qNeJtyxOxbXTfIxMH/6kJQUbl
t3Cahw0cTplsgZ39B6+E8hSZDwrFwJdOXymKPfRXe5xa3MfSekShFxJGsbjySucmbk6bkuqYs/XL
CLY0Bg4MrR4gp+zblTQGrR0Xw/j7QTlR5d+jLM6dWBLrUlIKDIG73GObaygZDfn4US28frwyb2ey
0gi3zhlajM5i7hYT10sqoqk+vIF0jvSur5ooVgtZ3e87PzU/9ZUl7QfFrD4PhZg8y7Em3HjocB/U
dDT1ax5iPnmWRwKFM+yfZgpazhZ22YFutRAmh+RfluAfor1hlYrBp0EyKuS0sp+dErpZG/r7sIGS
Vh9ooUIO7Mrsn11jckXg1wm2aWNaWFLrBeIw0aZbWWWx1Trgs3lZX+uVWlD7vcaLc1lLom0UXQdQ
K6fDICiL5mrOlNcVlE1T6sf3MfHrB87a2gSbrTf7sPaNVTTG2TfBhOXQo4Hus0xG7+vYkRG6Ygjn
duvb51lEBWoRG7069L1reuZktxUTQDmjgGdQ/yd79VW2igy9DMZhMcNxTFhCJYSDYFQau/fUEX68
2L/i5OZdsjQmkF5zSpIbp2YppxNctb3ZaX3QuxExe2uHUwpOvp9LT/eqGKeZ21lJcSOONYkqxKjz
a/jyc3ZEmQd1Eu674GkWu5iSrY9sh0a7N+3k+7KLwELHafVw2e8t2Np/2RGQYpISIv/AWHP6mnIZ
xG1jkviolDH4msiaH7rG1ApPY2dpBykfkGAZoq7+gJhp8F2LrSGw/Q5szG5qJOFTD3EGQEoN+bRN
XQz6YyoksNNcfshzxykTO6MKDBLj71hn4lIc4k7syWqIyjb1ZwGFvkFB0DTTrZ6jJq6qqfZ0edDZ
WSzXfw4u4StUuTIsq4m+D/NznOLYxjwJV2FQ37VCHjmtrn2RGuFKwHBusQ2mn1IEofWrEu/bE1XO
aeESR/YMRWN5r5RmY4uR1v6D4wfMognFC86JwOR0rTsp1ow0ZB6VQV/5TZbeTU1XPV6et3P7xqDN
jvoZJXeQyqeDhOqYEGdTIygbccrtSEqFld/HCXn8qnnxBNVaRZ5S25bYS1fe79ySQWtFjo3eAaqx
C1umSgceGKAQTeqCT0ayCvZlIUhoIekxlNGpmMbPl1/27LpRyaMbFgQfDTanL1vmctvxRIPb95YF
KXisukIXRuvLo5zzrbwRcDqNxBcJ0dNRwqCSzT6UBtfzUvoA68HaU49pdmITD1e22rnVm8n9QbeS
LAJlejpUUqm6oEmoopq+0n+ILVl99owm2w6VL6xS1n3nwz3zOZM95R9MJclXOK5AyEHhMS/um6Cy
EI2aFK1A1KIM4ccwLxQnTTP1SkHn3IKR2aADl/sQPDoLr45svB52iYK7q4PcRagE6cVezq1/4r0R
lZrLeDPw0FqYIk0/cqYX3E4na5BWVm+NGyTtS/eyYZxzjDNLJ/GxKDFpizkrfSyyUumd1FSvP7ah
lwSrvpXIwYrQmiD0kgquJyb9FSTPuWQV8Di4AGbxSOr/CyspssZvRIkIs29VEZ71rDTuvGasn/GO
+tbrhm5XgwPdTHnU3fZWkN0lU/ly+d3PRp4WgQrZFfI5pFlODUad4AiRBnYFBBaQQ0pWt+l0sfhK
g1q4GadM/SHKk/KF20KNlAAsAMgnNdqdnyDsdPlRzhnV2ydZuLwo0/UiDibCer1oD1IWyOvIqn6v
C+f1pAY4zuFA5oAk/zIg0IpG9aGsIcieupjWB1+ZUBFKCunK6p55GyJXYmgy+0TRy+pvkUpykdaN
5NKcnd4MUd5tKuo8V+bsjOlS6aW/asa4UR9bnEWZmJWVpgRQNJtChdPUx+/QiWSbCpAOlUAf8n8Z
0MPm8kpZ2MTiUMdcVZJyMFZoFHVPbSaSgzLzg0Ry+zKQ79vYCNb0xQ3wkmay03pjtZ8i+BtELxid
Kaa38Mpbn/HkYGXIPc5d7+CGFm9dBVUQB74vuZbUincp16GVkVXjo9ELPy+/6dmRSI0ROFILwmBO
39S0JHh8zAlcUG2Oh1JFVniKS+FRVJprZ8YZgwEuQzPrXNGFfWMxVNhHRe+FpuRC1kPzukEbvZwH
10hLZ1+2XDrub6AswAmA/lwsnVlpXlXBAgKhtwGcydLr4JNYVwlEBm0X+0ea3uPf5DF/3XMQ//w9
6GxPbw4lPa4DvbFCCH2TuOWyjsTYplPlBtlMy+vgrFOzjdL26Uqd2+5IJA7SxvJ09aMcCgfTa1Z5
aKI5ofr198vLe3bOyfsyG3PD17Ibu1VakF6kXV3u3+VhTMfE5cLdXIHonB0FuZ8ZODm72cXr10lv
UOqQJbjaZ0xhnPgIUkrylZjjF87mdG0J6oG6cNOhJs9l63SaRaPtLQESMGLEyei3xjiVnycFhnpp
+qKMmRMnZhVvtM6kCpcNZfCUG0UeuzWdX8CMWy/74AuZ1DlN7inCFqr9Rntqw0rwb/F02XGgfbTn
Ttoh3tiVvinuy9QKaGs1B1Pf+YocFeuwqlAU1H0/LNZ5XFov3lCEqNhVXq7ZjTBqh9gLhnE7TS0M
JWNTy/5NGgSol/MM44D+4AjxXloJY7xJPSBbroETq5ywGkCoiBEXdtri/BoQTY0YHrSedIFLfYLg
B6SQibmyRo9OUq2Ynvt8gpPXzybGH8zSimyzU3t/ZfbIye/jfiwaBH0EsBJFECOpBdVNk9gya0Wi
t4173x5bL4We04rzL1U1tfI205QwW9cSiTvIPyLNWFUdaB67luvC3CQovQbUfPK5zSXoFX3T9RE9
zIZgJUietPW4jUF0QsydUxA71EqdIAxq9L7vdGqhwx5B/4yrDk0voI1ihb0DRSoN13kdavGz4oeD
9hyb9XQva/1YkX0fIBjhUiegn9mG5KQIOY3BDkM5/CSTzqDbSOnKY14KxWdNq2G9kI1qX4z0Fdi9
FKJInfSB8piRHIkB0I+lsBc6YjEbCREE1lRPk2xa96zRpthuGg68BVF3SOTWN+ywq+uHWgvVxoUa
kYS431C23iStHkczr4ZxE+lGZdmqN8nDpg4H8ZPspxEi9VqsfEAzGS47K+Ac2ZFaihTHaOQarv4h
SMqbkp4leZ3SN5C6ntKWB0vxAPDFQTKzZbVGLjqS1xnltjPFor2VjUz46BVd97ka4zZGdp66xMFs
M/3biMV+1c2sv4UytDiY6ZRS5BZ72eYWhYRY3EX9k6imCCtEatXvjdykhQQQj9Q4kp83jQXONh3Q
ADN984PYoI+47UPLH760ptlAaTbKymT3DSQv/DdJI2RhROXnANMewieiEm06oRJ+5iFJHZvenQjR
5xKZs5WYJeMDjjixVtBOpJ+0NEsE1EJIxzikHIOXKCrMnRKG6R95XYV3vTR00a0Hb9+nOCwjmqYB
PqEKCAGJ6MK8hlBkbqZAgVOrUUqn9+uk3qXGWKMupo3hp6wTK4QRot7L7wZ5EmLXbKkxOZMVVj80
I8gRqE6gO7E9o+hemjDoi23ZmCkqG5GvfQpQHug2UFt5skOhSrmNg8HSKKUOwToAsCOsmsSaajtQ
RzZll6UwkquxVYgrozIStECEybqN/QQtLsHjQUIoU+GdZdEStFNG6UfFNepDZindN78SBcGRey0M
bc2M1U8h7QK+DW/C1GMCURi7A0iXCuoSIq+dJcSN6IaWSbCYWQLyXXU9wQvEXvad0gf44nQevQyO
6Q2ZAAVaku0sNVRVOywyhYJX1RZkxXW5CexkKK3Olv0ogTxakClRD0HYqm4pxog+9qbWRUddFnrN
CacKDjhTCKqW56evlQ56JUAgMtKzz3Iv1haSCGkebUarYnfKYmCm4Mo7L95Wvd5C0CaHLUdNhlOg
xo6QvUvmLLsfBlN7FIK+lNfwFlZIlvZ6L9lTQJO6m7Y1akoeIN8Rh0P6w6YNQLiXtDzuN4Nejf5c
bNOnfdrVGbykadnDR2G3Wg0XKyQ1gifV38DhZYNwj1bqpE92IyqhkDyjmGjqIe/vyRTv/ldW0sgH
Q5gKFVeYfSC7Zj1quKInTa4EEnalVa/0UE/2UQkRqg/XJI4FXpaqNOTnMZAivm3V1bPhZQUWleRC
diX+XCiKccqBKKF2BdRopmMylllFH/Rklw2W6ka6/8h0pUCovNGOKzFx4SQi6M3QalG8+AenUgz5
xsztCuIXQk2cTdHWz69xxH9HW/D/Z4Stc33/P/cC29XXKUzedv/OP/9nn71s/pvcFdBXYiuSjm/7
7A2FjnlaRLnSI882U1T8nz577d9Q87K2lHUUyJOVmW34z/ZfQVH+bVApJ3VDNohojZz1bxC2nsb2
GjRiREuMr5LDm1uKF9dvRfCzSPaRcS21BujdFDRNtWnbTM0BUgJtXL+Zmbtfcdh/7sSdh6PEA06T
+yAxIPeW0+isEAyvjRsV5vO4HrUfQxJL3DyBMgron6jgan4rtn0dD8Jbcofcj8idLFmbxTCLqzFB
rKgUxOyhIQR+KkM9urIVqayd3CjoomB5gX7/6oylN3sRdc5MGyQHpfvD7nZ9u3XXa9teH47rteuu
jw5/Prr813Ude8tX7vGw3tk7fuZ45I971+V7W3fP91Z7vuSn17vdrbvlu0d+ecePOs6OT1tvbD6S
j59/ZJ3z+7un9e1ux6fZfJy9mr+93q2dF36ER7Cd+W/4mj+sbNvZOlvG5Wf5xLvNLR9/cF0+6oW/
2a3s1YpP/Owe7d3uyd6tHH5ntVo5K8dx5h9b8ft83vxhzg1fHHkTnuhhHn6zdfYfV/v5R1f7nb1y
PjguX/PW203Oyzs83Xq1vXGc9e64nh+UZ9vwmw/OVz51y4/uPzxut4/zNDFR82+7x2Nqz8M+Ovz1
ZUN8TT38fU94t2JLCEAaVbUqRtL9cX37sls/8VIr56uz3TuPV0Z6FUW/NNJiizVcLDlZpfu1e//5
261v39qrLx8c0b4yzmuZ7tI4OKG3F0zIX4vAmMdhiT7vHh5YZ4f5Zkm2h6N7cJwrN7pF1uz9FC4S
oJ7UlNHEgEf35QlrYZ0ur9Ev+PalV5q33Zs7cy0XhteFjHB/WB9mg14fX//l/7cva/bGLbZ6fDmu
X463pc3GOb68sJb2zQbD2j1sdpvNZrXZ3NgfsLC9c9hizl9ubl7N8cZ2PmxZb3Ye28J17g+Ozf5c
7e+dwwHr22+3V17nNO3wfr4WGRtV7LpZHuTe/ew+sW+YsWtW/Yq9vDRh8yO8mbAJT55pDHFYv9z6
K7Yl2/123vBM2wP/7OwNX8272rd5w/3PLZpD9k93u93+7O37x2sm8or6v/RAC4efNqYSpbNR3u6e
btfOz+0utNeb9TzpxzU+zn08zm6ShWEhVjY+0Jn/6N6un9yn3cPR/Zzj2zb258O3NR/Aq9xu7M3T
Xcf0uXiRh90Gu1vtsfPCXn34Gtn7R5badWXbvccgXiz7efUBT7L+L87OqzluK9jWvwhVyOEVwCQm
iaREUXpBWZaMHDYy8OvvB51TdTWYqUHxPNiWbVGNnXr37l69lu8e/d0zfujucXEwt9f2T/fGrXGu
UkqgsEYN1Z9nHPaj+47P7V2++/th7778j2dmeDjRe8+/3/MRO/zu7S8gY377DnJWd9BsTcM0LFP9
jnt/ZBYeF7/2+Op/8r370wlvffzBacFZ4/G5JQ67ncC97vfMOVfPcbkF/HcWZ//DP336hMNm33x6
CV33G7toz5pwS+zuOIXveO07948vOx1On04vv0+h+/tl+UN/fvn0I3a/zO7P0D3h7PBDn17419+/
2Y34/KP39IqP5Z/Px9fd6/E/D5d/fHW/cIuMrhu6B47qt4enp29Pd8fd19Pd8dfrMzeF98x14O12
r777zwMX0fH53n/liLq7u7sHfPbdkan3mdU/08zI/2O6uVyxyN1yfORefrz3jrsnjvqf3/j2yn9e
nMKrf//8/s5G9H5trMjt805R/Pww2mFQShZXDLfkPX+xdw+PPlceR9/1/Lv/ueS8jX1A4eTmPiBf
e242hXqtLzGLTabj8RPnn6O2WF1ub+Fyityfy12Pu+RcnFx+I95h/7Lcyiw0C8+vXviBk/tEQLDn
V8vPnk6HJ/55fGXS/Dvv+U9gw7Tul1uTE/XEyT39CReOd3ccyGWr75c9+Gm/uNPIPbKFmH689d7H
H98vy+gf3x+JdPzjJ5+fub0Ay+3w/88khSziWXsBlsJmBXJ23fPRz7MTyl3RuDZkmT4w4d6jpN3u
bls5X+X/tQIdFl32yAdddIVD+VEF9gL8DorE2QWdhPJYMWY/wnEWfpw60odqKos9ajbgK5YyHTDJ
NbAacSKSnqNdk4R09H1sD+M+yvotxtXLuaMhk8o+uCOeLjStnW8ipbNjxBhIqSQA47/JschPbTVu
UURfzh1W6CBYUrZLRXrlsmqRyVFrOeQmUz2yvMgZSzLjtYHKQgnGuXEVMURfbq/X+Yvnz/zRIAqd
ERlvSATkVZjkFEiV5D25w1IUKkph8I72TZo8yjTKbZzFK6aWpkf4m0Cb8ERYTSK1L7nMuxRTGZQx
vYMEcxV3ldck+ZZE0JWZXGjDlyZYalG8DM/Xy6jMwpaKvHb7uElOXZyYx6Uz7UEvNefTUENtdnsW
r+yPv+2tO5untpxLs8deXShzdcyVoJJ2SW/GG3auTeHS0Qy6meHB4ng+riCncSsuqRg4mYh6ev1n
usbauJt/aGEvNoxdm0QDwBcF0YVifk2p6ojatGEWIJE7qanf9bX6FJnIBCK4MfnmaG81x14dHBAa
uhYW0s8/Ut5/RWu93gV0XKtiAZGTG3USdRe3KtIjMRyVt9frmikAqZCLQqxHKLq6FKDgMFJplAX0
sKSHWjUzn5pkVl0nD+uNA7aEdOdul6H8ZWp1wPrZqupGYVTGXH6CHDo82Okk3qgM6Q+Dnoq32u7e
b4/u2m782+TqJdLrsTQCtmUiI9TX9Tow9nHThhvH+aoVWoOpTgKKpap9vheBIUT1TL4TJUun+5yW
VeLBr6t9CFbyxz9xYZFPpGAOzdQaBRsYgS4ixxJu2eSL/FK5KESVW7ww17Y6HVULNz+oR7R/zsdS
O1Zcx8IUrlSDlvNsJ0PbycyD//Kqib44+Kt243Bd3YFwpVP640+kbn5uMZGirI5NTbgt+bJD1nff
YVf/qS5coB/fDGDt4F5jr8MQs3zIX6cKeaIoHAxcRhSQ8YRe2EZsFujsbSur1++yTiR1wKShCQaP
Bm0R52bQfSd9bRTksbVac5tCGzwDyuldVVXhoRhKJJBM4xAEaXrQjKWcJXpqYrMMt+/tL7nclqja
wZOE4BJVKoKe8w9x4pyHZc8toxRtZj4XyI81p0jr8mZjBVcZ5/8ZMiXzRZ9j4YpZhx5jE9qRMqKt
EsEvfidnar8XotK+lH39GNJ8clc3VUn/TKm4Gva9kVqgxxq0SuucukkSG6HQpaehwgPelDwowFn6
lc9HPkzER1K/yLrK9gD4KnRyE7WBIdR8OhLVyo3r3nxpujbfosu5nPOltkRLhg1I4TI8ouQ15p3C
TTFqaCDUJfn1Weu2MANXx/eXldUWm/rKmUOB0+ZZ1/tdmKneIALpsIiSTM73Mhm2UGBXx8UCM3Gm
RXPnynfb1lBoRJTC1SaEkCRnRKNOb7caYi+dz0JJQNHCXpgsabw6X7eiVIO0sVqKwKFjvpT2JHZa
2iSgL7LkZxvXW1KE1+aRLUujFLYg2Vl5hCAtSeAb3EhmMqBU3wtbulcDOfQA/TaPaj8hrD6GRIEb
PmLL7mqcZheOQpSAmrO8qO8TZGROVdTNj0kn1fcdjXienCbKhvu7NrlLtAmfCgE8rdTnkztWNoye
dcHkxorx3krd2O1Up09QxIVODfokqf122wEtf+L5hQ9ijcbthWiMa3EdC3ZaOBTorgm3D5rCN4WA
nzxPUFMt0HW8berK/qQFamlVoOXNhGr8fHCpPs/pYOoVNOJdtpPTuYNNd1Nv88oULhpACrUXBEov
8KMF3bwl3ZaVK1nVcACJm7tpYj3LIjXcrJb3Hx/T39aWXfTXfTWEqtmMJt5KjrMA5uHYSk0vUOt5
2tgZS3yyWicwlnQAsDvAXK55AzjHcRZFc+VSoG/uIsS7DmWRy3dlbti7yjL7LyOqMmhUkEYaPn4U
HEDp6A9aJg/yNbALuiG4QSjLu7PUOq+ZMNRPIDE7r1INcSprc05AoEC1fHtqr+xM+q94KBNhm+yb
1QXBmwQ+KzjKwB0EnVtpDkrwShIhhNpvCfVdOesLzHGJriENu6B+sKsGqqwQEIgUlf292YnulGut
cRfTl3GkC3+prdNmuDGtV5aUFAd5BwIR+grWAMs6EiqcYVjVOlMFTRDDETfEZXNnlFr3NOpl4hY2
oFUR91uoy4ujuFy6NM0vKkCAutZ8L0YwoAwj8ChhYsOHKhfanlxMv0Hlc7GCWCH7AHs/+EMi1VXU
WAN/qoeZPTvHLRI2TZfMPk/c7KhVVrGB+b82IrwL4SddwKAaV7ZSIBEx0NjKTR30Cl3RSfOPXlKz
LQWNq2MCucmSkRm4IHqLZ3Atg9xV7ErQ8U016fdy1uUnAUXXhm+5ZgogHAw3yH/SqbHyl+0ABVWZ
55gSYYNCE5q/1Tx9j0p5+qhnZqGIhTgCCsB7+r/OvRji3lE8qmAdal2Od2AkOjcaIrG7faCvLNFy
zXA1MnngtFfPWLrQIkfEMS7MQOMCls7IFWW+xah6zQpbmz2ADRu+nfOxcIoUO8yQ0xjSyaH515F+
9p1TfPhNDu6dDCXYEa4Y7pmVd7LUXERSmCJIKbpg36Zt46Van3ikQzbqMFcH9Jel5f//dcUU5QQj
/pRUrmP2b7ZVaDu6LqqNvXZxazIcUpOL78PnUt4/N6K0o8hLRSpdBcKpBwH4+ZXu/fLkhIY+u+Uw
jofbm0FZotGzC22xCOc9uG8aZiACPbeIrmkCHyEW9dBhAoUS+SPQXS9wFqnHyAiiYzH24W6KDedQ
yEL9D3W/u8YoKhBbQ/py+3OuTTILiSbOwsMLnOL8ayKZwpuNCJULFPyH1SHPJiKz3yC8umYEgU/o
hQxenuQhzo2YYpjhkaNNbYxrNQYblSA71MhO9TGKC956zC3UP+Rx4FmFP2zxLH9tmUBPUbCb2JxF
UoxeAsKNRjlprxj9sQDD6n187kBTsXksmAI54ufWurExx7wvK9dqjeA+7SdxqvCg/v/BCsmORWJx
4U1Y+Sgrs2ptCvGGSZPXD2UX5bsRNOvHl4hpWygfeXKQyFnNXFqUUurE0RKjWtFTNji6p8SbGoBX
NgJWyFNyY/GQWvMCoO4ntdKy99NYyx/zaUTeJyi2aLMusxxAjOhw4CVBHYVX2/IZf22D3JxLQ84t
sKFdED9Ik63tFZHdlYPhuKbcP9mD8YJsZcBet4J7ct13plNtcclcxFZ8BO1HGiUCMi2ojJx/xCxk
aFjDjCDA7FVl145RU3zWR0PuH4xuGKAKH5wsPtU9PWYbG/OKUyM2XxhsYCEixFotJgRohtwt2Ngp
TzQUtmS45oYqftD0UPe6JuDvH96jXDw0YS/NAkz6yqd1qjXms4wXgWYrdodGq/dWPm+dhOWzzz0n
NCfQAdJZ+UcpcHUSyDfD6G6xrGYUh15mW+VpKmbrpKOEsrs9oMsZxBTcTbAwYhE2yPPFw1eacm0w
g2VqxNLSAitsVwY38tVpNONXNMBMvXHOlzlaj46Tt2QZcV/0d5+bjFJhjKFAm6wq6FrTHWG80Qo0
/xSdlfmKUqg/SYGM9zADlce8VpuNdrLL7arQXEzTKNl2R8GrnZvPCyGH/dCVrpzVoZ+Z1q+stn4Y
Bckp4RS520Gpe3uOL53BYnGhrgHBBtR5dUqbIU5iVREwYUsqD1bRdUeOSrGxksumWE0r7ZRAmQ32
J3fPatOoSQsCrmxLt06kevbsIo7fxYxErl9Xgf5ZpP0cu6kdkS+ysqzZuiOu7FkDThiupUU8ihfd
+bTWcwWZKaVtV8oCsTdC2lY9J4AoGHS4ttUnfsXxUSbhmYy+KjkU3gPn1jRVSvWhlTn4ZvMZv5h+
UQIn9Xu9puVLbyLjNdVynsljAC/0HgG7wHKlphFfo1oHQ357fa/MPLXYhRWH0HoBjJ5/DLrYbT0L
tLNTEXFc+679OZjE8oU8Om42BeljY78pIow+fJUxCZTQyZqB1YTB9dyunCMnJCp2sjHpWem1YaDN
B6dX4o8JCyzRBvhMUKhQW/KUhMT43BAcOwlyBVCOh00XfO2nRLN2k+IE922sd9bh9mxe20gOKSuy
j7Db0DZ4bqyFeyKS2rR0Z7Lqd5VSdk9DYUl+b5bDl9umrjg/OroxQzFxaQHTzk0pgW4g7My4rMQK
fiWtMn21W6s/IHWIXCrouW+37V0ZGvl5EMe0d0KlvYacZLoU591U4tdLy/aliOJlDd2NW/IzGz7n
iimIT6lbLkMjU7zaG7GZV2HTJqXrwC8duvrYdQElv0I7KWpBHvD2wK74VJuYSl+8HESef0oTf8Uh
yViYWdghJK/kebLovTZwwwiKfl5gN+qvdqp7+SC4azZeTtfskmrEJD0F1OVWe6VraaRBxxS7Q0H2
Zuxi/UmdKDLWRRzRXqWXD3YfSRs1wGtza5H2wNXxyIU25Hzb9Fav5y0Mxi7bFMpSUP5ulQpEyKxm
S5rpyg618XO0XpMvhvFptUNnbeisfkBcMmjm2cu6WT1MZm8fuzpIoIcPpY0ky7Wh8aReSifkinks
ng9NDFYoRtspKG9CwkxTjOrnoVG+zHacbezQZQeu7iu68hE7ZA4Z2DpZoJsC6VwES1w5jLMnvSZ1
lOhGtL+9M69a4d6lGYNKIPSF5wOS4YvJTQNvIpJM7EQg2/cR7SsfzoMtEq8LzcAftVlreQr/tf+b
iLIbXf9YyYwRRn7ZzKajnlBT8yeYlMSGi7y2K8hOLe8Yggp04s/NyfJs1l2M35La9nURrM5L+L9M
4inXEsmWmNE1a+T3FvgUKWLedefWqgIKW63icNe0ad8Vca3tmzS0TvKIpMc8zN3G6K4sGR6ZLDT9
qNhcE0bShloNIw0B7tBXFTXZSFZ7PyyVYCuKuLLZMbEkxcjP6pBanQ9srHQlamPO8dj3Vu7n4AZ8
C1GHmAbFYIst5cosMomUJQEoQPe9NhbAXwCZgl24phMZhc/niH+LWjcCN5BI4pL117d49694R25s
MqXEJKC319f2TL/dGI0Q5iZ9HHipFPq6igR109GMrgf16KIFO/i3z9u1OSWoXjQyFqKh9cM3ahOp
QumMGLPJ7lQqibss10I31dWt5PqWpWX0f505swISBiKI3tiujfsTrrrNdsWU9pUXpxVLeXtg1yYT
KU6S3cQm3CnL+v5lLm9rO4tQYXXbcW4P82RIn2czcHxhNGInjc50R7N68O3/YNRc3ArHYaFfOzda
Q1uixLZWuM3AJMbAQL7mk/kVirN6L5tC20NlqW/YvPI8w/ETVYNNBbKgr+a1seeySbR64WcXihtG
xZ1Tjdm3KYiSf8tcy3+gZI9ghCTXJ3UY841b4TKWXipC6H8QUdNztT78so6cs5YhrtJZo/LcqQWt
vVEd/gO3NUrsNk3QTSCaR6lqNm6+S6+zbFdOCnE0CYX1dVS0iCC35CfdQAU0RDkj3CVaoj7fXtBL
L8Cr0yIPCaSMPNr6fu0tWOliNSJhE3TRj3COYM9sywZRPD0Yyx9tZ4T/3LZ4OaHLO5eUGgyuEA6v
/U7U5hLCBkQQeRvDtyviwvjsdKhvuDUllb2hFai6FKHcu0EVJFuIhWvW/0TxaFzBZLIm14bnWI4V
nTBUrqoo86GHdjp3MMpo8Bxa4hWX1tIZhtRRrtIjyWLl9+3RXzoJ0qRsZG5Jcg1kSs8PkEk1gjAZ
J6GOqXbir3/SSh8OamTb+w9bIkVKZmhp+lwS7OeWeDuozpxxSyJXaxV+MUOw7Dop9fy92RtTtOGO
Lk/porsGN+8CdcMxLBP/lztqEilNxhYteTRcxC8uEPgsk9RX0oAMHOpQhzCfxPdqUWdLJk1/uz3Y
y8OCdVLpgJ3hjCAhdm697Uwz7RqsgxpL7pXKlGlJL9QPH8nFCvJ5C9Up8NJVYpETYoPQHogQYZ69
Syb9qbfHLXmeq0OhWZdTD9ITcZjzoTTg/CQQaUzkMFefAaTTpBvLcr+FA7ty8qGJgtL2jwrORTmJ
2qmRD0VXuCHEoL4jaHN04Lc9gfUb72jVlz4ckgI2g7mJGhldpBdosCZUJ9goWSJJSrRd1tvZk0He
a5eHo/759m64thdBXVJhXBKWYNLPpzBPYpn31sSdbw3NSU6E7pFMyH0YsbNT1dSwcFBrfzbqpPpO
D1y1cRSu+BjCON4rZJ0Wrp/VGTeytAf2QfAdjKGkuoKM4mfdzizymKNVf1FVyehdQ4/FFx1Wh3pj
8JdxAREW6RGKPWTAYb06H3wpzZVqkH5xlbmUv7MYsQlvLYfR66Iwa4A5pulLKI3G/8HhYBhsAYuM
21nn/ts4bkTY8wiYFNF4El946u15US/q0tfbC7w6I5w8BzQPNOCcRDip1smEoI+K3NGn2JeHxvCR
E2wOStlvkd+tk3r/a2bRlZRpn+dRfz6VBReUHGtQtybUKFonQ8OANvpdKSeSJ8xGfqKeWNylmvQ5
GJHWEFQ7n4Ou/eB2vviMlUfQK3loCW5jH6YYWI4MOGUJDIdDaeUa4oLzrjRhI+U0k3gDyLi7Pder
G+uPdcB9oFXQvwAfu3LsdRmXCJ91Mbx8YXdnCHPayWHX78u43yozXFvWv02tsifmrFmTgYiD3zlO
vGu1DDpZZMr3twe0cnx/BoQyI0tKNMfDZ3VApD5KjShOIj+Ia2u4k0HABl4zVWl90qbEkV+tqg0+
GM0tRkHRU+Wjv3zpxV/NojbpojZKJ/SHIAof21Fq/YIdvBGsXhkazIkL08NC/wt57PmGRRIlC6B5
gPJlnOz8vlMyLT22GoJ9R1r1G/p/rAqPf3s+Vw7nz9AoXS4oLWzzGDk3WgZWgASPHvv5KKMmXSRV
F8+eNTeDUrvpaI2O19pRPxxCBEA+xnaIcBT1fPY+uAiA9vja1ZVc962lS4jMeoZow6NcB5NnAnrd
mNeVR1+sABAnjGIBF0WFlZUui2leKVXFC+Mp7L1Jy8pPiRidnWSO0q6ZuK3zoir2mjqHG+784vhh
+g85OOYpp+jLmfkrrnKSUg7SJNc8BQ1C5bNqVL14i9tWRZsMfEvTblSjrtnjXHDnE8sBVV+dwWjW
MzWQKkhrUr1HzHO2fSgfMs/o5nrjnrxiity9s3DSLQxf63JBRTdXnQKn8QJeHbtAFLM/ci/j0kS9
sYCriGBZQFAQC0UyxLoGl9P5LCapKZSxGxhVI5f3qIBVBymYc1h2rPCl7anxB0OXeEk+ag+DZgwb
i3hxLhfzlEYI6kDusFPPzauS4xADowbBJrUP0txCMGbWJKZlSSM+KOXn20fywpFSF+F25G/sGQa/
WsQqHNMgCXBrapbqR2iK+p2Io3ZjUi9HdWZlzVyPrK0jCei5PCr6lodEKOxYI6g7uNGe+17b0t24
Zo7s7ALMpomC8Z1PolGQO41tM/RxYnKR7Cu9nmLUG9F8zTrXLvRJLXZTm8X6/uOzCXCINAChP4nv
1WxGpBrB76uSp9ml+R1ioXdRNh+EA7FIMJ1wNZDRoQLEiT8fXVZOWYTMmu5NDOe7gyy9TxWj2qhP
XG4Mmh+QaFhaMhbC59UcJlAKhEPiJL6qUvUx7LjcScDXTh+dMKwsOSJKoiSm1qmpptSGqILwza90
lciMdtd9LDdb++HSfZi4RJ64tGdScV0LmZOqDyb4qhMoPKfShdWL621QkuMYUKy/PaCLK25BNBFT
QXZr0Si0vuLqcumwjeHRErSJ/TunXf7FMEKxF4kx+o1dSnchSdSNe/Xa+EBCQFJKehb7y///y/PX
MxMcCmYxiSMIsQJg7I2KvtkoKcPGSb5mihPF/cJ7hbzIalsYWdTHtH1RwZm19lMVlblX9rbyXQdg
+OHDtHTugUEio76k9Vb7XJ5FPFWdjbzTMJcHp8n+qzVzC3pwuV7sB8oRYP6Xa3PtbxtNgTWIrlY2
oDV97cp59mdJjx7oeW0e5ajKHotZqrdqY5eH69zqyk8EJuIdKEzGvqb087Gv4vZQNr16vL0XL2MR
ippk0Lg2aT+nvnm+LYxximFT5VEi2V0MkWs3u5M1Fl6uV+o9KokBWiVDoB31qA3+uW362gC5xHjZ
Iv9ADmQ1wHFuKkkaR95Dpjn6ZqemD2krb2WSrlohqU11n2wvzWqrASYdiKfAQAxA7fu9Bt0mGDJl
K697ueV50+AI0eMkBWKs0yylJeeF0kYJvJVz0B3KoWrU/ZzUaX4UOWJsGy5x2dZ/FRcZBubo6154
q8lJrBNUfVjoQsx64gez0A9hKubnwogzP6mXXJXT9c7GNrlyBMj6QT255M0Jj1drFbW6LvXWkPg2
PJFu2yrUrCyptI88VFoUsyr7obeaZkug58q04o8XJlVqityZq8VrpSX4QjLCD7l89kaRzKcg7kjp
ljzmtxrmr0zqQmdHSY6DJ1+kypxCniwnFInftG1Y0npG6OeBPrBNL4ZOLzqmehlvCddeGSFJFdJY
XHBQhK0lXHVrGJqm63K/oBjqkVsKvphDqx1nrez//fB5o3DFMSdRTDl3jaBqO4sqQNTnPhh6y+sV
BEiz2fn1fzFCJpo8B21g6+cwZOoIGZZt7gOAHnZRIaP+Ozjzxg16MWukT7jGqPuRs1mArueHeuTx
RnExKX36ysVzRtrdh0J5OESwX367PaALB8l+N5aCGFEirTzrxHdRF3VYZLnwExQgvwQgs4JTPE80
uPplAD29z8092JGnD5VIfyRD52wp0lBCvXBivJ+AShIgL0gQGunPx0vdOqXhMxW7yZBTesClWcvU
7HOfzU2YemauNzk6QHE+Z/Cl2nWTZK5s57KZegqlu0DsnFhWcuV1zhdxlDgFi6GfhsyupLfIKshQ
fAumNCmSoyX1jfSryBMpsD0JhW6UGuMUiepkJw+hHKCPOxW9kP22p9ybHFonqbUv/Vg5UumZUTQs
vz+ahfZdWFHe/qe0cjV8m9XZ1J7q3KrzXyLVW+TNuilWdolUwqWKtEab5HddlcR3spWYCcWxpJ/e
x6hoKZAXHYpj1l7V46LzJiXtB8elwmbXj3K2MCUkWpTZb6R3VP3epI9S/uU09D19TXkQaolb0hKl
FB4zk1t+n0lJV/Dx5RjcVXWStx6V22J4VSbJpFUSjs0g8HOK5KmHErFTfx11rU4+1aUhacfMcQIS
hIylNL6LbOq02dfEMFrGsRZzOGu7tk/IxXiZDDusdayjRhoObQ7UyjUzu1ctn86UOLa83BFO7k5T
FcjI4gTa9FJ2s1L8yqrCVONDC0vgN9HwnO39rC4r6Qm8bBk8tbEzA3bulCbmodI3fKoJsuRd6UKZ
hlZtLor5tTJhMfcRhLSn3djIovU6y8iS52bhoMl9SZM65xtkw1bzo0IAOeo8kkxF99qUCUlXuGOT
rI54ygaOcow0tR1fzHhsU14R4dwJ6pWJLOmJm6l1N38zR9hlv8aG3QtpD3vA0GenrOu76NmKuqrv
XVpmbP15gNM5G9w2C4cp8ZaqLDF2PJlj+a226Nbn3VVUTvs2T9oQQKDcG7P0bEOYnP2rc2OroZdL
kh02/jzUiWpT8ZeN7rU0aXv4rc6zHqYkpRsRyV4U9lYSebHd14ilTp0okeYOnXKAOLvlIDtfkmDK
wax3lWnPB6iti+K7baQySmzgJaKJuyXrrOEHvrJXZbft9HT+LFChIyssNc7UaK6aFLURemnYal3t
xogGBr+bulANtnJgNrQtSNOkyO+2Ps0N/er6ONe9FyaSmL5XkTMrd4Na6fNXHfbZ8FVzgrb4Qmfr
mPmGE0iDR1vEbLm23AZwvZbxJD/m0DnR7E8yfn7LIJKVWx+lHYzXg7AepimBqb1N7G7e20GJB/KA
3TUQEzdBqYTSUUwZlVfIafVp+l7oOQd1n8sTFA2ulcozEJEikYpavtcQLa0cbw7g4xwORSQZVubB
nUsa0J3VlFrAfSfRxel4Sp938y8jkqhi+UHUgAJylXKSS30PRKiw6ZZTpHmCv1qei+E7CEspCV06
yoPiQVVhOac/PqmBJbtTaYfpP4ao4Sn3rFCe5RczQrjBpmtnCiANn1sgMp2LgzW6f2GwTiKondXQ
qTtvwUM0zZ2lZEJvn9JSNrL6VLdZVHWHeqQteNHLbTLL9CvNDIyHQkvMvIO3KI6K6NTirRMw0orT
Vq4Gf43hqbokVdAjd4NdqadZy3FfXwMYnLvupUg1kTq7pnCsQfm68Klzxmk9M7RkqUlK1iNau+N4
bwMaatRdFc764CKY0im7ppmgBPIdaUjqz3kiJnEUcHnECYjCtkxh4jbUwfll5yo1j32bTOZ/bRUP
1r0ip438w4rVpvySW3Tjg/oDrATwkCbS8peq4ZNdtSda8FDl7vt72YS18MvEA7l7k9uyzg5ZFprq
fQMdd+PhvuSfVptDbhR3U3Wqgzk7DEagQBAxoMLimuEQPkIyHX1y6DzYq5mTfqKuVlHvyS2nMb7Y
sQEnNemmelRdit5l9Mms+oHG3UoTuvSuauS+/2VMsfbemklDWoBmJOfAZ1FyUBDpmjxwCJl2AG4t
Z/fNVASGbw6E6V6aOKp41zrVlmRXynNRPUgIdWUvahrDSq5wAwefhR6P0wP+rnqfdZQH38LCEcG/
iCXb+XOSSrb13Ap5dt7BAoly35RSbPmRUvXTgVh1at1+LACN7oSUB79Lp1Hqz8BW43w/Qu/u/GTL
luw5NOZE/FybalH8cgI9MWkqrJmHXTn3tfY71nuy065U1iq7mj0ij8+Ghojnu1RMrflaQPw/30VS
otPWr49Blr4Fod3KxVEfGrOx9rJRh6NyHHkoBKM3D3ZS/9fb0yD/7lNdFIMbtYreSV7TSrr6U63H
sdPoni9Gc0a2We6bzIMFKQxH13Gi2KBXo4wWVGodaWJsPHMqRPHb6nJZzuAlFw2dslGots4/Qk/k
6s2K9RzCfrNko6MnxbViql5aThpc/J3S5W2BI7XH+mDbfUb/OXUP8RhLxqC5AGWgC7LLEX8O9KDp
vufgQmuXHqq4wzUqqeKl4EDAWCqlRCFpLGNgRXIa6/bbGFI4fQsGKf8VFlVik63M+pRscKW8KRIZ
M09jL0JGL8I6/xcSfPsFgBc3tgNJ/fhsFsN4DDlfwUMaaVHh4X3Eu61Q+HUbrU+/N4B6XrKpTH6Z
sdHmx6octedqGMxnmk5D1Aa4Fr6HtlKP9Dk25l2BfEr3SqRgk5KOUKc+CKR+hgNkJmheyFagj55W
QuJ9nBsZWAtw3/ytVCwWa5qlU11PsuKTG41kN6pgO/AA4kFFYIgsS/aJaQQPvG6m3K3ybP4nlri/
T1WrCn1XRc0ABLtt810tlHRv2pOi73W5CA88PmAMQSSgkgG1BSLyq7yAcb8HNO7XVC+6w8A4vmtg
MTNPBNwxnpH2LEo8ZbAC9aBaW2+qhy49NXEPV7mO3kS2gynOCWEPGtGqjiepGe9CKC8mN0kK64gg
H3IqdMOgfiJLXEOuspjyulJNwXwoXaB7tVKakq+N6qgAsgujF9yd+q3RygLO9slpvuqJFX41wjH4
D/Zy51mpoT5hRiRJ3kdxSR1JtmqZ81AmzuA6dkOwCmlMZT5UQT6mz2U5F81B1ZukOo0lPTr7TmvV
8WtKl7nwdWGhS5EYzUAZqGRrmo2T67tgsuXSS/iZT8s6kAmf0hIBjSBQVY8YpbR8fSYWAZc45Vwi
iZX3rll06j/OYOT3oVYidwSyOWYM8thqh1iaBR3lc5z8KFma2IuHTNprdH0bfG0BpMgwqgLYX56q
Ho+dfJ/oGb8kDUsMHqZ2EblaooRvdZokwVEPg0F1LSIVIBiJ7ZSeo2TVpzQz7WhvqQl8Nog9mO1e
KxuZkr4zp45bzk05eVEPsneRlIh0jn4uG7u5y6uXwWpy4zVPw0TxBlNCiiAfrWpRZxDj+GhYYUWb
dag5oVeEg6X4JetZPYlZVo9lmOTGqdTgmeeHJJ3o0uqU2dXoDOrd1mpxZpD369m+yHvpkwq0qvyp
lCnCFqh+664wxy70o1Dwx2qp5aS73umJ+EwrNkKQ4oV172SJpR/sDB/eoZFQpL/TWRuH3yakK+95
VnGfJFEcaz4iDE69b+dQZixKU3hES2iYFwNwj7tgrI031Zga+64I6APwIq0PX2YrLGS3Anl/P/YB
wWU/DAR5/Vw5qm+Wejh6kE45UC5GY/x5Eqr6o9Gd6CFGwlh3W1kLkTC1nST2iqDHMQ6zon+tVXn6
IZVp4LgSVF7Ki9q10BUYQBzy97QWi9Zq2rQd0iz5OM0QLY7cfGYQy9LniLj2y//j6DyWG9exMPxE
qGIA05aU5JzdDr1h2b5uJjCDIMinn0+znunbLYkEzvkjHZPEuji9V930brAkWU/q957OTd8Uh6Io
Y/+Snyowp32hmptHtUueDXaT+pjbSudpAUddXlarGKnDQKrTpAYbU3TKdQ4cvIu8LdOyt+6HXMVZ
EIWbsz4BQs5H2hpQg1IBkV/sHrUXKM+Kor0QzNPDO50e1M/HUVNlFNJwdsFsRNQarVgk28sJv+sj
2JunDvBHxr0aI01xxCjYWXi/wkqYC7rubX3ZyXgabphV2Noafpb6EpCB/45TL8F8mK3ECo+BpXyH
1m9/Pdqa/iuHfv2P6Jfyay0addsFaPNOPlv6414vzWuXC0XBCw/Ux+J3znzhNH73OjXC4cxs3d0/
RTZUDAVOngi6COfNvwhd6zZXvmrnV3j2oNgz9n22t113/jMFtcF2xIE0HMq8DrkLBLdWhoyXbKxc
ybhiGOxYUCnMCx9h5QmmoEOqTE5o9J3pJKIpsn/qLombKy0bxmFtnOi4KypOeCGqztfHgay6Kg2F
KD/rAud8ei4Tbl/rZVvng2nH3L/gKO7vEFHkWHz9PcR2s9BRIfeanACEFMk/Z/LsP0eL5B8NgWy2
ps7HLVucJYC0jGfuMwR2qmIPab1jHrCeo3s5h0Vatx2/1nXF6VKUPl0Sc7L7P5Al7EA6cRtGZDH9
ifOo/26p7/GvfdzpF64TUgoMnD2N5HCAAp9wrjRDVgc52pOyHN030+eG16Xfi79hN6z34S7zr0Rv
4mnxveUpEcnaXAxMPMgndYCrOGohnY5VXY+nVbZzdUxcG+cp7Tfb3Toq65yUXO03xRPsU4HY9E/t
k5FAykvnh4fcetGFcibjANwU+9fsSPpHIHc6e2ma2f9eV7lEeHq2/mvg8NiP0RLXd17tOf+8pV3v
jQAHP/njHH4Z+u9ey4CEDCyNar5ewoIRKYBMoQ4djY+5VIhwt8O4Vu0/Ozriu5tt7XG+bdtL1Wsi
WeZ+V+VDXY0S2rQ13a+r5mnL1i1pmuMmpFIoN2myEa0dJhaEbfxXhDL/u/lD8bRwhT+GqtSfpQ4o
FzF8az/RqKcb244us37Hb56Sv2LdTDWCOVCp8mzblTOyBYd2UXoIynK5TybW8JSaIc1WtZXnNSEO
qkfXa213GpwqAJF3STM6mXkzS1qPVRBdwFy6n6FugpBsklk8SDro1tTDdhkBVLHDHyy29imVkY3Y
SlESxLBNYkuOq2+xcDTW9tc7nK88rR6L/dEbNbSnllpfRDXfdZroVodZv1A2lC5zxEOWGykf8jEu
31BeqNfVW8CBWPyWOfWHZHTSnASGMG3D2D7TsBX80uKu7taZ+uZrWwpfHpOYIeY02TbWGTVkMCpO
7hZX7hgpfbI2SV650/vqYIKqu6lxeOurqVfh39744s7WYg9OblyW7wUD63IdFVPyXCY5pVV8vXgM
Zt8GebaV43iMXRs1l6MrO8rq5SD/i0faOI+6y9WN3Kf9Ta4L7VNTMIcdcUebWNONX+aihYpcT8aU
+0de2M3ecloELd16jXdsZazXbEQywTg7FCx3OR+eb4eCpg+Wbv+VZqXipZkw+lLwPgZeWghmgIPX
bM4/VdXtDXa/8xEOehWeJlMNUYaLRj9GmibrlJ/Q5QvY1zDbsWU9kOnmW1qu9rBLTSzC8VgwtgeZ
UNK5CszKx0wwQZAD2a5RlPI+yx8YvvyPM8j5XSKn/wtNsN0UaqltpkuVvMer6f8DCVSPtO6033Ww
+1c9H3PKYMlZfy0sEWkZaP7Rwa1JfuV3M5VeBcsiT5TI9XrMHd94qSvzkW+WMwMcxAvmZ0W4B8u+
hyqC0zMaHw1b6poS4lu7N8Mmgr9mm4O7KKynL1U18t2PoNDSWSr93cykTtEACf6ZzW0fthx7tfJS
unniLxhmhuSlTIrbPRjtlG58iXcUeTgV1iq73A5LwZDiuAu9fXmkemxdowipjeqrT4E06zOuQsm/
2xuwhCDc6C/kUOdNupnJsgJhK2X536t+vMhbsd7l8bkUJISK1SndilGRUbAaL0emJgrc5LzXH8j0
80dvCVeTtuxHe9YW56ltlKa/7ELyCFMzhFGfFT6GfXrHtunLM5t8DfdEcnaLvXvqOx2/U+flbldJ
UzSvg677H43E+o74iH47VWGV2LQnBePDsQCpqccNjPm/Gt1nZTqugLwkNpMjNoyebOdE74s/sMqh
IpZvpTFcHWu/4foJp8aqa+3U/o2aWZKZff1+OfidKz6quCeWjp0hZyGNJUFOM1PLbbt3ek4HqUaT
8oqH30KsFOaV40rwUc1GnKmiaR46n30CHAhO+UKNeX1LQVuiL3KRuFfx3ES/BaWC1+jXmWKUYcRw
aTR+BVmOxgMy5HzNbCzi8hAHAwJ6BSBGVCa++bsKsulnVToJT1r33ikIDRN9p+u9yrxpmj+dcU0e
Q8R9aO07IknSJmjVlCVkP95AZdJzB/FWvRRto4ds0J2nCGQ1zF4xoVF+qv2ifVkSEa1Zuw7+nmnp
2lsZF1vCVair55gU3ihtB11FJz9e3BO/8bAzuWF1br1ZfCIuwu6O6d2bD4EK5luFO269bGCJXiOx
TuU1qZFcjiVjdZlyFonLpHSsuXCKIYoOUxDjUg8KDhkJWHadu2p/mLUa6SKzZXOzdRu1Ue4UbH6a
iG1+qNaQW62LCmhMtUzdZRVBFNGDGZQfQT7sX2NinfHAb9jcLlZ71HKuMw+3avL2XYtm+E5aJYss
ZEL5gWTY7upo1eWBnbm713YT6tEhikEXz8kACHywva9p5cmpHvx0/a1l7KCGa7mXuVeEh7iLx+27
2YUzp12jeQtErPkVHEZ1NsPZb/yLswAAi3M1JT9hUE3dcZzmff1c88V9iSEOLzfjlLw4u1k++nZN
ftqlV+UpdrvujeB0+b70gqL41Rftp1Nx66YOG/efXdQJoUth0p/cKeQpTcJlVUcxL0l8tEs+VJcT
WPdM+xSVi7eFSphZdtbil1DOwIuu9UgG8AGw1aEamtimRJX29hjH9N4Dc/jtS2MJTiA6faeszE6l
/dSyZgz1IreLjq3iH0O/1chfTaNhNB+cfbN3DM8ju+ymtjFrQfSqI+78tgVTG8YvsZkwLn7UfoYU
Nmccn+JaxPHRi1GcZOs6bmu2V0EHMhUt2snEZqkbB52bhqyH0/7nbZFD7C+/Q+VdBsk6/B3zhZTT
PFpGPwNjZq3ZIn8B6RFhP1zP0hOKiE7fBx0iWA+UeBrKNuv2PXhc6rW5NbSPdQdqDlmFih3ZXlba
iRD5ctLDevI8ZgwUMAUy4HZopwaCxnbPNY3uDv9309+71BDyN9S70552UF+ZhV0VPrUK1UBqt2UA
cWva6J5IOj9K9RAu/2GIt0sKGOIMh5CfeTi0k6CCcBqS4tFsBOOkACWNc2FQ7VIfb0nnzII2iSce
HU/eqTyfnyFVWnb7re/c8/GtviorF45p4oT44xXTNO12rnn1dpk8DK3V9gK5fv04d4XrHQIyIp50
Qngjed6axPcuXD3oKrdcmASc2XPFaUmAjN7asi7QeNSFcbO+76r9rpENq1rANdimsV4Cexx2QXCn
UPuqbqopdi+nYdAmHeD/X0ueKo2yRsUlWIXsCw7jiheqQitTpBa5F4toGBQXS+HH+4Fg4gEqM681
NXuEjudZuOT2S3ZKOxclW+oVmKr/0Edr+K/0E7lwbhV6y2YeoCgNlNqdU7MXzX6Ycs+8roFoKdpz
q20mG0OqCBKmitpsaAcE3xvZWDZGdOHvKzAvetjmfiU/LcjgadeRaX+N7yCJpj85Ejm6Dbk0+JLI
wQP1czVEQLWOu8i2fEY/6lbcTcqV6luU1Q4oKZPmNYehHyhZp1gwE+wHj4mtmZxwF01l6jjzDs68
qeYq9z18vdpCy6QByQzdIWJynbIFjo8+uXzvWQCspHw0qAf5kkwue7WL6fIZyscFwhjdhUFoWZpU
NzGc1Bbp4XGpGHkP5HE3V21TMmOYQpjxYNbSfHv55ijmvXW4rZtWuVeezsXrtEv/Ce3v3qaBzhMQ
VqebpmML23e39wEAWFkE+s//SYY0Mcnw6y2TfRDUBr6JvB/VkZLs+jfwG67Twdj9e93E9EDha/k7
9kR4sBz4+cOwdSFHUN57b0ZJ8nppvu4vI6/3fvKFI4+PyjMGL7ovh8V2019qNQHm992QuLXEpcKS
TJQLeW11cOSekw8waPMzq+o+ZH4RbB+IpMXfDmaCiywp7ZyqxRX1HWml8EmFHs3LsMXlht5/p/Zg
oIz0d3LIbGFaD38FIY5OxjIa33veWoP00vj6R9iWybrUi3NH3zgnjS3L/Knj+tTZql1zAzmC+xYh
cyTSvJrd8M4GuwyhZlr1ZN2NeZe/snvwrAiJNTTcd3FkOKwmqu2fx7irx5s5jzwLwdSa4FBECpiS
CO3Yu1xGSVRWQMJKcNBut/3jGzofVoyaTTYAp765awlY2pCPR3u7BPYoiCYJLrkEXXDtNocI9/a2
f2rOSQOnpPO2W449nyZeMoi2NIxF/y8XrTzX8ZYjq7Dx++faJrSAwpdX8ymRHaEvnq3cp4kRxMlC
VD6PM+P/xHEQl5BP2EcWnPHWmRiyC0v6e94OJm0467AnmSrariSOwN84qGv6Qd1FthkPyfZhaEV8
Ldx6ot50m6avrslBaw1Fck26WDM8hkST/kzcPA8gze4jeb299ziihc+B7NqG6o0zQ2zrzp3ec5A/
56L2t+Wxddy5vclDve/pyOsVnjAjwv/V4hx4fM4aPrbzzCzvx1VSoeaZRZUhsS2/uwZsFhPlxEIr
pqaBJqIQ/tHDDbscJ22mY5HPUPwWKR/f7+YxVEzKCZ8at2lGvuqCWaFHDfrtNBDTx27mKM622vLE
xr0T/dO+sz3LbTHzzRCHXDkbnhs3i0xgv8DBI5nNiJAvQmJvy6tKIo8/X3PkYQ5D7zP+9QW4HTE0
Xp4B6+4ftTXu50atspsarxE3mN773zBaAZ4JeSZstYYCfl9UZKJUOS0cflBEVN7Ogv9yO5mRkVZG
KsjGJg7+wXsEsB2oCM5kcYvnqpMzaxah8c4P2AmweMehZrIG+tC73abW+aOEHL2joK+wytYKlh8c
OYeMj0rw3wNZcv1zs/rbt0XJ9ckHoqGFZUN1xwh3SJjJ0cz6gura8BrAx1nTnkfohWmpU4fCz4WT
9fEu/IvN1f6nE3TVGyrV8u8CNvtJlKdbXsBTt29jXQW/096XNmXoccD84ea+h36UdzaJx3U6BhQL
/yAcH/bUy2tCAGiikM2V06j1vaO6K7j2yi6fDho1CA8yxs5/vI90yJOtDE9cGbUx4qG8GY9hI8rh
SCuuvJlJm4Buom/3N/fpR4UDjvNDOdGaeoqqHTVhtQSOYGPo6cW+K4K65TPDDIjM8rxup35ZfJW1
/HbXnds7cMkYMn+bYdVPQ7cz1Ip8zoNsA672j0EX2DobHOU7N3uupjwlmCj4FJ6FEeqK2NOnmgX2
OWqEO2RJIMR2VU2l94oclmQAxy2ZDaKeDJdeu6AzxXkOSIs8Hx5U5w+Kw33tXsQEPcYtTdtHurtD
9OTMoSlOq9Dt32hgOqIwFrA6VaIIuM88Nbzq0Qb/kT8MPtM1Sx+lk8aPIz8kSYbunb9t3n7bTBRF
pH6TgzaZIoge0OoO1ABzD++HUscjh5IIFux1hnSIU0F5i7rI1RjVN7TQryDP5ajdIz2V1WvdFBtw
T7CK6tijS5LAeR6w8qDDPfO2BfWw2+zNG76usE1b8iwK/vi0H8LO23XKFQnHsXDT/M4E6MoDjI97
Ha5tTrdvl4TXYRMLC6C/2peSr/Jt2HdMxrZOqj4TDWdfZs7V0YRs9+NwAhIqHufynM+h1tB9E065
vOP34PXrlhwBytYOdj6UMp5lVogBKYbMY+9qrnn/vtAJcEDKqIPo8nwO24Yxi5ez86YhdSsgBsJN
EEeSmzizxFbhqOkFal3/Qmly37gNovwoLUtEKklMPXVGi/o22NacgmDr2CotDMlEmeoAVC/jLQx+
h2As36nG7Uu+hGi56l1GokOMBko+741abjfp9NUt01l4uw5O1FHZ3pkqC4IWUQ2TA2iN6xp3OrTG
o4lc7AUPTxkE/afZFj7I6FfFU8vS9W7ZCbD4iJ6Agz0e8j9NXAwbbso9QgbE1VEfoXqnm2FgTDm1
YOpNpoZtWrDP+tO9u6z9j1AiqG6sFwaXuK+Xn9Co4Oh45TLeA93DeWlMkRuH0hj+S0xb/bfBrf4q
0Nc3Ws2RTuQDiT6Z3xRMb3pkND9UZpAPGrkHCjE4WHKUzGahHIxsss0jgpzQzXX6iuqeQ3ApQcu5
STSF5nVTzfwUa8Sjr+Ohk2lXzvItQXr0VSrXvjljFC9p63X2qyMg2j3UpRFPzBM7CpWRf3wUt3+k
XKa3xvZOknJWuzUeKHQnKMfkxNCyFUNF5FHY7exu+6zTigAYoAbS44G5hmiKU3ex8itwtfzjO9Hy
JAULajrHZv7xnKJjHmEJGg45tOZVywdkpMsX/6ZiJA0zRXV6j2aFzGrCPn2Cac2AyIJXvx0uuAvL
70iugSZaeqPeXYxjFR4kSpjqkPMFuhmy3Ih3Nec5yCrPr5AtkxkGfz4g2ErPZzKmFX5gmU5USt12
MXAnjFwzvBEwpf5rrJl6VPi7eugUk+dxM8UArQW92x6S2kh7sjW09mjDdsy2qJF8shyX6HHPuWDg
xmP7d2ic5ouFAB931Yr91XM3B9eKGNdXWWz1s7cZF9DIXWHhuD76IUOvATOtYt0/GJ2P9630/D9T
x6b/BOzky2xEefV3w1n3WfRb+zKHDSM2CvAaTViV+29lsPU48LfKvxfQ3OVl3xXjV2n6swKRHaRJ
V2Lc9MXidI1IzZJwX4htqaGTIBNfwxBRS10Sc5nSwK5/DYaLvyErKNXdlc/76TMkME3AcSXHPlwr
nY3zXvxxtYuYaIDROTdqlNAVQb/yPVct0dPpsnjuk/VX+9RSTDYAXcr6C0UdS8imzX8WZXGblvP5
KZ5nWfWX+9B0Hz2EMA90omyVCYABJ4U7KJMU0Akoag+b8q7UQxdlk/Qm7uGVP3QaS7mUVHuUgOPK
EZu6lG2OcGgurH4q5hyJRX0W2qdSruWGHm0RH+zm6sEPgLr55mvxMEy6eMROQ3hu7nbyynM1GPB0
lijxwgUBAZFNv8SHCFDtDVBx+HSK1aPn3VHgsmaq3Hs0k12Y4SsBuGJfC2GlawrJM85ZxBuMXt3T
tlAPcxCjzw9eaqjkA68ALo8Cxd6HKKm3P/jl5lyuAvqdM7ywX/EQ5K8BUwzfUyiWb9ffYfkxxFdU
zLjBxqIu1vLNzasgvyaSdX3oRhJjTrwKHGxI87gr+4AeZBhYMxZM7v4E3tQOIVfF1k+3QnK2pJEu
dHPQSo57KsItf8BvYZ6NF+tvI7WcLl0yQ246BRXP5Nbn0JIy+ALHWzn+oqm47H0c9mCxVX/hrCPK
HivFcMNHnZE2RF5ZZhuWq9+K54e/gfz20+y04b9Blio8isl0X+fjgS0NzoMcbyaJqyi3LbGG8KWf
Y7y6+B1Kv+i4oUQMPANGca8mzAXIY8L8fo8UbX47QBxahHLvzSHJ+2JgJJLV9R50INhDjk4dAAP1
x2kUW3PfJD2XZzu2q8fjM/nXTQDnROaN0yt2qLB5drStf9Z+j/6W6MERZJa+8z7vI0tRoEjdkbZE
bVN4Dh7DYnFyxvLQ+O88hfUtUvwfm89qzPxuYNqLKubzaI89EiE75VzW3oCeye6QnBzY9Vge65iR
PTX0tZPTAl2H2ChZvStEOWV8JOmOXqawE/5XhxiO08rnGq4741yW88grAfCfPM7e4D8OINDdIV/9
9XP0uDV5+OT67XVUDaV1U4c3Zkb7lXZJX72tG3QZmNQa3OHBXnnCEVeWxwVh30Q21CDZ5qMGFiOc
XOeaH25Cq9FY8doktkDIdhYg9gFtQxdmNBUHbt59TphIP1Z/7u87p7L+Za0G59QJq+UFh+vYZJHu
dSlRTQAJUgUEnqDMddPBf7pnJhFNXZxGOErNpU2CFr6hrcKZE8gD7KUkBaMDOfnQ28ZveJ/4EfIJ
HZMOQogPE981a0Wb2ewDj99hKgM96GwTRvTKTOhzgSVAK7g3Sn00Q6T8Ey1BQNr14k8ffe2tv2vH
HUQiF4zzodbb+BIlrlC3CH2rm5rTos2i9bxVwTHzj0AuUxVpxOz1QQ6puMG1CI0d7Wv9JUu5/sLx
8bdOzdwkB3ArFT9MsgUQpt1wZx8g/xbWtYuD6R0f3BDclEFf/UF0oDUDlxkWJDOVQDNisbI02TSg
wLosgNTmW+y0851BaL5kMXDXfkk74lCVD3Ct1ntFYbF/M3gZ9PA2kvn8posGK8hxIoIruhJQ+V+k
fK8ftvDtcgEnH/eHhK0YjcUiSIdkvwbcLqJdfCZEohHbFYfJfbk0SYkarIwZrvv+ZYbGR1jlVM63
QB7RHfaqCfIj4pAEaRSraXuQMxohmO7zCyCXjbBCr4vNmMXcKSETdoTSDKYvedX9GD/ti786kJU7
HxOH8niB0na92828A7/tnAwHiJHluUA0vcAPuc0Iphk3bxXxCP5h6fuJ1B9UgAyZTbuBFc8BR87k
Niz9McIQF8mY1hpdiigbKAbBYwN/S4xjM+xRfjmCLVeEFDHgZr3jQRlCwXXhidixgWwmotTiE8h9
w93ke1BzEhk5mXHTzrrcTcaDtPJF8cLwuJpjSYLqNWEyLgiL0wnBcjzz+K7WIVVhrNstT5uN4x0e
EcDnilRwlmkEJxHarr12v4LGa/APd8RokrZqGntofSP/K/eOM1BUNNGkwm/BaJMaDXC6cFg/T2pU
fxAm+sORrd6+maJsyyvB4A23UQ3+U1R4JGxZd+CJ1GGnXVhD171bGW6+xtrEL8QFJ4iPaCrKjyrZ
sXTuvqfvp7jy/pa9FwWHurbO1R4U/fAwJf30tG5d4KDdiFGw9+fRvs39Zsqks6AKYyIXOK+7cH7v
SsWeWxMLyiGPiDM/gIzLJ44DOCQ8Zkhy/U4JgfhNLI8cU7vJ/LpB4zjUJBqt4//vAakTk/ZOr+84
GuGJ0RHlHzgx1OVGsqo9IHiAHkTmM35u+OPmw4jgbbymM8X5V9gu9i8cAcaXARO4XCVOSHskh4uI
j+7qs34SPK7/awtvXhmom+KNjF3ztJWT4YYZwuJr1Nv2r4iQ2Z2aKWm+Ey7p6RjyYsFEjHU8EkFT
R+hCN0bOjCcesluWgvcGFwODH6t38wNG3331Q1StqUs0/BssLhjNOuvtru/X5IvsF9Q8MMbBCAuw
10iWfRH/p+p2/67YrfhUrkLTtrSRkVld1YE+03mByZwqUn8rsl0p7XF37PYSpA7Wszp7OmaTIBbt
+r1FfOI4/PgFtN31vG6eTp3IWwPeAylKVEZ1MR3jIUF2zd1CnVJcyL3IIGTHe1rHnO0QOaFzGxQd
ZQOVu6r+gvmxeR97TmWGOKRHizdw9CN4bH+Qm9aP+Fo1OsPKa8URRXj+qDmfyowx32VNq/rlxUMr
/meAu3kNQngEye142/bKf66VL7unsV4XonaSymyXXmzsy1zOMzGo++QTAzQonV9svV8/L4M/gzyt
G6aVzdlBG5ldCE3dvbiJj2xJIjxWsmddtPMYTgdP89YcC11ZzsdknbqrTlpvwY67yjgBWw04HwJf
8z+X2Hl+hmofREbWWk+iQe1u9XfcI5y4ICLD5HeGHQdBFy31zxbd3K9kNeCnds9hLl0B1p7LEjnZ
hgIGeYN21Pc62fw1Z9L/j1CoM8y62VVyEDADHrHi+J/4QVB6tNiDPsfKcpFP2k0uRrU2sKw4hNpL
i77zmV1loNS49mbk8wHmoNXdRzebFU7EtPE8pVCYAJIc8hybDHNkFD2CTTNtBrgCbuoJ+d2hol4y
hjxYuJ4Q1/hv3jZW3zZG2ZspFTHl4v6bxmx04vyxqyU6IyZ/hlxo17I59X4bvojWQ8izEBryOAtX
79kY58uaYn9DzTRETv/aRNX2N15C9yWE0HKObr474lAmCeQEvVBFlTVTy2iqhN89ubGOn2lu7D8d
MQcIlvq+8DLOQ+BDmuG6WyxposPXPPlf5Mkj+ESO215NGK/M0SX3XWf8e5zXHM/z9b6vPRoRANT/
5qYqPj3QNBS1o20rmFgesdTzW7GhFDRn3SUCN8QBSODf824r5QFF0g4NH8XDBQp7/qSPtq7n3oN9
YzhGkp8uPjlpx2LS0b2uA2E5qpUbgP3V9cc0NNVrkjfJI7QhiMua57s4A1y2T+NQYG2xlWTc3zjZ
vhgaWDU8VJap7jE7pBir8u+wBKo4zclYy8OGFiJB56W3a7mHLVkXzvmGqZ1RVUdpSmBZhaLDP7pt
HD2c986AQ2XZr+Z+LqYsXwzYHvlN3u1sdvmnaDjFUgIuK9qHWEtO8TQwzhDePP1bMfzdVmOrvYOZ
HPjyKsZVwDfNA5kFeixUavZNfGBA5De2G5HocbW7r76NiGoZ0V16QGOMaDTo9B7Gm6ZLnnST70HK
sl4yNOSuywvheOLPWvn7n7wyi4sg/IwzEwa3fMl69sdsX8Fhsp0GivycK7hBuIEZPbbbUAjks6zV
6eZH7h12sek+TgoEx5HbMtkXMtIURSXDajnpoee9eYPq3W2z5ieEorK4VO6cPImuJEUjSWDsb3yz
wmZAh8+HnGN/xmLBXX/l1TIR6azpUdbdJNhFNbT7kWW1q7Eh1n3/5G0usgA0YzMmmtyB78IjtxxH
W27DYXKsK7N4xwKdWWdZvoy/ivW4LpNbn5IyaXinyiRk0kKAuiOfK4r64AIJVv/ZAmDmuOzCNVnb
Y4BnMNsaJBfJ6FXX5I8l7d1qqvgxqBo1HnyzK2xaPRq7Byw/kNoLPgW+jNFv/3Obzp1PW7nn9rBZ
IKtTUTIYH1y+xemwc4gzW9SwVHyxahAuqJCXP1djxCwxUn0hEHoahpCNd/VXdZYy9Qrfx3OvNxJe
RmoA7ihE0B9oZiUkZD+Hd2MA75z5+zYgLY6HmixGmbsobzm5UgGRcu/mLpIXC5KKEm9Fln1Q+If+
6/Nh+9Mrt36QqNKds2AQ7Bg0NmIR7Yd/cW5Y/sB1wQpBD5m46gDCRkfK+cvEt+qMFaVjBDVT/OAO
/uhe5DLe/xZide6wmBrnBjOZ/98auP4ZnFHIM+kSKq4AhssdftTpHjAX+C4afn8podkpOMgQAfFG
RbZ2nkpKD5qslw4/mHGc4HWZJ2jlcQmhdxtnTq42Uej1YuX3ftm5we2lBM24qkFPnrRvwJDIOFtu
EURwS/aoT+6ZDrgulDP3Jt1nQIyLuBonACwPN8ELmKRiBOmNh16qa+KnsO0Rw3LdFA+jQkmcGr7l
dxTq5uG86CHFcRR+MCH6+RGfZP7TDCDImfEtG4a0sUImQqXKZ1JuvMzFUG4R+iwFXNHWBOseScOT
PwqwjWRYbyhfS9lpNl8nGT/JGQoVIFunfgp3nFBB5A2QEm5uNaBJ74ZXt0cBwCGL/kIGZB6n1Uwh
+YG3ePv7P+rOZDmO5FrTr1JW+6gb89B2pUVGZiSQBAiAM7kJA1lgzPMcr9Oru7hPoRfrz8G6EjIy
LaMhs160JJOMQhEePh13P+cfnMmce+7xGliQgVStAQqHayM4aT19p0dwGVyqUOZ3w66tB86gRvMK
P6DOzdKtd3Ib1Fzx61IrXRGdJ0+NSe7s4rEljW3YM8DI0M7uBAZ12oZjNd5yc8kb8yqgoj3tQl2x
K6TlKum26Tk1r5Ki0K5tciLqxkZgnid8MZbKXQMZ8M/al+c7M7LTdjMArOiu2pn82z3cMx9tU8kq
GJtQN4odLl6tdTO3Zlp+4l0gfZIcEqOUgUoZfL4Zc8tth1L5muazLnMH5Hn0wwniXtrw/AKj6CuQ
pvZlBWr8s4VjqEPJxckNgoRGagycbUASHgBQNH0EXdrjt+FAXfK0Ei7PpugmfGgvM66FlsBLcQPM
A5D+RK5BRuSMLOSC3J0qk+FUAH8oCOvqN6kr/E2XVN3eSobxXpJSxF4lP2Dq2m6bJp2yv9z8kvAt
msenFTq+jYwtVbBjrjUc1roFtpJtoF7xHEqBMndXMihBDXZneUeNwtnMhh68qccUWPDlxpeuYpjL
0boqy1QdNVPopxy3jk+YaVC6yzeJz5G7qxWfjZRhCbhLeFVEwJrIogUws6mfR7yo4Ijukhy0CZcY
Et6V2X5Z+aIl93z5RQuJFQDPflVnTEdQ6MRhSpjbOHBUl6vSp4qrMIGHWngNG22XtoOBvpc97fOc
DIA6BEDDJ1IO4EmclZFaSgA8fxYGhkL1VtFOlMWqkQjd6TyJ8ywg3Qp3LgDYkZKNTJrCLLaXR2Gp
DSFaEwofFggdG0zMQialHPQci3eQIMCB7e96ZGnA46BLcS0cjfE7Jr/qiojOuWWI5J5iGmINKsZC
+gKAZFMkDXV46IDqvQnMhGuuAha3lcdr0HPOvszhbhea+Tr7B2FvaII0NsUKpH1lsQLtAgYi+BfK
fQjhQbki/RuVHzOds+CaTBCl7ctDe9rR4/YW62syJYgpZQnxMJcHIao63U60+wY8hgZWvGq3lV1V
7xwjDbzLLZ+ubFpGfMZA1NjCj0p82QtJpGYyCiXSWdk4JMmHAGwrB29ZvFKr5Xk8MQlk2cDIIIlz
3ApNR5pTsaO1QWkPhoC+2ZlyoCg/vLfAW6+sm9N9gfo24YPqMQVBZvO4OVt3fCeTWKl1y2nWkhp2
yTh+hlyjXF0evtM9oaOzYeFETrkHfV8xvC+GDypXXY8RZ4NfqdU1Nxi4WNCHIxeAJ6zkmnTuiuX6
2RY1hJhgwENNWKoXKrywq6xjz5ehNPzwJxJdThuLTGIdJveoNdorOiPnVgjWCTZECBv5p6W6+IAj
hE7llmhcd7xXnLlsym1pNX3+byxFLIjQhFd0nVlbjGUEmJwbBWM5V1YF1rl1wByN1Uor58YPuXIF
8BQuKGDij2dssMDpJiGttCAETKiFznwVh2q9G8mxUsEnF3Z5iZxbjI7sgB7gWkY0W+wws6iNYLLF
ElF652HIEQZxxyCwpF2XcqlZiSRLkSKx0xzNkhlFHdWIpU1J4XQpd2CYx7USZI8RBT3woQnQlbm8
sZtc2BFLbf/pchfPhC8OBkTIFGIlLs/q8ZjOvj1rBiDRDZoCMDoVy983E/lWLYu9KvVtshCavtc1
AI8r3T0zm4jAUm1Gk4ngoi8uKr0aFaFdsdMbv7O/qhCvY85ipb/CrKzzAvjRu8tdPbMbxIUMaxZN
4UhahpZmcFowdim1LOChWwNlS6+TtDVH8jOzaKkoupkKKkVIPy+6hVxNEOdiz/lqooyg3pMm3mtN
o8ie0oq3hNJAiQqVLnZW+ne2ZQ4CKGyYBaKXfjyVPrj/scUNjGJJL3+BbZWQ30n86G7CGeM7oR2s
6wCT018JpGd2Cc3JXC7QugbeJr7rRSCtYbxbEEwZ16QcD00u9zuEYKUHhwTKSkA700XU/zT8S9gp
win8uKkqldV5MDK6CPVvK9Ugy0ajhncbUT96KEEpf0kUZ02u+EwHHSENj32QQQJFXkwpfGkkmHv2
SMTcbeUaNBLMFn8fyJAUXr1GHSAfDiYbuN6ggXncwRjOOekkOuijB7R1WmBMQ2Wsyb2d7gRhuCDj
sWog+GYuFQHl3sbEo8IGRkI/4C4ZEuB8Ydyv3MTOtCKk8fg3wRMF/UX07KCrZLnhUIu2gIiWSm4A
1gnNlVV/phXsDJGWR0JRlRE/Ox6xUQ77kds7GAswI9ldjbZOsS1qqQ1Xlvm5hrhQImYvc8axEo4b
oqCkBznp0808IEwaZWrtgldcERw+DYoIQRKa8KTVuXMte6NyXxnGnBwn3U0OxM5o2kUN8I9yhPS/
g2BdTl9fu+TQ4sWrEYQ6NoLc2I/7FYHqJn3AhVnTSl5soV165TSO28utnOmYZRMWdZmzzeSZd9zK
gHxrUCcVL3GnomKYhtYNXjKNZ1td6JZjsObNc749XgD4mHK9W4ri96rcWRZpHRAIUkP5DzdRiqt+
ANEmluPioRtr7cflLp5ZIHSR6eOQQfL/5OWNPD6kFQZyCvMI4m5BcaFo59evdyR5yIsZmoi6zkJ9
22lMKO5wDjZdKvv39gjfqYmTacW88vRaQCbK4CSxOCphxC/2rm+GqE0J9UwNZzuA2oiyQJoZ3oPY
d/bOYEPBTYKRCl7TZvvLw3hm5rhtIRdoYFWokEo5Xil9JEdVhV/JpjD14AsMIOMLzDy98dIC1Y6N
mYAo8i43eXqs4EvBUIpCDofn8swOBzV3Bky0N76Wz3sDUNa3VKIgeSOpvM7vfQi8yqaoQtK5lxs+
s2RsVD1tNqDN/ltKzWJ7yf0VucFNH7bS29jQs01TlsOrr7F0z0H2UoVvheL34vwqyhEqvw3uy0nt
fA+t0UfjTcottkKaZsbKAj23dDiaSQaKEQUzdzx/nYYjFjBVnqX2GO2R9gJal0YSovS+Fd8iRzjd
GuTs9hp36w+vH06LYcRsxGb5GGJpvbiJWBGp68A0AP+DZbpXkHzaFUgqrjxRzy1QS+VJTJw2eKku
rsxIPpUagvMAk83E2jTgFb5pI6KewG+rK2gizdXlXp1eP4jLvKTRueXVQ6g+7tWMmkoBQxB2TxYa
QCP1gJKkSXUWqBdCWStL8mzveOmLGwj/bS/e+6hTAQ1FpQEVFx8eAe7AFE2awhnTqyQz5ObdDPtn
LRt2plFhlMLbhxHlHF+cDrMKVLmc4dpMuLZRp4LGNYGFL9C2CbJs++rxBJqAXClvVY4GbRFgsiGB
aYu0DrSoFoKRG81jlX6B/2VVIyzxaVDXXnbP3ijHOWFhm8LrymZcuUIspnDMnDAwKU9sHPZetov6
Vr4dRlTEnKjNr3yb8pESVc0+BB2JD6BEiWoTTBZFwQydvJX1eyboOIifENc1kwC/vGOGA+hMHKIK
8DV1sMNMFxhfgFr85VE+3+cXzYhl/WIzxmab9rKPA44/z6O5qTshsIVdpG64mea0d6xm6VoeqLHZ
Kaq1ZUo5GvFyG2eeWF7xqjq3vpjxX+YKhIfFli0QlPMtnS4H4MddHcTqk1ZXCbAwOTj0De+0y50/
N8QkwDlQOD6Fsdtx33Vzxp8CacaNZWgV2muwiKwpG1Z6dSYwcG2jHIJAvsZcil6/GGHQwXo6djwW
kNGrvvpxQC2xUoNHzLfX7gNnO8TDS6iUg++VFwOIQjIgAYVbR42R+NavQQVSrAlXbh1nW4FYQuAh
/0EQP+4Q3Ca/VLFOxSo4iGwPqSK92/LcggV9eX7OjRwWPpyvJN9JQCzu8jU3fBtiKw1JrexJoNO3
VtFbDyWs4ff/TlOIPzvido0P+HGfsmZsWkdiksqxLe9svw2pctpAeUEUDfHHf6MxHK9Iw3HPVpZP
cSRtQhSiufX2FGG8rmsxvwQlvu3bNPMuN3VurrincQoiycwxv+gXOCbdbDLSN5pmZA/IWdhvTbu3
V2KV+C3LwIlQsiVSRJwQSz3mPO3NKZpZd3kDdnLTgRe9JjgOn0KyVF7Zwfi53K1zK4OEHzBFEEvU
sRbHn9ZCHM9MymdoauVuPEORq2OMwrjchyuTddo3UiY6i4KDj3TGsm+DrjhpA65aMKrrfehXD4Vd
H4DLmVdyHfUrHTvTmo32MhYK+L4IyNnxOhw6TcJxnBK7MUjmIcgc6QP2TtB3lG6+R6bPX7l0nq4P
susK5jncI1TYrou9HMkmoH2pgNhOnf1rqcwTeTd1eHd5us62gtMh25h8BnXP415JUm+OMwpNoNpQ
YdX7oH4LjHPNV+nM2Im7EMUWXggknsXPXwRaUvYwpGyw9Xk/9feK4gvYBMzfg54N5me18tOfr+4W
S5BMk4piPVWeRbc0M62jIORdgMoYN/ZM/TPKrVf6VJNd4FGgE5YI6Bwey3ulKiE4kc89b7xCQ0m3
QT+GDLOeu8AxIKnJzNnKbj6dLeK6gQUnD0uumMuiYNWXsHB6B0xfWnU31hz7t3I3aMOrozu0CtnC
vdwiuqv2IrrbGZgfQCAJ6hhtscuS7GkWcLPajNessE46ZGoKz3BL5p2s4mC+2FSo/dZSJ0NGVKop
+poVUrlL2vDVOXpa4X3KdUIYJtCh4+UHGBTEt4XkcJ0MWrVJchs5nGEaEu2270qge3HjAKSDK8/m
R+2yWq2VneunCBs8y4kgVB2PvyDluSNIvyCY6hS8TFRr4Y0eGdlrz3+OE+GzxcHMyUxoPG5GRiK+
00UuD2qYvXW04SkHaHx1eW+Ju/bRkULaU1iGiHq4I/5z3Egd5U3dNua3Dp5wWUgPZnSVyZZXKOoG
1xsuOBC/8GxYWZMnKQbRKoQjcru6EA1azCF4QhR7R/Pb2B2c0L7J+p1a+G5qxtt5/nK5g8umSCDL
VCAwyiHtCgt6ETwitCVm4KEwg80xeIviie92Q9a/kdBc39mZD6CM03R7udHlCnlulDo/dU2VK8Yy
vxejPGQMxRhu0PBIHuAIpLvZnuyVVpan869WbO68mibM9Rb7jUJ0gCQwXQuhOg0ASySRj0VJyYVb
vgaaONOYMAyBi0bVG5uMRdSviwKrMkMgEkOftobSfseBxok5tv4rFz79OmpqsfAN0/etuaIp+IkD
RIbM3yOw8torm2iF9A/+GCTXiCSLuNh1Sgj6HoVGgoyxH6gcU3CbLe+1K4EKLUwI4hQpJ5Ikx/sL
1sEcGyYERT8qS16xTYjKYvrayEv556iVxS7mQYIuwMjjEVFQf4N21lc5Ub5e7snpAiAdgTyrjbQL
SSVrMStjKrVqMCOnhnGR+acyoumQQtIV2hLWml3S89J9GZa4YNAYKQJKJhSZli51AzoJ+tRTyqKS
jpIMd0YJwrbV3NRSVr0FgFt4rdl1VwjAqu4Yxeo1SrnpSmw82cW8kfE9UUBw2YLHuehxVqGynoXW
FyeCBVAhteiOZrJ2mzrbCCgPxpSyjSkvG0H6BSnh4GsyVZmz0yrNOOT41Tn7V82eQMXoPISoo9AQ
HiiLWNGl6eiE5jhsMMQLQS+X9ke0U6CR6nG48sZb9OhXU9xysWuljo2l4fGS13wrSnIutxszgwDe
0MFtl0rK64LEcyvUf547gw3mEo0wFwVSUnkI2ybEiqOGFX2jyfNa1W4J4fvVDCUGYcDHc9VYjBva
OT1FNAkofW/UV/FYTTcoyXVvjS4w9iEPZthdowEZEw7XkGCkAlm6C64NtFtcpnRtoy824fPnmNQD
xBbkQnySj7RzFRk95CKKaUw3jZ6kb0YkDbwIftuKKfczNuzFHnxuC6icysKhgM/d+HgedT1D/nli
HsO4/tBB8EE+S9vPfnKFbPGVUdTfumj41ilY6Oj++9zovoyUoSdufVWbXKNNv5anELFy8UEc5DYH
uqMCpVsihqBZwMy1kcmXldrRnjI0YJND3lDqvEc/M0+8JJoz9R26cNGPOUKRegWxdGbwhZWtDFwJ
0AQCfMcD4tez2iEB2m+Ah6HjaxbFFgxxua3CON1e3q5n9tBRU+JTXryxKmVSw0ksu7A1peuEBXHD
ZbR7/U6lFYc9CppNnIXHrdRQW/08ZQ91cxB6qjNKXqmiN/Vv9IVnlUIdkEqEuVhHDk4LKfJrrKMi
jr/BjG7eSr1kvrvcyrnFAdyDLUF+hALuIuqAugjKPoNZnURKvMe2NbRghSjBLtCD9kYuUXZQu7I8
aH3cf3x905xRIMsAfJxuFOjVuTJk0As1knO3o2IMj3gjSNfQvY37DGU55NNM857Yv4YPPF0mgOd5
bwFZ4jJNSDieQGmgviPVMRoetl7dxkleXIVOs1ZyOR1amzIgUyfbMg+8Zb4+lKvelMts2kDNeyeb
xmOv2x/82Tz0qLig29peWXr9OmwLwYeMpIpiAGlWFZju4liEgzTw7M4n2KcIFnxxSsTBr0pFi0wX
mdkyRLexCSjCINMZf7o8nWKlHIcZW+HcAtRA+QVczaJpEDQQyhKatk1A2drox7uiDKsdfkcQHtp6
LfNwZnhpT6cUAi4ZAOti5U7K7OuBiiYOQsiJO+aFeeVknbQdy6S8gvD5AcG/8gpN4jUfwNN4JuqC
YJWAl7J6lhnzEM9BCNLoLCJsJLmJXEjbRG8cr0RnayWenW2KdztkUDQNObWPFypyQoOVSWjl5Cn1
eTdE4yC5i8oenbRWCH5cnsGTbYH1HqAKU2fVipr94tCWRijUtgERwxiR8JBqZK7KBP+0y62crBMB
WKcJAihgRR6Xx31yfHBnM1JU6OVldrObhjDOt6kZGn9CEbORRCvjNbvhk2FcNLkYRi2FB2hjbODC
+Cy3ip48xZbSbrMq7Vc6dzKEz2h8oA5csKhfm4ujIZynUEYZCUnRqequkSzJXChC+cqyOG2F1AbV
eGqdnKpIuB8PIeKifWxVkJWdpDF2VdjPCDeZ88rdV/yWlxua6wsbi63FIldtBEmPW4GgpWD9BOKl
83353ej0eCcF3fWkWf0GH6LxXV+sVYhOmmTEeLsI9LYAby+ffaliaaPWwKeImlrZjsiYG65TtNK9
gsDSnWO3QrZuaneXV6SY/qOO8jbjpibghzQK5vK4o+k4dL2c4AfVetGmc4ddsddu1W240syymEnM
OG5ncexwYezMKqWdcvvtU77FgmPz5+H+8XJnnp8kl3qjHfdmNJsQAiCtqHuABRssPXbKW9Rettig
uMaO6tvmTb05oKK/mT5fbnv5/jzpoVi4L+5fvKBTvRbOWtKV7g4uWPjND+vWOrz2aF2OpNjwL9oZ
0xxZiJx29Ad/X8Gu/wSu+eCvTNjyhFm2sjhhYOXHqSR6M3tYhLjoB7q5W67s5ZOn0rIVsSde9EWL
akWPxXzdVrvvifvhydg/fnq/ZqD57PF7aVkswi545nRSIpqpdsBPXWQINp/Q3LybXesjMp7XKytB
rOVLzS1CroNxJeGD5gb3O9qvmx/55vDTff9ppZkzAePl1l2+z7MmbywUQUWvEMJyyRe5WAe59tbc
Pu6/NtuPSAatTdhKuFjyoFpbK51QtNlveduxwaLd53nz4+PbcHPfbB95FmzQ3Fw5WNbmb4mx19Dq
UFMxf5P7ffbkPcZYu8YL30bX/ibdd5uVgRVn/YX5UxdRJNGhUsIyFJ0M3Yx/6xuEP1002laGU2zV
Sw0tQoYu4UgUUrzcKDkK370PI6Kou0OfWGt9Wlsri6BhW3Fj52Kj2caXzr+KkEwuVTzP8gRFkrWa
83Oq7VK/FsEjtiXVQHfs1wCmd9g1bC0PKzj3Y7SNtj/h3hOI5c3PtV4+Xz8vNbyIJ0OQYSlQ0bD2
Xj00n4q31UH77t+TcUR9u3ycPuSH6E67Nz6srJi14V0EmKAdI7MQK0ZjzSDAwPrsr7jluf7Gcstd
vgu2tmu7a9Dtk3zLIn6qi0gzqXmSNmJjUIP0oitl+yFz582TvykZ3sJTN6vn+LkAQE0QML8gzcGz
OY7YTWJnuSyWLF7EO4X9oW0dbg6667zJXJz8Hpp7hK339V6/ca5XRvlcXH3Z9mKUkZWZUmok3FW2
w878lHqhN3jTNvGaa/VqLW12bkopKVC3AFdHXXzxIIjRq46numw2NSLwsgIJF5UqfXrq8nobzw+X
u7YMBFz7SX2S79A0wP7gFo5H1Wwj1Q9TfXYlrdU8ZJIQV1bqCKu1aV6JOSKmvNwiNAXCk1o/VCTb
Qh7ruKnUVs1R7THQ8iGrvymcPAcXrKUrMXQ5eqIVnSIWrwFBml2mVnTMqrGFRPWohZx7h/akdaj7
tHHlSc3u4jLLPsJoUu5fPYokcXhWcWmnDmqK9fPiNlGgl1A3JZaN+E6WO+RZial6mz2gWp+urcXl
S44O8oYjdwMg34CFtdgHmPLUs2NJk2vlfe64SGA0H9GAQ0qpNgot+ZAqfYvua2YhX0tyu5E2SCRm
92k8+Z+MNm8LdAT6vr+uMlN9AFBSYTVUR6W9KWXsky6Py8nlm7Ir5TFTIdsENIzy1fHA6Hhp5K1l
4WWp9D3WI1IaTERDpGvD7dhg94oatNGPsYfRaf9YU3z8ETROYG8VCoSzF5eauUZ0X94vxSdprA8q
XCi+Ymd0/EkSWk0RZvGji9NCgt6wpm7wpMi+kvtHk2Aoe/swlSrHbtSPK1fb082mMWkg1EgJk6TX
FqcTgq7SMMEScevW/laB3/jYokF0h/DmGlD0TEuCUWNSiSerAJznuJNBI5zvHHVGVS82QVPAedoW
U4xoKKWqp8uTfLqvyWKS9kI9AM6GvKzKB5Y8ZgWKVq6FIs6urUd8nqpgpYJy8shh2iBXaqAyqSFz
BIgev9hiAfUJLZ673vWl0N+MGItu4izQNiyo7BB1c7GzUj/dqXKs31LQT5+MbFJWItjp1uMbgN4I
1hJIs2WybZr7ISgqdpeNpLO5Cwpfeq8nMrBAp0US5xoVYxRdXj26Io5B9AHto5CsP+53ZoSZVqQ+
fPumQAhn0hMvyyzt6vWtgG8W9QJgBxBmj1sJhp7y1BT3qL1g64kgEmLDeGq/evx0WaMjCok1ypXP
c/xiDpNJS6wWbIgbDWV+m+qNso0kRGgGRES3WTf63mt7JWAbgCopgrBy9MWaUSe5SbGkRSZ+joJD
XEjztY81y8oj4TSg2KoBdZNOUXU7wR1C/qWqN9mNi01svpVlZHBStNqvZNuQAG0YAwKxY9Nf+1Lz
FyrrP36M/yt4Ku5/nZ7N3/+TP/8o0HwSyLHFH/9+G/2omfuf7X+Kv/bPf+z4L/39rn+q265++u32
sWx+87r8z8c2KvLl3zn6FbT015dsH9vHoz/s8jZqp4fuqZ7ePTVd2j43xzeLf/L/9oe/PT3/lg9T
+fS3338UXd6K3xbwWb//9aPrP//2O1P3YtbF7//rh28fM/7e+3/87+K3D0X2j//67TH/87f7+h//
nf+ISmLYr9/+z1/x9Ni0f/vd+kNAXOBpU8DgIgJ/+vffhifxE5OfQKNGfk3RcGl0BCAxL+o2/Nvv
yh/A7TQFVA6HO+Vo8SN2m/iRJP9BLpwCJ/+yIe5SrWaZ/c9oHM3gv2b0t7zL7osIMzN+t7gG/eua
JA4noH2mgF2CJRAiosdbMdXVEQ/tblNEXG2HtryW87nBIVnXruQ0qm8TX0WzesCUDFPMtPOvLYzg
dYRCQ+3Qh6hVb7PEyj7KY1Ddw9sJFG5C0/wNMXhpC4eu+KCbQvbnxZj/1YuXX62LbN3RVwMboebC
EYB6DviOxdGW6MWElsXX3ijRQPN7RbnH1muK3RYO9UOgYTQf2n3+oOOyzcu29oO71Darn9zFtFsN
5cOD1qgj+v11fJeOptW6QWUrb9Atw97LkvrhK0Wy/ANrRdZ3GdZXu1aOzBsUIvCpsaNU+lH7xvAk
oy7/bgB87hmd1n+P9T66lQLf2vVhr0NkqPP4ZsLYLe07ZAUFBDB3rTlp5g060s1PI/Ftt8TG7UZD
+N7tygbr1ssDdXw9FSUFzjGQAFwSQZKZSxp0S00wtcQ4We2WqzJqs5XQASz0HQrmqPMr9V9T8/8i
RpRP+fu2fnpqCRL/H0QG52Jg2NORPCUmvIwE4q/8CgSSovwBAJ4NBtkNpBjPn/+JBJKl/sE+pOzC
QiYTz5H/z1Bga39wExFsJ8qMXK8EoPivUGA4f1jUAW3eHZCTwAS9JgwcRwHu9eDKuSnye6i1ASBY
HMiF2U5U/eLhthq7qlO3nT0m6UZvhe4b1M0ApdQbbNkKfAlSVK396yHTzOqTD8apXEESPAMA/7W3
xbcAyhXlYnQ7TMiOi2+h9AhKFc7CLQwVU413mKCE7aFuEe772PLOMG818vhBtCUoWViHUIXp489R
Otof8saOWuHomhTXOHlL0x4BZs1+aCS8zVZeRidDRjWdirZK+LQ1ITRyHDhRREZQ3dDSWyQm02Cj
OJ004kGTa8PnQs/xsMRWKYj3Q60GPM8UM6y3TYMm9OfLO/zcZ4gXLix9sYaWM6fhuzMhNJfeZgES
y99rDU9XT0WUI0GZwywsrxvaEUXWOg9K500s92l7II1T2N8vf8fixsw5BPoR4qgoK4KpJp1wPB6Y
usVgkQbnkCW2H+KyUrRJi+1olznymzIKZvVDGyVDszGrSVI3eY5F83WswuJDf0meVhhP5z6HV78B
uBBMHqGN7fbyAo/QOYb0sWYdyky18gcsThDPKvosBBNa4HuV614wI0aMdaBEHW7cGpinNBS9kqhI
HooGkNLKpXf5SRo4cyIxd3poXqLqtljYeL06WR0hjelzKaCgYWUplgHXGrKDwYRTlZJLqTsHVS9+
luLhDXW7atFe9nAncHJJmIK2OKddnrjj+ySUM57LOnouvHO4IrP/jwcq1QCSjr5mXXdmk2KhUARV
Heyx6DOQT8Y1x0KpXE7TqVFdpzOy+KfR1lK/pvGy+ApoXEgYyCpYbpBx5H0W01Ua6Bd0iJh6WRtj
nSypbVUeJIRgU+E1Zr4dQ9b0Rg9CJPwqu8uDtfUiLucvog4fwAMLsrzQodAEUuV4GIzBH5AaLGpP
kSqlvR3tGWPebJqE3dEgp7ehFjftfY2RvAqSdGw/hRidIJqZp7Fx3Wb419wETRaVezJsKSbCKZIf
X+cmHdeoEeJq8/JDbYFxU8BOs6zFo0YEhBevGstOSThj+uGB6jRtT2kSNdyoFbrNt3nWpu9zq+zH
1y5dchcoBSpEY/Euht133GibomhpDWHndcUs2297eY7MjxjDSMadHjbD7DEARfC+tzuYzVaN+/Rt
VRs6GUw1Q7p+ZckuLq2CxUOQEUR1gBmAN5dZN19FRnzQ0sabSRDc2UXXK7tOwXj6es5GhSNhDPsH
eMJ1fZVhF+0ChOkesrhuTDfE5/HrkCW++eTAbr1VGzmVdlRCcNpTSc/gATiU2FH3PL5y3AajVlqJ
2M9llRcziPIImFkShrD5AcvB3FkMpibNtSorvA4nByuyb1atNRH2fzzlhDa5L0VlsFHlSk+it1YX
z8D/Q90pQ30zmVZJAEi6oYp/yvpoyNgPghwT/h0SKHS3lwJSqTtyuhN+2C2y3I8hlk+IcPNMNvDc
a60qecxirRfb2YG69ojbOf/ddmXQroHwF2eTmCYAwlyqHYOby4logTJV+uBAWfMShJv6h2QYY8t3
EQXX9saMGPCnGZnS8a4vMYr7OeAW1CJDZBs8tv5j8eR5+VhYFF+fVwvRlr0N0M4W6YDj8dZbFGQr
4qoXgX48jImmPMAlohqE72kFoToKBkvZpfDTyps0auPgjaHXQb11Rn8c9xlO4/rPlEfxsMYbWJQ1
nr8M3rMQYUJVjuNhEfVCLE5j2EKlF6pG3x3KZhgsN4Dk3G0VKywz/MraCf8vVPU6jJi4vW9bw4gC
L42xO/2g64U/okVMkvN9WqSJcTeSBUju2MNZs5IRe/6WF6tWTOYzaJlHJw9P0GfHo9jVuP5ard15
ZcN7r7U6/Gl4hPU1ElVNmRwyRem2PrdVBfK2PxiuZk5KcKWWXaV8tvC9AouDdR4u49lANaMxEBEb
kKLGaVGh8ohTDuL7Yyw1160/W4/JZEbjYcRg8t1gyThGV5FNMS8wevOAFl+rI8ZbUrq4dVQraNDl
5AGKzOCAA5FZ6rRgYdnm7BT8uNoV9MXxo+p51tBzINlPmoz/6OIsexGBA+4vdYkMtTfCVYxwzUvh
jKWA34x7jcmr0Ks2ohtLlrKPl1fy2YaBHSNbSY4VJuhxw61dBBn2lZ3XYow+bB2jqfaGY4JPBQpX
dQcd8jry5I3StisKTWd2MlQolip8D/GYFKfniy5bQKt9dSb+Z+FsjO8zlKA/O1gpP6FA1TpfrQkP
jG0LKk/BUxZnQlxz63SNcXum+wRLhOBgBHLuLaFrFG8CXbKH1ksjuWq8qhuVzpUMYEpuaSjB8FA6
pr1NsH8LXvWMfp5x+DtEMXGVZOwXEVupxnJAW7v1wD53plf1fub/bNjT+K8NZlCAcVeaYlfaTr12
8h5nOn41TSKaQeesBwm2OHmLJOnycXIazzI6XIoDsxnF+0dxDnXZZXsHayQFGwb8sLwATb5034Af
zl2uBX7zppBRMPo3xgK0PyQ/8kbcHRf3xRiPsQxuQUMcKHLjBouS8im1M+emUiWpfOrr0TzM9hiu
wSSXN0SgcIB5oZqgigGlYXnmz2Uul3ieN56hp3D+JmwXPtSl2nwYykqq3GRAo9etA7WYMTkzpXh3
ee8tn6XEP7TWqKJweddRUl1yKxHej2oVXUwvmdoUte0A/6cdCAa8ufQYcKoiJ7KDYrdaGpNbkYy9
K8YmeVMM7TwcNOIQdnSlg09CUkH9wC+4N73Ln3i6P8TwwAbWbTCeSIgcb9KutrtS8kO+EA3rcQv+
18YqeQRt7Ti+0nyR4IFGW9vu6+3lhs+NDU91JEIEH4wMxmJN6DCBsMGba6/UhupDB9hj2sZsJhyG
lMxMt7mej58Tp9WajRWn5pvOMfMbUwnUB0zL5i7YTEphhDdGkYSPatf79srhdfL0EjhKpo4v42bP
+3RxeJWgJ2d98CuPwknyAwdg3PqMKU+GHXVa2XSpxcVfIyb+nTYp8XWKKxFGOUo2VytDdRpICSSq
EE8jA0QIX3yI2iYILpRZ7QWYEUis5czGeS6FQHidq6j0bqfBAHaA1n4zlAfsf7Ex0+VAe7cyY+Ko
OD7NuTuL5CnwZlbLMqw44JiNypEqrzOxrtlWSafNO8zu/XgzOFmPb1nj99+LasiwV5N7/2uecA/y
pjTNb5MRQvaeNZ9/xNPS6tZCnhiDxbeh/EZpiCqUUKRdhDwsRboqM+bKI21uaruwt9MbSZ7qt5Us
B2+4WmQfuzbOP0qFjfODIbUkMYPYyFGcH7KnOoJhvRLznjGpR5/0i0iA4BdodNJxi0/CXgptrJ7h
sodGq6kgFdjGO6Dtt5gbBOZmHm1936Vm9N0e0vEWAkCWuhQFeCfnWRHbXOFahq8nOFcu9mERb9k8
Jq2cFLgIzFkme12nOmvYjkVBnNODg9KEvMJMw8/i4XgcEtRpxntWMlNPH8xSQ7skG7LoY6d0Wbgl
lk7Wu3Ycy/HPFh3S5LEeYju8xyB4rL8aCWiCjYoCKoyqlcV3cqahR0eyk+qVyO/Bnjj+Kr3MS0kz
s8hr5KLACmNs0o5njaRWdnSn+qTqD13XSBKn+8S98FOKY2D/bh4638QiMivmuPVGXc+L95c/7Bnr
cjTNJFQ5aSllQxtxgFccf1huhnNv6bK/Q72xLrWNxtuVzKcW9EhfbkarN/SrQngkDJveGrPkMZdV
6FWbCSWQxutKg/8rlkveUzG+pW/5e6MBM6M12psyGgb9MAEUqI2NL40xZhVOE8t/IrpZ0VTV2KOU
rRxaJycCiE+yKRyYCHIDP1gM9DQ7Eclb2YFhza/3iqiTizdSi/31LrGHOkJyydf80e2suchXWCqI
rxzvY50xBO6DPh9hhguDvBhNX61HjWAS76eywlL5bqTywWA5gzTyPzFvrAJ3bAkzvPFbpPW61V8n
HAcVXj1znN+Z1WC2X4fnF2usNbx4Q70fWCdKF4psVIdN2Wi7EqUnmfJn2QbY7smG3EnlFYq62fxJ
6GPGPzUL+uuHQC5m42tccR4j2a315vtGD2CX8gFyhZaUgt626r/PIMEjegckPp8/oWVcjJj4AXhm
apo5RnJ8l8VFLbO5k5Zf6wr3d6l1I8uZ+EeGrEDjwZPTrkqdvdzFWP9usbxPeFoTL0XTvjFH/MnO
K7+xtwjPicWk8K7qnF3kpGLphFnOGx7XSfEiH2Mdm9qt5gdNE+2DWCpZLGTwc3N8l/WWOYzbspH7
6VsnQPOflSKYlPygm6TRhPlkzp93IxIrvrb3e+n/cHdmy1UjW5h+IlVolvJW2pPnCQzFjQJToFlK
pWY9fX9pu84BUwei7ro7oiIqAHtrS8pcuYZ/MIolTkNh135EJHfBb2d2x23UXePo4jIzGKDhjoND
XrsbJ6H/DXpI718rLwfBuRsp7yzvFNa16Lez0h22IEUMut6W6saofX927gzhpLZ5LDrsfdozqX0V
CjxSXE96+v1AGPYvZsNmh92a1kT2fP36bfOOhWQdEAEL6HkWy+jhvexTd9vYMYx+vj0mK02lAJuf
zMJevmi8nt2ZqNbilllG1dxemBiQlXhWwWQw4sSzKU0P6VhY6XhutaPDwsvoyfDoF6cweeamAdMn
P2b2so1U/Bi2V3h+M+58pGXQs8NLXxbf8BEpeE/yde+3c8ZLL/u65pEkTac38OufWmAbPCDMuGru
3rc70T7aUJi8+7B3qu1xko0aroWfpN98RgP9+yrEf+lzPoE2vJTWArspopQcE3PXWRtWvFE+i4x3
OWJGz0WXDJUqB1+tJvjsQg8x7lAC0B1j6Lf6bamxJJLjZGd6732bts9B5us073DrXsdH364KvjJq
QvqbYzeztp/x4Wy0721RknLcSXvGPe+I+5LVJ1hybgAFsC8K0KOKh9bUcdodMAp2ojBMO/9aCOik
zpk9r7pDXc4pHpjnptuIobqCL5k4sPs9hZV2XVdVe7EOlt9itJwEc387ecXkN/s8N4cQ+0cxbcsl
c+MBAzR6nBtabx3e9tMxVYijocIHjFFgvNtwsryb11q1j5aypiXKh5YIFPXY/CxLBPOodT5traG/
csFeIuldWn8rt7iQ01yP5xRL3OMh6PKWrQVLxZvuzQq7dk5rryu3RxkOKKjH81axDhCA0j/mdiwe
OjVY0VjyNrTyjSWIga/PX1punkpnn/tD6RvXVYAT7P0mE32EoJobuKciQUFQ7AOvbFhsXjLp/5XT
0vA4e0OUxbeXXeYMk/4ll+KZfWtvopjyh82ZLWxFaKvK8vNYY1heRl6Ww+A8EGL0S4dkrHRYaxVr
tVCFU3y0jER1J7G57vRpIvQ5apfNbSVOhbvkyX0z2TXN0ZITb44qiYz+V3OZCk/7RKV6XywesJxv
KW1MvJPycvAnO5b1pE+7OQV8HI8gvZw7PNNU/ijt0SyP2BTlNhZFGb3UNXIdEGAPRMBJ3Furg1Mg
fXNnKxjNk+62l0lHDYT52Mt72jzJOCbip01Ce40P3XT/csN5VgbwR70c66qrcR065n+VK8cvwbCk
4wdVpnlg7TxnZjDYV2uzmBHIaLk12pJslHs3ZQ391SoLNyKQkg0O14wNQ3U39KIqTr5c/MyMsARo
l7jHBeyiHMZ0ynZhVTj1CVcgKa4VDWZmWVgwDcVe4ac5G5En8yR9dFNl84WToqYl/bolnARYwt8d
VZ5fYxsA3+10eY9yZOvj95MphcW4vSq9j+Zh3NaLTnQDf8BkWQ9XRmxiedLhFFrrxRDkqvzsCJKl
dYe6c+edpXDC1umA+2Ut7ocO/yLcMdN14Z0yj9BzpHlOSh5o7eFzVyEUQnN8JLBgn0TTPOjaS2fE
3uuSBdt0Z2pRFh47Fubb9OdQmAjPA4ErFf6qc8HUN8akUcc4iRUex5zDWWQYu0a4fUUX9eVgI7nw
lumY4RSZ9rQplZXdVt2SzE/okurz+jVXQnRGh+vXs7ysioQEszFmvY+ydcUPac/e1/3p1+O3yFqd
KLweEnbipWxNZbk6XXpJvDxcVwlnU+N0/Fow+DqI1yNomwTUhaXP4gJjO3ZUM6Oai11nkua8Luwt
C/2o3EBv/ddTr3XsHPwb890kt/8eivnYY3OFwF8UNnVrM2NnYvLU8Sv2XoZyVTM/f/Jg6x0lsIfj
I1Nv1YO+JgwNnmWBV1jxbajnlI/ymor3FCM1xZb1/Czr0/vVTLZKvS+MpDP8eIau1h0yqy0l0dnt
Z3ZlFxop0dZ9yUuZjy/csEpn0ay7nj0YOudFwp/bi2HoFAFiMdyWXwgYjnCGmAO2LEaMsbbOKayX
ow/4jl435DV66+G85BvLfrJRECcCvVwhKM3G9XYoHsCv29d5pQ9QL63L0jwKZ5EplaHf6uOp7jy/
G96XtjJk9ajUqIOVwHHZLD5ldqKfereh8p7KeFyqpK2pw7d1Vtb1WNuhIjZOyDqR77SWPpb7ZqGv
gwVmU/MjGBVYvHQT/1/ugoy64kHCfvbdkzQnvItvbWzaVPF5azpHWTeosJc8ijafPBOvvWk2+HRk
gAaT3C9HpH96flJNFujrZzhgJZ9yZHm76vE1LbDyMh+eJJzV8f1qOA6b0U2yQTeqK0rS2K0HHYbz
LMj1l5auzgkdjZAYYj9zHSY4eZFx7Ocj4s3qNKx+yet4zT1ytGX5+c5y9U3WmSAjfphV50/38HJT
XuYk6iaJWCv6AxNVj9yON44tmwg0gbGQWkWQ2m18LiMCRuu6a2Q7Qq8Kz8RdJYnyDg/5VS83/RFB
TbLbnik5tHw1z+kHfhLXh5otgsR/y8dYIMGCcIfra6emq/ZlPTc9ptGsZ2HqXfQKCJFZ7fOZTu2Q
BzhI1erLgYbgI0taH4xLvK5tim+qz1Rn78jw0y3QK0TfZlGpod92czGW9kVVpX2eQZXJS7PeY6IV
pNfk/fip4wCumo8iS8LuayC4XjzCIXKHowh62Xx0ZWUy1++KMkyLyDRrJaeTtciKO64rrwel7pJ5
4q9MCfehgK6Pkx6+pBsYl6yjzYlEWd+L8bYtt2390DWYrTa7UeGCN0WNKm3SsKnjzThX2VBSdkSl
wE+8jLZ2NTCfZEGHWfV+SdGkqN7Xm6o73K/BzowIEpfJEgiEk6Z62XcLQyYRrQBG1m5XViyoWz7X
o3WRDZXd/JWjBofOGO6j0M4jnk0ZWJfDFLaFvA8B5ZjVAbPByRtuXIGd63iUGFtYBLs89e4si4bV
cCpFr69vpn64FPsOTUX+5FaWdE9JCVHB2Nc2Nq43skc7PTxhORX223kYrEPjMA0E0mfttx6rbtxF
3c3trANT0GTljGyKtjgtfWvy3bKuAQKQR2LZLKY/Nf4rhrpSS6MD38zy1hGvaDnAMTjRWfNryJa5
LYDFkNsYFZHY93WMZ5wjrHk/YElSfO576eEfVSd9l1p7EOVV/YCnt0Tuyiur1Isyr/fEh8IuQ97s
PFaBP0Sj2Kx6vRqsavYjz3imY1uG9KQZh9g9DuGHcLNYN36eqN4GQmDl3pXtjTpdrVulyzbn5ZAr
Fs6ZKrYLrP66yHn5kcZM3RC/2nozhmrH0FkXZRQgPSHjpTb1VKM/y+1NZq6q8di9RbM423KbJAtq
9CxawZHOQiGZ3J7Lk0IUz+dCxe9cjNLRZ72DBwFH00ula7upPr19wtqI5+lqJ+1yoPGbFPn1a7hg
BIzbyH6UUkd9Er9EWTBCmGJm6rKve3vI76kTAUeihI9/nIpLK9dZvwomHdrX3tA5ZoHOGwdwEKLi
/414FRDZs9mzk+FTsvp+pY3dy+ecNKn1Y3nFp5h+S5nlpKEOeOE8BpwZ/WRyh0KOE8/UxkKWeFCg
bNBMhxIHO4U4jo8FZoiWNaCSfTuaTXcHD6izedcjj42owarxzKS0OVchTTCTfz3GGx99IXlYPf/5
ubyUMUbfp1YXoePSNzuF4FaGZpMxENnMTbDK4i0TG7/ltIC4TtiP6xCIR2ZJgfSSOA+poGWDO4xG
vjSYyfAD9UvIG7JKkM+8Hq6JNHJeSBniy5hHTVrTUcFSNNxYw/Il88mHRMc8ZzV1qmAj1U1QHV7S
9TSpdTnYMq3RBcUK0QZkgqNbDday6JMuHPORAyLsLZ1omZ29qXaPGr7ILrDnTVb702qIZcZ0gAe8
4B/nUsc/mG6HH+GuwScm/Tqm/ZA8iGntytOWZ0aCE2lhTM4UCdZP7UZu1rkr9qKdtBR231h3f6VN
YL7r2qRbPmUzJJIFKhav8ehi0iXP4E8l66NMynqON39ztmMqB2d7R2q1dcYRsXdvyc9X2o9dvkMr
fSsfl64wzD/tpLaavT1ldm7QXBZz2kepNfYKOdS5HNv7vO42vMTzysnDE31vI+cg29a13A/t4n62
kmqxz4xm6IqnYrAtpglbGxwbZxFdcz5U2+SfbQMiQA81E7nkZkpzvS/7Ji146EtHgvct2bCbFjsf
Qmi5cwHn+NQsVSm909oSsYZdX0uzcXYck26SX+nSLDma1jI0DT0ynhzJI54S/QELHNOqLr2s67en
14rrNcsmDdBZz0uT4KVeMZxEH7guzmPTfSokCXzgULwj1daOAOhiBD8CFmX/Uqin3G+7e1n/yCbp
T7NfdtWy4r55mukesTxywJfl55eSG4dnnWq+5rmvWyLwQEE3551Z6ywcel1n/knbQD5105rjmosZ
gG5NbU4o5zX2grGWdmSDekK6f7ZDVtguG6bXdESn1jkWdHyzvtxUcTnQIituWjvMRhnVhonrdzBt
funv1nTRIYOerq6DUA62ubxw0bAGp9LWiS5mEpNSUnal1ZGCjpZAMq7GMJ1PB7mQsGfKfLTSb8Sl
itC1ydUS+7Jb8iWPqcrm6h1bys/8CKijMueo90CK4CKMTvo1LxAD9LREFM+PctPB8zwa/G7D/zxP
F8TbhRj7r+QSY/GEiVhXPOaIGbMMe7UOxdNQGNZcRUMAiqnkvPCVO2o/Z11P5eusEV5bg8nzJznX
uv2FAo30vxZASPLimPRYkVKsr6YOgma66PiN6zJ0L5Jc3TwKmOW3CpAYCMciKg2pH0fTLSaBVJEx
kBt1uccfpj5U/vXgJPokWHAH51W9xjB2XEh7Iusn7NDN3MK3d7eWXiJwEfdwyq5vO0aRvDD/5Rwa
TczWq7h6SeeV6ehqI1kDHb6EtZGLeobNpthJtoS77f4+pHXTicfelnoNlJZHG8Sf7dFXx9UzwQjS
NA2lfdl4rV58eWe2vG+8midetN07uqHR+bLvuRiTvbaLl8CZxmLne0vCwgRl/wxdoglcCXoe9cri
aTerEjgAjqKUYre+9ABqs6FjApeCItroFvZP0sBU8mNh4YJ9Fg7TZH7YZE7HHUSj9DF1ljaPLazI
sd6lrjVO717PVLORz83TGaDnuk8QjV+fEBTqrBFn8X7WDy1dR541Dqf6oZFy68eUIF5HZDZMdnkb
8au9jDkC9ampLHsdODUdl2YwFBy75mGYyDv0A/72SzU2e3R14N7wC2OzzRevwCqGsTrToAFREhzU
ay+PPiyZwzAEetu/FovplPSUFNg51BuwkmYOF2+Xd7AWn9igq78eg86ZQtJk3PcIJ6r3Zt0dSns6
YqfcljPvxRrQ5h0iWqNhakflhIoikNuw5TvRzOs8t2ENZTWvTgHg4BZSw9cJfp03vPe8xSW9jIys
8SgBctxS6qHDbfy5o5aXU+Bc8txbeY0Pbup83fIqNcm9MDm/djN7nooYYvW82B+exzP/iloA9Yb/
3rIFfmAiHb+2mqvT//KH/ieN6f9CSpIeEv8H8PYTI+kIK6rpv64/8A74jVfegf0HUENg0IiRA8Zz
GND/h3dg/4FiXwioBEqRy1hcX+eVguRCLoANjgMXYx3QylpC8pV3wD+5AIHA06HZrlnc/4Z38HZA
yQVA+2vMLwNfRoJvJ1SoWA7LFoDCtlQmLnwjKR8NYvV10BrZxUhpydHoBWgSyeFKmH1/rjyaga2X
/06M9hkF+N3s7/mbIG6mRZd4Eswlf5z9DUmNobPdLFEhyhYjhPxT4jv5peg261s+gqmJQjv7FK5e
duPSG6HwgJNxVPDt/hx6rH0RsB28O3fr3RMRqkYa2rfye3S9tt9gsd4M9fQXRXRTE8BJ0YD+v5np
Tn7vJDNRPeoIrwejwNpQdedBksacUV1ch4n8zSjvLU7x+ZJMq03gTzBVQOD8+GyMrg6nxHaR1uRE
rrfsFOBa8mBYHLamj95s6q8Oburjx7z0012LSU/kDIsTQccoI5cpfTTOZX6cS+8VevKvYsL/3Ms/
hIWb/8foRtoR/X/v+qjtm/zzMwfx9FVtX9MW01xwjN+xEPn9lxhgiT987dyqF4vvaQ/xv0OA5f3B
KF5TxNBw1SgzfufvCOD9geiYZ5vgvAA8QFj6bwSw/8DOw4Z9RLqK+AGb9g0c94U0+s8MRFgzP8yJ
Awg/Dtw05kJQjLSX85sp9TI2DM4nt4jdScGNw8s2MaKkrsIrjJArFysk2f854PRC2wXnFy8KFeNA
GklkNtGwDHNxKExBKuP24/w5HWbrfZ8FU0HWs2ElSY9RFftlm4N0j1ItspdLOCz4/dlVFzKfrOZx
Z0+LwNKJhG5DvDTp1TUonCbZiX41v5H8zzDNJz9Z9uNUVdpazqgeDY+8LvJ8lJ/jxisCxHMQJTgP
7MH0GOXa4lEghv9BpVl5qcQoaLBXofcwz5nP7XmlgoiyLfVZUslx3qOYN/MXqW2drHyyGX1Rjp4j
jD6rq0HU4Xas7V5dhNPsGBGIGPjgwagucreiCqyFdZWvSbUDsMfHYqs2XYOWKK7z1ak6yp5JMnVw
prqO/HHrjkNp2nu+ffkxSVN1gQaQYRCvVnJgKDqe7pqvgAPaDhPvyKATeK+MefjWZ+iNX1Suzii7
0hDmTtS5yHfOXKlw3029cE4bfZDkEuOsHFUISvm9RetKxImvshTvDZF/mpG+n5h6BOLGyUovi7th
9kSUTVV6ZRTo7RuqDhFYQnDiS1uawRfD1XT/CQTSxeBhL4arUB6c0qQIReSEOuaBW8reB4bjAc0J
miXYIfVWXtdhPVz3APzBsYTTUsUBomkFDIBhnqICAtqlX8rkk43lNQKTTW4/0rU2z8pCSi+ywDaf
8HfxFBF1G4cYuNPoR1bt5u+nqqi6iH0h3xdBnT41mU8RMSZtEEZdXW8f6hBn5qhOJS23YHWfL22a
XVQxm4ViZJre7TblNWJtEqj1rvGrYDmkrrKTC98f7Yr2YquCPXp/1gXdqBVKt8pzL5JFkVlRjufi
w7S5fLUuGG06RwLImoIIcCZRJHyqCgqjgIHnU76Yw/Xi+20V1VNqXW4zVPFoREX+YaDZ7EfMIXsa
424wMgVUllOfY/Yx23t/8CuIs11RXzEJNd/3QzC4LFc5f+pTEFsxfSy1xW6D6kFMK4TDQNjOFo35
Gn7JgRx9CDl7OQXGYrnDv8C6HRe6trFb0BPYwdmq5oPPLx/pvZcSGEQxWTtHcOLuzQTI9vmS+taj
1+kGXzn1w7vQTtwpVu4KsFGtTWDRes/oGBtr0BY7et1SweE10vZWzMvixJSQ7l/k722paQ7bbVmK
5kO+VPYXkdTqazM7nbVHn4UHt5Z3fTPPH2vPmj/iG1zeO3PmrMepNxtGgksm52M7lUyobSsJ72mo
4Z2RBFbvUoAt8AcoUfyaLkGoRFw05jBFlZU0d7O/ukz30s3UIynKp1F+oD7evmTImSG4SNVQ8j1N
GVA0Nsau9ibGZ8nUptGAqMf50MvK3oVd4/41y9L9cxAptqv2mgCwt8M58GLXUWK3VDBsYiACK/5D
1gpeMCyzbYel2+oeQmQkm11vWM1TtdbWU1o6q9bnANC2xzILufMhaaCHSDU34QVFpfWoxo4SqOn9
POcuRfYI03MBVJ+UuIZREviX9DEWNhrAEVA8DP++cE7Q3vDaTtJZMG15YYitVTGbIMgh1dAj2Ruh
tXzoW7uhCPVyiuEButcWyXnJ28uizVY0IBdn8WKQUUbATNEc6us6Vc2XUISFHa3zPN7R/KmhL2+9
f28HnfkVjWvHjN1tsygzQ4fTYBs2u9Mt4Y2aqReqPA94GkscSCZ9cYaROMM/RoJ2hAJpu8ZCCo+Y
nvrGqQ8WhVSEx+pilJraj+TUVXDMNMTphE93+GBUpRJR7cvKOxjk1dcsrFrEvhoKedflCRYdASAd
FVtpan1bGbEz20lrr3jYcLmoztW6GcZ7H9qRvMs4sAT1YzdYe0jcQ3jBmBrd0llaAtN4Du1PYg7A
y1ozkupRGQRDcDBGw7426YDe4/NoWDthZGMQY8ayPOGqXX3wR7cdT22bBBeJa6Gw2eT9+GXI8vkG
VIXfXXhNgEPWJG4yc2wm7OYytJ5y6Ic4tY1Z9um7jOT2JXf+nnijz+3/ZtT6XIdQDLQU9qUmMb9V
YHKb2SOS520shqK/raEmnXFuBzsjGNK9DXpnV02iuUAHJIj+faX4/2dWCALqu5fwUzF49uXrWw76
82/8TUJ3/tCcOSo+mzTQdkzyvRc5CsN2//AcoCxg9rSBBQ2V/6SCfkANCQoG+rlOHp+LtNdi0Hf+
gJ+E1RW/88xct/9NKvi2sqHghKigzaxwVNNODD+WGavSCcPYTvugzW5wVUn3a9Et8D2XnhnIRlPL
RKfsu+fzD4tUI3f/u0iRIANfiYw2JhMgPpG80d/pO2bL6HtZkmQShlzQ558R1GkO1mzdMbKfbqcZ
VNGvL8cD/ulyrkY2O7aPUKytobHfXW4wh6QtgSnsadm7x96VeDXZW7UzC+n/Bmr+j5eCs4AqxbMp
7Fv45VhJmq1lv08tMJIRoRzBvnFNRGS2brn/9X29wbU/P0ayWw8wOdU8bsw/3lcPGMuqrbbft44q
rzNHjUekwpxPTGbrhwF0x05VtKYi2x/VFWpq7m+u/0+vEWYfNSo9DcqZN0tnMs3Ex4ZF7Zl91hdy
pI4IS6Uuh40W5NwZv5Na/cfrwT3FHoBKnE3z4/2KZJY24Gi135Kkuw9p2175izNdmPCELpg9/WbZ
/PPl6MXAHYAA9daJtqtHMXskiHsZGAFxHwGjQcL37FlqpxmRj9OvX+c/XQ/zLu2jSBR33joa9ask
H2b0sF/DxT8MJGO35lyJq9pOu5vZdn5nX/F2rZLymzDVtPwgq+gnAbHKC8fNLRe1b4rNvS37rDj0
dpXtKtnkf/761n5qOb29lqZGfLcFhT37BUghtefM7M9Kf2ygXPYqNtFPiIw0Ha85/W+xzpzuwM6Y
F6Kd3VMZ9Ci3/fqb/NNNs2BNGk5oOYVaG+j7LzIX61TVFV9kBeWxWwNjRmg2yy+msZuffn2pH49i
7EAIz9qjnViNhymV/o+XghQrU29DqN/LBLVOLjTsxloehhVIYNwP8xeyeq/eZ2n3O1Wst5GBvqLH
kaMzAYYt/luBIWmVAmRqWu/rx3xvXLsAtz8ax3Hdbb9B7/90j0Q6DjdNZKaRwUT3x3t0lKFU2ols
H7hy2NvUSzcS1eUsCqgM97VIgzNyQWcPnZ9pxr98vpo3QCiAHeajOvnWDmnKaRUaLSbJbjXlF07m
m6fNG5fLEJUAckDrrzlzh7N0a4LfxL2fni5zEPiYnM8m/VM6Nj/e9Fi5uPj1WbWfqkaduIgi0IfF
+dohp5aHPRqlLQjabmr8nZMm3W/ixM+bic4tjeBnzQROUN1d/n4NdwIsVpHg3NVv3nag8bdBmujc
2JGDb+3tyrfi0FmZovjDEJ4SpJwvizWlFQKo7zfn3c/vHyEAR6tj0bCi2fUmJPdVkyMU08n90ssu
7sPir9xtnbjzM5hBaqJlIRpxmC1THf7ty9cXJuFH3B31Q/HmHSTz2BeJJSW3208nb67DPf2h5riZ
TnOdFqP7flmne39DifHXF/4pgNCu5oLoA5GXQYp8s6tNSkGLghstwiLsd8ayMjQM6x6GvfqdL/Y/
PFzt/IE2ILOE4CefgBlCJdDktd0zvUwv50x4h963pzNZiyAGbmbdz1BMHhqKu9+s8J+vTO4ZkhkK
zRpiY/+4wpx5DpbenEHp1N66S0qj/TM1y0dJcX1yWiM9dwdWeZY04u7XT/ftGYjEnqUteXA6Yc7/
k8WZrm8rPj/de52iIp1Da2+Co74IV+fOSoVx9uvLvdF0Jnzok5aiSZ8GKLK9lXsEZmuDpu6NnVNY
22fAudYusDM0NEExmadwSdRlAjAujzCGyC5TuD1XgWE4TwNgZtjxVUkfZ3XP5Cz7d4ar0GW2xfyb
l0FE1Wnj9wkzKTpat6iQkPuQ7b3V34QI0A1pZfm7JFiaGjvFSW2fLJxhq29uOeBAB/q9WS7rBcwn
EhR54eyLpNj84+RlTnWU22wXx4UmTfWAovMGG2pLXdMFGIA866cxGXVhDWvRekDvgPLaReoWQdeu
9ZzzEpBZf0pcEGifJhsYx8kEJ8U8vF+VgUJna6bAU1HmBNWWOXV1GiFVz/FqA1xmUlJV9bUzO+Hn
vttq/0My9Fl6Jek6y13SooMTgyWfoPAaw/BkLv5qn+MlMqFS0dtmLCH9t1HDsstj0+62+9RZRuxa
FjRCotouS3e/AExHjq5vk9vOySqUGVqStEMjrNV8N4az+7WU7XJqvGb9CG4CSFa4AhiLIdqk7ylU
zByAJjCWdpJzGKtEGM0toLx5PDOyjm4rYu3+RKSVxmXHhkwPxlD3n4U7OUCnPTUfa8HxftYh2pNF
GPb243ELsvXjWLvmnergO0QKV5ZPNFO66TxVxlJH06KC6wXuWbqbqUnqaA2Brx9LkUhFSMkwMAbH
arQ7lym8YBjedvV+ye3yqOw1d+IehtnnRgHP3buBMTyGIyi7WAHbc2KYmelyVvTF8nmBUHs9toE/
H2ZjSKabaVo6us2jRFQgpxVq0AqjDx6RvxtnFUO/S2vrBmT8RtXFdlgE182Wtd8czxyaI7wW4Z2t
vjGMMfedy3ibsy09JSGQ7QAzsuYSYiQk5DEzZXeepaaxN+tSGMzrvCE9WJsB46Wx89qNUdjw3R0S
gQAJKsFf0M8BzSR9yyr2ArI04vjAvRugmVloH2Z/Ccrz3C1QOsyMtT9wADvJviC5So8OtJp5RxOu
Lfdmv84Xi5uONL+6Ih3OMEGHVDxanZtH1QIZ6UxYrZ8fbDAwX2lSztd+b5pQVkSp5n3ogPSOy2Cb
3jlSrSBrpSQhrmc7w9gXMmkNzmJqP1Sla+d7Vw1Ws0MjyW0Obo8ss9OkOa8BBHwar30yHBxoZ+09
Jm1GtbNwqyzuzNnp97ZXLvWFuW55zYABjPjN0G7hdOZQy13DIXDSi47U52HxHUYEWSvaYG+CUw8f
5NCoSwDwnbMXWdByBTVj4zoU02jBplu1FXuWO+qo0CA+ms1YtMfRc5Nbt1J9feIML1qYJxBcYtQc
OhJS4FiAbjmCanZVMRDsK7N4b/UieeRsKVJ4EybUINrEgnZy0iiSCp+5LMQiB0aUJqFERbq2T37a
c16QKRpuFMxizQ/Ab7rpNrOSwrwDd1Mj6o6eyZ0Lvt04Oq0pD8y7mxrAHdAiHgcMmNtV+p24pQAR
XSz73JFXM9LSD620rfJc1OZ4CewjU3Rky+bLUjI4iRlSTcnOC9vkrMlRB4kXsqciFjkw2p1X2nYa
TejMAAXyuhF6WkLPEthhPSL/1SL5jt7XPOGtDSvuL2Bv5rZPt9C+MioKkV2+iew0odMnomELzZtB
FfBO+vyWPnjnxHniZai8eRQxWe0iaWlWjScY1xaW+pAaDA2iQfZgMadSAmAPu2DIbkZp5TmolExm
54D85HDWtnMDJrlFzvRAC7PF3sWukFPxVmmZu6oW3vUI2GB9X06lO5EOpLzXAtFt/971Og+7jMoc
ihjhrPBrDXEc/ppPqQo3Cgpi5CvoOeAdpzoeHLk9DKUBuNZvrOWALiYWvcvMROPQqdkMAVsGVgN4
Smzo/COHY57ZRVHcNABlq11VidS5GU13fAxMFZgnWEvznRBp9i4JV/9j3dRUOnq+YTJwCZNTaVX2
GPkTgs5RtoA3inpSM1QEA8ft9n6wgHhBVGLzdxO24EucAIDcOHfmuY79NW/el2nirXtcAYtbXxUN
FiQdlLqIIVNAXd6F9QOqeisBdPWth6Bp0i+9gOwfk6LRv/IVurQlUMngrPX7dmXMJMr00KRiLY/M
l6b+DGB3eJjbLJgBLeYjx1GYp1/R9etU3IZmnh7pFgfvxZJnw86erdIhMK4J1gvA7LYYyvw4RkDf
j0s/NOf+mDQbrZ5keJDQYPOoz4z5AniCjTl3kVQ9YWBJt+Oa2FUdN/CwPzJ93b41tQN43EKZzzqN
GwqlfT/aHryQDFWqelUL0zTQcPmBJUVYSu2tuNqEQtgPNKHx1cq84a7GEU+erVMi9x7KaxypljSh
vBeFBY3PMO1zd3PcaYdePENLxwHdf0jIoREf6B2Pdj1Evzoam3ad4nlBCmnHGNTD8dF3GLmCTTXQ
38hJOtgfq/00Z1V/CUJOPHmZV8KZWRoRIgtbdYdVqqWA/le7Euh+vj2l1mTIuJVmuSCmMm+AD43A
v+nsbt2g7fgTDHN4NBn/uEooj8m8JXGd9edZ2/6VuqQVeydog2uQEv27QXPAx7TKzpEzaszdNrdu
GpOdNE/eVMk6NuA8XHEK9tOunNbgqXVhKEWisyTE49HO03gQ2CFEgPOHJVq2sDQv86H7P+ydR5Pb
SLq1/8vsMQEgE25LgCBZ3stsECWVBA8kPJC//nvQmrlfmxu3Y/az6dCiVVSRYOZrznmOMxzJZBhu
JS7Dl9Rbuy/VNppEzmh0gs+btyTBCc+e24UAd9MPY0p992RMvpW91r0u71vdVktI4LcmpcmpbEpD
lhfft1Zul94Fj3JMXFhMJ3ZNwcvGYy2jqgCCfsB2wPmhyxJgpDuX33frbn1QOK5hAfpuuVy187qX
nCha+ZTcDl07Jdz15k1TdaklTv540UF5ZY7W+gXhsn1WyIwt3N4rxULFB15Hamsa4zhbfvqKeHQG
88DhclyyxPqRjCbq1D3WYIkYcgUPK218dsb+bzEMqogMQDqYmWSNNN7GutvM/SvEvKMZ6t5MH5Ws
+LQG3+p5hizdW7fE/g5DXE3K59fqRcDigWJi2l0RTXqy8HV50Uo6BjsrC8UFh+xsv7e4DRDSrCun
V4WsUp4725LNMeALzRZQzxuIzSlV21WXVsHb0iosTv43qkkpbmFAsjpHec5idjQEP9HMQmdVn2Zr
zd8amev0kPYtK5dReZit51Gur4Y5tUfwwSBMddGBHusQ5eOR8/2PhUKUwYyb2S+NMacv24IZ52yw
9kME2S7qgxRMC8XtqEUcDOta3zZsoiq2PEuah1AMV5Y7QB1HlLVZcTONg6PuCeztcIr5s4qV1yhO
MQN0y0X7S+Edgnqrzxo3N3nWJbObQzWLdTxseDWaq57VdBYi5qTJN5ZuSMNyzas+zpLRqO/62QQ/
6htDpsPFHebprJZuRQ5LpmF23tJiERiVic+94DnVdZjWS2WFDMKWL/g7Eu9ApFTvX1Pyjvm56AON
8RP2qg6xj47vATETfP1xzwJt66vqGhqpOZzKtK+pbPwkPUPRFl6kyb0Ns2XNxNlYRMu1vgwlSzTL
Gr4ZYrK+wwqYqYvShEU2Gz8RLWg1A3zfsk5DJjzWi1nA0Dm4LOyMsBozvqIa7W0a8n2uyLpGPh17
TrfcGR3hC4e1R1UdeUG3BAdHav55mU1QZjib8DeitaTKDUG/+Cxd0WxOjDVV8YhBnjPRRmOBNYGL
8axYNc9QMMiqB+tn+x8jTiwcn3Jbvxs4wQdq3Y6Tz5PLSGSK2or1gO20peLM8i4/j2mLwAMDtYnU
v/IW0mNq20Ti6RXiq8AB+j6XzGVOuDGh5FY4YG7zKgn646q8HOXyLKpPyFgoJMey5xsKcM0rmRot
NoYxBOWHUlLqUk5aEoqDx7YRQ2ntrSi8ui6IjcFfGtwz6Eqp4tDgUwg3fXHBfuOdzCEoUGvIEgPT
5msfsY8ac3WWcjCoQpaFKtvJEY+xXlCYUzbDdCK8DeWnmbsLVwK75MMkUciHhqXg7a5BkU9Ibqkz
r9bKnHei9RJg0ad6Pcyi7B6yevJe0tUcrnAK90ZcLhiyOTLWJW6lY5hHtM3UkLYLFYPizBgluL21
OYqgr86NMdjzYTKm6a1kPuExRFSTjYHccOdTi2aSD5S3lQfT21pGjKtW7lGl9vxRLEwCr6TRDOZ1
kXeD+PD9cTvLOWinY1HB6PW7qpPxlKz1d7zcAEIXNvHcFY0nVATX0vUO0uCmi7rWarAeSQ8RVClG
ffKCcUScwftkoJxI4eaBuCjixiZEPFLLCPV4cyt9ngkU/c57iprJ8RpYR72i9yVgdA6utnbdnuhi
Jy5wXVAcSZdvmWXYa3Fv6GC+9HYdNAcyNfR15/gbaYmdMJazMXt6Oe74gCcYRljVfFQ7GLMmPg90
w8PSQ5eR+r7tCUrl9DWX17mgTuCvo0/hnzRPDxaFxxs4GpQrMysbopssO3mcIK54ITitSh1z3Qkd
Namm9M3WpL6ZGB6IECmk91rWANfxp0iOP2at04E+JrcPdlXRna18bftzUImRKL9lpKTDZwFucEbE
gf3an+2V8hxgKlKWOe5p6abI29PWwp1s8ezUHSWDD4oAIEOdYvpLW/84QenSJ5kMkj92xnA15E4Q
XHzgDufWx0uJaBubQjyqrI+ndFXoIeFaOkdLrD4cjVww/mUjBh/QE4vXhTIr9bkAFtPxvZIVVqug
sb6505otMdY/79kf5uYml+NWg8bKfMifGI+p8NotWNGf+CM+Si/n1hOMRdJ79kLui8Q/voRGn4pb
FHCe5GCzxwAPuV97R9dgcHFt1NXW4v/BioHnxsiIv9xGLI5qHtVdFnjTdlGQH0B5MPTpjvngNjzy
DSama9Cy3nTi0Ndz2GCzlqcaM0ZAEkrgHnlHk+TZd4pyb1CR5aI1q/G8OUqr/n5yjSH/UeVF6mCv
njiro4nfin2LjaH3OGEo40ErhzK4dIWXEpbWwTI9Oxp7YTjCvSJY2LYcXEct5TUjMOW/uH076RcI
fFZOUTxtb75ZLnbsWMlySdomyw4GqFo3XJd8/aptZZxXK+NEctOCO8nM1fRDwqG5SY1Jc4xIJ19u
cu1mFsZ3u2mQaLV7Tghlx3rT2lBhQob203gEh8ECuvU5hiPc04lxUb5d4CMo5+4xgTpCZAq3x3Df
GNzgB0dMIr8bDS8LYp+LzEC7Bajy3GDS0oddPNfFFbXxjL0u8PJIG/1mhslQ1pRmMhXxPAHoigyx
1j9lZXi3ingdOxbp/pGYvUy58efOjUBMJdnBSpkRA6tlXnjgMRi+eIzD/KNfWlyEfDV/E1eNi321
YTD56muPCm2VmeG+rhoLB623bV2tJJ3j5mdX/AiuM82e10z2CHqmAMQdFq+x2h0ETH8DgrW+o6qU
oHhUVfQhwwLgAoB3UwGptu/Xm9HJyXRZWy7znfcT2DG3FTxpzCIgd4ZRpa8mFRiuyWbuMyxYAx53
p/RHlmEap+QJoFA2HPIaesIBXdeyQ7JMo4/0lmTesazoIWktAKiclxLv79Gi9LyUgr+K13eZbpkl
wDLgBFly6HOOs0bWDl7hqrJrOzQnMHAHNm75+2oP011GUcsXtRWQE/dxGnq7kfuSRrqvNFJAnb5Z
db77aHDr3fRVWrohrlTvRu92w7BwVfIz5+T9Vo+u/9obwyoRzyU5v4GcWX5oX/XPvKSzXemga98E
1K/1INws+ci2vtVnBT7IPmd0ktwog5NUYaM6754KUWO/RSq4PqC3Q/PNjlAp3HC1vwGEbXrOHu0j
FayKcbgrhjRbfnNMfsPwj/YKp37/w9gq75s5du291MPE1GLFRkZb7Y41JTVTFxiFm5/hiHGcmyJl
13seXVvnF3An5lvPlfNJzjXi1G1cytfBy82PzrNW+051DSOyOctHEZmSv3jR1ZKeWtWlbpxBsT1L
J7VZHzMrG0kMkd9Z3Z0U1w2g4lS4aViAZThN6NkT8iAp7A8ryO8HdynkZSu28kN0mRVwMxjWN46P
qXuihs7cM/hrlJauRwGBacgved5px7IjEBiqEUZDG5NFVkEf6WBAt6JrLhtCsCzz6AyCic3gaT5o
qV3j60BrSMMc+PzX23rZXue66syDNOeJxL+FIkoxMBkiLnKNmg/TvTxvZmYe1ZSrIjJFtTJOFP0W
O3nNrIHZ44yeDug8rWupZzz3uTd+rkVpzKTecRvHszWb36ZAckMwwmQx5aAIeS5c2MfXSb8u/sGW
o+rJX64WntiARvLaBW4cp93UsBQY04TGPvXGOerF/p2FRztfcTHVZcyzgJ+yVdV6SBpR3ldCr9Qx
7di3zMYGOznZaPVEnBUBoKFCunRR5ExnXznqSiK6Kye9QyuZ/vCQa1kUvUOhjsyhCz4yxKbLSbH7
MZG28nUIJ0kUdmjAw23Zo9d8YWYqjOnIZrs9lnyMYTsZdXe2ul2FLFRNYlY3jyihy36yKlrsrpsZ
33l9SIZD+wUTqNQxluXlqfHqGZM4HxT2udS3CE7J1vViAVFg5tC5dX3GSFYD05sGziF0teothTxg
XYKZQ/+ZgU0Pq0tLcCsNY0wZz3pycGXBpmRSHWBzi0sr2/ITkxA6d04Kq6c+hUcHwnNMwTeQG0jj
goMMU7Yxz9WJh268N5l/o/vcCaAVZrw48LT26UnUPEQbtnAmt75uCcoz0noEpuDWd5kCWHaYM0e/
McthkeWbCHIznTDXML1i+Tzg4g1H280+TcE0O6FTuFiZR/qQ7pAKMu0OG6w+Pm2mxglQmG1mIpkq
8VFwYDFU8uR2SnQh2gM5Ih02i7575d2xVCiMKrtWbI0wiM16vPZaSqDDYDfOiQOBTmZe9DqFCrF9
G/mtNqoDHR8y00ohLjwYyu0T9i22156pLExKC91NUEUsxeS9oXymo/ELfw2zVLPZtzQ8yJAd5DxB
lsm3eyNPkiDeKgsbLQf93N6YLYf6CbdmEJyB/dRUNTh3y2h18n6MbUt1X5jnlnRA2nXsKJ2b7rx5
PC7hwpoKZ2tnVy9jsWX12cEMcM6Q4Vgwnyb/S8k0VxLYZg6PriCd8BrgSnrLez+uUeEnxn3itIJ4
EC6FBKpZZlK/pEXD/HlI5A36eTxyrpPTfdmyy8vj7vnUeEMFHwN+IReWw06zjyuzFVmYp2n5FKR1
RhdS+cs74tLaQUaeADSsFjG/rblv6Aj4jeaWZRsUYeTsPyNRpt3emDskx5SVYBMRGtgMUTY4dFiW
W+YMeduh/NpvaMgjfx6a5hYcGU9hG2j7uz2rrGWj1fjf3bKzX6QO3PKwz3qnQ2KvgeJrboM82zLx
wxv6ChU+xKBPLu7Nk9v5jBKDxDDYb3g1eUkZ9VsOvkQI88g2Ge79IJbP6Azmb+sCmyNM8qSNjGHp
KkDoemM7gpJWXhJGIBCHeCzTcAoq3AhkJ2SYt4nsbk+tUedXpeuViHpT3fln0HTOU0BnhK1hIGfi
IaNTthgHDekjA2795IBCzI5KZm1+2qB+2rdUf3QsFQO55BqU1Jw85ewnhqhqMnP52cHvqno+Sm/w
Xlm3BGhJN1aRJzTIqbg2trXIHu3aq8XdtK7zdu8XhQqeWrsvvRtZuvn41YFUUTITKJgus6UcHrC8
1rh5JdbGv5M3/WWVDJwJVYJrCYJaJK7fP+6wZa3A41CigPHLl8uKOfPeXG14YPUsYlvzUP7fu+T/
5fUsiXXHQQ0R4OD5k/SvLNahz9gnRAabhEiCJTi7EtgVtpguqrg/fqVn/NeF9Q/EDr976/+it30k
H67/vevqt///l9rWsUl8csnEobyEjczn/2+xrWP+E/bpjv1H7uawTEeq9C/ble3+E9EBVihUsGiY
vF1JNDC1IvsNhe7uxJJoY/8tw/0PbFe7Gur/r/E9pu7B/spcCDvPnH/JHx9JT9bGYqmEZqZX8tby
6uIqN+2/kVD85UVgzjoo5YiOJQYPs+gfX2RqN/Y7O3puIeDsyumhXnTdlvyNcuKPTzu/yk62NUHU
oVHGj+r/SfiD9sWA/2f30dgl5vXq5i8sw9M4Z+YdQ9yw/kbz9EdByr9ezidXmMwnnLB/1noNEjzY
Om59lKiyw2NWBiF2iio0MmcJcWDkV045sX6YRHP63bP18OvT+b2gfpe6/OEz239RDhCL1aWDCGf/
l/1OudiOibkpYfLKpAPdFF0aXJjUwWMaxRzpeW4Z9oszSpPtUjjD9h+pjX793kh7UXy4eAUZrf7x
1efNKjHl8epBJ7wD06U6mpU57H6qv4tf/aOwaX8pa1cp2phUkLvyDP3xpfI0map5YFCaQquCaZOq
uAuQaLKr3/5GNWa5f/08gZa7qKR3/bsHkviPL1a3TYJrw6f4Vatcwq6dSHilV3/OrQw6pUGX9dU3
UxZcsLSYOmDJmy6VM9Vfq52qiqyF8U4BKuC2Y+P1Zrt+BmRnK/OffuUz7m4a7zNaBxQUajXjZM8d
sdlj5L3ABqPapM5CrYbhMwL3lE4rmb8azHNfEiTrIgTDQOkDJ2Y0I+Rlku1GkjFgyuS6tLGf0i/W
qIZvMt+B2uTqZLypl4SluJw6ubcQBrwH27a+J7qf5HEO8gpPSWHDyQTOEvxc2zwwQrcbiCzqmOaj
uGjc5NorqOPUHPi3QSHS92TqgzdQYclPr0151JGWNx/LpDrrshSDY0XjWNWvOaCzKqJWd9GZTBra
oeO/bCyXXrN+T95mL0FfPMLndIHBSONLAd3wu73NYM/JLS2sM/QtPIvuYoALLTyLFh0KD6HyrpFO
rNUpofkhDrsI9hErFeIwjBHwP+yEDDGH6WDOZv5Od8dAN4HqyBgG4Rq0eb/uo0aN23flNukPE9vN
7VwWHTjavss+E3yXv5hLPngHykb3RY/sH6Kp8KoPP19Exg8PzNulMLo72FD6OHomrq80D5pQ6wyn
wohTE5wKrFbJvqA69L2PvxSR6lyyBdGGi4dyXOJ5m2jst5aJVoiWLpocYZy7unLvLDEMzPIZkX8E
dTU85iaDqpNpZ+xx2qrvbo1MZ/khrTQ5MJnSxVsyKbc48jtBJF6AO2VsszEMA4MieLLuVueagXGf
xNY29yYloFrv7WH2BtZuEoJeztr2nLkSAkvS4chpt6k8j8yiP7a6aGaCfzU5tvRopKVtSF5+zn7f
vpFzsr0j9Z8/kZypEUM1mgxrTmY4nrQE7mff6Ww6nb6dp7DwZvuTpwp4eMqq6jhvR/cyq94/pVk+
f5v8UTz1+DkiRGDzz3FkUZIumOoiwm4QaUys4/4m4+tPwUv7sUIKAMe2xc4Ipab/JymhAmYrRrnR
qHWwYAfqeWBUS/DaUPgHJNGQPHYYHN4OjJ5T86y674u4pssMu+DOCW7W+n4pumgTt37yAgSkso2Y
heevQ/6/tdQ/CJH/3X33l1rqqu0/3v+QxfvbX/hVTIkAo1Gwh1KjscaTYPHZ/XIuCfnPwDVBVVDJ
IMGlePqfYkqIf8IrQCsA+dwn/2HXjv67mAqos3ZBOroe/gfJbfYfFFP2b5k/v7uabc/kXN9fH3+j
jYv9TzXIvOYB5yM24SCbrbNj19MNwV2kV8quD7wzkXkVPGFA5Rc5YM+MDY/hm2NsfTj0crxOtbdc
Bku8sbHrLkvu45rtxi8TIAqhUIY1c769GrUnXmyDKECmHiujGFHs4z9T36xMyRF4qPEBKWt3Ozhs
GK7EYrHurhDnFkfbcMmcCBRAjSsPmq8d+6WolQTfYOfAzE3EBpPpTnT1vtvkyQEFcFL+qJzKad8T
f5DwgsQgA6h/aeYbkJayDXfWmtiDOowsNHpUi/jCV4aqQGHDHEPuQSzSu0ZpiPEQ+Y5/1MyAGR0V
tNMgcu3mYPZ1TVB8mjp3Vb8sF79tbHnIA8JyrVGzneTn7lowkU/HpszRq4RqXLR7lw9txhR3BSt5
aqbVlU8J6kyWeYXpt48wy/LLMKK9uyLP1+IaoP0eyYzpvDy99EIFL2JgE7KE4OYHScpbkeGNLPFC
GpZRf4F7tXo3Vaeau65bSRRiZD/fr8PCpJcZ6Ktv1lZxK4Nine6qQPFzl3Hl7nBQP7+LKe35HfK1
q15Md2vqKy6ASSQHTKppncbZ0CdsQrOpqWGArVz32ZHEzCKIentNXi1wAc5FMa4Yit3Z6RpXSOyR
fLJYCioSJAik+p66+PcZVxeOd22CAqpDm4cI5WDvViAK/Knx2XhZ3D4rL6oYeiPSih30TrFqRu4D
GnZdv+tptoqwt5KZLXuHXZuAWwYeLsFjKYLKzerDJXdqgzlmvZvPc6fiJxr6+2gXXF8r/EcnbBJp
flkXQskQ3pa5+Wz31ZaegF4nb4Cr0nfkLShrtjlwWEbmZYCNvMjK5yldABSxX2S3Wa1ea4Z486Y2
zEwoLOhz2unad9eFj2SavHsH0Gcd+a4Q90PqoWuShkPYjjWjHMSUXOeXZPHlT3RDkO2xSDNIxRje
HgRm2DmUrSq5LA3p3RBRZDOl6bzgXIFjZ8RP5vNTrT2DxVgqebO2VQa3pekX+kA501zKXuREkWjy
ChhH6O2ld3qQAwCSpm9+rkaurV56H5k3TCzFvNX8DGR5exUof5kyCUTKYUYQgIwSGBtJKLu2Lm/s
Zjbb24khSnByWlg3hxEFe3OdAnsbD5A7ux9ACbrkOEsAgiEwNzh6ok7HhvLesW7lnA6Xwvera8vw
Ais2FIBFwCty1sgNttm8SX1zXCAlNN3+hriqjXfqtH2UMjGrAzAxx4c7EBh1NPjqZJV2/Wb0jlZH
tDY8bboM6hdzBO7gTr68c80GNsRMsH2cN5jnoyJ3zewIthh1LoEak/eolbdW8coO+81D8PQDeUEg
Ykcb6+e8r8snpos5sORVWOeAOGMkEkiJGHDxg7y487z13kFVd54dM7NQDljANuzJTYoeXDo+41gn
xCnFwr6xVwZeztQe+n3bQpIccyJz9mT6S+v+34v4H7vr9P9Ay/yoUliTv59q7H/h1z3sAn/ao7Dc
3aLr7oyaX7cwSBj6Uoa2JgRomjfBBfivkYZj/ROFBAQaJ/DJesEf9T+38M6SCgRSUqBCtnTx/P4n
t/B+x/7uDiYdzMOtwVyDVg5TzJ9zNU1ZrFVXuw7q2s08JksT1e30CYvUdTLvs2U9/CrVwAb97+ia
39y6f3lFqFXUA6ZklLPPP37XkOeAyYnMkQ4aB/tVWuV7zqC/MIqXIZme7WB69BW8xGQRn4jO/W6K
/qnI1bet7oZDb4i4n5wf+9KtHJu9BfuMB6E6Dozsjty3fxOrzcfzp7eHqRIyCUYkrkMcp3D+VKJM
u9zJTBKbDfGCsLVmRTQg4LvL8gCQBp9pE7syK84jIoOXXpb6EU3zqc/wFRRav3KQERqScsnOTDF/
Y/XQhrHYxjoz3FUi+4L0mOmzSDaGyJ346k/BYy9FJFxaBTFl9pX279PcH49dKeJhWSWYY08cZ3D7
r78dKg4z6ahN8jPDsWI+Jun2bbUBmMAnORg1ujnPsPpI7Htjuy8ObPfWJ5vxVTj1ojtpZsgHLlHs
Sarw8JO4fdh77VdQrVM068qakcCydWrcHXHrFNZjB0GUaoFtZWA3eQxnSCB5ZTkKolyG1WSy+Rrv
PEYKcVJ32RwR2SR+YEEqfwytLFB8GGs02jsEfsJg4JPtBHL4GY1mFRPi8ikbZXAhyu6zlurZGXrw
PtYYDmtVXpUSgGSxpyZ4ndY39CrBpViSN2tN5/2qh+618gaZATmk7KwxTPY57q4W53g6UxPM3Wu6
1eaTntXCmmsm7cCYjdsSwMu3gFTRU0JuKJ9fcO7adrpPzS4Lq7lxqKnkpc6KD1RK9UMFmf3GabCJ
o0IX2SnP0eSXdVaeCpWf5m0RqBQ707k46BvzgxEkEvtT5aEh0dlzZzf2sQWWhDWiOILSpO4hsCyE
Wk24milf87I+scYNLiwu3pugryOrRRS/oQ5D0IcCxKrEA3k4WHEp96Jm6FGLMyu4cwy0xjP4+yPb
bs2fnDHKEHHeVttM3+8nP5GgpB/p6rwTekNgC0baIty5OGfl1u2jTuoiqlNU3AZX3IE5A+4/rxch
Y4ci6uEfx4wRv7NezN/Zh74hIBb3YsjLG51Zw4kForjOrPSdWKTqc4ct47lE+Extss8k0CkOkUK+
c9tPwkB2FqAlcFByhY2nmqs+UXeBmaivZB94Z+YoWHFgAUOb9coL0b5NZDBJw7GRL2Gv3PussMTL
mHsFb45TX+q+YfLStcUdQx8Vl1XgfIPdWWEigZFiQl6J5Zo9EOowEifScNzUbNI4+9LXzlyfWpOa
BgFDFfeIzqo2OecZokT2eEvUW+NARaCqY5pm574HS+53S/KEaam8cyblnOxGtneGGegvG2q6L8i/
5WNFHXhcemosiriM/XEOS8oLYOYM03XvbhDAnW2hHN6YfySZH1W2l5zGCZfbQRjQiFbn3rX6JlRV
fzTHjMwpe7vNF+9VbuJD0lXcBM3iARP2p6NTopg84EMZH2fSYtlfQm/uyVYzXdbiWAE7egfLHo5D
jnS/nNbuY16NIKQEc78kyfBWbwhHtwwlb5rvEn9SOtwwXZL2TTbTuwbXeWeVvjx7vfupEHbxilZh
eBzElNyh+0lvOYLQFc2DdSxBqh8Hy7HvSThtw77d7AefnDc4zE1xynlWH1WnFMFeTfWA6nEOoVZ0
gK4wCdh5SbWUN1ZoJ+odFdxwaot2/JlkHfgmwlL3ghaRQe5N4WKP7edOZV+3GqpOPY1P42ZaJ/aB
8hokEKpHA69HuryA8Pi0OuYb02VQxkui0ltkytmZCCrbRXc5W0+DMNcr9N7WxfH3XRkH5A9rbbxr
GJHJWVkJBitPWb13aDBuQoJBmXGpvY4nEc74NY4QMMCehf5ReIrvNTw0zEpDJ85YWbcTaGfLPnRJ
STfQbp26Vx3VGrdApyIWb9MXb+ytPK4ShAEH7FJoxBsU3S8tmkPe2b75SW4L0uLRBvNkJV5xg3z9
NOKN8ZO8+rDHzYZ06rfXUrGxWgNZ1uhME+8b0LY2FiyTozkIMvuwVlZ+rEfRX6UsFcKmcsdd4+zc
+gK2zh49ey+JrD+nqzQuaSJMAKeT/V3nebceYQ0kL4PHWDWfaNajdlPLHQDs7GrUQ/OYFpN15LG+
MAkvSkKedsArVKAY6rHGULba4A7F3B5rx3OiOtDGccyc4KHtE5arJClcTcXCtDFwDvD9XexKrR8z
ay1u8ZwkP8lomB/6xF2CmEyYAyvVKTYnAwkmoebwMeRWpsiup0whNK+CmynJfi7GELwhkAmOiIPl
+zh77bU9yQV5gqGnazvLSnWnJledFthfcKatuop0PUP6LxL5DZeaeUjEos+rnJ9t4NhXGYL969QR
8qjyQh9VMP3I6rS6G9a6xQuzWDGhxlcgUUpQt+X4MNgyiBkrfNqDaw6ocNXGbdAi6c4bE3xCpaIG
IcBtRUJjhG3I5ZhAqH5AJ2E+Ymwdj+VqrCmWHn9kooHUEanP+sWBdVU5pmagHMRB3d1ng87vSlQ3
l7lMblA6LLdUBozJV6dGmzdzSU5FUUZVXy3PrLAVFkg6MdbkerhLgvJpxIOAZdRObowxEJ8EdUdI
FlBzjzAC4c4Edn2GvBcW4wIqi5Sr7Nwunn/TVcIizsxKfk44gQ6MkwjKI7fibEnVnxnk/MwHX1xy
EiMwxCH6zwceUo5sY12yaEAd2l/BcJnXp9zsK0KqUnO88oX0z6gPpjRM8IOGVTPQx6DCR6Hurrdy
B2jZ7k+76qVFO6SDuELotcEVRHNvDV40ol/oM/S1fmUH0eDOc2zUBdlK5S7eUeQPI2Jw7vDGsNad
DPVZ52ty7pDonwfiTq9RtfQ3Kejg3QCm40H5BOVy/V3388qss2PoGSMJKK7QyKpvssqT64W0tx97
sAgBC3XaHu26XW6XdHNPgmCBJ+kuj+MyIdlr0udlsJrLDIss1IBLSILB38g+I2Xs7piRKO3x7HP8
HAmE7SKPCInr1jLEvb8Ac2b8K2+k6w9XTbCNJ+14D3mC2AsqeFiQuPDDkaAoHKM0z17WnMk4yInI
NBiCk76L9ASFUW1tBNIJDCPL3NE5Frl1Z63Vp3ImfjuTyZNueu9lqZH9cLwQijfbH027tFeDJMzJ
qcWbmufxMZ31uQLuzZ6p/0AfBJW6t3AP4QcjxJHyPSsePYw8x1zN0yPTlYGLTfv+HTdp8TZPXJ6D
SFtOxw5AoccuyFzSmyYo3B+JGNTtsPb2W56nwSd/ROjmFFsQ6hSsc6SKxn1Adbo8LGDZSEVL1yzS
LqSeQ7tMeCHzQl07QUHSQF589nqY1IO9YJjycfLaourvrC2lIDSqgrO7fSBI/QU9/RDaZKTgsyic
k5gckH5b/lwq97arGM05ds8Gw6huhNg+FwNY9dENqksBNjtue/T1gTmj3/WeOelQEHp5cERDbmGO
gOHOWieiy/soJ/e9TsaXrVWPml7stip9livinWVB9tKS14Im1b4t/fpFUWRf1Xn2uZLr6Ib8y6I8
gGFuLn4eQrKhmiQj4hvKujQuu3m5FHnShQBLFGMqZzrnyejE9bbVUUvwR+hhJ7nXtX7u28aPU5L6
CDxf99ATi/dLPvBJYjfb+lsFLOpJ2XYWbgDr7yVBGQfZJh+ArrHQD8juZ8rNzWdTXG4ZalIzLZAK
8tFjPUWbBsSbXdigXtDlZTelmxgnwicI2YZ0nXbzxRyG+pYBaX1JVYvmfELLLCCqU4z69oOZM9cq
ZCbjZWRhZuvxnFreEhdq8eMKKNzTsqoPQUDwIdmQrBfCC0ezYPPiBAyKXaJ/qtG8A/4Bi6/W4uil
3ldPGcN57fP1XiKwKZZqjNPC19eNkhMyN6PPbrbKiZpF0nANvROW2ALSzbMeyZVE3oXP2SMO50b1
on7IcuYmKOjTQ1FU49WwepMfG2XVfhoHwwybXN+Qpud/BGP7iTnYt//H2Zksx41k2/ZXnr05ygAH
HM3gTaInKYqgqH4CUyol9H2Pr78LrLr3MRBRgauyshyUKZUegDvcj5+zz9oqWMCdXnLB2ZC9GeD/
qR08wTn2tfTkBc0cKZkETfRXa5DVCSCj3d4B+TO2ZHXb3ZgAL9809B1sMum3p7Z0TkgQT5SmcrwM
4NG1czNLwdLjikkd87cfw1HVHMF2HNInvZ0ayZnYKeDTa/VbWf/GR2u461KyYOQm6TbrAdsNFDV/
Kpj57FA89tucCAmDpIQ2B80fDgOOBMdQGh8wgwBGWejPVez8lVXqCz0+kCRyvoaQlp1NM1ovYRA1
J8rg2teBiuax5Eo+pOanxrHzDfnO76B7xvfqvNNZKKA2QeQNRwcp/T5NDTvdGg632Q2hfv7OSbU7
IMgJhV/0Xo7I/8ZoLn2JEWqhw5XqEbeXp4SPb8fJMiGFlfEdPoV07pBPTcDy3/ObvpnjZzKr4yHT
8icu6+JDZQ3H3kzIhqa0dMjcSpGaW/W3XNC+p9u+eWy9GCl1M2q0Xs5XzUHyaA5o0mrivsTv6w4q
/UPI2vlgi6KKdiJsUj48HmBf+dF9kcbpgQVEpi+Kj85ACIxNZY/9yqHmHr61vA/0r8aPfYYxEB25
tEwJ81NuJSfDb5h0z5xQ13NznVSn2djsi1OnGC/on5XPxNztuw5M5R29ut5Pa+C+btpJew+2bjcV
cf2litt7K0YpXQCI3MKV0HeI/23adPriPsI5TYDALKCThl2BjlNVHqFxibum0+qDVeXYM3KX/TXh
rPMThW50qKJy3Lymxv4oSfi/YNL/72CE/45cP/+an4RU2KIFDWzlf/26uYJ29n/2WRM24zNA+PHD
r7pNmv8uac3/5v/2D/+FkP5IO/L/+78/85aCAP81P8zPSnM62aV/n0J8yZMc3cT/uatnGmH9NpU4
/8V/phI1S/0Hn6+KRoqM4ZtcIuXZf0iIQoahm+Sp+LP/ySUq8h9wblRH5W8ggwFn/z+5RK4e/9BV
YJP8B2cxJmW9P0kmvmqT/n9uz7ZnpRVqPUQh8M5JKi40dCJpcKriNujSL1WedM3JTpOXOHe64Sj3
s83vPnXoXaT+Uu1l3jX7vphyNxuy6OsUeb/evL4ryp9Xntzy11DCBBIGS5M6x+LXQBkeSCZ1kRvT
E/DVM1ATcu8eko96nni/eoSYPTru9FEaA8UE1EP+swrQmZYaan5suY2mH1FGah+jEVDUpjDCEk8Y
VJI5t6es/3n75y4q7f98efhnU8CdgWOUWc8To7TftWYMH8QFBgC4JO/64iMIprLehomluPYYFKCS
x8KBk5B2HwYIUT79K+ZfMu5AnA6a+NQV9vBR4qNF5QkNxK8kyL2jgl71eRRO/FvQn/9TGgGJyTou
XmIx4JHSKZ9vP8i5gO2/nwMfOAGPh0T1QoikBVTLjKAKXVP0dDL64KOBpmuH26PM/5XF5LJchSAL
jiZQWos0sqqrdlg2Q+imlRLvOkPrt8VAMFlFYfDP/erfpqz5dC6H4t5BOh7YEAnz84np4pCCpckD
KWH7Gzu5cNN44hGYbLOpHPnpz59L0wwYhOgWbTwVzgez21jqdmWEbmc3xoOft3QTobB3B8zfV9Lb
VyaKRls6zg0HPpG+dG7nehqmE05FbgR05NAber+fxrLf3X6gq6MgHaFWgZaXDNb5A42pVMPBVCOX
CC468G/QO2uvsiUvR5GQ+meFik6VBbH1+SiYtvUetdXIZVMiF92W7cGDgbzyLDM4drEUUFMgpKBm
AoPwtSzztnhBfTwE6hCzFCZT3WUiDU5AvlC5geiwaMzeT6UQGwsC5H4a8nGDR9rwePt9nkvv5s9L
2kKjKGGgmKAkTGXo7U+IZBZZYAYiFxvy321BrU8XXXMMAr/fGVOIC2tXhbsmt9a+uCuvGDkI2kK2
d4Sj+vznbwo3dpJAhwAE4FY05JHUSegOJ4P1xx+bhEao4XBC9WR2FlmM0tjQbkUYuWrpIOXr5A8x
Zl9Aw+2wLlj5AK69So5KgUP6HJMuCaE4/OBOaRSR21SJtq+6Ru6nDPJ9aRfBjjpNSa+aAZk8NfO1
hTSvx/PtC12Vyo4CJU1iCLFYr13Q2rTY1IlrD9/junskr7vvQ39jR+pdmyofo4S2cN+jVxlDBQtA
1/QS4PZYaaDTZ2uQ2CKT+/ftlXU5wShHDQc1EDECUcbi1ZsdKSaZT4ELizXEiCFyPkTSq463R1ng
D+cFbOKoIy2LqjtTrS7Wkac3ws7bIJpPtHgX6g6Cv95sQLIiFK2DwDpZg0LoXs14B1M4p6jy6kNh
4DV9+5dcTr9poWdiSRNWsa4XB26vGZXtdVEEDEiLTwXt+vu4UYd9kkKf8HDvpT1twhDSIvd1e+TL
E4WRcQji6XF14vJ/vshTHclMMbDwBthjtBWHxi40YTg7oIKeyGCoK+98fpLz1WZSf+b0gkDH9rEc
T2iwnSTGoi6Gs+HHCZ4bGWrSV80m7XWpbAx6i6NtPJbpHVaNhwArwGnlka9NO1EoPeeCw97gNDh/
5gLw2Wg0aeSSTHceaDl39iYxywbuMH1yXZzdtV7VvEQDl2XulGS70G9tpR6sOfPo8w55/jZQxHHE
EmXN+6ekUP92I4PfNHKvThs3DEkWkkQsrAaBjYA1gLqHVE9E6zdFBif3HxTwyObY2eUGvlIOBMdI
x3pbpkrnGl6SedTy0rjeQOoCIJH7pihONqmVbjPWegj6rfHsdxVu5t/mNmvyCj4d8ykW9l+tzhg+
pBGpMdrwq+wdpm3KB2vQqg+IW71m07f1aG5sv6h+F+2IuPJPVyCR8fwl8j8+eXUxGyjvfMwg4tqF
dAoSmZTzrtY8WuflhONuGeovt8e7DNcIAKjIWkKzEam/qgLeHB40bdtmVA61q1dlcYJqKAllLbJO
uSoPt4e63MYYiu0LTQXwXmb5fHq1tigB/2i1G3Ig3yux7pFHVc3/ZBRTnY8qZ4ZnL3axcmwRHAYK
D4REYR/BqlGMuPtPBgEDRjsIlFYi6vNHCcouMDs9b9x2FPkhmdDcjs4U7v74hcGpB0Ruz4cu1OPz
UUalRN9F+dA1wJbttc77C+Tv2rl+ZVZ04haNSF3XdXb+80FsVOk0rIetC1GshoHQ/ULaXa2s6stT
FbUMsDsYP/NGZy5ufA1nvNNYY+tG8EjufDlWJxx3SNSaIEmnCbTFhDB7ZWe79mTz5do2bObImfU9
b7cT0yphEow6g6pNvo0lFtepnUQrj3blA0IiS3mMLwip0HJVp5lW4eNTVS4mQXhwUFYkpWOSsZYy
W1kP2vyFLDZIOOZwcrny0ARuLg5GPa1tnOGHyo1w7EaXmlh7PGm0Q9Fa3qMHJ+OdMDAIUSJJL3Eo
yn3vlzpJtzzam501fBJ9o9/fXqNXHh/BMsQEYhOD1MJi+YzJTMTrs4ZQTQ57HRjlJgDbRhNz3a28
6YVz2xygzK5ftJ8BROaC+QqdfbNXNQW8IrWSjRvnkf8ZvXE891MbGdpXdD0BpFaigynrgU+p6HJl
348pbnsRun6/6318VXDfqQ+jjXtOqyCdLJ08zfa3X8iVVcdJrsvXhAttTYsXAitSLQa4Hm5q4T0F
Ba+4A6vSrrz2a0vhbJjFUrCsQqRkEcDQVIEN0FD3n2BgVAdTUsLzKFLe+b2luYV0lCdL9YCD+L1y
jGqakSOyx1trAj1x+8nFvB8tliekcjZ4Pod5suY/fzM/WTNSctdk7xa5UryL0hp9Q1VY7a6nAPUT
B0GJ4fqUIQZWSsVGqGRklUsiCHfzumuamcrlpzQ02ND5toEVmPgL+2MlNr3TNpQUzCR39qXZ1gBi
FdFvZJZgqk2ipHBN3NzDlf1Dv/K50RhH7xZ9cdwIxGIq7WwafD93WpdeqXofB2Rdu1GnRN/Td26l
sDBSM/oVWeSg6Lrq7r3mvo9Ri/SCFioT+keW+IeptepdVdj0+YyC7FGSCHKwsJX6LLV3FH7kNqh5
0lDK30HTGq6NHvZAjQx7Wm/I6EnqnaMd2vauD+r6jqK5uh+saEQ9UPUrx9rlx8x+CWGNdlvBoba8
44EZablFq72rKjUOQ9hqfTFh1FA61KM/6qacv2U6P3mnjkUrMXnTxYlQAhelzcnqXVgxOgKR5FcZ
02xwe0VefosMYqk2wBj+oXHifEEqOiWwIGsGl1Rbv0OZbG1J8a1ZH5gXy56EF+p1diUp6ZdYhK1j
g1c4gcLgdlH9K2zs+4jaGIwSFUIMLNPbj3Rtiqi2MAwKVIME8fkjeb2Btj/3BleMVYK2rxsPaayS
BFXKZOV7XkC8/zlHHDckPufRaL4+H8sJIVyNMh7dypcF3e82GJUwFgdR4uXVZUp5T72k/qGFpmi2
TJ/5QDV8NiOsc/qRcCGm+hdGle6Q//BTgTgm7n9HECOqlZdyZZ41lcrc3AXDX19eYfraYoFxCrv6
2BfoyhygfpWfroxy5aZEaoArsm5oc4JnmdosU0Gni8b74IBTPzp1TDFUQ7GUbXqzaugTtNTqFOFu
Se8cVnQ//Db2/cPg+fWL1/qjthIOXFl3ZOUg2ZNw4vBdpgml7+vI+YvJnRtDfkzK5LO6rcjNrAq5
1IDu4vbSu5Jkw3jzzYCLhY7TmVKmJQNixe49jZOTHCuDujodGP79GJKrp43S+5qBHH5p4BgfOsDo
Kw99Zf0TZJHpgqEv8GhY5GcC3zLrKB0mt7QEMlmM4ECiKM0OUzNj5XmvDsV6ImtJzzc74/nyRzAY
xmHaTy6FP1IhTmlv9bbrDwbl/ZWhrhRoeLV8YbQikQUgG3A+VhLOTI5eTqSdbNpwST/vDDo4HoCX
2iclQLCBrcq4CcKx3U+OV+06HaxYhLb0o1fR+HJ7pi/TEv9yWCU7PBtJ6ee/RqHcnY1xO7kjm8Om
1jr5CSgWolQ7q+9BVKFq9OgZ5Il+VhWKiNujX3vvhja7BtDIzEc9r/s3YYRGpr2JAnVy0Yx9xa4H
qGmaf6716F9+u/+2fvAam58HLKQb3oy0eOtjlJeZ6BXNTUEHPXpqRPeJJsB37RytaZ4A7gQoMryk
LTfwxTW38ytBLqJIzePU2AMMSNJwHxHxGPYGYgeQRaermh3peyc/KJmoftphp7YnKyk19R1fqMB0
k26cd1mZ684WoaRfrnwfl5s2TQm8eC4jKvcSEPLnb0+CFso0qehuZUMP9sJCOTpBjUTCwDoL9HAx
OjtHpTyL1FHkz05dqF/GOFfh55W2Fx+MFkYdQhnrtxfjIMpB1isv8J60z7dneblnC9u0LYqbqoOE
33l1b3s7y2D/zHGK8hqhjyKJSfWJ7tU6XPmwLkexSAUgOBeMh6fWYsvqzZTW4aZqSW9EH7qytyvk
EMDaVoZZbsWzKxlFXIyH+V4omi6GSasmRXpW9a5IUws7Cx3O8BA7n5Qws+4Uc2xfVl6eYBbfrlxd
swiaqJ8SalPvsBcDFonW6ARNquvBL/jZxAnMwlKzfGXTph042CSyqADkhNkdIikpGvqtdQQTkOz8
v2HqQz+qah/8VAfy7ItVtnACDTjguGJrtYZnq2xDfFYJntItSlrzCWQcjJqiNMPvNX+bfmldQa5k
Zm39VwXc57FuC+sh6BUlIksoVejkU6dyImUe+bVQq+pwWyAGQUgEsJUyqABcyPVAdm7awrXGl8AY
kdqTLQWXCPo6p61BLx5Dxa5iVD1D8fP2K3xtkD5/hRTEVbpwKe0a86Xy/ENpW02NMc1qXYj29KNz
X55OTm+r740SQq2ufAJXMH6bjMi8s7OwpLu0TfIdVYso36ZG5NwjoS3+zjRqdBvABjSfpVEIGaCK
c+XL2FlaTbe5pd4H1VgX7zRLn+4QBQbqZmqM5i/8F4ryiBOmc2J6mZm0dwJXrczqY5DYFBn8BGFh
O1UxPgBtU+iPbQRNfOM1aXOPsFpHoGWOKplIxHYsakfxy32rd8bntvXzin6SSDmmsfTtTeEkGVD4
SPSPAURS2hLzsf5M4z3tCzjzlnJLFt6Kt3XW0uDT2618pg5YIJUzteB+lA2EXOF50x4UKfqcEPdC
9EYz3u9B6aNE3IvOaD6JOPNpXmjr1kbBXkYBLY+p96j4U/ec52Aa6bdRv7PCUHepQQugLEs8lXZ+
qwwQHFkBLiGxHuftUcJeB1oItPQuE13+Ef15GcLAHOx4mzpFPOxTP5OAio3iiNpmDE5tSClgU2Ve
9RlwAdDvdjZh3SA1++qZ2kDHJqJn+3h7AS23FqJNA3s+sn9cl2j3mo+xN8dUPaahaPFpcGnOafZa
RraxoDZ5+ONRyJhRnuX6YlKZmX/Fm1HoFJUizzJicHSkGx3y3j6J5drF7yK042EYBhYKWSVindf4
5M0wXt4g0VLa0U3qujipZjNh+1QWW6jAPay44YfMNVqsRtBaectNu3bieuWyNl/GFt/jjBaaC5iU
Xi7IN4EovFHpvZb6qUYLDzqOqqsDBKjgDeFppyewqgfLGX/dfsEXapT50dkJuDsQRRNaLoKAHAW6
rtg4asCbBZUXDEr9BW4FrauwPp3fWVN0vx2iEBqmIfi9L0wtPaDJc1xTUYxtnyaftazPjE1LcLgf
tREwJ9qwsNs0jUgebv/Yq++IuhT7FndAZBbnqwHHC1piWkT3Qwe83TdobEq1HmsVsjnbWPOL3VCg
TZO1VWxvj3xltbNTUmDm1KY0OCML3q5DVSKJbxOzc9teS7a9GnG1I4W7Msoy8GQuyCWq1D6gOQnC
4fNRUAM2VqkqaIhtJTyp+IIHWzucOvRBBFXfmgyMMLZFZfC7wVOCBhXQ8mtpn3m+F+uQD43iI8Ik
g41vcS5EXYsgf1S4zvf2dNIGJzz6owifZdbdwWnzPuKRIT7efrsX6bz5wQl3SfRTsaDlc/l6TWpL
mJqPbqg6JwO3Y6K491wfPwqq+WOpbjkAf3SJsQMr6xZs7Ykmtoke7VZ+x5Vp5ndQcwce9FpvPp+A
pqwaNl6fOw9Qmjs7EMaDQ6frPexYnL11fJAGgbxSFFqx53JQbTM5WlSMFHS+rVfv00zMJnmGvl/5
YXNAs5gVbrosvHmD4hK6eEFJJUMtj/lhdtfi/5oHv22FlEsZhbQHCLbGUjb1fuz8+EcS0eM45Z7c
Nti9r+zHV1YHXwFKj3mi2M4Xu4WTe2VO49vk+j1u9eqQtU9DF6g7VQ4AtPUcIbyCXcjtp38VPCye
fg4rCZjJ/8+fyPm0mDKJCr0YuRKhDDp6cAQPJqLSYz8p3h1SMcjThv9CL0e7RxMNuDVKeBlUC3ZG
0NjP3LKsIw6hMxc6Lt8ZkaTjJfSbB0RGygEdvEWLitn8HB2IfnpAW+3Q2clOwNe571Tj8zjpwZ5d
mZsDM49uOVceBG4i227q+z1N9Cm5zgreoGpRYmniPQVFnJky6DJGCAP89ttYBtt8K9TE5mISbwR7
zMUNB4S8F3WJNrkYpdV7u0sAeRT0YwYprZiRGI2Vg2l5H53HwxeSjnCNg+JVwfl26ysbSvRx67H0
RNu7oCCrHQYQzT6iu/N4+9GufH5Eo6ScAeqx0F+3iTfHsOIbHMJTrLrYO5infgqMY+coa3fEa6OQ
1Ka4LBCZmcYicgkRUEa57FS3lkS04BusE6ypfOW1XeQ05vcGR+ZVEkux9TWd9uZhskknbKdL2fUS
DlkUM3PQpxNUP+O9EX9D8N59gbofNPf40gQfcn/AA6BMpFUi3YeXvkVFrqxVIq89+2sumKIg/LmZ
Vvh2Mgt8+XQN6q8LoAcxSQwUPGSvXbkPXgkq5sojcQzZOaCVyzRVTsuiHsKcd2M5RfscT7xx56sz
eSRxkhhmdhR8IYM7tjvP90s36vSWK1ocWgTgUx1+p4RohCe4bNlfINjq9/qQWPXGMnu6igxD8e2V
be3ytfB74Q0gbGRfo3Z1/lqiziGpNkpSHOrIseoB1IC21awc75dfLvl41HlYSsCDJMg7H4WLPqzc
NheuZbJ5tHoQcNnSm3dTnQSnqJ/6dGUerg5IYng+ydGTLL8njjofw8NJuKYHTN0OvXqDmEnb91wt
t1i9OLvb3+9rGHS+UfOEbwZcLC9SBFpWtrpwM33c+BaMWFufcNiz3tGEHh60PrdPHZ6B+8jpvUNK
5++RhE28a9u8/EA+JNv5WT/e53X5YwCksy8pV9xlUHcOg1yZjMttjZ9qI66bNeG6tQz5AclHqFz4
qbXShjuO12ZTIJzEew0K/O3XcnUa3gy1CKlmlMM0UCVwHSNtdtQLyDAltAma9C3OTYBrYeS11czX
jR8SegOV9Pj5OvMN+PwhbHxXDw3/zg9VnmqkNeT2U12GAq9fNjOAmStW7YvV7BV0AvexYHHJEoQ+
7Dk3M2PMYIhJDrjkWmAMUufL7UEvbwDQd/l6VJ3viDLrYtBM1TonhXflYpFE43ST/FYLyITUuM13
tYrJF/XU6YcXKtbKDnFtDi1L0MU1SxCRNp6/U90UI19YpLsDbegndu1xR/15em+kCWXuUbT/wXg2
GxLf7pyMVhcPSge/bIU/6K7S0PbUSwWHWKcqsC8z4GqQEV65Wl35HFgu3DkEF21uoYuMGjlvrO3a
dHK55MzdjKM42q3+Kyr8eGWkK6uTouRMd8Einuh5MZIXdvh5yGpyI71Usb6xHtHBronprjwOYmCb
mWIQqlWL6cr0wbAVmyAJL7PyRExGM6agQuNhNrPyPFdWBrUYNNdcGyhNvsr63pzzoPq1CmOWiZmy
xVMz5PpjDEEfo7KR1n+pJivf3dXxkIdyAyaAsS4eLfDwe6GXwY2iyThYXNi+lEn7HT+C+P0U0/p+
+4u7khtxCGJYgpaEynOR6BlhKRTYOamuWajTse6d6lkPUnVbep564GsNDr5dapgV2vSaNlV2D1xt
zVD5ynTyG8AA0WUNa/Nis9aadkw5wl3gAgU04Lyl5hjpR3g03crrvbI8idxULhsAvrmCL46wsPAx
IkV563YAUB7GgU5Sv6rUlX3sok5Bk9FcxOMu6KAFQKN1vp/kJZ5D3RxxjJZd/ASuwYGsK2IvM0/c
1yqofxVQxL2wJmOrG024NftGOeiFKY65meO5poe/8HnTTj0WmocsRvayMu+XyYg53zF3Yc0ChYsw
2a4iG9hAqrqj00Yn3+qDd4BdsaKuw29DPScqNT28x4vqi/AzTHpHoCPFQB44KyL5RRlRjjeVjY6i
Qyde9jLeK1kF2DmLSS2tBDrX1gezNlOGSWNROjt/m3ZWxiN5ftW14PIfIailHzrLmK/n3lob0ZUT
aK5UkqtD4YMqYDGUmAwP0ytfc5OGWZHUHh6HKsneN2aEqRsJ07l3S+WEEM3ft2fk2kNyIgBSltas
mV6EEX0o6iDqJo0mj8ajFjp9r2UvT0mkdfvbI12U+ufVyTE71wcEMnR1EUHYXjPFzL5wcbt5j4Xi
dNSwwPiLoyF7gbUHPKqCPSypw3zXhlx8kjWEDsysVvaeKyEG+xxXXVVAHEcKej6tQxDOruKdcH1R
9Ru2u/cZvIFdS6ZkN0UUszxfe7n96K/b5yKEpbbOkWHPeFmAdedjFlanxIMndRc73WruuQiSdwb9
rOGG8iXG7OxutMCb9LzZedwJfMYqaR3yPslA4plj7Gal/E19ESskQVFl74yq8wVykfmXQqCpHALL
B7sBbRA1FJ582W88jgacfuy6iDGqrdMYnpilR3vbUuwJb19HfNWw13o/Sjih09go5qMh6+DeKklS
bFjmcCDgRj54cY+thY5jVUORQr7SeD1j2hZK3z3QntRRrpowst7idgSAcdT8qdhIDRbRdgg080n3
KJ1Bjx81hAxclDCZyRWbEpZs62GbjN6gnBqWylFaZvagKln2k4Yx09zUhFtPtTBRqtFKmR8ncoY5
7fd2/gWzOVXsMm/C9hEMSvelwJx6Yzp69Lcnq7y4a1pfztm+CrOL1C8oyQDoiY6WB8lrZY+4tqhR
DGn8KDInNJUuttyJQpSD7YTuIs95sqZCe1eH1vRpyob2tzGq/X1DE+POoub3LVM9BYjzUNTvNbhR
p9tr7MoRw0UImRnHt0aXz+Lr6o1YUQQkOVKsmX9HHZFORMv2j388yvwJC9peuYvD5DtfyJkF4ztS
PN1NyhDomTABVUnzxx8OIsjUaCiCVFDyJrnb80EGU+SD2jSmGzZ9uS+ha+8g86ydyRc7H6NYkH3n
VjpBZ8oiZGw1EOmqp1nuEGFkauGK8n6+5JxKC9vq2w90sb1TzOLLnzuTCbuJIM8fqO9jQ2/CWHFz
K9I3wNE/xOqIw2acKfdNIpqd6gTDzjbyNXnVlYFnVSAXDLZeWlQXEauEy6flva64+AWFz1ZV9FsI
iC0uiunftgotPYqnZhf27dpq/Gca4GzLQ/8+C13oHcTFgv32/JlL1KeToofxs11bXFLJ6gSHOp+S
x7YGNbOjCAarJdeq7pFaYHSStSxgDU0zc5eGU8NXSVyYqeI8GY3j/EzzyPocwtB46tQ4NvCoqfP8
I4mVcNoU8ZgBMvd7sz4Q/uT7MptS0KrAtOp9pc9MEOjp+X1pClGCt0J2s2N7tZ5izWpawN5mXm6V
pMZWvoqD7lRNeCfNvtWDC7LSD3ddnITPpuJ0zwksfQGhvctcrUyd95WfJT+iXEvYuGunBlaUovqP
FTP+EgUjQEG6MvpfZjW1YHObWvzC5x0Y4NjjEdX0zkOQG0b9yC4aacdaK8cvjezxyHMQO/iHusbA
aEMEMPw9gIL/O6189Te2egq30qgWEH9RlDp7fJToew5kIO5G+LlyR8dp/StOkzts9QBUeT7u2VgN
sxhOShz378bIMV4awKs8ZJiYpxJish9szNGa9i2e47jOIFKAhShHDOMbvf27C2jbgWjb+cAFhQ4U
InayGiPCLjxpSiL83QRwGqhRSd3eysike7nIDqqvfG/1JP6SGmg4mJvcUV6fKronu2e4JAqjL3jD
1niEeYGMtm0X1F8boy5LwIpF69rtFB0Mp/DvSieOvyVVqyMALVr9fSDpe9kEXGO9zYAu3l8J2C+C
hHn1koWgasQckxc4X719TcqU0CB8VjFt3gyOquw1oNK71iiaPe7BcleYeDTc3iYus7tUQCx6Edlh
Dfa+ZaOkqpRGBk43flYwht3Kviw+0z04bkuoxCcx9tHRLrPkGOcU4oNoEiediu40xdqDVZvhn15B
6YnmykIihjIu3eDz/vnmChqZTK+Do8czvyPYC8MD6jv0BmhgOmL9EYfxlaefN6PzHQN5FXVKihCM
SQfE+YBtkjhGFNf5sxbF7Ua3lOkYxfScw2Spn6bOHh/U2FR5+6l2DPEr/aCNsfh2+0dcnKKCfIXB
1Z554Eh3FkcPiM7AtjGze7Z8L59Rlt2DKcC0/PEoM9eCaGFu4qY6cf6kftBVQCMDg8qkkIQ+0tyh
qVrLEF4ecNCBONfInWIHI5Ydv+xcwkKaZrjSqPxHeNvaJsl8ZecBErj9PJfHjEm+kagA0dTr7J0/
jwyGblKx9XXB0OxMjM6g9ozRMQPBse+73CLl2upsyKbzh/3hM8eD+ILUz9wnztXifOBsDBCTQlpz
K+EAh1Gs+oePffjB6Z0Rg7Eezt7o5Xss+JS11TqvhPPVSqZ7VraT8aVJ21p8HrUYpZ2WqXS9dPw8
xo350WrNCA2pDO41qDpNXo53bC7BDhcN5z2g9TvHTI6NEvx1++W/7grnv4RDlrwN1XV6TskwnL8E
PFJIFukYhgPtU3ZZCLzUj1PxdUoC5ahmyquxnAbdsfK3vu0V2KCWFlI1XXnhzLH3XhzpJ9OO7VOo
tdZ+bGkQ1ryifbYwvL9v9HHc0+jkqj4+vIjddPyya7s+mUgj7rFQ03ZRJmGYclCs7EDXlhX5Ge6m
7MDWRVHSLEwTG0Up3drr2ic5kRLAkLgSJzVRvrGs6KelOSYliImnT7df6hyRnb9TcrI0RNFXSYYK
qdD5O+XYj4o01KVLQ8W0tdswfRdag3+XjkmPg7X9EOGgiakqh4PPRev24JfZMZY1iQCal2clJyLI
89H1ILMwDyAA7sIc2kmGD3rnj1gHQyL8buWxsQmM2og2/KzyGeFRsh9yWT3d/hUXKcHFj1gscMez
2m7KApM6T6dugW2yrHpyBLKBnQE1INzfHu/KOrZUUmNMtTOXlZZymIGOiL6F8eJWaqognYuS+Ktu
RukPyVn3QRZob7eNaif+tika/SshkQauFoMrZDNiDJotq6FniVtKlhzavgYIaSK8/UpMhOwvTEYT
cj5SXBjUYR2fiMCxRBy51NHz0YTK1zqqhELzW9yeEk3r622MTPfnUBG23X7SS2WK4CJA4Zu2TYZG
cHo+vyUmm4pT2aY7DlT481pR7nCvct5HqdceyFmqG5WaVqCbQLdE9xRFiKctfmzRYCNea0Jdq61e
zjU/iPvJnG1WwQMsFlwt8r7r89J00fxVz1nm/GL36gErpvZDL4a1EuLlKctwLG7qEAQY3MLOnz9E
7liGcjBdTQv1dzJPezJPXXC38pov9w/2QyTiAERmW8XlZVXOWnN2ZssFpCn/QthPfmIMnrVQOE8i
x9zbVxrlqz4q9ccuGYdHfYgemshR/qbzjYuBSH2594WH+aiKr6freI6/UxM9DreZ1o0rCoz5czrf
ceYfS7845TX2nWXsZyWz9bg9mm5v+ThL+L7Y1+gu6XasxeH2i7nyXthb5ov1qzRq+aHFZtGbYaFb
btzneKc7jnZUJvjPQhmSk0UiZyfzHr+RzlZXvvErI0uC6jmypM/7Iu2fJXozYSbsP2OZPZzIOw0H
30/NfeIowOACujGqii5cL+jX9BlX9lTy4YSys9kii89cxFy1CerOGszgua+DZ6Gmcp92ZXnPDbaA
KSyMzTD10yYmrn3Wu+ibDq1i5eEvP7L5F2A+QKBC8hH82FlAnRuNFGoug2eENtwMgRFsKZC1G21C
/diigV45Pq+Ox10CpQ37DMWd8/FiNbX8MbGD56gt66Nu1+nJL2f+ZGWDWGLCV57v8s40i4foFjM5
qiU6+vPxAsTQyViRZ8CzGHgEvjDCj+6KAY70mECtTwJApbdX8qUmhBsaeVzal2bhDS2W52O2yLUp
tWvhs/CG4WWUND8Alk4T49HHQhd72iwpPtIUil45Fo3F6dDlidgEaBxpcvKhY24M0cFV1o1weG5A
lf5KA2yYduZYp0+RXmXJyk++MiuUmpAFU9tDxrPclEzHk2Fux9FzyiJoMOTZdGFocPEGpG0W4vvt
FzS/8/NdhSsGykM0B6BI2OPP308lg0k2uPs8A1oeN4itIDjKWt1ieDiuRMTXh0L0C4JuvjEvpgLr
myrVJjt8RrZmb1povu9yNUi3flzXKyv78vzgqXh7uImg42fXPH+qLi4Vvxrq6FmfSv9IM4eyawzj
T1Fo8+3/7SiLrJ2ipdUkI0YJ9MratmqCStBxPthqqR1oq5l2t6fq6sKgNjBHfSZFwsX7U/EysuxO
hSU8SuOlbAsAtONo4WuuOPctDgSn2+Nd+VxJqmMSCUaCbO6y8hNUqm0kHU3IAs3fgZ5SwMaFGRx7
QSglh9HbjWFp/gcPOZeXEcXzkCQWzmfOGlO/pe8hep6bZk5JqQRbIBrmPgjCn7kerUXSl2E8OnSm
kTQODBwWwvlwgS+VwGj6+DnSlGxj6dlDMygvaWn8Fp3+7AzROyOV7wdM3Fe+8isrlCoPN/vZPg5N
wuJiGpAkkVrCXui1bO6hj41JAU115W1ql+cpB9lMueTazbEqFku0wZnUC1TSVDBN6Oegoar5ktFH
o276mAvZZsJW904lmtlRgCb52dLW6YOuhjMUCl0HUdcb6q92oJVtmv6LuTNZrtvY0vWrODyHC30T
UacGwG7YStokRYmaICSZRN9kokkAT18faJ8qcZOX+/qO7uQc2xKJPnOtf/2NarBrXTpn66t82fVj
sAwhzg/FKZjrjRcdjQdfLXL41cDzaE2aithZYg1k2FMks7dlL/YZseb7YsndaEaxeeJZvLEwUVWt
AnwGnBaE8JcvAXLBcvbjHFRNjg8ZcPh53o2PyGJO2T698dAhmyNLX2lEHHK98F8QM/I8gqodveqQ
kC0R6U1OmKnpTSce+hvfLe7yTBJRxwHqOEfbrFvNht0MdnXA8ocpm665pCcTG9O4QbGt8XHaSOKI
tu8vFm9ttOsR2WTR5fMeHd1EoifmURuS+qAM6UdwKteSZUpCbZz0vQ/BYC/TRh2qyYZr3+DYlhNM
8r01iW2hhXZCOzbzKAhyQhUsxFBy8MUHezkJIr7xrEmQAowCkGEXOqaiqsGvkoRUvUNeDsWlry9g
7LrCIHgiV+D9W/LG0+ZRAxIyrAKsPOZ09FhAlx7S/IOJ11Mka60I9bKrdu8f5ZWell0IoSUMBHaF
58Lh5Uule8rAe6loDgiabAjjlnMRS6f6uojx+atmlMLM9WrJk3EPsNPs2sIU17iSghk4jti1S4/E
R2sfZdtkO8hT9VbG5bQblyI7d8fywcwJz6nNdvlJuFwTlRoatPev4a07BUeB6SgWdFQjR6W3plZn
yNFvKER1g1W4c/HBSE9pTJ7ZZEe1zmqWQ8e36nhgg728UwkSQEh+QXuoe3vNpcrHbN9WLZZv2lBZ
JUkAbfYjXZP7NsLsrftlTlpyqgm8+85owjiMkzl9js2kva0X1/0R13PX7QJP5ofGMeOfSOpMYrio
NiVagN5oCauIqxPf2Vu3akXBV/j52S7x5TUsRGeLrCnag2U3qxFCH6fh0lXBw/tP5A0EAsUTDsYw
PlBJUre/PE4SuO00kd53sOIYewV13yjGKYViGtaB8Hdbm5CTXPjsAKQjDBPho0q/bhbvRBHyxgYN
Qs1glCkLMKq+3o9flkwLrwEeaJ0fSAxB+NW0E8nk1kjiZtDtg0U9zbW3G+JeframujzBBHnjLlCo
0goT9QvtjVHzy6MbhdBzJHn1QVqjh4bUmO6tlHwkNEXuPidHqAhbQrgjR29S8p2detu6o79HtJpH
biqdbW1bzQmfzjf2dJavVTeIXgpKUHC0PaKXS9LUAtjzrCn5LruCdEwLFtfD7I5aFWrCbPxQn/0E
7zo7u8yFtM5IsIXaMCSGHm+Jta9+lJ4B7DtlxIYGvZie1LQKWPM6Jo6HakU/NdF4LtxefnyQz8ET
GHAzdMC65eWtzOOKbL2koYfqbHljidT9XCYrBJcwoMA3CsPJZkP/EcSRh476nCfS7nGlzkgPzVoS
QoQTD8VO1IP9o4l147rn4nZmPUm+s0kbIei4A5lvc6w1WtSxFiJjdAcT6v5sFp8wjUeds+YfPBgk
mBGXaZa+wrN1jLeFPeUf/Tmb/U1rCdVuDXTR5JYF+XztDNSIG1DOCW1PQg5c3AV1HY1xq7k7S0DP
3Sq/y5I1QY4Mm0UXHlgVbKVzEsdT/UJb0m4PsGBWIUVGfXANglYjWy7yTx/NcMvZYV5GFxj1ufcB
V6PlU6sgaSzO4v5scIkRYWxr8m7oTcKQTD1V33Xp2UUE+9Mi1qYr6p9xPDYPfbm4aktFXZO/hxsL
uUNE5KLgTawysrUxhko0TZp+QdqNO4BiNq2MDNZ3THtjD96JqGrn0BeOMEFIk/nPAv2RiOagY4Ka
Y6PkhkWJE2U4dJ3/NNstQ9n31xyyGo960fVTW/ltIJ4u4M/Ri21ptkN8nLMcCBWEQsR6gGmkaFri
Ro3ML1EgLx4F4LAE9V4LSqV/ziG67kazxgUQpohRXDITnNqwa6T1aE5TfOeMfUx2n5UnEXnjLl8H
bohDRMVnfmtHQiIiVHTqEt29juCVR3CTDTR1BM7Y5gNJg2kVzotEKW5bhCvkszFdmlNPXh/JPoJD
l2SUzRD3vme1udw3esmHI0bRWhvSBMpPBg5bDJv6uSi3KHjLmMxdMg7JMmqrHzZ+qyaRq6QlbhRf
PDVQMCskGqVPa+eNrfUwZXV33hf4YIQYclbz3snHeQylbTOHmcrelBF0rGTndTM8rsYaA2fnD+1o
hBqKiR7h+ozMhvgbfVs3BKDkZh4Qpy7wYhCJk/5JBFiTQZhMyBaqSsNNL9D2aTQAuZU+6UuffMHh
M7810mHyL4V0cRBsV6WCbWmzHjLdIDu+WuCnqbLAKl6zquWyQDRdb9kg7Qd8bWMWyyFJvsciQYSv
zBGdnPJS1OEa9PJI00R8nRZV0XxI+sJUF3ns6OPen+Gd7RbZNLfvv2Ov+iEGgivhhNVjZffoR5VG
msV5mQ19d1C5T5JN23oXtikPnZ6QSungVOqU6kc3WcEJ8HZd3V6sfugVEJcxt2ZssRpGv1z95pwa
LF9meWiL0oqaAUvlJjGxYYxtsSff5hSa+cZ1rtJ1ICQ2cTqao+vs8tqYfDvmeGV8OZSM34bY8iH7
VpeDrPe8W822M61/3NVShXKNVJqMGpl+Hh3WdBPDX8yxO6SrIno1it+WLsb87z/EVzU8YwFvpaLC
VwIGOa7juqXi89Sr8WAI7zAN6fdSt4MrRWjXibfljQNR+rhgh1CmeW/WP/+l+Ih7bHEScxgODcbY
G5oWNJqMBEgZkqfK+NcvCJgoHCxeESB+8L+Xh1IGrAXqx+lQYzwcsSYsW6SV/qVHWGY0rRz49+/h
a7gbvPfXAx71a7lFsk02TNNhsSdjG6AZjIIZKT6hW5hfsBvuiYP17h2HbblNcxkCnDcnitk37q+D
B8ga6QsWgu/Ry4u2vSTvpB9MB4K/nprAKa7reTGoAnT/RIv/mobJ5dLVrjUz7wzwwstDuTIvhCO1
6TCZRrPXKne8lNpMRo2t5ktIEn4kEpXf1E0szxJOOoKcNmw04Zw6k7eu+dlkG8CJNuT4RCYS7HH9
7RXdOXngkxLO1iXTclMEpFafeMZvHWulFOp8lOvlH91frGBg75RyOnQOWa5l8k35fvYghAj9ON6T
bLcprGQ/T+IcFsQlxOq7ntcwbD1Lu/bkrKMmdk/U82+cEg8AsiODRECQ474iG6zMX4b1kbtTucdA
Un3MFSxHaQIs/fN1YjWzoi8OIGuBA7985oEox9kGAzlIp4edVuT+ba48DCQtDKTev9WvZ9MARy4z
RIIxEKbBc3l5LBcelJYmtnFQsHjp/3Sv1nc2tRcZmUGA1i9TeatFwVRR8lars+FnXTO0q6yb8MnN
uWVEOXpO80mwcapwHgjKTain89VLFXlDH1fWFhag+4OEIudjmbH5RnJST9PSFD/ZdYb5slLaco7+
l63Zm+CmEWak6n8MlnGhnN3aHT7bjq4P+Jc10Z4awmFndz44VmMhFyFdNwXWumG4IE60X2+9K8xl
/6JagWIefbPaOIzaXGjzIZjHeVOvzn9pVaH4n9P51Kfyilu2XhaCqnXwCHbmHT0/vOAac3E5lkOS
btT0pPPYmovveY2tuaWl1yhktA2hy+MZz4MAq6A5sUStR3hZIkBhAfLGc4BGE8LSyxvLhNOZKL7n
Q1dC+8f7S6dGS/A71Rb+Ecf4h1Jv6pA6szq1ob6x+ay7NZNwVH+IyY42H6Zci5MO5XJw6GtCm/ix
SLpK0B3ZHHgy/vl3yaAVxTMCdbi/x15zwi3l6HmzfghQ93iZKT5bldWfTwop+vuf5RvLPtKtVetE
9UX7aR0VJEPVdUtLCuBhgU3xOQ6Y6eeBz6cjBNKucMTI97zR4CGEtVti5xIsRJRtkraA0yM67/79
03nd4KyseCBgni+44LHc0RbJiIGoNx6Kpi4QF8sgCpT5j7kaeJdDHVwzp1bo5vhVrs0gE8IUYKh2
WuzUKLlm087Pjd4X22LsjROAxBtX5QOOOGs9hoHgMVsAPB4LjkTaBx1Tn1DVgGCyCfrd+/fu9Tu6
onZwvQK28XVk/fLzGNpOAph37qGWTn1RIIY5GxISx+kjprN51PV/ym5iPVhxbEjx65M69tiOO1Eu
sz27ByYrRlRR124HXeXRmJTBWS/mU2TM158/4h/oTQxrcL/k/19eX1UneEIYqXcwggnFKKp09DA9
4cMCwM1YZBctte/tFy398/0b+/x8Xi48bMfPREUsZ20WwZdHJvMcGxHJnSUpSz3ZNkU1gaBkkg3a
Z25xd9MyKd+QXgvrXi8R5bS5u2HMa28xSZg/GKlTRkFu/eioEDH6S+uDj5/xLu494txJGD87cb6v
3zd2H5ooVqxnme3RQtkVRH1Ng+UdRKnVWxe5UOQNxBvGDbZtusI9MohVtqHdmq+arm7pjpNsa/St
tuk8tyWT0ybYUsHSef/EXp8XLApYDStywYTnmE4Rj9wOJ5mSm9iEDE8tbRISfJID7r/eqZCgsyJh
wsIxyHx5+bjgZyknZ5h9o4FMHgIhNDrxaYBEYbS9+t5MRK57AvggWpir+Ls8wVYoyjLDINNTSkJp
aWSajyXbHUqsNPN/EEk1mBc+oUlndZ4E+zTP4ZL5MeLscGqzRIF8dWLZzCSLHmbhkC7m1jTaoe7k
0iYrzqnusRlfLl23lhW+fGmAGgIiOsm3ur1sPaIfz/IgGKsHj8QGrC4GIYqw9NxyC2jTfAkGtPyj
TIsbtufqTy/J7P4MR6r6s5B2kG/rNjNv4sXzdnQ01XddNKnEsiOeqo3LxTzCN9CXkFVoeTCtgviu
rp/xmrCUlBdTO8h4qwxhnEP7yP/MWiPX2dnKIon8ypYCCzu3vewGmT8JalIczs1k+SIa0/2Yi6Eq
SPMtrA+VifHg3vPIwMETfBqTcMB2j7FO3KblvlQEF5dp6fJekQcfwpua+q1Zts6VlsQpTK3WVgOM
RbcwTpQNrwByUAUKfN4GSFMAaNbL1wFjzUF4ZZ/d5D129IGrzI1Vef3XztawdLHG/kJ6mrVtBOOu
BT+5EzXa62WLwz/jdky4GGwelQ7ZQkKNHRMMVBfW12pKEa+khRt5KnMBYb3hE4OTJVQj/qbvf23r
L36xamG0SpEEq5weBifmo+t2MzJrBkgEN4x15PXUeONGpq5xkQOL7Zw4T64p+rUTn/irm+1QmbN7
8+XBUKBjfXmztZLPks/JvKlkmty5Pnc3I3Vsm8hS3zlNEe9awsjCumibP1HqihN70nO5cnTRcCNw
moUciV/CMfLRS9NQnIF9s6QuZLRp8B1tm5uO+jj5M9nVeQrYGzc6ifOunQxQskfnwepszIP9Roy4
6MumuxzpidRurGv7gwwUTk7kA+tq01Ie4TRJkAKoYhDXO5UnHYRarHpC3PaGZAsj0843dmMH5wX9
DMXoguX+xjDqFnsyIPE6yiWce3jHAr/CxOvZtt5/7K/KAG496x//Q1QYnjlHPYHb51JJipubAJgW
slZQgY50y66Vqt4SBJJt3j/eq/d7BdCeYTSmqxjxrefzS7uTYL5NUGRu3XSuLK7JOAKKdWK//Cz0
5q6QuvkgGuU8EIbYnZAuvNpO1iPjOLiOqdmWj2dP0tK6juBt60bJyQ5LSyMEOkX8/f71va6QOQy0
Q1x6uZkA70c3tAqqSZmtsG6yOWkusqAkM9Op8rOqAHjK+yXB+s/MPxg83G/OXHz1ezs7x6r6lMfb
q2ZvPQ+aRDpoKiDmsy9vdNnaQ54lg3WDomK+01XdnAUtM76015L796/5rTv766GOSi0Kusq2WS5v
Kh9scmo1spa94BTb8fVaQXtOAQ6Yh4Eu1JKXF5R5ho7Z0uDepLNl7Ao9I+e7GCwiOuf6bGhb4yIx
LaK29GG5ngvDOLE+vgb4IDUBdUM/gDPP/TyqEzJbsde7sX3T2pO/zX1yq9O8DO1eXEJkfRhr/UO3
jOeNLT+OXnbq6Os9fLlSwd6hXqeVdlym6kf3eFSepvd16twsy7RcD4VhkZStp9dj0S8bbCjUZVG2
9YfC0qtvsiw/1022GtnK/FS1uO4DRydCcbvqxXgMYP7rn//yAXfB4C2erLQbXdI9hIanGGTjz9J/
lPzZJ7ciJTYU9dRakY/L3ZMiWrxnkUVRqro5Wvo2MzZiCfIf77+Erz48e8UjEXmxmZhwz46fT1ck
MLChhx3MYU72k+5c+clsnXl2YzVE51TzBVa+3SengDoj8koDhSjq711iZac+h+NPD4EUsjpafzA5
SstjkpjhySx1AZsPdWuKdNPNWltszZTKPShEUUeITRhVOFihLFdBq6WI+SuBh1tiB/1Xn5+NNxP+
7DMMtsGwNovll+v8S9nZVi6YM4W63bksmzCDcRatl/oq9krlhbIptDNZ2s5PARP/isGCkmhCs+7B
ZxsdQnQkLdHtmT/+sIfF/hLobXYlmjUI3KJbCsiFR/kXVXJFzPKkmO59a+6h9ObVJQGCDv5aeW2S
x47twUbSv2i4mLTLBLZb1jnoCtPe0Jiq7FQ81SuflbWLolBArQnN9bURkJ70taFaUdwmdiHN82mB
chMSEI/JYzb6nRmy3hePY2GWd8QGdeB1S9Hfmv1gnVF0lz8yI7chJAMRAxbmQZJGGPKCXRik7zyd
eA/XdeDXD4RzJWgEIgFad+hKx/1EuThNV+WcKwJdPC0Lv+yjcRTGvrL0YW+baXOeGqTem7ksbufV
uxLuxbgxVFFEoJ6nTFWM4w+WLBeGLjBPVlkG+99RjYXTbjZLoZm3GmEimKafAUlvDfdb6oNjdO5u
tXNp3O+VkX9wFu5cM57ZU/EPq2pOAh0CkasY5SC4ePbr+GXVwGnFGZzY1G/LZnAjpJg8gWV29yPl
9kXV6SJs21R9U3hEY+J5ouZ4RVSiqgX1fNaXsSuzgr5cs/qhd2LPrbzbxfyUlded8bFhKOtbwwar
ys0arGbjzpvnN24fkOT2dUbwZdltlDjXlXcupL+1ayMMzC95ne/1Sm5PvDLHLejz+UGYZH1fz+84
Em3y1aQVRundQo/dV1v/fNz64bRNw8P7BzreQtfjYFTB+IK3ExTv6D7Yqp3ID+I+FKEZ4YoSjSEi
lPBUjfdqKT4+zlGRl1lxOyqX69EjI+yidIMh5Gabh1BD/nqv/uNF/EX3X//Jv/9sWgxXEoL8Xv7r
f11nP6mym6f+P9cf+5+/dvS3PraP9W0vHx/76+/t8d988YP8/r+Pv/nef3/xL9u6z/r5MDzK+eax
Y1N7Pkjy2Kx/8//2D397fP4td3P7+K/ffzZD3a+/Lcma+ve//+j8z3/9DtceuIwn+B+/HuPvv/Dh
e8XPfux62Yy/3aZZ0fTf69/+43//8bwrv9d/vvn7Hr93/b9+Z1r0B5RgJtlwiMgOWFsf9fjvP1lL
nXVOwNtIHsTvv9WN7NN//W5bf7CCkLSJ/QpRgRC4fv8Nj6i//2iVUzHYs1EU8tPe7/8+709/rY5/
PTbu1d///ls9VJ9gZ/Tdv36HSv1iFcVBg2ZkJRCvxifOa86ya+K3mtTZ8lkTxhcYRxdkYB1yafws
K2xvoKxdGj48jcC6NIvY23Zl82jP823sN/eD5VwblUayTGdejdp1hi9rvIy7pG8ZP6i9U2b3cJFd
okumfOfGeGGM+bTFjiyIuiY5H4KZdbkATa/vhe+ee2L+5jfOZe3HdzM7IIFp2hxiGbGxAwcvzqZh
50EpmyNRDZ0+uLNy47bSxDZzNWSk9IqNkEbYN+6TofyPQ29dTaZ3Tgtx13jaHTbRH+NqCGs/OxP4
ggw+m/hUPVRV/qNughqSQYNRlEkDCK3jEclkE7Zws/CzsMloqmUeOpknQh3LMTWum00zf2vqjJ+Z
igfNKklzyKsWB4HsR2JMt7CNwWgMh0yNztqoEUchkJ57X8FUawf/o81/7Rzsg9Dv3GB4cZYb3U5V
3n1nTCTaBcLeaqm5g8VJQ8Gv6hA2Q+pUtzi/LgxXTAK14idTNTelwV3RxtVaMeDeTsTibitzEJHf
6DuMVTlnSfxGUXQiEr027vHcOpheT6ahoA2dxT0/W63kwLPZ9fi1jbUr/Y7rZXrH/Nz7kDZjtY2z
KYj8XAjsl8RjXnLq2A1T/YJPhZ6dErKQmClmVzyJpRP3UEe+KCvezrr20S31yzKPSQJZxA02Rz+d
ps1Df7IpZNC/h3Unb4zBvdOD4YPm3DHcfuxan/DX7KE2Cqyou/oxEaIMA4DBAEfq2K8eF4xDNjSJ
Teh6Ga4zZT5GYFdl1HZ5cDbl8xfgXVxBpm/OkPCJeB9KTwuo57SnAXYbwh7qHAZVHZkbmxL3lq0z
Q/LWatSpovQ32KFtkR/cCEM7M0b9y1iK+8Jwzh2vuS/1/hAvw/Vs1jdG42dQPKv7eJlvTWY1G01b
bnEgoR5uqCuzvsQRKo/DxWJy4qbjuBlN5+voE8qGZuRMJ6fBSe2rwIRfFIP8bkQuHwuDJyzNSy0t
DsAaW3+2I89Kz2Ke/CDk4+gXZ4VvbP28uoYayCOI/cNkUwr5o9x6XbwlzwUjHNnvR0/sXWFcpb0a
o2GIP1IJdRHf2AO593tOL5yc+ck0uv1oamd6Xp7pLSGDKzbd6t/U0KKcMK8GVR6MecLQX5UW1OPg
Tij7Z9AaP/vAOW/76vnUFAajxK8/Fal9AY/8vNW4ObYyruwg/THrzh086st5rLBWUfZFqRdngdXe
dMV0qwvtzMmrs9nnrdDs9EeqtTe6OX1rlP9EgtxHJawL5nKX+bx8yxv3vHBmKpnqcWrNS+WIk9Xw
m2sjBhM45bFD0BO/LGewdM+cRE3L59ov9E0s2q+5UbZ0AvmmapOfaqqvcs/dLXF9lfTd17waN406
FVF8VFf+tUJT5zoBiUTIx4+DfatAKCGk1DmLqt1aSaxhDOSciVFDw1teBWVzi6T/W2Ukl+0cX0Ah
PJhJ9kT8wV/l09978Ivd43829/+3GuD/WCn8f7j/4yj23t5/+8jC8r38dYd//om/dnfNMP5g7P0s
9rbhNWMj/O/tXTO8P5hLQwMAcLXYWR1er7/3d8P9A2Rldc6GU0K3vIaF/r2/G+YfdLMwjSFOIKQ3
UXb9g/39JdhMZwToC+ceGq6NFymIzss3uInrbJqr+OBmmvHVhen7maGz6iNjGjKLWB5/+tFMXnwC
RHmJU/11VCAAGIPcADhLR98N5mwI7OrgQIIR3WPiCKBA4Z0A8N88SIBwZ7VIofM6ujRhxsJPiCso
Etv+OpNieFckYjpF/14r6P9tMv+6FA/aOLeFw1CpvbyBgx8LOdj+oRoguSEzTeyDje5qmwRKP9Nr
79sv79Yb9djaGLw6HMwyXhmWnFeytyI3lEcG7IEtT1zqk3WbKMO56gYY3+8f6K27B5D37wNZR6il
WwcmU2HvoEppbFKofZQIWFO8f5C33j5wRCzo1tLXO6ZxuUk3VmnqHqrYD274SwyfJrUsF+XSars5
yEsI3hh0bd4/6hGI8fczAzgjXhjQ3T8GqMp8yWZisQ5dZUkIyhI3OIGKdoMTl0XURwBiINlPa3an
L45PZ+5gSvYjS1wvDq2YwBCnXOzL3Bz8C8SpRrwp6wq7yvfP8s17g3oTkSrrOrzQoxdLykEEuXdo
kLDvLHxebEor24sq3c+eTIvEoJb95wSo+MZTB1UF3FwzUQL05S8POsPpT5vJPFhStZetielm5uvq
BGX4zYMAyUGWex7LHyGopDCM6TxAkqnGIuodCX169NX+/duHndSrTwWPBw6xGnnBEjxe2khDzKUE
V5uW0XO20nHU1wBudHMhfeBxLiwokC4YOYnSo2kMOaFby9iERAgYw9ms6+KJ5iymCqnqUYWdZ+NR
qmoeyV4uOOZtcpnGV65Y/GDDUFQjz3IJ3JtCzeSV43Qbf4Lp0NPbp/0EYzjI2s8gH+1naVeuCsdJ
yKd07PohJFSNuEQyFjsjTJaJOaqJAuLLNEoqtcns87u+JWCPka5xDpvO6reJjlFRpGdZZyKwcJdt
14tnWGSYrhI0Z4d28mN8Qpus+I7JejYxBSCfLWogVOOjZlmfY2XXhExqgXUjLWFNO2pKC6dUQ1aH
XOMT3Bf8B5PIOUkUWqcc9c012pn4SlHreuiItpKRoACvombGm5XvJ+4f7bQWGsFRvfYTrfP0JPPc
Ju2u9/INzrr0Ob7U0lvuY3BuTnUVnBtLFdgRn1hy6YoGG+YGM5s7HaZuvkvqPj6vEQFqVOtmTRHu
pCLBsqlR6b5ujLHZJG5XPPmJhUtZohkguZnol+bKVBmzrIwlbAaadJKM+DqpPUranmKDwsA5C8Bu
vYt4sJW/m6BXfqtjN8OgNIBzuMEyxXJD6ZNtQ39TB7cWFIBPSZWID03FEaK88Mq7OncD+klc0T+z
qSR7fjttm9+66sHX1HDl+yWpq8Iq5Kdl7JxLoQfJ9zTwqpz2NK2NvSun4muddXW+w6ZnZKhsT8NV
5ncjEPXYSiiBS6viva4nRbupGOMUmzRQ7YYwU5t4TZfAsJ3nS2FsHDepv2fGCKZsaVmnwapR7Y+q
i72R1sVpPmBH3edAjhN+NkOQWirEiwQAeV6K5KczTllG+9qSSZbUcv6pKzEQuNx52daaCvOLR5Nb
bZY0n3K6OD8m508oS5A2bsQfmmIwy2uhlEc77qhGbbDTUrd4fvZXpANaT7hXuDPBJYa6NJNCfWjw
qTfCejBn4qeYzwrkQ+miQhD2EmOKJSj6fV06qP/ItDC0Xe6sMozAVrZOQIGEQcgEoZmYXww6jVdV
84npEg6CMSoz3oxBM+JtlEw+vAk9ZezBRG9AukJCvNbpfDedcHQaDncNQS+RweXb2Bqmn9lk2MQO
lt031Yvs1lNeVURj7s5uZGqD9V2Jufxsk9N+KKwl+wHflTykzMa9aJMHTXHeTLzN50GVTh/ExKe3
z2q7OR+qRpsirrX9kZkr6L/4TvVD1+PkgTPovpCW0wPD1ot3MZqVKDa+0QTfgtKKnXAepdtG6A0q
SeT1MD/Edb/gR8i9Taia8IXcMIvSr0sSu79l9qKYgk9V/jjzGID4jHq8M4iX/OkWWvzg1/4a4anM
5FvbGfb9BKxK0mSQ1x/zOkG8ogeFpiKnaaAPmTY7IelO+fTJ1xysobTayx5iLU2vzc5M68jSYscN
PYJ2XAwvF6LjVSWsZNPUVltvtMQj4tcexzu9XN/BSR/u8azQkggHdBT6BolXXMEkZj1KFlvdG5Mb
H8TclsVeZB3Z1wv6BMLoGCB3Ua3G9Fq3MgYtWDg7xDV0o12C0NeJH40iMfJdQd7Ik5IDahAI/RjK
EuWUBBtTKrr+1DTVp75NyoNq5jmNMkczrpjs4YbljD0RhINjCvhAWoCusCvxfuc2jeWh4L0H/PXb
Et1wbzufOlVpVoRIcflsML8gzCpXxfm4IH24nljJ22/VIJsljUixjrVdUGsGK5BoagDGyG2cKrvy
pUxQPLEc1+SjKKfCHXXwpLJunUr6Mmr0zvzQSxurglkjFmCjjWikLzTM9LrrrixQ1NV9zZfrtGYb
kKW6knjXr4IQM+x8eCFgIa2bXQJDpDXVTETvkpXbUfPMS/zlvacacM3ellO+7BemUElkZwLnmNIm
nlGN8VieOdmoX2o4QU6hjifZg3TK+cpudX8M9cUd62iwXO3PsdC6+3KM0WV1ExGe2ybXs29DVRWf
9LocH7FlNR6pv5n2TDXKKwx/0lSdD3GS5hut6fCQ04RvH1ozTeut1TA3MO79rNPvxCzyctPOcNvO
hD8l/XbB3FWPUPYUaailcp7ClKFcueknnON3XplbfzpTbswbzZPFdLbmz+fR5OWFGS0q1qczBIwg
KK4vAXi6KfEQEmLzvp0RjY+RHgiAnfFZvzRWtviS5z3WBWYfVF9i3Z/7cPTyob+MA16fjYYPUBHW
9vpm2a5wyF2uWtdDRpfGLkkioxlade1+n5hR19vYVGQn2kU3ChLvFaZW0u1j9FmzqMbdZFczW3zf
GUlouUWrbfXcTpOtPQxYj3f65E4hfunxT2uybVBGpHxQ0iXfjiHZiHaUHiXomRnDDKSakVbkBcC8
RMY4pOp5Ffn1IJKKSWIxLm4VBUMzGmFGW0FkAOw3gQCVt37rFfFgbmhQC+z1qjIRUa6lbPOuhCx6
DcCierzXlD/u8R5mp3JLH7foLK5d7UovmzG9mNgKgi3O9vl0XnWN9QWVr3/uph2IBw7r8qtOqaDC
Xp+TOHIKj/ikkXFoHNVaLIO7Cp5I3X5cDAFnp6okrObK8L6ZQo1tGAdipj5Zei3yjQLLxtCzqpKK
SRV4CQvRcWWLRcsQdsasfcRV3piZeFu54KG4FA6WGmFE46Ro67tk6OFisxuRPy6GNYhXejYxtJ2F
Tni1wjbURlqx8QQPcxjOzLhjODkxz9ub6G+nT9ls5dOOlh0gTmtgWJwpI69uXc0a/DNJQq8WYQ/u
8UNd0JjjhYTIkH6O57gIQttZgmovA5zio4FNpN6VZEmT78mHYW9apl9T1MnMz37i+IqckhDj2Gy3
hHR1+l6MiQDHRCXvBaHJ8H4qdgO5i8XHOS+uGpyAL8bVWIuRrC0H/CYqyPQKIkbN65C0jx03uuAU
0G6HTEKchsDNCaEssH9pkEQ/G1dD6+Zj6FKpDBE18GBEPShWFS5guGXUYxH1kWwE5AFVvJSfC5gD
Acj2orEuM01L95NGnT35qXY34WAkL5Eijf15+9/Unddu3Mjarq+IC8VMnnZgqyXZlmXLlnxCWA7M
uRiv/n+omX8vNVtoQhvYBxsYDAaTqiuw6gtviN2k201pFD+2UWenx5c4//9Bzen/t77TXNm50HO6
h44c/TwpO83/wf+WnSznP3PfCoAOVQngViRZ/3aV3P+Q8+KIis73TP+fcVH/Vp0c9T8zAB39CBo+
8GBme+D/7Sqp/8HYVqXGQUcJ1Kmmvafq9KLU8t8yBjhDGDYzxBG1ErD8SE2d5pm+XoRijF0EB0ht
Aq/NBajKoI3r9nEwJN2bborLRHoFWPX6TgjO3r3vOHF85ca1i32xCqwl2YQ66XO26/Uk665ifNML
gkmMEkD81QIuglt8C4PIMTY1ANlxg6JPZO4LYB3WZyIc3/cUtNrCEhBg7tQG9iZ80o2H7gBCalsR
W329rxDwvTenTmi0nRUcc/K6+eUKqYx3peLG11pJ3LftGlFgPl1ElnFwg6oXW99ozUe11SXPPTiH
bCd6A7ty+NHpB7MHxg0IIrKwhjAkQph5m4PdtSI7bLw4MpN7vBu1hp/QlakntE61jkKNp9TwrGZk
qVLFnTM+6dbB2K4UHk5LTP/sjYmYnUMPHNvCJZejUvJOY83smAuOFPolB2zYkNK9yRIenrVqzLzX
p2cBnUrOGt6G/GG8yMC8QiT4UdBw5CSirrGC8Dh+oIHW7GIrMPpn1Ce1ejPJqApvwMSM6a/JbdSv
ZDrN49g3HIERntla7eu0Oz+jYGFTUtDD7GqmVeozkOPVL2oCBU2ZIFejTYNftLszlELbtcWkaFsz
1nvs5uI+xCs0dRtrpwGxKvY5ioNrP+MFGfh6ZSgNU6KiKguUikKxOVc4Xv0OQOftpKQ+sNPQlynR
RYS4/KckT1APwDK0h4fnKz526uCok5shQMJPqGm1UwdlFjVI0CD6qQdd437jyDtGcEgxl61mJAwS
a79Vqfv2vQEWKfzS05jy50ywKc2t0GRv5iulvtOiD7RBJoJqE9cKslfIFi7qiSJ2wjGSZhnOsKfi
xwRSMttboHrXTIdPC7LzQCaDzERj0K1YXCyuFjMH89A3fsai2QO5VZWoo/0xLjLH3ubZEI1bwu60
XZne8qNh1Fn/UdCPh2oGfuR0qzIHxfrcCnGapwQcoCdTjp5uFf6ujt16pUh3NkNeT6RS+Vzo1gPi
mf/5q2MR6MJNSVRbyDRWOpQ7lXqJfyXHvHOux0qa2o1s+2FwV+6F04IkC0srAhaCxtcBU/PMuFZC
A9GzJrCCjRHQsx/UJrnLfJgEmxxPim9YlTeezKzy56tXbbXi/c+w0AbRmYLlRiNk8TFOWtaPZAf4
QRhigmKhmv3woXWcst3g4Wz8ujzaadFwHg3FUATT4Huh0aouceg2Ug3dNBEHEvWghkwB0T74ra4f
FD917/DzEPvMwoMzZIFXjtA/9MCT7x0g9kz9V21MESmKLzbW95NKi0ijCR79ocyDbeIaTX7f1PmE
DzVuwo27sQJ+N7Jjkz2rFgUJHWK1U1LSyaREGcPfGI201HBbJDVlF3uIu/zD2M3CUyJvU+1TNShW
zzMJpiAe0Dyaiom8GJOQA2IrTva5mPJaejjDjuEsrUDV476UwproQ1uK9Xnyu2j6q0dVafZXorGS
Ud0AiRXTQ4X6TvcnENUUPABCIG/dxKMTJx9IlTTjY4TXZPU5dzNr2KIPUVjxliZxYN8kwh5HbduT
X/jbsU+L8SMSLkZGJEmNdPSCKdKmdtuqeQTsSymkhXE65GejRGnTdtOHcMK8jUA0mFScFu0Q8jkW
K8P02DpalO4gCkAVNpIysIytsNtQcY4QJ3sEjwOhhx/rjnbtwRqLzLji/xG4kxcqQ+F324SR4+c0
D6V/S1+nTneJpbpcHY2wFKf4GNoxrfUjJ9ceIBkM5uDu5NRlVCH6UFGSgtRe8819WmnZADxapeBh
/M3JSfr6igpqqkS7QqdKqe1zxaggaba6PxraJoAVnGM0minOHxfTz/aBSkYy/k0ss7RJR4rQLp8V
s5xb8JRcK4TlUDmQe1ft8T8hsrHlzqaWH/9x3TTNrxXdJyaBDBFX2q0y5CXaO1Ewwc2nAzT0yARJ
hOQ3Rt+0xVaLnTz9bmiT2pOs4qFzrVH+c6/6oMel0AxK2R3DvFOUj9aczdGIz92w+RLm0ZjfEbuU
f7OYCu89FYg+tLZtaaoJnB2bNg5uQ6JLN1YyjOIDUSHcp5HiiH7TDWNTeDo1QYeDa0XmtSNNwqNd
lMM7exjLergKXNtPvLIwSGprdcbwR2UW9+Z1iLbQV0xZVRJQ2edY5KUoFFnTs0NyScmyZMsw30qd
Am005Cj0XN42lYZH16HMI/r1O0qr4YRGbGCq+0mRjb4V5Js3PTQY/TBgIZYe+5J3BYagLaPWCa6d
QDHtam/jJxN/BT2Wtd+mMJ/GdlvVsQiPg94oGDlOjpoNXqJRf8A9RIhosjfSpHb6HUSsIa6LLuiQ
7gG8YU0FKkYp6tOb1sjpz2zaHuPEXWAo2ZyRjtBc9aGDaC9LSr+A+5VEaHeONbKym6IEZ/ys1YEa
HdncEIq3r0qxy4I60a61xCQgFX0/xD8GLRaOZ1awpj6WWlHmt9OIjcIHK2v7aIsmuUKlArmayr6i
ctINt2Nhq+HB6VHV+kA7Ooi+2WkE3P8DEKHSafZ9HxYSxHSfGcOxjIT0nee0DvzmwY/w54H7j3s8
XdfQ7mXeAejx3fCBAl4UXVlGU/aATmdXcRzjbSQbPFQF4QJ9qseUfHUjMmkXnwvHGRoF/I3OTbGZ
fNVIn5AT0uT3VsmcCBi0oopvmd2K9sYWWTEclVqX/gecdeS9MfSG8QvBeztdexBP32EyKCDuXLbk
L9iZECcuwjMf74dEcXzbq0alArKdNMcmK6rdYFfQ2gd7zbbrfDxo3pCkHF4H4u8X/uSrdx95DUNt
u9H1Er8Pr/KwaK4KWxTAZ7mkp0lfU5k4fQvn+YEKmFXxoScTDgMkPIkzFFxwOtk7LrqKhbPlNA7e
EHYTqAC/uXVaR90UNG53iqUX78sJXoZGnheHETRw4CgZi5ewLYgr4HGSoIHDCq+p72rDFmSRf0M5
pfourG48poAWTcqKNWypOOszL67iJoE3mavvQhLMQQE8IpR20E4HpiGWfkBqQFcFZVj/bzgG+nXc
qhoIr0hfia9Ot5dR4L7C4phJYACCQfOcLjfa8LGOPGz1ty5QrNokmENR606JKw+Vnrb5DJD07ZWg
Y5nqQD2Y5VqBLmk2vI0lgsnyx6EsbOn/hbniwPQ08hwBSU1Q5CJH7zvocCgxbmUtQaTzb8sjerJi
fLwcdZ1PHUKR7oKkQjjBhCh+OvXBtCrf0cM58AnBh+uHcgjqrN3m9NDqDxX5IWUo+pR6tTL95RGf
QTaoc9rcXC+ElTlrefVJaQh+aFplGFd6F1n0TMJhlAe0+tR7GCNFeCga0H+TNlH0lJEZ6VeX532a
NczHHOwPeQooH6DgSACcDq9ogdUiDWeDdVDFVaprFdSpPvzo40Ox5jzxxlgUdjTuCOo4oIIXa4zX
3qTHpKkeMbZ7GxBpgekzkzuKfsP+vdPSmBXHibOMPNhS2jJtRdePZqV4fRjY4c4Z4vSG2mQV0VCQ
5Qqa4DQtebkqeGDxqKVoZVPrWmReoxZppome/QETE+cIlcPdhmBxN1rZ+lud5p+1KWJFX7kS3hgV
XCxpCchsFfj1YufAEhP86obipWYqPxe0mI6WNbY7bRDal1Rxkq2qdGa9ckUsqG9M1sLQQ5A5QCUE
kT0X/F6fVye3CUOQwTgU8GrEIYtB95OvjwU4UTWzPBfjOT/YYrLZTvs0LbNi24z00DcuJLFArvyc
syNFaQSPYH4TGDZepcWRCtrOD0qLqKpFZBzuVIuN7beurajN43Ii37vkLxcVCa8BSZidnr/lV98q
fT0VqcimOjhO3SHbniCYg1x0j9Bkku0cO2t+tzR13+cPzpJjDoMgA7cSbxG52WJYo8OzBtOE5oAc
uPgS61p/L/IGxfC2bZUNtRtrbcTTO/llRBcVGQolJNtchosTLRKVbgLh3wFs116rs+BTroA6yTVZ
fudQPyJ5kt9nMgDsQTj3+fK3u7wR2UaKXnxOlORmYOLi5R1KlDAqy5eHEXWAn0mKoGISFc3X1NDg
qOQNBgBKae+GOFkj3L9Y7fw3/Z3njVMDLyyhFOUucImnG+wHGHaF3QD6vA2mAxqV04Yuu/urnrrh
OEYGbZ4eiUZXxYAp7dr+ykos65AIE5fZyFE2WgtuuqVlskbNPjvnHCPkZthKFJy5ahbnHG8AHgdZ
jwelGjoMJNryoDTTzy7r1m7Os9VnJOTsdahrLpC4ZbHDjLAoLZppPKRRjcRprolrIFnymGDh84SB
WnML3NHaKDZw4vde2gw9U/oozTM4HgWnq18YYD+MyR0PVNWI8WiNJxs9DX66rO3vy2dsAc1ip6F+
QQx1kft1USBc7rShNOjzqr16YAWafZuqtJph2BywK0mOVWo12wLayVZzquDj4I7qQSIwsXVELb6U
kNW8Ka2+G5kGL4xEbesmavYhS5LwT65Ya7fO6Y4Qbc+qVUwZMBwfP4Xo02WRyHIxEMLZZoSF1HWq
DMb0Q1FShQsg8JNPdmk391kn6O8jM9i/zzaIqx6BakiMCBLynCJEsfgmkt4ZutQ2J69HB+KYK2X+
2ay6n4kadih805Zrwt69zpVoTZXo9IH7d2BggHAW4QqKl4/11W1rZs2QWANqN4gE5b9TJekzYKC1
GLaZbpcoeBlW9y2iXfRw+WychoLzuHNCRb8K4iZ6c0sGHsLTRWDXo/DayNEOFN1nHNugHdKwYKeb
/t/+4Qlt7TXB6c3x2GM+bJIrqn6n+1uO+kCxh1I6xMTmxp6c/oMS08Wpp/g5VAexcr2+NRwCrYAr
VVpfhEmnwyk6wC4MAIQ3WyN+ys2arE2GrblpScYpu0FrX3mk3xyRci2YcYAP3GOnIxZSdyOV6N0D
QAUZxq20w0jZcK8j/oAlt1GsSN6fXpb/bCD7huYlvHSNGOl0vBRF5ga+BQtqRPiMhWN33/N3dp01
Ov8XQyEppTEYoRBMudOhkI4hfNb8aSZYhPtmHBV62wWaAIk/+GsKKW/Ni9txVnGeJUq0xWBS7YMR
ZLfqxf0A4toMHcCfdYmVEjO8/A2cDzUXgvn0iGtnRfHFmcx6y5rQXBee1rn23g1d/BVMv3pImsp+
V/Q875Zlknhx6YMVOI814OVkJdqLwkusptybRmvsaqyhtmFPti/MsNhzvyTe++dHRj3vHFukLr1L
WyvsRedIqGdQrtyN9I3i62D0SIsTF2VrD9vyBmeK0CSBG7940iAtf3pKNLdNurCLNC+yFVy01cIG
7QVMxonlZoAyV+1SOH0D3Kvc9L9UfS3TaGXC55cpFYS5z818YXMuKzdmgtzJ1LWqp4GWoD2XDdu8
TEuvohCwLaEI7Y0pTt+/tXOmx2Uz6+GignA6b3tKM/RzGLSyQHLOJYBjwGt3M0a2uq90jJyzdqzf
/UlSx+DDp0DFqymW7tEsLmQIddBxVbIeO5H2njrmQHwzp1mRDHprTedAieNLv8Reto2VBm0vXYGI
KHSCcS1P2yN5EzFimkyHTgGcqyuluVKYeuPLROAVrfnZtZ2kfVEviMAPgEdtdF4nHMKlhW19W03J
VZOCurv8kZzf22wZanngN+aG5vLMRDqFXMUaVS/KMm0bRor+sbej/tYflPA+1bJkZbw3psYJJe7D
gANsyFJOJENXQunRgfe0ItB36iSHOyPMfifVIK8uz2xepP/G+S93DsfDQVaWb3KWCDk9mPSOUFho
R6SN3Eg+ijbPJP4xeXx87zBUHqja0UnDKQotiNNh3KnBuicPVK8RoQG+s6DEtNUKTf9+eZzz+4W6
CogagiSKSLwNp+M4rjIoTWyonsBxcCe5iLyJMvBvHOBK7BSgWlLf6iClVmsF2vMjMkN1kOZDUAKs
j7VIFCdHkWkhJ9XrjF7x8kr/C/7culU67Yk6orW7PM+3RqMySYPSIvlGv+B0njl5gxrQEfIGPa/I
uGx0syQM2y3EZvu6ika7eeeIc3XdQOiYog4VOgLC0xF9JPQLrBEk7TE3RLlL/dNq9vVgoclFG3rN
MW35ATAazzqFMUAvwKKWZKRczcC2IcGyb5VOHCtiQtS0Cz/dZKkD1/x9i/kyGJHuzBrF72YpimmS
qhahZLCy1cIDWF6xS7K2up66YNiKslhTpz6tKcyVZSbHvTwDwqgyL1XYnUjQ3u0MuR9UaR7zoBw/
t4BHzd3YZvEN4zUf/Kn2j1pjmY/8VfXO22UeHzYZBDkKVzPf8HQrm4TQqY8VuZcBQpvUU2NvpL+7
SWS95iZ4to9AMGaJFY4jeAxgGadDDW7ng3/QAU421vjUxWkZ3pUVOprXWL8md5f38a3BXBQY6Noj
3goy4nQwHcSarkYGYVKZxzcY5qLVVtAhlS6M8XcPRblxLkWYHE4kuE6HGmCeGZVllPtJDat6k7oz
al/xi4b+X1/l7yIacmBUJCdQzZlzFUZbsieT1vIBgvHtBbTUPbIk51sCH20nERn9cnliy5f8ZagZ
PMO5INleggFjG32PyrflPvOlvLYa60hqYeyR6iYtAm+7LctpTaB/SZqe50fhkriXChvHZXm3oEAe
+7Tom73aVOOdYnJMNqFVy6upp7/rI1t2Y2ut74GAE/6WUt24zxQVXG8nh/xLmhvNsYpddY1O+sZa
wOykcE4ezNN4Vn6D/ZKrNr18zbByLx8mXE3A/Y77gC7VlZXVkVeXRrBmzXo2LP87BHpnFbE5bdMX
d7uMEXQHKdLvQUuMYP0AFRo1FBAwW9NRyJqigypX3uezT2cec4YZshNkAkujSD8YlNndrd8bY5r8
jfTW9RrihWNRiua9h3keCmUV2MBzA3UZcehxW4TmGPX73sATDeESfRuj1YA5APjpy4d5jipeBzcc
JuI2yrezlxmX0DzrV3WTaJqqCaX7HgtrxfgY2zV2iHgBrHwyb60dWRsh1JwiAu87HSVEDUzTWrvf
23rVXQ9aUnld2CjpplGqtWztrbMBrdCiOAJkmHf4dCzdlK1elcGw1ypN37kmjK0KsA5OKCibqAl6
Bmnb5u+97Obre0bTzdMjTVxULSI/GVQ1bod9G4fBzpBFes31M+5VSFLe5R17Y340cbgKOPv0dpdx
jVaOMm8dSrm9Nuq/HV0M2TbWcx/9xEh+LQwxHHzS0ufLo76xgy8wSPBmc3nNnM/Rq3OihSKs9Vrt
95HZ/dXbAvg92BWKa8a4UnJ6eyRQkVjLUBJZ6k8aWU5Z29T5ziIRXGEFwI3iNu4uo3++EtUsQ2EO
/wz1/z9DLa4R2w8V38hH3LqcpET6AhLppiv9ZmslCELGox/eKV0Qb5W66FeSigWpmwdrHhtoOshI
avUcm9MFrWMHa8526vdSuv1GEBIf3SAI71J7QGWUfAluL3RL876wLHfaWM7o3onOHz6Jpm5ueCji
4+j65S5BeY9OcEkHnFRWKCtL9Mb9QKudd44HHJuQ5b7jMgvSgiojst3yr5qn49cO+vLK9bAM1ee1
4DkFugFgk4R8EQJNVppQtmHLm85OrktuX8+pff3W6UJ9rw5wPS4f5rPoch7PMi0qDSQHaBafrj2Q
qpJLtWO8ytA8CHx0mVG78yg+YXrjtI3H/RFsmx7Af1oO+eHy8G99wTq3Lrky54DY4HT41pgSPMgA
slXIXH9QK7UTh8Zyhg92UU8OAsFp+0ma0jRWhGzfXGYSS6ATc7tsidiY1LSH9cuRwxWv3ZHROjeN
tOFkZ2m96xJnrRnwxhmHl4i45vxM6+RDi++rQ+kxmiy125coHSEr1VjxHyqd5lfYEJDMu7Q2vBEM
7m+Yid2uRMSt2inCqP4Uo5o0GxGWKPl0fir3nRiiAuqZBYvaGZyflzfk/MrhMJAkUnpiP4DNnG4I
JLGMWnTXQWQmKS2npFT3Zq0W6hb5Z5jxl0c734Y5jqB3SCEI8+GlmB4fm26VwNv2aCp2G2Ar0xP8
DG4ZX4bMVlFXLtS3xkNZgLNGwEqnYvF1qWU6pd3kdPsuSLoeYNTopw8FnlP5pmnhAm8c9qlYGfSN
JbVfknwK0LheLy1j4J+OVSvidt+UUXKYaK99FwFga1xb43h7eUHP7yjE6KgqkC0yTc7a6faBoBud
UaQj3uRt80frDB28sN1/vzzKiwDDaah0OsxiHRujr3srmsZ9Bxhq19gyfFRrAW0vJUL+W+mNrXxQ
dZiFG3oK7XfgofouB4C7L5JGP7DQNMUv/6SzRZ6VeEh4qKVQDqckejrxlPxOL4gTPNVvwl0G6umq
CH2xGck095eHOjtElPUd0HWzCglh/vLKDKpg8pOkNr0i6to7MGXGPshEib1plVebMWmHlQfyjQFV
ARWZVM6dTXjmub8KOMI+QT7QVjXPacz8Fk1w85vuwOlx3ND8ELazUeblGZ49CkRwdNT4E1U4lZU9
HZDMLZX5GGve4Ivik4Z8yj3KDvrfwICFssnAhVKUE7RProPWFdkVhqjTyk84i0fm0RFC5NKc1Uzc
xQkj2HP1NOk0xCTC6gmf6v6joDjwKBpZjNtkiINd0woLkoZWrZzu86PEWmL4+cK04xtaROh22LeG
b43I87VwdzWOeLM3dbM9IlFvuCuH6ewBZJ4oxSBBRN2Ddtji3Ja6nZrGVGpeNyj5DvUL5Z4V/ZuN
QbQzodVdpb3a7i5v71sTpGfApwnCSwesebq9ZinKnqdI81ALVW6SUWn6XZU2tvlYBNCmV57aNw4T
MFBNA5tGdnVWeMe3UjGNXuoe2Wu0M7RxuJkqB+tCVS+/6OWLvHKSfuggrm1SoRV/Lk/27EbkoIBF
hYJFT4OobV6MVx8PNlJI+ZWp6qH6nCEcYvtH6K9yZRsX8C6WkRiCw8o20icC0LYIZARYzazOO8NT
BuF/R0YC82lMKB4bSNnWTrY+GV4SNmm4R9x4KNFe0bofVJ1tY+WXvDFfTIkQtaKROxe2Fj8E5yCz
KemNeUMSmN8q0GbHLm3WXB/Or6QZaMTtAHWFYGH5cKOA4siczMzDF+yvoUEuQoWCnQUxnt36Dsj4
d+8i77VFkx9RJULPxWeiJ1bQkZ0YHtHCr9DRtZ2JoMTK0s1H4eRVY+OICfBW4vIjGF1ce43CizHJ
xvCM0QxQSilm37G8uXI1maw8V2frR4VhVh1jlBk6u7QVxt2I1A6eohf1YLU3QQA0yMqd/E5tis9+
DO368vqdTY3xOJSz8hjPCE2i06+A0DaSNl7hHM/QfxDg4nbA/vNmZ9Rw5lc26+xOYzDbBFb4UlYF
fn06mGJnRtHgC+ghoDl+mVzZPGTpBCxZn8JrsjMa8cU0rUQ+bww6144RiyfAmx3cTgfNWqWGycAM
AXeWt2XnCvTWbfPA9WrtEfwZdxJnoPfNlMIbNE+OJKUpNpGix+mgTakIzJ2F9VRG0d+4B5EhDMB3
2wwy3s4eOvktpeT9vqD5n0Ed4EUwbtERXBZdO3VMcZptraduQKjOECGO7+g+DfdU1Y2NYybBO+OB
f0akAsdJ5bugb3U6TTcogrQrc/MJBvVU7/Oxnn2VkLPbJDZCQiBfAPfpsUlIXdp2sRWwXlYM3Rbx
wMtPYKqz6NuMQVuWzahjSZE2TFrkMj3ItGuuibmL7WBXQGMSpLeySM9347Dq7bVQPsdXkk0mV6DY
w+kC3Dh/y69ekFYfkWP1A+cpGvyk/xDnnIj7EIuAaeMkptbuh3xI6o+N6uvb0Wodfd+VI4YEca+G
Hwtz0MIjbCdkjC2/nf7WQa4hJiKkleMJ1djq8AsAhWxx6JGhej+1vetsy17Yt30WA+y4fA8s7h3m
QnSMHDWcBY2nSszL/GouVV20il2kLGOptRsstdAODgcjbTYtokQf1dZfYw8vnv9/RuSbnKUcYb4s
m/1wweEzKab51PVKu50MRT4Oihw9bMyza9iw6lWji/FAG41vVdbh+1ANL8PD8SHtIr/ke1nEOqJQ
pNGnvvXkdmF70JxC7oLQHbwA+Qvv8tq+fO2v3o95LJThgSoIKtVzYHW6uGFpQMUeSuvJ6mvUUFqz
HegmqbB9C7o/ctc5LWIcKMB9sN0ix7GPz22v9XrvbtKoLIKVN2ZxI/7zc2jaoXA5hz/Lcwv5w+jS
UbWeKmKNz/DIK1pdY+rZYani6xqJg53CuLy8CIuH5p9BWXAYVjM5Ylk/GBwFcYRSWk8+Re6DVYj+
ObZtFOwavzDe1xv4dyyUMgid4VQbi8M8+pbe4KFsPamFFn/rR7KSXBvjY1MU+crenl8/897OGQnQ
V7rai4u+cs1cUdj5p9TqkAQUhr1B6wBHvaQ4IiSsIIbVZp6GYt3K+X17YBz1AB8hhLicY6jXnWZ0
pvWk9BR+h6jLr2w3szfQTIZN2Rb7rq9/+qaardy3C0j3fOsRsDMo3Az69/TaTg+z2bWRaYRV+sMY
TLv8itqnq250J1AfsOAQ6aYwY8f0xkwnKKvQXrLRfUoTFaZo2Wc3KIZLDnxfqtmh6fR4ryuy01ee
/Dc+OOrFiEQC7aP3T957+hujQhbUfAf9B9WxH76fJh4q9OGMatB2RL/jpk8UY2tgt4qxCuLWCEi5
h7hE+uG9h54iKmwK4g5a9Tj6nP4OGYmmDcPOeaJWHV6rshvuGjScf469iY/T5bHOv2pAvTPglRM/
AwMWlwypeQngJ/KfkjxF2UrV6yPip1gyI8X+bVKBfjdDvfZVnz8bBFXUVki76Y4RBJxOMJ4CO0VA
LPpRa7py38SJ+9T6NnVJPzRaqpXt8PvyLN8akJrg3GKxYAEsQRYORkc4V4v4BwKM43fN15o9eunA
OpCEeGyleL48nHp+bQGdp6SP0xc1fqospxMs05gOhG0HP5CAKq0vRZYAUVeBAiBtHwqsj8vY3Cup
9rshfr6p9SyUm9GW6qEMHX/foWYZw7SN2tQzexl3j2XeTCtL8sbGk82R1lkzwYKg5PQnju4w6pHf
OE9+bZA9mwRe8SBhyZdJ/8vIELyrw5gH5vLKvLEwM2yOJI8WFHqa2umoCvC4SR8tRkU68ZgViXaL
HbH5KJSYXsvlsc7vOs4WsR2QKDIVurCLsVJa+aE+xT+EHaHxRS36kNVNuskrG5XRULT3o9rCHEia
YeV6P5/l3PN16N0DB6ALstx+GfpNjwz0j2kqIHCrMQ5TfYNj7CbJjFUR4zdHo7QOXImKAT2BxTxz
hGuRwEl+FDPHYpvLioJAaeRZdQdbKJd7mqaIJQapH6j7FCKB/XPokuFTadSDjxWoL/6Ktnbsm7Hs
Kkq9Ke7RXxPZcE4vb8jZD6U1Q8EWxz+aATRpFm9ARIcKgqkMn0GIYWpYtAgpECWPGBaA9/h6ebCz
3Z8jFfoOM56Z/teSkz0liMf1MUYCmBsmt52VpAcny8yDwvJsukLRH2orutWbbg34enbXgAAErWkS
n9JMpeVwuh1hPqRZhrTIz5j34WeupdNN15XD5zKthp+xlawRd98eD3QjcfiLfczpeDK3qVSjzvrT
b7L8SsNk/Xs35Ok+b1t0awNVpCv0u7cGJIMBCQBaZhZUPh3QxvYsivzB+DmK0vk5dYN1l6cFulZN
lO/0zlhDACzbA3Bd8OxyoDkiw8IRX9plTSod8tbUlF9OVreIH/UVwqBCCzFp9JE5vNHrMO2eEfuz
TQVFilIW91FjSfkl18cq8ODtFVytOVrCaw0n4nEmexKkzwy1F5IrfufncU0jgAXJIet+ISUUKohA
uQ1eomWTNpG9xfYB4ehbR1LwCRQnnT4ZNdVptEUbkjsFcUb3YxloGWUTCJ27QTWz/qNEbBS/UtsQ
zVWd231+HGDDAfPKh1xckyGr5tVEMTBCZVAVnQeCPlMeJWrk+hanVj3dO9T3f+nECkgslZLovO/U
KL9P0qyxwq2Ca8kY761Sr6tqA7E6fnBQsRgf3VDaT4A8BJ1TIzKeyE9iZLaMLmj3sZun4bZBa/M5
lNKONmVuO9+VEsGPWeYsoGSAdEd4V2k1pQpZ6vynW1OQjPg7p0Fk5VgElhnd23Hc3vuy9ocrvFOy
L6CNwhGHGsuIdmNsU0dSEEa7GTWpfUXgS6o/xmxya/yckyz+hDHOcGPZeAZAxbYMrJUBnWQP6CUL
cUQaAs/FDYrcSr+jahNj5Df4zrUR4Cq2sQOlBleW1gkE2Qgp3SMCsmH1p8l8QTZRqfWwsyatuI+T
HumxXo2S9BbDWV2wfa7/YNptk3uNWozWxrQS4/voIO2yi4oyaQ7+GCi3fpZhehP1tJq/WtUYin4P
TK8EB2j5wGnCqyIJQlSmocg+TkosjF9JSHcWVDdacx7So/pfI/KnIttYhYNA587qx8hcw7aeXYt0
xwECzMEeFGmuqdOPV3UDXDpLMf7iipCHMO1bL0Jk1puzalRedHsHO7vaiahPVlKAs5FRGQQXAMse
WDmScotHsbD0ts7Gzvht9fi1eVrbKMEODQD1s3S74qHuKOohvAmQ2T3gI5jQRL38IpyVDgg8KKgD
/qIbhbrC/ANfFStGJL/MDBP6v3IcrOCz7kjnUenViUAsqz/1YR7HtBL8eh+HbfbA6zSuxPVnIRfy
GdQOXlDapGDLtU+nSs1JXJJnwnsVWmtmBLsyH3N9gyrvRyWfSmdrNljCrgRdywt7BtrPcd5stzcH
3Yt3N3UqicCnsJ5HRbG8ahqrY6k55QGNh+HeNSv0Di6vtLG4FOkXaFT2oHxR4FKdJTm9TdG78e3B
fQ7KyJ5u7BGtH2V+o1fQJsuAgiIQXS7amLY5Z5bLrp5QlHLilXWfqRQhXD403VezCLI/Wtma6rsX
EeL3HE8SvYCO1OZFfnV6EO72R4S7/WdRFNNV3EzyuokqsSV8GrdVVxcr4y1bQLNZycxExAUaNjQU
4LNdi9I0cgv32U3N8LPdud0n3ynHXSd6eRxFZAdgk6gZZMBAj+DyfsIKV64ub+RZSvzyI1AGIY7i
5MLLPp113aklmOfUfc6qVqt3qBM5m4gI7yGU3Xjdj46xD604+YVmrv8HT6r+U2rmItuYmFN4l3/L
8v7456fQTUEYhJrxrGP6egPSvBXDJDv3uXSd1jq6XYe2Q9dOToA+fKdxl6jVdF1kRfxZxW728+XR
z4/0rEby39EXC2EOoAHaSfWfqz6PdlbjjMFWD53VbT//VhkH3AE35FyDWHK1Rh2NZTocLDjKfl8M
t1Y9a5Lmgaexv7Eid1pBqb41njWn4bPoCEiixXtQdAhHue7oPA+9qX9FnszZuePYb+FNGT9kVa+Z
cb/1yQLyJTLmo7WQ+TzdxQ5gFrDKwH1Og9q804Y6eMpDZzhORoy4/+U9e2tu9N4pNcDTojO2ODFJ
TURYaxFjhZ09HLA5TW8KPcIPANa2m8/mAvrD5SHfOCb0pGn6waAX0DkWywlDuneUuPCfFV9twblZ
TNATCU/5ytze+BoYaN40wHZwDhZJX5lRyDDKyX9uRFkgOeW7Pycd3XArav0rDdWsbVX8D2fn2ds2
0q7hX0SAHA7bV6rZklvaxtkvRGI77L3z15+LXuAgogwReYFtQIAdzXDKU+7iVV+jqKoP16f4wRdE
IYeeHzziuS69+IJIgk6hLCvnl4ZeqHOY1CnCu1TKaacOXTqtRA3LN5NTDxaXBN6gJkvGsYgazFA0
CqaFyi/oxLKeC7Ij2GZhBi9eoSREEU2KV6LjPV+f5Adbh0se+g+VMXbpRd05kCYVZoPl9Sr/JW7y
7oZUET2xIcSAL27Llc/50XjQwAF2kcIx5qJXTDOwSjR1VH4hka4claHTtl0uxgRjvhAHWlZBXRnx
o8+IxiR9BfJUOtyLz0jbKXI8bDV++eUEsNo2Y2+DWGyEF3aA/+D15fzoWEBWAQVDrjT3v85PfWKg
klsEnfcrk9Ccdgjwlc+aNkzqyqP50W4h7iDfh0zAdlmceKer8FmZLO+Xlfrt7ST6cRcncXgEMOfd
WeWU3Fbj5K08kh8NCsRxTv6Acl2QmKETYhRVt/6LQqawkUkFDBRF/Jsg0MqbtmjlfSHC6HB9RS8H
hTM5d6ZpoCKnu0QB9l6nhp5q+i9tGCBTmBpo7bQgfBqE8/zyLhOVA41FeHJ7fdzLLzlzNYmAqGvZ
wCkXG5WKdTX4gcWZiBu9cks+BCEJJaPf18e53J6zkz20oxmshVmefr5jzDYysQ9og5eht5w7fcTZ
J+ot87MUyhpm6qOhEJQFrw6Jkl6TOB8q9cM4UtsgZKg+vRsVEX0N0g7PgCFP/vpaMTnlXCyATghh
loGxj5JbDcCBWTl6dp9i5XoLBpuj0AV3doDy5fVF/GCTgDzjceAO5S5bEjakV1hpG7bhCxpVxjZE
BfnZwX32NnWi8NQrunCRKVwTJ1ymWSwiHRSoPLQuKPMt52gYTpVJbG9eVJC4B52iy1aXqe6GY6w/
UGHGIEQZxD+YfQw7J0aU6/qcP/qahBZzKYxtQxHu/Gt6YTlaJTJ9L1TnOiwo6GVIK0s+W1MX3l4f
6vLSJkifvctnGAxcysVtY+SYpk5mmb7UQ6KXOzUN8/gJIJMivlGhaj75hTDtYGV+Hw1KLYyDRjJJ
aLM4gGkRx1lHDvKi9ZV/UP3c+URdCO/aIQtuYMr9JVqUGZrUCUicMTcllVsGGpljTpUkvXnRK8tw
DVWEvVv0dbPtwU/9jigTr7z4lx9wfgVpSFHom5Ua5sjnj0QLMBo2RO2QvKijmBCG8K1vXYg4Sq11
k1hZzA/GIqdDxwNEwfzaL8YijEDasC/iFxRC9enrGFek/57jpcot5gD51+v75WK0OY/D3tt8L35f
LKVdCb/o9bB5GVDr/LdJ4NZpBKg8vore/Q9jkZmBkJhLHRTDzlcRy4LCVKewfdFV9Iga1cQfhjcR
d2nMi9daEBf3DEk4tdk5M6O2Qp54PhgarmNVemJ4cYa6vtM9fAmg9huPQxfddk60C0UWr5y9+ff/
WXdF5oH2FXBiCgAqvbbF/PLC9rLEj8SLGquEL42VlepOUCtcyfsuvxnlfJpIXNZwSuC2nE8NxxKY
M2gXvDT0KHp3EKZ/DAavazYJCjor23Fep/NJzSk2MoJQO3iNlnB7rTaUQION/ZoYLUj7IDO+wTyI
NugBowyphNhtjbjr+LGYjeb/36X+6b8x/hQ/uqg2oCGIuSy1Bp5bTvkyQtMHE+li1PR+UzI1f4ZV
WpzIrMbPZSS9IzK+/WuhtspX1A2GIwwp+x+Rjv3KWi+puFSosOTE6IBCOnENf58vdpgpAx5iRvMG
RbhCgdmMkP41whYfIqMe2/qYhKr2jFfhJL8pMg0AxY26dpP2RhVTM07FT1Tbveg2UTXszFdWaLnj
iLbI64CocufyrCx/HLZjttYkhngr7Vj/3ElP/6mAtHqm4l2lm2RW/xuoHkE9Epj8Rfi5IRCnaE+T
5udzMCG7f6opHr6rpgqbceXHicXOmX8cRwJm5hxWgNQ9XzmtspOm0ybxplaNc48Thv+sGUqCI0Rt
6499NCkoPzalY7k95frUpTsR4LxUFf1NI4M+2AbIjhsr33P5VM0/ikSYSICsZlbNO/9RVkec2KGU
/jaNyfBmlFr+20ioqkq+2mcRx+baKsz748/zQ32TcPgdlo1hBmyD8wEH2wjTQBustyiv8GD0+6xB
EthCVaQMav8xr4tMvbOCUXVlErU2JnWK+OxlsnNzXUtfs5F4Zh+IJv07K4oZ60Dpd07WSYAMQBaL
lcBrdEb8a95r3Bo/lRhVRReTBiRcrKy4SXFwv74dlvcxw9Fb14kRaHsDs1xcWp7T1mWbC//N5xFw
JzWmIaKUyqkqUBDs9aw7yt4OVlZ/eXm9Dwp5nwq/BaN+GWw6YxMUHUK2b4BxcXPVA3mg5eVsfCPX
nlq83w+DUWu3mLmNK1nf5T4DxgC3Y4bNApVa4mXwHiwNo1X8t1GL+h/FbPsTRKF+ku0Qb7GhuvnL
1QVmLfUZJMZrBzd/EYERKWG4GkUR+vp9jRpxl2cvA75Z9cbpsDajrqVjDCy7tTzTWO7uGapO+MOX
1YElLwvCmjbhImSH8VuVcHTKbGbsOZWHTYvJu7e9PsmLNWUwWpsq6BU+JyHE+VEqKktgh9DGb0Ar
QrwLkyZXYDdS/cjCRtn15oji2fUhP5gfdfxZfAxcELHE4g7DBiaiUd6lbwaWOzeVZ9undMrgV4RA
WP+XoQDgzooW84VxPrtJ2rKI1SJ9w6o73KUO7qJDIETmWjEFgpV5fbCUiCgR9ZFhoi9oL/YLVUhE
cZUqewO9iOlkPOg3Lc2owzh2ylOaT2vFlg/Hg5sG8oUayIWmJozHWIu0MH8LIwOPSavIy+ZWFYNx
8qssV9yikPoKdPLi7IN1mU/DfN2AD11+ujigJ6/EVvpmRtEA4aAsdlUe4Z3bxgBusLLEAlYa8X5W
fFoLmj7YNjwv2GKzd+bEb/EtR9iZETyj7C1ohzxzwbDkN3XZRyGd7tR8ur5xPlhbBiMt4R4nll9K
SWWZHqIZUedvUxbru1ya7Q5I4XDoPB2TPQwYV+6aD8fj5ZzJKhQ/lwubCtHicDnkb20VmTcUJOLt
NFXpEw9XdlPzzK+0Ay4XE8M3XAz4i1ROW6qMlsPsXpVq8dtk9ern0m/LLQXm8YlC/hp2/DLkJIjC
74vEGWIppazFuYA9i3W9KZI3H0NaG8NfkewxlDS/OzVixvaIA3MZqVhTgvh8NHtsNOpuKldaiJcL
zI+gQcDrIVU+7CLkpCo5qtGYczgxxj4YcR5tcpnpr9ZQIObm5H+L1mEkhKyAw85kObSzFvcqBsNd
0ShT9laP8mfdls2Nr/NwFZO1DUmV9te36+XnBIhGJ5ayJAZ46lLJqhUd9pKe0r7psfQeQnVS9nHk
hLdS797+fiSQhIQdNPcBFi8inBBt3rFRqu7N60VxNwkn2PUYe+5TFIoO14ea98UfUR6wLuQSQMcC
YdBgIDnzZfRHgWCc6sSKlFT89rNcHgqtFrtas/uNlirebeGjGpTaho9nZhh9U21Qf9eHX8KR/ht/
Bpdx4+mE2vOW+mP8Hshm3wSN9hvqg5S7xi7FP41s2kPm97CXx0K9U33vh+oJ+wYENyAcc5r20qqn
R7VJ166/xdU7/xqqJfSAyPaJD5YJKq1bINPoof8WSmdta9+DgmFmnv459nT7UHvSxsm19jQ3iqs1
GtgiJfpvbIsjTGec62JZOTUHHe9wP9N/45aQ4NqYT/+IyFJWCkLLtPC/YeYJEo+gIrCE8qUNRcws
0/TfDZifWy1RsEmsnRQ/xaoK9upoCDeLMHMax2G6j2rlAbPy9ja0mtsk74sv4KcrfyU8WjbG+U3v
pX7eO/JVgvfFq2MP7YAhk9R/myL/WWN/chOAcN/zRv5ocYOq0MPBGXbr4JL1ucTvbuuHLUCsiaDm
+nZcHPH/fggvBPwIKpHkz+e7sSgzwPcikb+BOYa72onM2zBou73SSWV3fajljT2PBeiL2VKggCWx
LO22vRNCKceY2FV0G+1UHJBPXd/4/w6JX99O9QTJuMbqDv08zG8UPIL3oH5+Xf8V8w15fvytWV1E
5T0EMsLf5xPWfDvvDRA72MBFtXNsbedTUWFJjBZRW36JKsSNAaq18doXnxdyOS5bkH4ESMRLbZHR
i3Illh3U1EEPHwoLH7j7FirMRpTK+Bsba3tnKKH/E1HEDD5DgqqUMWCG0OJHgDFXpxbHvqbZthJd
fnAdzQYQAIvIsBEqWMKcndgITAe/Bbyg+fH3/tAGt8ao2G4bW8MmyLzhOAxlvbGQU993YrBg2dXy
NE6Z2Om0q/+5/nku96MNEJV4jL0IhWIZWjfC6cxGzfHNi2Gi3+CL5T3yUUI3kvkam+Xi/nnX84VE
wziU6PTFISyyvFeU2up8ekNjugFdjvFaV6T+muLexZ5jIAhB7DkoXxz3+c//uPKtvhzGCqUUaMle
OsU7bA6l2CZNOBU42fHcu6D/Gv/Yir7IV66/d8Dw2cZjcGLOucpJT4WL9nxw9DuDvph0Np4H1Wrc
4/cRiFOQFP5TmOrG4Ca21ajg2AFGbjGgUp2j5nnhM4ypKd+UkW9mbollauMKtNvJWAeNuApTV5gI
8gnf2zDf4JjUSBdUr5nvqt7xwp8GUmnKJ7MqguxoRAhhYhYdgozEn3EkhteGrCqx5IbHGg4bqfv2
ry7ss+cgDSTWS5NV6e0O+UgbSygKVhPcpkpPwufrm+2D74IWAE07WDuwuZeXH9VvDJEGHdd0k/fg
NsPt816XZboJUGH8l6R1eK4xCVljMVy8uUQ6MElmEASlAFKe8y/SGXniyToV2HtCd6pv+zIfq03f
1bp2SgqsrY/wuvoTZlRFuitp2Kw9+ouoFfFV1MloOs1dRHi0S5SQCSUNKlKvB24DOg4rNNnNBqfw
DtRN7mTtL1P6a3T2i0kzJlJSCO8R5c0l6vNJg2oftLpTGFMa+WveVbiRzN6OgcB3QCCtdTBgIuzN
YTJXTsAHsyVDQFmJp3+mjszXwB+nj1QuNpxY0Eobq/DGavwyvvGFmPzPDQoX8i4nYk9X8oKLnUU/
n8IZhXiWmYtsEeRpvmyjlqJmBFpYSrexYrPZaJWhpW7a+8VGwfP5vgJs4628M++1wLPjTvYFXnNm
IYJ6gZ58PtvR6nIn1XXoMI3aNdlxIPWtq02BvGjyvSkTuu65bLXmxh5iGTYbywZqdDeYYdbeW1lP
KLAn+5/Evort+LHFODhwtUoAmU+VtC22ttPIQ0BgDeewqKcZ2x2mfuRCO/at1yBOzHYrCeXVW0sn
sQ42Bv1F7+Q0nGaBx6OFG3LcYHuyk2mqhg9mTEFomxh1VWwTAJn+ygO3fFCAbtFaZdfxDwDLS9xw
TKyvkqOJ773Tbg3xzUnQjBm/XL9IlqENnStorRDh4BnQorOWmVIDlN2aMkQGtLjynzShVBsZ6tWW
FJmnK1DUXZ5OEEc0me9bWmrHKgNHdv1HLGb6/hsQoyCGByIzUzTPv7ya9T4A3QJVhTQwdqXadbgL
TAmNIG9N43vxcr4PNecLcwGTEHZp2FS0ivAqXCL3wnPi+34Y/dMUYZ56fUKLQ/TfKETts8QqjO0l
z08ZnMw2a8RSyjyQ+yD0ok2Me9Ne4eE5+WYqT1gnrknsf7SK7zrR2HKBWl0Cm0xevdCy+ZIDX3rT
JllyxBkixIkK/8zr81tcTO/z4w3gNQCAYwNQO/9gtpeqTs25RCUqUrcg+JWNZkX1NizK8E7xxZro
/EfriQ7LnG0B4uf2OR9P9/B2nM1p9hXEuUfR5DMrRPN2fQzzQPfywW3N+C9rCP9NktNHws25QDbl
fNBUjGZUjg52TzZBQ9nEFVc+IBwV39j9X6+nnBH61Czo38CrOR8Kq7BBdFUg9kaijLlLgWjEzAlw
4A9MjuXWN6xqpd71wYoyIsNh3oYQ41IrMjWjqS+BUe973x+2fhVNmIoJ64B1b3UnxuDfkYv65vos
P9igbEvG4pqfu52LYx6AQzNbvjLiKYm/MTsZ7XuLx82M0jWs5uLNnr8d86LfNHO1Zmbz+YIW6iBF
7HjqXsdBeR/rRb7lls+3epFUs2vutK/tqdh5Xr8WMX80Se7RuZAPboTOzPnIEJrGLGxT7ERCL91i
49O4tcyRNnPsNaGED07hTCqfRZNmhsmyvu60dmPqMSYpUeHjJFIO0yZqu/RRBDX9T6VZExj9aGqg
8ufoAO8Hxjyf2ty981tq+nt/3jjmSHvRk156g7fA69/vlBllRzePhwnM3flIERK+lhpnTCoYM/FK
jtOanzTids0dhT89Xx/tch0RoeP54QGisoZy8flo1JWFHjtc1AUwx70inRjgRoid4hgmRzVBAfz6
eJfrSE7FXcajzt0CZPN8vAb5/okytty3gWrcyARDgUBM5b+m7QWfrw+1LNdwEOaxwPmwF8FXLHnH
8LjwaQ5bibkTaLCHQnpB9WL2VoJUiR9aVXnohjry90aDcfSDWdGdTjdDK9Lua2HjVH4jesv4a7VS
lvodE0uFBvnrJZSrQFS9pKaAJKvveUbp8irG/q/BlFO6NcbOT3co2WKdZHVhrN1eX5EPPjatIWA7
qODMdmLzn/8RU9NLLTRgLMbej0lceUZsccwCYe/x3y43FoZfm+sDXl5F77csGAoaJ9B1Fl87Caee
MCRz9m2dx/t27MJnz+6yW/jA6i4qlfo+1T3PBdiar9zxy/ohH59QAEgiHTGuQaRLzucaWI2eZu2A
i1JQqDCefaPZdCXWOxHxMARWfTilGabQoZGZd+owqJ/KrsgP+TT0X6VVDjQIJ7GyIy/XH5IHralZ
8wy2xxI72OG5DqIkJzSSeXAyRN3u4rHKTgHsoofCsD9dX/2PhgO+R41oljuC+3e+BNDyeOpaJHkV
RHi/lCKJxSayu7gAgdZNuzKRTnK4PuTl8Z6Bp2h+0Osgnl7qHvIxbaoVvr7X4yCrXdC8OJvXoOr2
HSzENa+HZRmMjwzUdO5Yk/RzLS9xipCEic98XtW6DquttIvBNetWfB6aKYOv0zVbY4J7Tfsu/cUN
+kwJx9qkA2rmRm7mK3O/DK/nVIXSO0i/WUR0Eailsa0NLUkXasdpgw6RM8YbXFeDNZLY5WdlHHY1
AnN00ii8nX9WGqtdlwRoS4bZGHxNETo4mYmWnkD1Kq6R2L+uf9IPpoUuyTt5cvbkXnpc1LGZ+YHE
0ykeWOMAybwHO8jVp+ujfLBxmA3Pwqxlh5PvYq8WduMXU6aiJ5lE8mszBEnqOnHfn9oMEpp7fbDL
ABAIAC8rJ5FEn8U8X8GxjEdq/B7qnHUQ/AwUx/hJndWfbhFjVepdYTSDcggrGRcr9+EHs0QLlOuQ
d322PhLnAzea1cwR25wWTe3JCGSFLAgNQWx6FfXb9Ul+sE0Y671jPQN5l01HW0OgD/wZr98YpMeA
y3Ib6QXibhptusCK11SyPhxvFmDnM3L4ly97bZuD3ULY3JsxbIskspOjRcBya5ex3Apww7v/YX7k
7rO00MzuXXxEwtrKrJpR7vU0MneOwLsqjz1rQ+2g3qLr1Ky9KPPH+aNGw0UDAnEmZ4KWBEEiF61r
PR4DGiA2UkUVlc59kTXWFyUc4NPDH653ql1bNNysStIpKWD7bq2khio1IsSuZhpGScXqlXOxn/hJ
9Ga4cNlVc1XyfD9NmD5VBj5n+4wUEBV7Me6yAYuExBrXWiEXn5ehmDUIdCQZaDAvAsUgqoDk0KDZ
o3tePPhFOxyCaQh2zSww11E1XWlxXVw7jDeT3EA/gVEF934+NSP0PCXHD2HfiAp33zpFZd6dRq35
S+7A+y1AngR/gZY5wK7FxGKZDlbRxeLA0Yz2zSCjw4hO0I6b/Pv1HXsxJeCAM/BgRnQRcS8trNE1
q00f4aWDjpvkFzaNccQbMFhR6rgchf81ddP5glFnI9XzhQsnS2CpVhsHDb2TdAfPRVCz9oZkqO2V
e/Ri+9F9pBXK8Zv70UgenQ816YlshryxZy2E+AV1Z/PGy8Ziq8Vqv0bkv9h/M0oaGNzMfpghXItp
JRZ12Fwv7UMYS8SbgbxCTFb0O09vTomqeCvl58tVnCkeXNQzm4T232JXdHELVLUq7IM0x2GH6uh0
8kq5RrV+N/T5807ByH12E5y9bqmYoVpzvoKdaeHAhQTZtkeUwHR1rUqy6hZ/cSRPnKgQfgfb2bD6
e04ISyqwU/QOqJQH+hFLQDNxG2rkDm9IbSVuXyHvsEliWFyuP9RjtdcwwPu3bA0wb4VffaGjZD8C
c9KfDC+WCfFwMn7Duao9ebEpvvQDqliu32a2tgGoLUK3j3zjBYWoot1gtq3eD7Y6/Ax6YafbEl3W
UwNhS24tMcaUZyvhTEfqWNx/sSwa+vPW6OmuaVXqJ78XmCU6AuPkBzXvmu4OmpI+7MA2ma8O9fx0
IwIZfPWqpP+ZiinAqMCiQHLn19IrXS4fQDOe0fgPeU3zed+mltLtTaMMpy1t8jTfW9IHZuHHamTt
zF742pMN8vW1b/M0O6CvbtOY8jTN7Yxh6l91Hx/jrT9wGne91MO+pVVlINS0qRKq4dtERkNaHFta
pQRxJiDW+EajO6brNF/8ysvQfInb9DGrEz/Y+ZVveG+6ROZjR8hRyU2ohnp62xTDZG/sIC21ehNK
pSpZPNlSOyAQDcs9wndO6rjgVQJP2SMiEw23edYMw1talEZJ8U13Oi6idhy/d54Fy9GFPlM5hxpF
/DWS33yAzrYi1Q3O2NxXpe9JhfN8KyInPGnQNf1d6Ec5CneITaZ4NiQuImrTHhCq7fo5+l2ZktEu
hBmxvX47Lg84oTyhHweCy4T6ytJht5vqfARQFO08c8iPjVX/9Lo225u2Uu4tka9JRV0cPUT3ubN4
zmbreeS9F/NFAitIpsCKjr6eFt6+dwQCJdNQCWOXZ4Yut1OQhv2tFIUwbq26tJtdDb76BIG1daDm
g5Y4WDIKp33nlaq3K8tKtV1TRBrntM7q4TmvAytwQTQM6n3eqrH3BUAzbqV6RlD7MA6+euwbXS/d
FAhpySGW6aeUALz73viWlu9E2Ytma1ox9QpDj2niVygcqdip9pr3mHZ5Xm9RkMzQ4bF8YiCaGFn1
o8YHxNqHsRKghY737ddC9E38GOMfd6cpRZm783P7S+3CTu6qMoqyB6cKNP3QN2qg3YhIxL81GcVG
5qolyZXLfRE5T70lClT7Ov8HXyo1NxCzwN1oddjdo8A07foe+tsXsNGxeuK3DuGv2EA3+R8/Uvzp
rplGTBs8vbTyA1hDC6+jLMbt+8aMgW7RY6z7p3DIMvswKk6eYOo+6PdOro3hqz7B2ieT9dptTA/G
kTsDIWrFjVpk4IONaeBd7JpaVEEyiOGwiOeSZuFQ3PQhDeEbu0ym8IAEka/hk+I7VuOGvTkZR0FW
qsCGcEr/SR8jdfhi6pP22hDQaSdKZpp/KIbCoftviySFIFaC9pSVaXfP1zc+Sdvi6NEnoQs1FwRg
188givOjVwdhT6nJzo80jzVQGyVVHGuPdzcHPlDy3G9cCJZOtbet1PyaDN7w2/G5Fp6KDDE/N87x
6HJrVA9yt6Gw095MVhb+Uu0sePBznvBdCnOl26ANWshdyIHwdRclREyym2gYBbLHgcge2eN9tMlS
VVRuMSIDyfeCc/jUKX5ffMLYTEn3hp16+Q6SpxFusjLTKyAIvaqGd11labHbjOqUtxsVWZ1hn6NJ
HN8raRSGu6xM7S5EVjIP7O9yrOX0w1Qm23gWVZL/sutAtzat1Nr61g59UC1tpOqjveE+EMmDM3qd
/RbCgiq4iMw6Gh8aM8m149jG7S4FQxrtHRTskKwEvKeHGwtHnvpfOnvWZkwKL3W7APGnYzQFRpFy
nxmj545eWYbbcOryydUCep77iALggxS5Uz+APMu8H6aZdqaLVDPaOWFr5eM+8uU43nsJlL7dzLFr
Nl6oR0evrpSWlzOFsPSpR4apdQW6JdbeAAEEJIYazKeq77Ob0QmGeIPSSavejplieydUjZ1PipEG
duza1dDDJxCiGpVNUFlN9C0WlngG++u146avOH35BlJHUG3TpEnVrQo2f9x6SREbWyu3DWVDXyPI
zU0teOXcDJE4G0MamNQTco/g7HsX9mOoPqpZ4Fkv1qQroHVGPU93DXJrverishQlnwhZjH+GMqvj
r9Sdp62SaZENIsT2X6ok0T4Xrd9ptyy/Om5La4ieG86Pf6NDgJgxP5ZVKlvPmMRBV6MI+pGZw+Us
Bl9/9mo9NNzAa8MtT6deHsI6m8afGThY7bFGunD8WTi1zmfSxJA8DHGACjL+kMNXv6UxvxFq028x
8qIt23RJduPnIg+2Y1/47GMvDAzM0m0vEm7SG1nyLVNG71+pFI3+GDYaULUw6tVgb9ZFemP0yii+
ggAew7u6tx0qRkWXh189vU4jcegTTG5vnYrd37pVCPG93FL5idPdJPts/Dppg/Em+UNcGeSEAJir
hxoPrutE6CiCC+WZu/FLLfDM3SirWm6iCOWin9ZE9+Z773lSISyH8D6cAuRD5DGYAtvaZ1qs31WK
Vfc3Y4EG933glJZ+mjwl1QAfRUVHUzqIQaFM9uDsRN6K5JX2Weec+H8ZhKnAjYudapXWoTVHPylA
IQYDguK+Ek6bfAYguHpc18W/nQaQZlfXEB1Vjz7AS1cUYb0N0qnxPymtXv0jtRIF3AzM53gYeyHz
jVME4amFYzPeV2CCUWZLeF12SaMpt1QzFMK+riN6dtvScRAkH9Ws3auzgeCwMfs0eAYHkeT3UZ+2
38rMEcpvoi89c3XMfosjFO5ec4dI1V59NYiUlfLLMsRAiWxu99P9xl9jxg+d37ORBButlLV6RG8u
SQ7a5MH7iC06cwM65rWmbZq2UpQva/f78npnWKoihDTgsdEAW6Sy/gjEIBgK4xgTLmaf7GqqnHFD
SaR60UUQmA9G1UEIiUMgBzsFwbQBSdiU20wOijE9OUPDkbGRqPttjOMEKTrPuqZ1PWMW4ptAXP7q
gcvHvdv0aL5jbq/Zd9KxSgEms227eKWs/N5M/zNSnAF4cwOc6uucM6uL3EiSi8UD7fWjrdU+hsl6
3ia3otWcaou4f0zAnNfhzyTL7W8yM0rQUKlVWE+2HHVyAESjvDsl80N1Tmo0Wbo5/WfvM+lVFEzY
WAjdJWZP9Z2icMl/r+MmOsq80IwvmUSDzzYarXG10MHy3SzadM1r5h0GcT498NNzhR7kKzizpfmk
0wAC83y9O/a4kRT7JFPV+9Ykhy6aKnuMRjV2dg1IodB1/MFDvFCtf1RjluvbMQuao2KPPyRdnTd8
aOBiImLRfZNt92oDkl/zdb4IHKjHgAQT4EB5tSlpnm9oSb+1suqxP0LNGguYykUd5a4fFbSi3YEN
VW+QklEfLLUf8v1sPpPcXt/cl0cKITYCRsLS91rA/Od/tJRkG9AF9Uz12FDt/Eb7qtmV+L/pvOA8
OYOfErteH1FbJiroEuC5h9YD5B8AccuqA1NtClvJzCMwj0gFfFHkwA07kouTVeiR/YAnWqpuICLY
R0VQBBndahTWtNFaK/aEiyShY32C4z2lLkylpEMwybQjXKIMxMWGvg3Fhgg2eTD5r+KhSuhOrcxh
WYA2KWvNGf9/xW7y//NVQyvPiiEM2ke/tvvbgoDokQq8c1eV8FjbqkcLHvfMtRLK5aiUX991f+by
rL08t47ewtdvKfwWcCmMQxVVTn+T91ZnP/nJmARfY0dv7DtbC8Vam/l9J54dKvpds6Q/0yC1hKR6
PmOIUwpVoSI91bHq3Nm9DUy8wRbU/xTSEH1SyrIv3KjUkXvS6sIQj0Fc1sZe+qOXuSg0qN0NHy98
GKOoqzJ3LCsjOQypSJ4HX2C/qEcFnn/kN9nvmjnq+yL2CmeF8Xax8yCBg4UE2MDOmwla55Pw6zpo
hZopR8ts96MD7rs3mvGNt8R44i30d6MWtDCODeNtNCZvpbCnX5x2Bw4amByyBd6TC3kc0YVFNg1T
fOomvdS2geP3d0lTmtRpCD1SlP3jGFdHSLjlF4tCacnLb9RPopuMYeMVcYrSK8RcfycsAlxv002p
l/6yIVrcj5Zn5/t4IuXc5ChV1IMbAE2D/ckdXY2ubG3RPPWYxd2NYCMHd5DSU3bg27FZcTNsK16l
oUgy0WE0ccZoNLPZhaUe+Cd6VY44AZrvbXes40KBrEuqHMFH6k17Q7HKgbZtQLPH/g4NbfWwcl/M
h+l86/HZAGtR4wVbyb/Ov1rWTw4lMTU69aY/TK4Oafmo1VP/QO08P1AHiE4OXXFX1fzXYrC1I3ae
zc/rP2K5c2YuFkk8/CF0TgAvLX6Dkxeh75ltd8oqekC3iUcs4nLGtehIN4+qpq5HprqVWtXre8XI
1fAkw1xN9n/9M+iFw5aWXAQ2AITzpRimqdfsJGhOsQUyG0IvZIG2ULVhY4gg1dzADpud4cfKfTek
iYuEZ76yid/LKn9+DVYC3RVw7TxcM+RxsRKVE1CMC4Py1HuTbx+Cxmkmt+7syr6dmhaYKXj0rrwj
xap+yRKk8y41Zf4QN0NboeHXldaxTHwfl6AOPOq+rcKu2lZwCuMG7KwYgch2ahvtcfiu7/JJzQas
LQA8Hrs+t0+Z9LzBVaykONaOX/UkRyDazT0yj8oBR/g2W+lSLUvkTJf++zxRHlcwnovUvteEPvlw
xk6Kbb4Mqq102yiIvwdlU8iV6PaiGz6PRf0AaAHfl47fYqwoauwkJL+DnqO8DFi+StdL0tDYofAe
HoqWqqgbVrqV76usSb/1HmoQU5i2P6jIdeDZ18/eMjqYufn0Vdj64E0IURaR4khBs6/GqDopAF/D
TdPA2siyuGw2qkEJcyPqcHJW3tZ3jMH5DptVoIhK2N9cHstwm+vEVIeyaU/hDBo4mUZS6DcI69Xd
TR83onNlXqZdeKpVxVe+jNj1Fo+lVKdtPCZN8owwXp8+OxQ6HsPAUfxdBtHmRGYnLEqjlda+ykz0
w94yp8Q7RNTtG3cyfSvcZnEc4aiFKDhvlp6FvfGAtWTcf4Iw83+UnclynMgWhp+ICOZhCzVJKskq
yZJlbwhbdgMJyQwJPP398N1YJYcq3BHdC3d0FySZJ8/wD1y61LX9iwYhRhO4nUizisaRUB0WBYJY
lwDU73pKLD0IK5TTYSysAM6zzVCrWLPLZKxuGGv2d3Pq6Algk64uDgZjST/s49xINq3TQU4qh75+
XRqcgHeGgFUT+R378xr2hb7JQHlkUS3c9BnySTUfpsXQxKaeTetqdOLhkk3IO9QWD46yEBUG6o/r
PO6sWupLpv6pqtobz2PzfuoqLvXbLKUxbBhzVdw0ueHc6UvrxHvNRCX3E6S3vIsGy82n3VTmmffl
46D5l3MFkIVGMdgdxs30it9GTbPVZz8HAkHUtOqbyR0BTyK8fm8Y1aeh8dN7BXnmnvTevGodpxGh
Xk9WvWJYpy9JC1rywg7/y6mCg4pYAkDSFbZ39mmnVMZKDYV109FDptWzuCr0jHLZ2w1D/kVn9nzh
F98h5cFZroBZBqQrLp8D/XYJqmEsjFjT+xsLgi+sl9orp8jqZaZv+JiyLsPWVmb3YIDb75F6pMO6
0WgXAbTJC8u58EXeLwCvz0O4fBRK6vOnUZ4dJ3rttjdO57nZVbEw+droiT26P2CyZ/UGbqatXX28
DdZV/SOskCGAMgIuvJ4oiDDnFg/4tE8ES5fpgDujn2fMw/JZm5veIaPI2ktkn7/8GlMYj7k5JTY5
y1mqiRdxaU+MKGEEGEu5XQokV6PZDIZrSxbiv49f7WzYyasZMCGAljPI5dD9PgB/FHH57I5OnS/2
dumXlrYhYxFmkZp1odH9/p3YOiBfqEFg2ICofruJ6sCZvBhc/TZDAEPdjgbOBF/UwCT7MNt+HF/o
u5wX8ut4h6ID3uhaxcNRXfPpP15r1rFrix3hwtaDZwLHH3OBnOpwiKHqMtJr1F5pyZhcSYMcrI3Q
mR3GTTDExQ9txblsGfKkeRgrdta4lTZc12bTlsnC5NSusWRF+KKpReiPWmUa+4+/yXkc5OmZ4v/W
DLBXnbrf5lp/Pv1I+9qzF/fUBS7aDwQCQR/RDiQU2PR2qVz5TRsg3iyx8N0DtMjiQda1eqltU3QX
srb1y/yx99dnWaXywBOA7GMgfpY3DrPulFVppw9l4nVGmNiJG6XFZHxTbeo9ptPk0XAMigsQkLNj
zq+uZA7+4sQxGDkfi5SiJ0dQ43jyVRn/jIdUfo41f1l+aCXGPptitNV8gQH2l1XnN330Og3kKbiE
zgJdKYHU0J3XTzPfJriqJ0DYN7Vdlb4My7gwfRr/Mnf3cZfICkOpyS3qrxqX/LKZA5W0uE30+nhJ
3eWsfFhXYtUhW4MdhAz3nA1aL3ZcTGM3nfR82fZeMbsRm+NKmcJ2ognbn2usWYhENMBL65CCfmov
JZfrJ/5jCxD9EOnhXkYiaBVmPpepyz3ELfM5Nk5lYyRZaNZj5u7bWlu0F/w+9PulL1W5zdqxHaMu
nbv0KQYFIq9LuAh6fm2leWWEoModuUmg9eqXxte/59NvH5BAQWeX4TElOg/69rS3VYubmN67YA0a
YxHX0C0C6LOywbAwVKkutaPdzsg502YP0jI0hsUzItHSqznpvgrGXQsCgJkTCCqbK660ivLRLK2k
u4nxdLlaKm7d/1qgIPCaG43OP6g9qLU7KRIVh+2AxwftvjI24yky7LZ/lBMWX0zx5zrzN0VdIxW8
MRPNOBhydtRuMuZAfoqDss53WpAgqD3U/jif/KZ1aYZoyE1s25FcaCuKxNGuqzhz2ghun/rsjJAg
t8WIAYwZpXIW/R0DetM+1bmZzHNYaEJh0NNNs7Mp54bel5vG9XAwJxwbNbjE2gNPVbzQc2Ksr/ig
GLfg8EOGrOezvB6a6Q6Yvi3v46qEeHopnVhP0dm3QnmFMhjlQbrx55VKrVUg4uzeOKlGjccS7U36
DfOMDLXA7S9Cpnp130PEWWGyOcQbc1IoDyBBzEQNj+jPH4fas74KWxtSHEMXMjvkxo1zRldfKRsZ
C7t56Jf4k8Kd7RDQeY5U0dHoKOP8P98u44MxxtWFaPPXH6YvSU+MI048ebtlNWXXZl7W7cMU2OmB
UZkMvRI4HX8s74U/ay8dxYIMW2zHDx+/83lGt740wZUiCSga2grn0Py0LtgLuPc81MpLg03XjCKg
fww2NoJak0duHxfW52w0vGjR6+xB4VX6pQjEJS/C92sArJCHMYEx0lw7x+lrDEpbRBaGh8Fjp2P0
aoZGIeejHOd2r9tN9l3oGBgVvas9f7wEZ5caK0AX5Ddyjd45yOazQqOoTQarEr67b8ST2BXOmM7H
TLTC3uACO8MCRV0xrOoquBhMf7/V2wPAu6J+BA0TNRlgem+/vJ6BxmuDrnhQ66CGZrXVFGv1MutG
QVtmxTpW6OjJEKM8HU3vwC6Xx2lyKLf6ObBEusm0Saij0kaGChRDKj7hQpVM/00AmGbxa4alqG5n
oClMMoVU6b5PzACv40DFxXGqh7QJ/TQ359CtpyllmtgaDKnzsr2pVIKxV9FxCrf9yJhG+sKcI6nr
E1RHBvzgWzIDuQXTi8f2Nl4g/+/o1lbjjpaKJkQYN/nQfSYxq+5da16+xUTA+ORUTePuJ8Ae5Rac
9RJAg9BFt++8zG6ipXfxnUzdQfdelx7qAnaoRh1fI/dcEBz6VvHfWqlw72M/kcdSMHjdzzJwuqgy
NXNgqViw/rrtmw4fUZqlw8YboXlHsjNdkAGMrZpH4Ouiuy9jv5c3anKEFZkgi5mmVs4YGyXKGTJj
GjzJKd957eQ/wAzxqtBL4/ZLDqiBIrQTy/TVcaXzbS3lfcBmQ3cP5KZ090M2SsGYs00RI1CjagGv
6urgy1JTz8qe20OeTQIclWu12lEpUrzQr9Wcbl3B2JdrqhyBcUSB0dniZ6uYqm7GHIe/cp/Mjd18
81XiufcrUWm5B+asGVdAAZ0ujebAS7YdGZEVkcVZS3PAskS/FURg0ewWtbT2pkUfxY8Wb+ZIT1Vt
9V9b11DVEf5nQX8DCOAvyGb+famkejarefJDEwBDuUFyqQ42pgT0oI+FWWyWIgkO4JEokiJdMoWM
gjQFswBfzL9Omyye947yq29VUDEPVv4ivlBWFgFCFSuMxy2ssomg8gN02IPV08VLBfU92NdLXc+4
kDRg6trK7wLoKk4aR+2slBi2jt0GxdVsTQXGX0Y5/mgKmeQbdBOqeiZojv5TR+FpHYdEDh68slRr
wgrTGk8emkKYiIK79nhjeNKzH3voYWAFZnp22caWgTt/YiMU8ntnkubcxZNZqSvNCRb0rzVN1Htv
0HoJ2FDl8oYuQ+98hnqSjMel0Z0uHJESfF2WGQOxSdUYxysTQaqcWW3WpGh4YHS1xU6m3ktP2cZn
DTTNkuxcdPyvADyVvblbkxoyKunpT5NW+8wVDbeOYc/ETrUTPogOeScrqfD7cFK6txEWHN1ptCtR
3JvLMDtovyCGdQH1/j5IQmlhZk4STv+Obt7bQAW6FxSIm/UPgF7MDQA4fyvqVD/OepVilzXk1zUz
i3+9kDl0a10Pd3Xtnp4bFtOcBr0Bawv3OgYtUhbZZ1/41WvgdTSpK86zcUMnO/5U9mhhXsAhvr+Q
HAcSKxUH80W6PWcNaunrnbWklnNiMy+GEQ7IPln4s3FAoXxmLjoK8SzHO1CDsLg2XZZnl8RG/3I5
I+xlgIXEXmIlgq7P+Eft53ZyAXSaZQ/lpJMaofOTf+qYS13ZsokfrVG3D441Zwe3X7wTmlTdVusz
7UIFelZ+cT9yKLGzWeHq3M3ntjaTaKciMCr5UDiIAyZR3mdzsud8IXqUAGPVrxyjdf9RK+/3r6Jo
thqU0MX+P1buj1cvJL1bu1jqB0/X01NleOmvPi6XA6j64pPeMWf592QUs3WUvlcSLMXtudwi0nwr
j6KsHjovKUssCqd82gL3ssMWE0lvg/m679/NjXouE03smSsjb5mSzd22MHjuP05K3u8+V2cwQ++H
zUdTZj2Pf7x+jSI9qrlG/aDaqvjW9XVzlDNyr6g51zc5A5wpkglRQU3acOHU/eWok5NA+qetgH3t
u3zI45YupqZ6sIZO3I2DpW/whxq+TzSXw7lwqG1FLx4+ft/3m8whAWLp6XIZFrI6b9+3MBqtreZa
PIwDOMw6E9yCmsI7OZyyeseoCIThx7/4+z3Oci8LKU8DIizh5d0BV25LttBV9inPFuCtpVZZdDMw
bRgRmMlzA+6zU+wwVmIU1zd2iZRKHKdB/4VooNXH2m/W+7hH4Pt6sAtL3NGj4FKOY3N55MmBzRNc
5JKGWjVbwc8ZOw4guvk8IblkxHK2unDIWnK5fw1caAsAjCBI23w/sKRvlxJyCeqr/igepScKVOg6
pzloQB73Rj3qBy/IKnRhaREBGyy95sKqnnUo2KxrT4+oRUbBfO9ckTAXvbLkVBePtpOqXafpbBky
JZi1RROV7ZgfSi23PlkgEq+1TBiPH3/U8x79+vtUblQRHJ+VZbPusz/OjQcXHLRyqz9wWtRqs1oE
FSn06PyagjE70beyw2ZBVGcvGrf8PNRpUYSI0HhPAAwkk0Pp/Gt5QezyuPvoRqzUKft8ZzNub7QC
DrHIs+LBgrBwwD16iYF1285B5GN8HBfkcz5eiHfnCblhji7aYVDLTfqfb9dhAUge0wm3H5pYi/2b
ebTkMW4kYPKqCfKDAqj6+vEvnnV1WflVTZnlZfQIGeh8wplq5ATDlMwPw6TJz12jVQ9eZghsRsmu
P/6pdxGKhBKhAkr1dQzD/OTtyyVYqaI3FiSPdVq3XyplflWZ796UlPcyHOIh37qYrP9rkc6PQk2l
SIVEjm7O2Xdsme+Bcmti7IWt5IaazY90o6lI82Lnzm0876YpSfsQg5vHCw3Q90vLL0PTZ7BLQ4zd
/fZ9F3OqprwY0seK3swBkhVYWGPV4Ipb2GkX7kEGOvzv3gRGdNvYrqCrGB+ve/ftz1VsZmqozHsg
/WjaE8AJNN+qDldtBb9S2t0v3YOq/3mBU4uPQGJI2o6k4GiPVsME0nm9ZNOw63sD3oZZaz/9psmz
XZdl8l75gYx3FjiQNsQJNwPgS5cpvcZYobOK0NC93g87TIw7JvVp3ODu4YwZgkzQMq6UMqrhnmzc
GF6NzA+Ku9zxG50qK8eb4lO/Tr7DXoPeehjwXM8YyXjNcy0z+dTgB1+AgssYsS7xmCzbZNCbV4OA
kG8qV7RJNIvOGkOXKH3XtQPEFhJrHTBRWra//M6eZTgPXd3fOn2nfRVgnIc7AJDdc9pW2gt66d1r
sRiW2MK5Wu5dR8Z2lIyp0x91a3Ae7EkurwCGKT5lWxphPtJajiD5VAWummY8hMWcpLfKMjOUEPRi
Ftd4EVQPAwpf/VVZdouzwRVuiOogA9GWMHwqQxzw8FGzA1/JrY76WnLw5lmPMI6bmudmMrRgPyRd
/Z8Sfs6pKCCo7gtfV+ljSeWu/WpNFLPvAXCLDWklVsROICr9JqbNckyEVWjYM2v9f/wNdJ0kU70G
7qgsXOVRZQ1p2oxPmpob80vV1uV123EvXEPPsvxtpuJBbObUGL5a3OnVFu4WSgA08LoRuDPY7rAG
cU3izJ9jnT20DjBhM68q927GQ5bpqc6c696nWpp2vo7I3hGvYjN7cjohm01MtTfhC5RYxWFCvoye
Qbrabjh25RzaqpQG+HpoC+FQDQJ5ukzK4baZ6Z1EeGoa47PnNHl8jVbUaI7bxYwzjAuot4L6G8Lb
4xg6TVI+D1DX8s2cjMN+nP3UepyqFU5hmUULtIRUNA3JT2crTBE9Xj304mXCF7ryX2jeB+5r04KQ
3SAr0j81iR2IqEcjV9zgfVZWm7k3ZvsofZh/V+Dws+9DYuHRWyWZRik/ohZdIWipxGvCNfUlAbb3
TRalbENNr8sdIKzAuRNZ4t/2LUSPbROr2Huh/V2h89a7s4dPdg1DzWP/o0MMqSqDPTY4Pwn+fXca
HDXdDRrg0A0oY4YGA8FtCKXbMxXL8MR4KQQso/u8X9x4Dr3MdR/8mKY/WDNJx6kdA/1AMUgUoSeQ
q2YIRZ8287bLsybD7NyacLbGzNl7qsbJDlCg9DBNCHlUFN02rmSEFDmpVlq7aVRFFcYdwKhDnbHZ
ODe5nLae1/FEYEMs51akbf/Slmp4XUFvPwuDzR0pPu107Mag+1aigJUdy3gUFbZqZY3iw+y6oZ2J
ybvKO+nIK32KtZFsrMxenKHs5M+49XublsBgupE5CPO1gccaH/J6CMoQldmq2Kh6BtFhpMwFsWKH
yURzQ0n7BBq/dqPcalX/GnfzmF+PfZMsj2JwCuNQNjOSVcyztHzf5JN0QrOvYVKwH+E/+NwWB9St
JsaLVZsjj5GOOQJGWVZHOgj5cQN0ypqIDV6SbvTRj+0rLR1Ecu15GJawgqaYQ19IM6aDV2TGpo9b
+85bJm8WG1E5WbYjXXVpFNpF/QJHGNuuwYlhk4bwAawFRS3bmreaMNNdSQLhPPVWPAy3Y0w7LZKG
X7ZgKt2hCu3EdJ9V3EACi+22vR1Y1cHZNDPI/xurTo1lZ440KUJbM4TcTY5Tb0VnMkbIkWXsIzDu
wn0IXOARBYSI1HajqckRnDLQsMTRE6rflv+B2exd2K+/8jlTvxZRl0+WYXTDYQz4QHdxP3sTFAp9
6ZDJwUAORqnTfa9HywQBYmXeSC7VFmY0W7WVXs+9jhQvrcJi8jYQwCpzr0Eg809pPbX/VSoQWugV
lfZLg6I/QmLABXvbWLF3SfXmHKFMSuR7HtpNJIArd92x3l6kXl33AGbG5tFP0nS66lTpX6UNwgKb
HDmSvgidunP/S/Ig+0SzS9OgIHIajVJvGT8NwP+20PlzJyoydtLWaWz5y/BavDdSFdd95OAVrO9F
1qqjN2fyknP4+yxrFXMnfSTZAepwjtBLXA+UkJG2jxKFsZr7agi2U2H4oebqo7a13XTcZDj5FhcS
kPclBAkraHKa8gwZ3w2FglbXWLi+frRgFXK1B20l9/3gA6Jfpj4l4va9MhFVntWLwo1VoaydJ9OF
p3ifQJM6myuGDo4fE4Kzb9fQiC1UZVSPC3yQH6irpqCfUgU9La20CFqVfvWvSS1Uaqr9Va0fePE5
mMW2lM1qYo4EGiA5dqkj6o1u++X95MzdwwgoEVpzNah/fk9+FviMS6sN2q9+VjAtLVK2XaKsB/x8
Sd2WNN1xpfh3ebHIO9etHv/9LamFaAmjPvW+6AbeiuW92VkP4CC7b9MsnBAHjyGaAA/N0eCU3aFp
9OJfuynM8JFxDWikrSpn54J0VQ1sSYxp8egMlCNhEjTIhVRy/NRl2LaG2lxrYc90Dd5g51/S6Xm/
n0GxgRwDo0Wr4R38JJM6XtNy9B8GVcOiAsUKRNsMsqi1nLTbDAi5HrqF5mJUw0T6ohS6yhc+8l8e
ARQkWhAUhauOxprx/1EVAxloJ9wgysd+yrVwVjkCi8ooLS9MmqBmRL6UYaIr76UMtGBEOsAZL+go
vD9OhMLVhxTxBngb59UTnVx9zBuve6TMsfYMFVWPRJNhX9uJKB86sy2fPt5o734wWDGneEXgSxHQ
Vjpr3zZ6JzTg3OajMdjZbaNgKKrMdq6Z7DTXsEMu2SG879XSOAQP4dDUWZuX57gDr0LUFf5l/OhU
qGMzQXJ7LqoA4Eg4aFpS7VSVuU+YAHifbXcA6m5aqvqkASi8JJnyvgmyPgrvTRDhXENRePu5PQee
YyPG+NEuB4Uujl3e+X5To0ZQQsMxijLbmUapbVSix18LMy6izGitb+k8GA+1j3/Hhe33lwfCKou7
hMtwhfJ4ZxXlbDEG8olvnw0UEo46o5CvQ4HaYJQ5cKVQx+qyTQOSifaYuczXSWJQkOQBp8Exa/1H
P9aXBMrenQgEkZxVmfb3t3rnP5PHQdC0RlowgdHbKew8zf/ed4X6ZqeLcyRYvMxOZx2g6+tXeVY5
l/yuzrcnMoQAZhm9r1sF/tzZJwpwC3KKoWhPWpPV6TWUlra49+rS7w7wvFCs9Wqk/S8cwvMbnR/l
VEDZg/rIXOVcHbdMykyKwvfvc6Q1fvY9VfO+40/NvalzB2zdSbbDzlKyaS+E/fN2NvEPQSswY2B6
6dCfByB9aIGsaTTygbEEP+Jeurd1tRj2VpiBCrbOIrSvBRIPdtS53ZxeuFrP0VyoHEKzQuYLziUA
QMAdbw8EiL22hWGdnKqymb5PpgYVt1xkHVldkX+FhdXvAzvRTkGFyu1k58NTPYxL6JOAX+pdvYsT
PMuqeInEJrjptdX99lm0BvV4sA7FyZDZfL3K5G2posQhRk7qxjKS1g2HIEhihEg6uY/9JX8e2yW2
Dh/Hx788x6oyHaCtxLUEj+7sThCZYQ2KZvFpHvUSa/RZ3tnthM3vAETpFf1w47tnT92jVfraLxqU
CXxj50KQfr8tXPpaIImJmTTnzvFsQQ7LXxSjc8IYKa4itxxEBS/C1p9avbdnjCmHcohsaEpuiN8t
7vEfL8L7A8FlCLkTGYXV3fPcw2ZA11RMjT6dkN+Qp9yY5G7xhiAy47LaF5bSrliiS3n1urB/ttdI
pX0DQUqsA7Cu0M/787HmWKtNxXDq+mUIQjcucWtXhaNd0dm5ZBX/Ls7wM6wtyY+OvgmiKm93WwZq
oG2kYZx8vRhwSqCF+9sS6L9s0uNdgmNd9PGSngfW9b1sIB0gxizGD+cGiZ2cOiWg5p7sZQkO07iU
t246ZfMdsIvxin2cPzPJdrb0cD1O2FKk/oWP+rdXJqqT6IBWh2xzdsDsajZwAG3004LgVbyj5zXO
d8mA3nlcZoZxVTDCKy6Mx99tZN4aAD+rh36HScl3tszgS2SXz/rJSYYMZZZ+6Q60VgY70v3Rw6A7
zuULHcFYRnYVpz//ec3Xu4SQTrOFxPrsjd2+4cyUrXXiTqvwO7XS9ku96vjmPSJDB24vsS9TulRQ
BrwohuR2IcC+29LYja6DO7Q3OcVgrd++PsOGWp810zwtzH/6jZ3Vmn2VG+i1tUGcZBe22LlLwprN
UZMRuExee6XTvf25Li0RnYKgeSoFen+bphkdeAZ9ZasjUIS+2g9djtqHjNPegg3pAsusnHzSfgAm
sSw61uOIDWMJzizJggxB2mAsCisc7RTwUtTYdSdv+m7Waw99UCfdMSsTTlQJhyqp9gY/rM0u3cLo
Rs0mXFwQrUVEqQoad+xSWuJZXY9ob0x+5mwmZ036+8DuP2XjJPoLowHD4l3fRBPWgpwaZd01oaG8
OVuLMesrpknuqZgnWk5jdRIIUGFaEaPIVQ0x6XyaFd7NkNXVtpt6tbdrt/w++On8gnjMuAc7ql96
qPUDnD3UilMmw0DBetUze/tQqW2OTopqzckoaXbvMy1pgyO2A3IwosIvtT0LXtNlRHki2Na9KbV9
QhTLHoRRl5fUHt4FeUg76N+BB6YgwCrmLASCfUvbZaqWEx6faYE+Shpvsnmax8gzamcLzVnhjxZb
m48P5d9+Fqbzag1AzuOf5xyQpDz0Xirj5CG04lxpbotna1GldK2bph61Ywcsatc1fX9hUPWXw8h9
RhRYbzQqzvXf/1nstXA4wfXpJ8Bo+X9u6y+btNXMEfBQoDcX3vKcx7meRdCL/CD1LZn9+W3GZVcG
yzLqpxjOyNcEjNAQDdRlJY2+It2AFFjEDfB9tUmH2jO3TaIYWBilaK8MMMZHv/Xm8R59HPdlNHPL
DBttcb1wSlp907q9mLeqZhrxOADQTiPUaTJvg5ZRc8hgM+PdnNdlsLFVVkAeaccV+44XYRai0RnI
S/Snc8gAMGW2NPDUVR0NFP65Y4Ap8qRRVt3flAohytsk7uiML6NAXx9iRhbf17lNW5P5uJRRXCzu
aw1DSx1R/03vAm1BxgqT8ua55NnyMBjGdDc4otCv9SkotD2UIzDWFUBudVNbxfhNmK0ottmsabt4
zq3yQj1wnhf/fh8SQBxniCKwus62Si6KajGBo8MULfLucx80xidRuA1zGmZMIsxjsWQ4iNnjp7bs
hvJk0XkbQtzIRfoMg7y8wC85Sx64s8nRoSH9hsQya13P1B9blxQ8SBtmncecVW5zOMBLvkR6bnTW
xvWYBOohx6p6NjO3VBs1wwkMhbZI68J1/k6mgAf5XZVB/qBqIXq8fZDOaYNlclxxFLE9NUOE2Vin
XioHDGbElClHsnD2WoYHWceMGkfC0fU2S2n0xxkMeX+j/LZ3UhCOyP4Y3CgV6VeoDYHRGlFlSd3/
ZWfJhD4XGJ6jV7dzgfBMUpWRG4N3vpAenEUifPtMH8YO8G4KDi7Os1VNkZxTfRKbR5pbQ/dFr4zs
iqmsMjY0p2sxRDAjYme3tHA3nj4Ogr8llP+4CX7/9mprA4iNk8MDvF1IfQzQkRywnEOIzp4A9gMn
jREGyyDCI2IolfwsauzoeRYEwuDQdXkxZlERq7brwiY3+ynSDRGj+dq7yQsEb/ir3Zj4zi4DBcxl
7vT5jRx0MLomqn3gUEGI63S3CqndgBhrvpr+UD2A2UQqIZdB3x61ONPXeZM5yzi025ypXtbLLkwH
vPIiIyitT/3kI/1cDGJOjigQtdd+ivDbFjnIpI+sEcgowyl24YvshrncycKfbpG2pGro87FJdolh
1NMTJI/suR9B1G56xPteNQ/kybHq7BTCSVf5r34m0S+Rsh1/ypjpRUjO01HqgLGX+yqg/tq7nlbf
YCGPYmcvTer1HN70AUU1mBFeLMAph6jxZf6xpl8Pjbmjt4yTrjMHNzSdtGavGs+4yuugynhBe5y3
F74wH/DtB6bdtRqwkfqtIkBnpbVUtD3NYUmPCN/UasNIZDjYOoOePSriy6HPJ+PLx7/4/nCCTeMH
aSOvLMx3+5kJqMedK9JjU2X28DMYlfkN1XV/3BeBiT1XLhaDq6KJS9MLaaZ7EQJKaDnCxxUOA0i3
RBcsRVl4Yc5u6Ml1nmfGvF+Sypk2tqhMF1muIHuetVpldw6ek95hAFRkXYh2v7lSb9cONiIgFhI4
Qtc7HwCJeylCwFp6NNu6F1eqF2VtoD+BpHUYdLW4Sk0VZ9dBM1QBCHFRpaaM2tabdgpfA5jrYx4f
yQJ6c1v5fSU6RCZN/YuTNcEnh343ct+2WQB4wBgsye+QoJ4/NzWSM9s2sItdYBHlrxF0zR/zJTPK
PUdGh8TuuO2Sb6Yun+Zw0gSajZGRxSbkgM4ufl+wnt/TqQsEYrMff9uzOopwAQGDli21BCMnQufb
cDEY09wkfRDceIDPf9W+5wA0zZC+M+z4Xtf4WuHIoIQmTVoGlz7HWSr9+8ehnMGCYQjDlzn78cCb
kwVdZv9GUahxEfdCwSroXFH+8FJMLZ8oqQoPRbLA+E7LyMmeOmQE3B+OrzIMJFBhGiNXM43vyL/0
fRuWhjd/soDqj8a1IfJZPNEKBK6CZ2MxDthzOrX2zCFd0GpyYpncxQ2ujBuEKP1ObRY4XzsYEXnw
nBhp8MmPsYFkVxPkWpoG6BuR0wXVHaKzFW7VU9v8mIwJ+MSFauv3mr/dpetwiOMG349JxvmyLI7g
NNa6czMNtayQN0AZMbgznGbYAmlpup1FZb93pCjzfepo8sXWiJXMjn2nWWrkp4D0/2ra1M2udaZo
WVj2Gu2+oG0gBQiaYOXOQzHB3Bg1rRgRyVbow8PU+k2vbSvmn2QgJRw0qHqy4LJ1fGE3ezgAidzA
yAvcb46ksH80msmvbv08S7qN14mOL+j4M2Kdk8jsq9aCLfrIsLO07nMkn8djD+kWmEc6LXWkjGx2
tjZIDIoBWZsGgBR/Kfct7nfqEdFMltX2Ru/USrQj7gIvFw8l6EngCZM7tzVKCXUTf6mw1ky4sOgw
zFukHG3x4sYWYhcdJ0d7AkVKi68vJ4GccwN3IrZB5yAXFsyoFpZa3f6XZbmPsGFNyfT88dH6XRWf
f0ePAQXUXTwjADi/PVtZoTuIpwyrS+U6V3Xz1v9OupoUr0tnlsWr4YsST0kjXraoQs/Zdk5Xmuvo
cQA2g2ekSRu28dyZtyTaufGp/Y3MFm1vPSWo8K9KdBLVvG9V5ozeY5LmXLWOrhqLW31Jx5ca6+70
tUnHdlvCVIqDbdB0dhAFveD295NlegxoVWVwJYAS1Cmp54Vi5S/RhWfCEt0FVe8jY/B2BeAR+YUv
g/nGBRPZQSkKhntLs63hljNn6jd2O0ImCMYh625Fry+ZuvAA7zMxy4NLyUCdhpDzjkXB8Gdi5D0a
N4NLw/027/XktrWHHhmBItZpKQhMQ2/QVF7a3cdff83k3358EjA4FKSCjEHBt7999bSoaMsPlTgi
V6lyCP5aeZrMAtM63am9C5H0nHFPJKXBjWgBhDab/XbeDusdvbV66PU3RiLHllLIx+j+EBc5OsjE
77J6GRpsECJlqTqPEJLSHAKhphk7qfem322KYe7UTTOLae/j8WWH+pKI8VTWZWHiNW0qWSDyW/bJ
hWV6/4HYFavAPENx7B3OpQJ0I/dFmo3aDaxI39ijaKjDxVywgXqoYDlwGTjjszEQLy/88F++D/wW
lgr5Pv55Tj5gSlRNWi+yo5+KYQJaSe/gSR8SNLrBDk3OeGkk/P4sMIX/H2Xnsdw2soXhJ0IVctgC
zJIlk6KDvEFZHruRc376+0F3Y4Iqsjw1NbOYKTcBdJ8+4Q8IEpFFwbokrF9uCFBGbRlEYfTYRE6u
b0jZen3VkUL7n8mm7fDZln2lAMRZB28t/kH18faGnM/aYkPOKmYqGwVRINp4l+tTYVkR2gvOQ9lm
0WHw56KfsCofWwYon9TEn7o7ucV7K+JySfwqZiUFJJE420vBQObESZHKwqLaVSwEpgZGD0eoelX9
IMl5VX5PRBPWXjxUoFIDpOmA2GRGYH9WxJi+mkIRPnLVHcLaL7BSUXhV5TE17w1LP0hvDUTUwQwx
wEYlY9nNlaXeKhyzEo+l45M7uqPUxdOvrm/aJ2lECcWt0hAeTDyP7+MkKJ5n06dZhrnxlecgK5pM
bOASSc2j2UATcE01DaQnJ0tMIAcjdLqdNGjGm+QrUhWuWr5BthFW2ok73YXrs4RPMVFFZfMCpVkK
uWdtWUw18+3HfFCUQyQikEKdHAbSLgwSwNT4yHMrrmFrZsU9Zvm7EsXiWxvcc1S9M94A5trl9gry
oLIVKbQe+igavhs2cD+MsM0M1LFV9ILoMTWyjfFP4/vmCq6vjQSdjC6zi5iQX3sdOJXxZUTYuuL2
brP056SDCPwSMV2dvuKk0AJ0lEInfy3LUdsZZtwJH+HVYC7lG4G81tqxadl4w5RmAIwtq6zXde9I
w2OpQAT5VZVSEVbPQR/UdbUOpC7KhDsWcc68qe/MzHocNGbA5w7Hgz1qcYW+qVMU9FyC9gydxjCs
dlEmzX5yTFsqGSiKJj7gg/Sj12QxJJvCrjWi1+1je9Wh4dzMvf6Z0AA4fBkgrcgqgPeV9DnMSe69
2FYx4KhUKf0mBGKcHkApdKE2SgGU6RDmVvYzyhVdave3f8YHewv00DxGY9DDxGMxcIgRnJ77AeLR
JlqmK8mpqQzsYJLBVdd6v51q017FlYEM9D8vDA2O/QzUA4DYstxFKZNSRGB5Ab6gjUnhsW+ouiDn
J0gVuMI0jR4hxtyri5Y+8Nyos+4KUzWigo6n3RxO/+qMWUFKFtv508OM7LYsr4o6s9qMaJ4mbp7Y
3W95KCLf7RCOdw6+bk+fqibLmrVf97oEpl1HVLkPI/shikZ73ZHlWXNLT/E3k4MwO9x+J0X2W0ab
85sfx4iB1XU61p9IXBV759OKGB8CZ4zMh240uuZnMmI78CRZ6F+dplKPf3ZDScdEKnskYQwfRe1+
zYwBif1Vrcd+1q1Qp7one/t+SV2e8lmZl4SWOww+s7rYBvPgwNIy2QFQnUeQoJnkVyutibPxhOl9
9pUTS4qAMIdzpi7IXxE77+xhBQl4qoFHM6TItlkWSf8Bo0Wx9vZW+eDXEX40mproTc9UimUTsQNz
EPg2TOCkneDqIWrRB3tdCakxnCm2ra1Q8vpTH7Sm/0UthpQEG8OQsESVCLLh2YEDrK0QuQr1n91Y
VKH+z5uZ3i+pDlQtuGKco8tN1Vh0dgf4q4+d0UcH2Y6gW1QV/RWx1xs2yhabZmxpdWDWWXUnR7y+
/+dy0gSOp86yF0tESD82U9yhY48XRW3/wYUGGKeFwzvAgxaMklmE+p0U67rbbSIExbCC0fRsnLCk
0ahWVKiRr6aPxgDP/qFN/NDcOX5vb6swO8Ismf7E6Ke5iAePZ7PqgTWXvZMfZYQDizsBbIkNfn/l
9PFIkuFaXneYAazahZrUzWM0ddIYeqCg5W5Fq80eUI8xBkX/bKBt9tyijSt56NQbybGdyg5XHSaN
sDLcHgJugHWDDIjxpcz7TjfRPvAb6UudSLp/JApJwb5GMqzYzRrQwecJYJp5L2U2r74kQRi8ODrC
M0OKDPZyFyVcmqlWhvWjyOw4+hFpWpCdAAfbaM0znz3ogJNzJMuJl0iqIlUIqSEJ+6+V6ONNaErY
dnB1KQiOSLTDM4Scaf54xFTr1Yejn72AuM9OMiM71CiSyf/hx50l3BIWfbLKi9T+ElpUNm6pjIR7
pp++tVWyBPYCoh1lqCcrVPX1/mDkcQgjMPCHWa4gIj1oVg3WT+nOb/3URh1BNcQPEz+lbqVLsWys
GezmSOH4AaXtpNb49RhG1qZPwkg0h3mzo//w+0iRDs2gmvVJSgZzzstMqA5wgmxArYoa7hqjCpmB
xkA09i37snSVXm8at5CZPq+ViZHK3kTQ1N8Fg4JqoJGopHXomlp4sjcM136aMUP3d6PhQhQu3u3w
FRIztsHL1b2dSN9MtOERCgi0Cq3k21Hs6qZF7Wku4ciaAVUYy5GMgfK4gZ+MeJTMTGnfAqOD9+bD
8jxgliShkhaQdcwwjHvR86pAYWFCO0MDi9YyQeJyWzVBwSzEBgo9TjPsOjekYFebvVr+wYshrA9h
qRTWrkKbO/dGQsmb0Wfm65SUcdW48hA746swqKCYDkZMFgkvYZ61+9jE0eAgdAVTWrdB7vot4Aq5
Z4K4RDxyvAEcM1Z7h7IzLVxAFNQhnrRUzaJHR6L5sVWi0VppowFLQ6v8R6Y1CLPjLYw9tp/0yTal
gRJ4eqRoLr0wC08MtNTvNB+u4x+/iewNcjUBB1GzRbhHDENuqiRNH9nzzYjni65HYI7zynqsBaQj
D28W7mn8Q7RNLcrqLbN85xVyGB6ckpb37dfbW+uq5oWWirDh7E05V6DLQbVoLLIYgKOPulnktAGi
FK+SoLbsvWySOd9e7J1/epErsBplD6rZQKGYWCxu44RkIYnbHM+B2C4CRIJL7Iow/JBjsIAYK3o0
LUP4m7meVEHnjW3PK1jZaKyBpkiFVHafFXgY2QOJtkAQFW8AB71mnVZF79q5mNLgzhG4OgE2Q2bm
kNAlIWSScl+eAMRGmdK1vfFoDSi7tXFuvdhJM1auCs/yBeo6pLcUbPFz1gXWnQmoPv/hF6/LntUX
5vkEiRWSI4vXhbE54t3QiB/ZMHYW76VaKb42upxjptPbAoeSxtICxvxZAfdEXRthHRm+O4wVbjYW
rDpYnHwOWI1M22Q3wAbkLWjsMf9UJH1cHWfJn3ELoTFBWgMjLNWrUEU+9mU30GJGMlwLPFty2ilG
aicOxxdZlnT7V6xU8W89zkJMntSwiz0l1cbAU5min0O4WoM7oi1nrXH6hn6Iy1DjPGTykKs4e3W1
A4MIwHkImEdXSyNaEWEkZTXKciZe1TavHvsoAKHgJuAStdYTOD0cB02B63tnNy7DKpGBqKAgqGEx
bUBb7vLbaj2oy0SesgO+9clLwwv7XKjNhPHOZMlbUNHtCa4qzlrGbK1E0fUwGm26geGX7+QCwyrC
dbMd9Uo59LIxPEat0hM7bFyMbv/Sqx+qy/w1Vx0kaWSxizAcIA4dQR6vDrDmjZ2dJOF/Od3t3Qhf
aV2ocv6cxP+oyEX0m5ErBiNFhFZZf7EmPYO892upPyQligXhUHSeL6uZB7u/3ylkI26oWd2dHb+M
RoQGMHTgMUnKaA9bi4ZUERVwr+2y3WX6lJ4NCxVBN2Ba0Li1TAv/zgaYv+/fx+t9NUKR+i6mAzL+
8vtbjSMxwpPbXYEhI42vLJTdFsWqYjUqQ8D+dNCs+tdPyRPOLREADWw63EIu1xRq15clnjE7sPfG
NzSZqmlV2CLOnnSAaZhdSVVyThtSrDsLf/RquQipz4CYzIiwy4VRXnDwuFfaXd7U1crqjXzaQPcO
axcIhXXP3uLq1dJ9ZZY6+zPMw+GlBERlgkHKKHb3qT4EqyE2o7WTIqyE5/dbVZDf3z4g772Gi0/J
epAtWBAc1GyCevl0ber08EUnc1chmp3gtlSOogW1PIPtP8Mj03vPaidzejbDsThUsVSYjwmWJcXn
Mq0otMtJET/wSlFDpLkkCVW1RgMtEsEAlFaqGRmvtpLIP0sC2rBWR4SeVmafR+csgqO25r5znF1o
Z+oRATGELuMMuYDHrHLMfueESRp8ccYJ+axN1vgwtddsON3/FYrUUH4GzIF7tnmfN1PvlXLbJL8q
+k5Q3UthQD9OI6MM0KzM6d1lWeg3Xtmm7S8VObnwQUa7Ldlg/GKJbzF1bruvgWOtSpzSxB4Duq70
NH00COcEWfWxJwFeZzawLa8qNQCSam91eQnaQVOofLIA7ng2igyYstV11dmKnDj/fftjfbA36Ac6
9IwcEkt56R4rKTo1EEoA+zEXynRWg0gBQpbKv/uhmtqnZIzVOwf9au8zx54lI2jckMoYS+l7J+xI
84wk3MeVkjwBHlWqDTBF+YcUNmG+vv14y4wBW5X/zy00dLrJGhYnPM3zhsbBCLwHc06NZgL9QoTx
h5XtY2YKCrNYZzXCVq4jpfcYLR88KOiiWc0T2RGK60W2YoS97afQnznkgw/sQpUPQim0T/qkdr9u
P+YyN+ExZ1qmDeKa9ATFyMsTl2ApR5FWmTvukd4t1TzCiAQ/s+jOt/tgHRtAM7O6OXO0loKgilMj
7JyH9k6glaB/6+SuNw5ppcvtvQh5dcsiZILQBgw9rAoIJYsIGYYqthaY9exAj/vPDF/7kyxsRDTS
rJgwq00Yljl9l9wZwiz2yzt4k61JCwiJYyr4xbIKtXpbdYN2LCJHrJMYP09TK7EvrTSt2MGZTzKX
Osb6I2WBvrv9EZcJ+fvitEJn1CikJGxYL7+ijhBgXNe+elQcpLSggTuxX3q1PXXVfkT5VXupu6jf
DlahYbwlGdknB0pugqmwIT+IYLLHtTCa3qB5jnHip6ju+uc4zmx1dfuHLmLG++90mBtRhYIJpFl1
+TsVgYUPJu/KsRot+aua+VHkxfXQegTrJFtVdhW+3F7x+rPQ1mb2M1/Ss0TVYkX6bzJQh0o9YlA2
iec2G+svgSol42qwOqWBLSYrr4gHB2KvWbX+9fbq8331133G88ITZSDIP+fO+rJNNjadVjADUI/t
rH1eD4rxy/KNzpMy5OYkDDxXkFWdTZ0wpa8lc7qzL65fN41cmspU0LN+lbPIjHhKHbT4pB1FgQlN
lxcYYhqp+sVBBljxCltvpjtRcxG53h+Yf6BaRNmO8M1iI6II2TqYzOtHH3OewYstvfsi5RFNBz0s
1c+33+7ipP9/McauUK54yZR1l7sJ4z5ZrYvMODYjveGnwWqkP4hDoG1savLwCVe5gBys+XeGBqrY
tsLfFvw3e/mMvNJIStlrR+YU8ZskAYPwaOJYBx2BynvTio+eEQTtrM2kOLP+1OUzqmhP9A24tyOz
IrLbaJCko9n58jOSmuDzArhdq7xuhzsDx2tKG3t25uzPIH+T1Hpx/alBaFZq7uvHQkwONgk6IOuq
ba3CM0JtWGVZWv9XoyoD5VzCi3YyxBq2l/p6+wt//DPw5pr1vojnyuITSznKR4Nk6cdOkxSUz7R4
Y6LxjLqYyKQHpQnMgxmNxa8xCO0nYEo+NNPwHv1g2e2ZNxrgC25HhWNqMku+/Ah4ojd5yU3KR6jb
cq+MyPts0cwQ4G5EiH5mByTr8xQPZgbLJUaZxen7aQ4oQbKDlVyOdy6bDw420nDc10yFkRFdkvD1
Ss+SuIr1Y5nGQMGqMNggua2uI8uJHxu/qO7E7etjjQAcWRDS5azKDObyBQQR/B08d/3PUwnTwK2r
tPgmJ6DaM1oU1Z0Ych00yUQ4XzrC8+Qly5vU8eNAKtQiPipDkbXPTRVN2nao+26lmVKA9aUddtYq
C8ry1cQw6Lsjd8ha3SlFrs8dAyGqEYI3Hb4rCnpDg1HKjTE/5m2dvvF7Wi/qe63y4jy1p63vC/Uh
9vH1ub3hrz4scZrdPgtn0jGCc375ohUupU70aDqAnBiyDbNYFyY1qqBNUW8Kht13HvN6PaQjQMzO
gHIArcveao6E/wgo1D/m8RD4+0Zrs7NeAC9DE0nUzTrWh+nfplXA11mSFzr3QIigy8Q6Q/QfISbb
OdZGU7T73DHCbZlYeAUXRjb0W3ky9fjOa132kN8XnTnT1LLsrCtqTWAyLEnyVJwSRRV4+2BiVn1H
jsmezkM96NGqqklRD2rpJJ9oIEAkHh1MZmeF7nTYl01ZleuuNwPpzsG62usIF+EAQRE1U1lJjS+/
txOMRgGbzDmmVtN+iStsslB2shEXoqTXn7syplplqpkcsy7NKL6t8A7B7IMdAIEdqJYMfZixxOIX
dEpa5to4ilOH79ZBFaH66ufIatpNJWIvVhJxb1Q6/4kXSRHPjHbGrMILEBbN0MtnHnysAFD5cI4o
qU/SQ64l6T4pbJvTPGDzHdtToa+CEFqPR5uAAdPtI3YVy3Q0AtBzoNaZLaiWsTNROoD0yGqdAlA+
0aaPrWRbF7EItgaDozvn6/pZ8b2dn3MG7hhM2C+ftdOaMPP7Mj5FktTsC0DX58kotR9Q9L47CMRt
0NQEoY7iEJI8t5/z+u6cvymyoeRhYIb05dpajviuhUToKUIB5yuCv/oWty953/RS9WoGRo5wHXCF
xpfA5fRZ+GdAourOYf/g4M1KwHTLYITP6pmLhDAzMfJBgt06ajWuohUD4aZ5CQchGc/MAxAGQC6d
7CWEQD8bxQ6Sv9OlLB5cpeyjDHumQH2senWa7mz79xr6chci5wGoAALEe3N+cadnTa5mnR07ZHFc
7WvMto1yhfSe1blJJY/YmuM67OMaLeT2wTbrsPTwzqnXAXAysbNxaUHYK+r9yEOmI0JqLh/Sb7ia
2doBDo+k0xwf0cONmAhsWssZ/tCD7j436MlPJ3wBi95jLFUW6wC6wtudLz/3V5fPhkKMg50qrUmM
OC53XRTFk2I1HSfMtKUKiz3N8kyUeekkWQ0E+VAg/K/oaDYgL/OQjCqMDauKHy25u+dFcXWP6ubc
PgQqaOpoNSx73i3XjmVCkz4C4DIYDyea+CpMpbLWtdyLzk1tG7CWMKvo5fZL+GBhLjU6VHDfqEWW
DQcTVfzcJwQdHaNScGiBtvGdKUDcbREIx2gtnrpzIALpXpP/OryQkcmMmpj14l2/bFIRCPDNTQZx
ahpDSVHDV0oPiHSp4Mc6RHca7deZ6ey3gWorbQ6KPHlZ4dkF0KQOJfFTmyTiN5icOt42XaQ1z73U
O8Z6RBhotoAxgTCm4E/zF2TUpGKlKXGprWq5lO6cq4+iDuXKfJ29QxiWhYMkRKOXnRmcwj6zvhTc
5k9tLkPEUjQEThE8L12Gh8M+TXUfgozUDeDtgmZ7++u/a4otjsC7HsbMqaVBtgQBA8hFqakRzrGX
2qzY66E02S6GDCqWQBAVp3Ua5h06emFcIZ3YWcZ3YdRIHRZ6ErW7IZcy/4uvjY3vSnqCHzHw6gD8
dGk9q5hmfYYVFaRuQhur9PxxyF5G3BQMDz92o3lCj2sM3VZPxadJBMlvqyXxoNmdaY+Vg6rrRsRa
FL7YctgGHpgNG5FGA+EsJggxgtIIH/vmQVGqZG20wB83QSGFo+eX4Cy2Rt5I2zax0Us3fPT2YerK
vrNC8iYPf0VKUNI6b/HYiaNRi7y6Y99jLVLX2FAaSh24M5ISvI7TR7JLfpt9BhjejY8NNLl+1eZS
UB5kZZK1n5qR6OOhbnR1XA94cmGbEdg5yMCwnJ6x+9R+FE6mwNWJo/DL7Y/3XtUtPx7K19wciLfB
MFhkwV2bJ4Zamv6x0bPxvzHry2kb2JJpAkhrQ93L8WyALTJCEHTT2k7bN5WrTGCQ7qTJJq6bqnOr
rmyedKRZhdvZefsLBcoy9GI/r4s7CcX7zGXxc2cIgELNT73AT74Mt2E2wOEQjnQMpiztVrA0YRfl
wh9l1jaC4KFTu6R8Fk0t21sJSFWFKU9PJVOnfqe7BZqoFFVVr3WlKw2trK/Z2i2jpToS7tRrytvk
y+wDLZGLn0ofxS9WKkf6Gn1PeVgpDZpja8jH6bNR4OS+loC4sHCdQmJDLlQt2eVdrPMvRFn2Scn7
cougG8t1A3jh3vmfM5rly4DxS40IxHK++y9fhkxDBm8jxz8yydbkn1x0GI24EBoDwYhqLPTvGcMx
TIL7MZOfIP46ByeUpfwAAUruDc/vsEnN6frcq2GvE10QG/hjgc4jNFMJXP4ws7H03By17BQzQK+e
tSqYXiNoKuETOGNjB4+nvnMPX69IN5a2G4k9A1jYCJcrBoPWAMZw0hM0KlXGwoe565haXeWKemTE
lN9D1H60IBpAhDumk/Si5//+F7IVpBTNfr8uTqnZ2ztuQOxYxpYxcwHQSdnKtV/Uu9tn9fqapZUO
iJZ7/KPOcyKk1JmUtjihIl4bro4hep1ok+K1aRZ5WpsitVgx3Lqz7HXdRH4zj53o+qFevkwrUhge
thFa2al3St96ChFfzr3IGcr/MCWChMwIfnIQTp4nvxO+yCZYMLWtWvf203/wwjnxVG+MYFDGcxZ7
qrO6UK3IYE6IgGFMUwN0Ix4Gr6YOyzov8+JOOv3BepBcGdWg6snsbVm7NIPoJXScqlOORdA2zf0f
TgasCzZSvcWnMDjdfrwPLnMejVEs2wadwSvDzAzJoX4ctfLk40agbKIxgENjo0XukyRr46Yi3wjW
5DiK+tDRT+ZS6vIkPEGMauI7pfJHzw6hh/D4DnVaWp3KiKDgE9FVJ+H7/VaoU/GoxYo2QeDMn3HN
BQl8++nfp9uXoWym9pFDcorR1VrqcTCx0pEuaEFghjrmmH4gG280yAZnNxUWvfSoaisbTwbB0jI+
QkAMIZA+y4gEZi75bt8AxCptVLLlTNJQdFcsmOjoVWJEqMeU2KWmY6wrMjnz5HYCHtESRgIoXq32
qnV53G2CSoZI2NsoTgO9zGvjszNY91zOPzjD7F86fECzoLMt8cOOHknaYDbJqaza5CwHibmBvgwV
INL6Q1FM8Z57b3/75X5QGDIOmTklpIom7LbFpZlCps4qf7JOOqKeJz4naAZ10H6UfaVuTamOvjFR
bjaB0/KmhTCLQ6kokur5AJlSfAuV8Z/PFlMiFXMe7qxZOXN+S38Fz9FpQqtGAPIkQiXGfHnElzjF
eGsAV2qrj0WMjN2dzOF6S8/tZLg1DDDAU18xa8Kij6Mutk4JlBUJeXXUW3kJ45cwQqgDNmc13Emt
rqsTVtRwRpwbfrM67uVD9himgHtjxdifptcgbHQvmabQdKsy69a3PzFkCv60iwOEbDOajPP9R9ji
OS9X8424JMkLHKK0NbU/A71B3APyPYDiN9ow9VBvBHTWDsHKJlTx6utjFKlF0Ar9Cyc7cb4jJifV
ssuJKscHREclPBT8Okp2Rm4m8m/OW22ieBN19iqPwdL9bFQf10/DnwCmRTj6Vjvo7eIwyJgQghVt
yLcQUx/28oDcwlk0mtCfZhHm2C0MOGu8CCVqtZ80qOBBHAa1GMnzO9p3yQqAlTQe8OZQP6kirY3W
Q69JRntfN1qVinJ01C8SNRoXQREMZ2rcbsICUcd900g1f4MnDk7Q8Dnb2JUi3/pmdVr3NCf08a4C
m7Ix+iFoVmVE53fVcx4TdH8ARrpCkodg9HocC+UvsD0b2Y1JOX2v6KvpaEulY60Tw+neAh1ry5Vt
5PJz2vTyizIYymi6RqZ3/j6K8sJ/NANhA5cNFeOY2n6doQWYKN+MLK5HYOCK/znKB9iLKQT5apVr
jfqbfNTQvmYcw/whFwZOrXDoyrcJv5CfVUv7bNvKSv3AeZZQkEE0YnLjOB/Dc5UzcNVwVf+OJ2R5
DHVRjh5zJP+UxjSkkFaNYy/taNOt8jKpHxBUzSMvLAfrZCLf/9UXfXeOrdj/1cWOkrh037N036lC
fC+c1PlNa1Lx1yhYl+IFIv2keWlMHeAmqDdoHn49TfKUaZ3fP0Vyn7+heUMVNSoR7d9ScwK0/xOc
R1DyUPHgGukXFqvQqeUGmfmsfptgidgPgRJEJW51NhZEuIc5wYYiUeif7MlvnCM4BOwAJDk1H2x1
7L/Q7syjDUTs7IE0zXa8ysSug1shQIdlDMfyaE5Z06zhJonGjSKzwNKe3Nw6WRiOWa6MrM0Pw7Ly
n22h9vETDxWsprGz2/UEdP4AvjlVXb2X2/5ltOHJraYJw/p15cfl78JHDZN0T+4nL/etNvnSMj1U
MUvIEcDXu1qxzrh0+2+9Tnn7Aht36B5sOZZKzypaP9gGKZ61NGTGrlr5ZT5OXgHHU2+gFBgN25xp
28+qYRzi1QwP03WEReR8vARmwGHYKMOqZdyOsd4QKNRiToEGdjgDFL1ILtEaN9VO+d5lOB68KkWp
q88Czer2ReP1f6eDk3dvemDhpeniQaDm+0Ak/aPcKVX+Q/SgdI+MYidkqvoK00Q8xmvrV1uLqP9T
B6FuPtUoYE6bFG2D0S1MuznkcugM7kzZ0PhEaJUace08F7pfGQ+xqOQB1koHzW6ssN32+rGnalr5
OIY8IXZopAf+x2TdYLIxmB7airQnE3KlWfKZXGFn+1ScX1MjDjANlItmn0xlT67ZNOPkJqAfZdcQ
6WStxkkvrRMqeiLn+8a1vZJSue68pir752qaJmVP+SNtzS4ynC2cUzBpjTDxbwnbMew2mdPgjqiW
yYj8MGoWYm9OoNDOnV441RPP6+dfIoiZVJNJhTKeUqrmZzgRQlnraZP+biQMZO5clVcJA7c2MI4Z
1MDYnSH4ZVzXaJcUOFGPAGtU4+gjPRrDD/HRguugMxz0CWLW1k/8+B6g4er6YlAF3BfFMNJt8L7z
f//rjgaEJuyOAu9kJpn0X5yLc0PLIlypmIDVd9K/q8vZQN6cMpHp31y/LR0TZR0HJsgpNuIUXb7J
iyl9CyhtStcfDeOkNtV4J8G9zrYZSBiM3Hky6PKAKC6fbqKzhGCYiqEMGs9rpEHlp3DIs//ghShP
SlUPB9msta0yGd3ooT/ll+7Q6d9v39rLyoohN5AVepdEdVrjSzR1yJQzhS+UvqijlquuVjAFU9o8
fJPyJNpUckQpNeFcN2CV0qPfWKXtP4+k4DHgJkTvGmaZc8WlS3PAn/iIJS+wcUt/I0fq8FtKWqYU
ccXFe8CFVL1TT143Ug2UBUlIeWIKWuqdy3ePCx3KWkSJU62FuZsYmL1EVik+lXVJbuAUSvHU4ypu
r8Y6qd+K3M9c2t0jqDKdZu+/5oWcr1lsnVqHZBSK3eWPQSiNjqGaDSe7RyxzjJTGQ9GgQbrBaKyj
00j3+OUfnCtmgNR3YIVAFSxxviCmrSlptfFkFAn85zIwdqkW91/HJvfvkfKXwWPeYAz4aYfMOpKw
8i8fzoxsyRe2yF9ao1LFytEaB/XIEjtOx4qax6Ctqs8MINPft/e1zR/7dy7KsjoqwYzzYUAxFVmk
90FfoAZXqcWLDUnMf/azjP3EQay/TVogtoXocrFKM+qtTxo2Qt9ur758wfPqsxUFBxv4GzPf5UMb
flcgvvhCEwiN+DTLrSOyY93erDtMam4vtoxcOPbR4gI6SkaOQLy2SPKtKY40E+rTi9o38oCNE1R8
cIt4jDJHU990UQTBnSWvxmmM8inLsQuE/opM/rIHCsqyRyfAKc+ppCH57M6CXBoOSJmFClFcpmIH
OrJXvubyQK5OPj85KwAz2lsuVEaflS2U0UMny0IxJ5DlzhVDZEcbsLbqo6H5JhesJqTaC1Lk4aiw
O2eD7hVC/LmG6fN/siSGbyPI8tcE5Tnz5fYLvd6yPBwyNxROM+54yWdoIz/sqWWacyOG9DRjFR8r
6oNz3AyjJw21+TCEcfDn9qJXoE4WZII0M9Xp9iBGMe/ovy67tBV2MdlZfsZ3HFmktELXymutUDwI
o7WMfYCL9wpzyhRa9lgZ1sFWCkyfaqnStuhtdwXU33YstpSzw84ZyXJ26ig1w+n275wv+8uDNSuj
EqjIbhFFXDbrQwNATFzW6stYZQU6yfRKmq0GR+xOULw+Qqzj8FqpwWk1LoVwlSYX9Js19aUr62jc
ZJP1nwHiLPSUTmbI8e8PRTDkeShhObzL85rGhV6jqfYiZRKeVbHIgr2FW9Z459756KH+XmdRIQNh
j5JexlqDWqC0oaqAQ3DRRRn9FVMfgGS3H+uj5VC2ljUghTBzlsM5TJusYrAn7SVk+k3KVoQPhhEm
v+Qgzu71Rq/3BY1vkOVz3GXJJfwgjLLGCkKVSsOP+9deKnzT7ehqfvnXR6KrP5Nw5vMJF2FxnZSl
jLArM+SzGEoFN9i2mbg2mbV5YVSpb7cXu7pEZgGWWeWHwa5MirKIrCaCpIqN/+JZy+O2WgVp5rxR
+KFHbrf6+AhKLDwbYVT8mSBj9XcOwFUUmhcHgAiDmKkv9/VlPAAsoE0x/YgzVROOgQ4sag16n+24
kS8Sf9sUcbZXfHPa//tDIytABgwYbia7Xq4LHwZCIvzSc9BUPqMcHH/WmdWK84SB8jlHx5feRCub
oasbpfnPlxkABtooIMYQuQNzu1jdwuNO0ooSNlVEs1TrY7hrQyb91Ouy2LdBfa8nd3VE5vVIrdm0
gHvRN7p8WrCdfpACKzwjrGxLh6BX0mIztH4CegYxDGd1++VenRKkxGbo1axYha/GUt5LNRHgJPXC
AbQSTUrnJNX/c6bingXXlbY0w/gZbTcnllAktWVKqetBwj2bjmc7pD3yA0twDZXd0ha43FVd+8lM
6KTt1NZ0/LXG4Ioea2+WZbnNDGc8JFZoJG5i9vW080OjQYTVKBA/wXG37gOq3rGaDqVZJtXZtoNi
l8typWAuJrWpF3cTHqvo2lDVu01GRd9sYeWjH4A5nYnhfRX9DMIaZYbbb/bqQ6Khyo1hkdHPIInl
rKQik7Ma9AbOkylZoDEG67uC7+S2NNt7AhzXS0Hmp52KaRG0fkS8L/dMP6kCIl5QndHVbs5BEDuq
14f1CWc/o93cfqzrTOtdnh5SEr4n1EbvGhJ/pQXgbUNKR7U6tzMVbesPdbKzet3RPNRNmuqPIzdR
PeNbJmMbaG3xAuJ/om8+DTQ7FL9O0XfIpinIVnJtScdRTkvVs8p6ADTQCR3TQV1MvyJhM4nARlL9
Y5Ct7ZgdjMVGapAEQiY6qMvnEn5NegfPchVfZ7MLBHBmwgRp8lJFhSNexaGZtmfFqjuU/LBKQc2+
aD8PapV/G1WrWOt4Ym8jus53tstV0jx/PUjEnEQ65FcZuuKkpfAxYzwXAb08RAQLBucYzeqtV4Vy
WW/TQEz37BeuQvp8GhkeQhzigAKUutw4bWlzSUJWPiul0g5bRLYyMClFhNcC6Vr/lGEts0nq+J+v
EtZlfIikAtkAZJzFhq0qQ4ShVnVnVcNR3OWryodAm/Y2/JzXjvoYU2RTvddRuTomc3YI+4txrWyR
wS2SnS4Y/kfZeS3HibVR9ImoIodboAPdSpYtyfIN5SATDxkO8PT/wv/NqOWSyjM1V+OZ06QTvm/v
tbt8AGj0pRqpaRLohYzD9yalFPtYOmWze/9LeXOmp2fpIB4BjMfiwbR+cZVojVC1VUv6sKBVP2ct
rWgtlfkVlb7rrKsPtplptxvd9IZCnXUcueSbtpP9v71ZLF3ArVi96HMhd6Zi9vohg0dJLauhBe4I
thV7Z+GQuvd0IAhlT8BsYAO4rf9tX/lnTJOuEglNbFOQArweExChgHMcKyRgufmAFQZlK7qsLr1Z
xPjt/ft88VgZi/Y/WSU2QvI/J8/XYzmt1ZZk3HpAl9X+p5xFvBsBoBOO4yzq3b+ORYolN3KzIjDi
5dFWJKXiJo5MT25sgfqdZguGOFzlLhwaFz3X+6NdzAlcGSZQtj44rflOECq+vrINnGhDRo+jpvTM
Y+kt/Z2aL21I1pAb6rro/y1uYhuPRQtRMnWHP2e/1+PpIPLMwkvsyPJK73FSaxA12UBelTWyUv7z
tTEWXX1OVIhUrItr03Qs3eu4WlHVWo+Z22p3LNn9CcepDDpLTof3h9te8v+cEv9/adxJliz2VGx4
Xl9aMSQjJDPCOwrUICGQItNXLLXeGWOh+bGqLMdMDCvaKa88xJ4h9u8PfzkX/BmfaZ0bi1+GytrF
NlLYUNqUoXQjEnjT59Rty3NSzeozpQTx7E7KQEfR04vAsCr3SpjqcogRlp7Eaqof/JSLNe7/v4Tu
K3UoeyNnXhwtLYOm8kwNO6rgMofWuC4/gWk4+w4Q4i2lvgJ1FijhYwHP9eX9u/D2S8WACyKdJcdD
AnVJUVtpS/Rs5OxIwRB+QvNHtngqss9O3X7kK96e5+XzZj3lhVbBJBDy8fp5C1w8HIwYqqnMZi/H
rA5Z7Ai8JcPjYC/o/N+/tIuV9M9dxR/HfUUzyDFhu/T/7IoArnVWsWi8ztpiGpQw8/7sElYaaL3a
hd1CVzjgrnYfDPv2Mun6ksdH5WHTlV36dZDiwDuJZzNysjT9SrNK+PY6zvvZ6NUAUqb2wXHh7WWC
Y2BPi4GCXS0V5teX6a20upREGtFUmqRay0wPPTMd7uO4ii2/5Rx4p4w67aX37+7bF4dhOczTE+BK
0cy/HjapYnWbb00mwik7aElrRW7PTpC8Q/vT+0P97QpR+biUlFi3kEa8HoqjbdxPgzCjpe3U3z0d
y6c4pyRExL29zj7FufWa3NF6/tc7SzmEAzYYSrZhW8zR63GhK7Yx5H8vstFRXbc6yKCgUjzrahCL
dqUggQ06184+WKffvD/bqBzKNikbZrfLq3VQDfVinFxsUKZzlzgDgCQde9R30wQe5YvCdD8Y8c2j
hAGh8rIyLvMPE//r65wJJI7dWbei3Fl0MlIqkR6zRY39tGzUj7YhFOj4372eB+Ai/udxXuz56OXo
5L30IDNtQ94LC0NI1HQ2EBiMR9Lz584rPB8peGfdIOtt1B+OSHscV4YzRGo1zTGU98wCSjDpEsAH
Kgu7C/SVqimwfI7Ofl/lYtkJa+junUqvv7uNZT4n+aZnNtRF/cLSPfeBDnhYwf2cSPqtiVWPd6oh
YrFbp1i0Tzo0tOVKCqVz76Yapu3OSb3GOppLW3XhYsax/hVRfzYFpsu7eVr12in3xjSqdTh1zTo9
Iv3Tjc8scBpRK4IECF9FQST8qijjhxpBGMGgFVk/u1rTkseq1pQk1EU23jRGVXEu44JvpszWmjvE
306k5PNMBzizS2eXTWb7uWTr9d3RhfN5MOOVWDzDU46yS4zfOvEnP1Rr6pUAJ19VI1hXstxvSqiT
/kCMe8TPNFFSNWPR7kDIZuMpGfv0Tq5Ct29cW0Bl6LDA3zqZmtxjYSmeK7aKoFK4fb5jdt4pj60h
DQwyBeoANKErHjStQnwtC2l+BRXaUbTUtLXdJUs8GAd3rOiui1n52bVmqe+k0lpauBogBnz+u/EM
BNwF1ik6z0fnVjbnzFm8uPTTwpiunclDNJHDCLSv3Zh+eECZVCEQyk51+zrNJbd1hfD/eWy7JD6I
qUivO3KYO191G/mzSCxSZ5G8jBBSEuVn7mjktaD9Kp+TMoe6hIKga9VPStkAVLZKUZZ3HApN5Udh
tOupF4nr/ZBeIfL9nOqtCKdJQVwq22b2TkrTq1fUBlEp9MvSIkQb5hkojoXN47ZyCJTxhd6U5l6z
a1bYTtXqg5UiOrvFgo8ScGonVOhonpLiIOEVz0HmJpn6s9GmvLlWHTD+u5aujv2797IkDSwSscbb
WgzGuksMYf0Gewrjjnmju3J6KLT0WIZes25ja0Yn59prXewdqGAhdJZ4fFTLbl60wBwM82pwaB+P
PpX1VhLOsszKi2i99ZNJwNL6nY5CvVQ7EY/iB5SIfHjWl1j53siBr6fFQ4NsuYmXuiRuZ1hh2BC2
Sw05qbuxHujCpGryuU0NpwoLZZnKs7NUNUnyha0uBbN2VqjBgFql96k1F8pnvkaknKVeTyeJsQVM
e9p3zs9i0BWH2v7kdHuSoYbF81nA06ciVyiMF4j0tlbWYP1UyfZuj+Ug4YyR8oVeD/Pa58GeVuM4
gz29Q5ypOSe7V5o2qLOlfOnarDXplzStsiOItZ34bX05PIE3lMOJ2GRxdIohBQy2WLV7Tupatsdq
1XC/syDKxm/gXC/ncmzN/hf1sKz/NSlm09ylRUMrJiDvYGqO7mDVVmCKsYsqchyony2TXHzAzfCj
FU+qgNIGxWquqAuY5W0h5xI/tWEsvyDXenNYZkzboCiXTEHCDyJ6x53V+ztawqYbQs3TnrpOVneZ
pdjuPuncufYXvbYykuKKnA+jX8fPlU0OKxjM2uv8tOnH5LrfQpiAAQ1gFDWk7zoNdQodCGFU55pm
LHJle6ozL8rBDDxUgKdtXzoJf8AzZO+Pjp2gQ6t5Vfawu8tTZ5K7h7nB1s9C2aIPRDWUCINoPhW7
Mh7nPFyGVn30xKp0oSRWCe5YNo8UEZ1MRK7RER45kJlGjWVdgTCTE6mbh5Z4APOqbRP7WyVm9xY8
DN3R3hxHdDelOeU7Z+I+/OhkPif0L8ZkCuapnmG+gqkE3G7PseF3VLOSfWN1Y0LSZJfJIEHURBwe
h/8XhRb4b1km3o8ZaeIXuzNaK9hOtzUKJ2/+NY05s48B8/KcD0l6v9o14PjJk0wcZZp6j4oyGWWk
p2reHmA6rVHOa0qvLa7jpzkpWzTQ7ph9mwtHvXZaDCihsjbjdaoXbhKk6zJOO3dU5sjz+vprqSA+
9uWiNw66amXAG+cZvztF78F02n3b7mLRUIIaZyf7RcJIRSW1dmpvS9gsmYRA0SspKAJz3a8ItLwD
aciwTYZuUrQAKwkPae2H4jZNSdAESKMvn3QSVVJ0YtZY3nppMT+igSw/5VmcrXvFs9v61sxbxfxk
mApNQ59Nc9xHM0j138OyZV51RtEWn8p5tc7LIAmeVZSl+tbEw/yspq1V7LFWe/oeMG13lW7NPAJ5
B/OmXwpb8+Vo44SbtgLUodVW+8qpEPX6DjKXLyU14BegfFobzasjgWi1PU/FBHzPsVtzy2CE9yAC
g3Spct/WiTL58dBUiLdi6N1HY+Lm+gVI6GugWqbJgmOK68mS9oOMGxV7aWt5JxrjiRXavZmLqItb
2UcGp79hR7riqO662lOIZcpHpIll3rdXRjaVmP7tLO3DrCY9MbB6upS+nQ2WvLaIV7mVHOrbMFer
XqWkKjbBnGFnV6WXePPerSvbuDLxIv7KuxgVYwrJmyABKYbcB1XR37vCdFDAulmZ72ZlGl9GVzTP
gwH7a0fldjhyqlVp9wiKln6cWsUnkcXNiMBcLSdfU4oRb4PHwzpgdxjvUcERLMUWULtd6sZhn0U8
8bNX6M56W5WmiwI1J3XP1zi3VP7cs4VhxalqyK9E9ii+WWiDwzTkaT8dM6sk1H05XA+K231XElUW
V4Yq+xdNUE3y15osgM+qKPEpTV3lPhlW3/aBJsX0kivaXEQjMYjVUdeaODnzJwwvaJQ+dfxeT8db
l655fnbTXv5ypgSfZGq31vCo1UPR7JK+Uym9lsLQjnhXt6SmdQF5mZnaoB+y1R3urXTMMy6Qc2HY
G7HrEnIYd3FUINu9WcYGzXjaFVruD+yDjRdoEkN2cFc9LsK2saedV/fIfGp0lC8T68mwr90ZtrhM
ZhSeViFtWJuJk3z1zB71H+0NPQ95nycvsBLbdH0d+18azbVY8oOiuovjd6PaZudRWyqTAqoRV8ey
kOkOyboVH0qnNx6ztF3r3UBiELFq48K+zPPW5TPM57k9ZDPbyB3ZqjYlJ/Zp4OSU2XKOwvOKeyVT
pLFPUEK6QbM67l2eaGgmKmTx141n1Mmp11rk08aimcVxLBL3JfUqfHLQ9Cd7L+YqrwORpnHL+urq
XVg0I0/dq9NqOOGbwrlm4exIn1okQh1eyRHHUIW4MbQXNnio89F1HEtwEezaG1sT1zEw6PjQNjEh
gVkdZ3lUgMXgQ5T4P3xqjnCbqyVDMKaTzFbf26alyVPKS4+AuWrjL86aKp2vK4k2Qp/26l/kHRWY
Ryy2gpbDanOSOhzoUZZ8AEURw8krcXuQpUmpFWutOpa73kvwVvSohleEzitburIFse6b5ESTJeqM
vPShnc2Tur3UuaCynyS7ynRTFR967Wh3+JeKHj+awJqqegNYrMVKi3Mxr7Mbzmtf3Nq1XndnIfQh
7MFpCXJs6oHvt2/WefhiDaPXh7S9+AXOaomHSpC5+UVttFgGGM4GPgAda+JedkpNlrLRp1rE6X7U
Cn+um2G+1XH1FJFuLcLz+xryARN42uyTYepk4qOxR/6xQR/ZZTs6BHnwMnH/VLvd3FHpcKck1KYy
r/clkcrerm9H5VNBcd345qb8n/0Gk1IcYNy0lbABnafcDY2psTVg5mpCt2sYth11UV/Dwe3ZpohS
uW/rVX5xO69EItCOQwFBFiCj0g3M3y6bU+BOylDVV/SW9CIyzQklvObVPLlak8t4A9/R8QJEAI28
NnvBdoZCY67csbNm62UlbeV8Jl9GecZKbcTfVtl2NwPI+OGg9GDTPrAl/q2qQG+JOhTlY07AFwUM
q6AWMw6JGaEbPq0TQiwdoWwQj4q5V8XyezPKHt4vZPwpilwefYHye5THQaHiu3h90pZgUFpi9oyI
DoWTXxl4MY1QsIF3sBIt6O311AUKp6Vdq5/ilGnIb+SkHwtL6fQ9SVYgeW32JA9oQpJ0lzCFOz71
3OwXXQaegq0l6ZXaIZgLwXbYX0xvNKsrWPjaTwps1V5f0iW9dqyChzfQ+VTCcRoBVPUKh837xskz
/azPUswAFsCi7xaznLgZfZEHpVpXt66cmBR9hXS4+VvRYHPw69U1f9Nsic1IE6n7oILYW67qdrae
7AFUh1+xhPzGicYh0LNjJdsP5qqUnL5cpCYznYo2qPSeeJcFmjxugLrEQTXATXIPJDM2wylzSLqL
wDmpw57y0HpebKlXe40cQG2XLnbxsHjumD40SryIkCMhgERzxE/N6jDEH3Qb3pRqAePgCUL1QGuD
UsnFW0NNrZcg89KT4lXmveyN9aoQmU5rfC1nytSJ8xOFZHdI5/HL+y/P2yoNjhn0R1Sk0OkgOXn9
7iSc7Ek1q/OTN9gn1xHxC/T+TfIms4/sy29KUCBs8TxtGjOkCOalrorsolnF/2FHc0bbbxn49gDK
LkHTCQwDcfnBPf1LJZ7xqF7SFEPhixb09aXRqm/oBcRWZDdedtSzNb9TVkmydtnZy6Pekb/kzE57
1rORVNEpdtgDjlNjnlQ8/C/v3+Y3Dxg9DSEWPGTA+Gi9LroCbAt1b6jQ0pEFOR27ZtRxLxCRhoIU
UaJg1v/Wj/qPPI1j54N649+GhofB84UIYaE1f30btCapaReqdmQk276O48uerUK39+iTsFWNq/Gr
w206O4Uy7d+/6r89AtoAkJKJ3kEo+ich5z/FcsNE9yGcxY5oiUDLq1rD8Zka4o1AoIwBdRGSjCXl
Fc3XBnJ1fRiN4HAHVs0beMfl/MHs/JdXEBgkf2+sRpqJF2+7YTjNlMCOiZZ16g+NrLw2VGZFPY1z
2WRU0vL5I3PaX27/xp8EfoXOmsL2RVO292D1F7W0IlDgegiIITlIC0gwXpL0pGvLfOg74qOM1RT3
79/9vyxF6OKQc/JtGybz9esH38P4KoqZToU3DO6+jJP8O5XXiZh1T4lGMkm3gIxV/PvrRued1vv2
6fHRbffjv49cF3Gy1c8IMYGk8L0sPSPdTzpmNak7sg4ppySBiZ0LCvGyeh8pZP52u7fOE39pgHsv
h1+UeR0cwKORV2D6q2Cvnd15kXetHJwq6NMu/plkdX+s2MWLDxbityVoMFEIOxDFoNlDC/T60ivs
fiUFDjsqRioNft4yKQUc1MlV9XpZ5X6O3juYdU5MdjbZ1/Cky3/un/AlYy6gYY1Z3Luc8+pxMrw+
da0IRKGOWrdNIuRCV4VTrR8oaN5+2xvsiagDyK1AaPVLYmLvSEiRK/PKSE132hsV/GJWSJfCmUjN
sr2aRIldpyOMzdl7bZG3nzxq7eke1bh7JSdt+qg19yYskBBIjwBLnLWbroZJ//UDsEHfamROulHa
tNZB79jE+ya7/oNdeut5RtGUk648r3dO2Q7leVQJKTibFfaKswBrEcKxpmJRaFm3U0SPfP4fP0ja
+7yUTP/Mh+jlL1qVntuzBLtjfiqbiXqsnWO75iwQaomjv6xmvZvAlHUfDPrmg2BQ2oZ4fdBnoF29
mP7X3uzpPxTFyRKakvqdneg3nVO05zRJyjXqy0wbqaEseXpMVJyC/zodMDztH3hjGhGm5GK8fiSW
2uqsuSZJVRLP61AhHfd7Gm+Ul0qtPeZ4KhGMYFrAaWdPn9+/4W+vHd/3n804lBC0uxcbY5681Fc6
0VGcdITP6A2cJB0OWpD0iTxhgqyjzh5kG7TqqP5+f+w3eaoserDnYKux80b4dDkbGByLlkYsWaQu
1fJAlndXHVRtmDl55bSrkTN6zdVctahL+lQM8aPUCTcJm3ESBoUEcptDc6inKglWYhnL75o7N/qZ
3KhEPRSiM472WMxf3//Rb9bHbbXYVFP07TZL0MUH1FRSofZnNmyZcPBSpPi6ELuy163u1zR75keJ
j283nwxncX84vfDPpW5Km2bas63dRGUC5N6ksPp7gG+xHyqtz/33L+3NarhdGp2kjTKxMT8vLk2t
SZuba6S8iYlgshjRbGGTNGySH7U5y3ZT1yc3VSzkB23mt/MkdxQdEY1XZKLM+BerwkZaYGactKjz
xDSfqKrqu8GopuuMrddzm3Js7QDuY5D2ShH7ea30L109UXBG25D8q/AHtx/6MFgmVP2BVV7chWZR
KLQMrRFpIGqecL/KW9NIDC8SnjlV/+beVEHQIWzmZcLaiFb18soJ5pBWVSPFobiF0pEQ7k47Zrx4
bqToSBaI6ugwly9YTssPsMJvXmSXWRZcM/ZNvEn8gtfTzobRzSoOudFqz6Xu63w710ZFb6rWp1u7
ca7ff7nevMjbcEgWNIKIOcJd7nMTUoBnampT1GH6Dpthye8wMOaHWZYf7a/evMcMRTsd0SpKCSRc
F/tJy8Tjnq3VFOmZmh+Eqce7HNhYIBJKnaTy6DdCS4Z/fpKbwpF+/nY/MaluP+o/mzqkIM6AIHmK
vLGSbphWdjkFU4kZyqdxaZbHZG3bl7wVcxm9f2ffTOGo1Zk9QRtuClL2Nq9HbqjWOMAT1wgJWfxk
ron+iXKtbu2MeFL705I5ZLMRyQWwAxYUbIf3h397t//ouDgeg8kFL3ixfI1CdAqnEzMi9dDDYK86
qV+aZX0aZKHvil68tBp0ufcHffs2oXLciDDsni22cRczRjYXSr6wlkZ11hSnUrMmIyDozukChfpS
fHx/tDefCtHmGHRgb2+GszeWTOmlNAQ0pzs3bSMFxIaGDlaSpPQP7Uq+UNnlDv/zkBh/N4UeyllU
sxevU1YR8eSWcjgj0dPodMqS3luZs0FA1z4npyZphw+ucrtnr2pkHtUiCDt4EzZL+eXWkFiSKuZF
Gs8quebaIR3A4EbNQMPw5f1re5MgSrEIwRQTHm4SBrzc5XW0/u08x/UPkaduokzp7SrIKN1mv5J+
tj+7Vj8vXrDOMgPgga3mWeX9Fdf0U/I7urQy+1lXjrR94sWdj/TYbx+2s839nM44kxJqb7z+nGA/
wGlLRvXcCIqTvo4B2tfREXxySUQ7in75oAjz5vNFY4/KaWPma4hzLrlVZCICyJ09mrflPDun3lnN
G0Lcfs+alh6S2NbGT3lrqMd8kvnh/Qfx5ivynK3ssalA/8j8t3//nzkLAbY1CPLOzuRZTvboC8NA
oGzNsS2uiDNLP9hnv33BtktFTkuBC2HX5Wl7HQwi6uKqPhtu3ZmPilOr5V6U2Fc+eJPf3lJO1gY5
SfTaMK5f4gIwSdGXtZXmXLKjyZYd6Ldp40yPxZOwFneOFIRXHZxnRUw/7disn9+/r5fjEyOxAQsw
wSEoQ7e8vWL/ua9TlqgdS2F6hq0rno1CN4lytEDC6xuxI+7q/Du+5/VgKlOZhO+PfTkd/xl7qy6w
/m3mwosTVDG3CuEjjF2zuvpZB0SSFggdRadZvw5SVI9z2s1P7w96+c1sg/IGc6hETswx4mLF5WPP
3aXssnMW89n7GZqme1O2pEANM2meOf315IMJ8pLQwDq7QQJIZ8XEwMJ7iVtF8qiTsLLmZ3JT0x2Y
nzgC7jzcGU42hPZsl0d4+E0wktKsBd2AYM3BUfXB3f7Lk95qCcjgycLkzb6YLHJ0LW1Pt+qMb914
8ujT3SrAh8/uZCJQs+J8PnmOIkMLAssHX9OfhfW/8/V2AziIIAZls4Np5WLd71HwaIDK8nNKN5Fs
AzrAGMwTmll+RbLPQ1ei56L31pG8uzbrGuFXVOKgSBQa54OcCMvq9GU/Lqir0OsbIRgm+9gg2D7T
Ssi/T336IYL7Tyn14kfj+uej4NVkt3J51h4rDpx2V62nTnr5jT2Dxg0ViXTVh6IHDSkbKqDNZB3m
AbKWcr7L8yT53Y/GFnCQF2BsOxaUL5Xe9i/IuuSDMWdJeVRy3VZ83WaxuPJQLWbP+FnKeR97dRZf
CSMh1n6i2XyF3kYkj2lrpi9zphbezqls+QgIe5r28aJ3x4V2LqrvJlF+p008a1AnDFpEdGrypr2l
QTFe4UXs1sqnelflYd+PY/9loUdf7Oe2bcB9wm1Q9QPWAlPjSaiW+C7qVtsxqyrpt3Ztl/6m1r2x
5a1EChOQRGvcjTNkk4d6sJLeVxZtTIadMHpLPZpGVb+kQI5vtXQdv1WzZlekmOnTQ0L7CeLRms2/
B6k1CorOrmijwjY4KXpMeZNvmkN2VtrYMndj6ch9HVtUmlYSmPa6kbrxyfM6YlLnUiPoAWHNVH6p
Eb3kt502qPJogIW4waGzyRKcERCFtNYB9G5NpycAjeUou6xrC3HdlUUcmfAGZ9/L7Xb8tNjtrAVa
TUeb3SByOOBifZ+ErUOeOxBs6gFhpgr5IIdYVLeYf5I6qKs1Iavdnezzgn01DqxxpCjsZesQFU1f
D/5Sw0kaCHWdfJhI7jesr6TK6no7F2FOx3MME9Jpn4Fvmqqfy4HGnuWk848R8PnoZ0jHXlwJmeJm
Kgxi7YdS1++9cek41pLYuVw3zBN4sadWOEGxzuhUxDIYZ5sIV2i7qtv1u4wewTecmf0nma7Fll7s
LP1hTTInDejhpwCORsPbOxLg3kGLTV4RpPcLcCa3L/a0/6GegaPV9YAoZlfdt8baiaMUrZrs2NmQ
EqdV7fBrWpL2p6o2Vr6b6MmXd6YTN8XV6samdlAmq9Wuvbg1qMuMtvu4jtbaRN6E1MVyLDl+ytbS
0K6oIpY/nTkdVR/YBJ2TQz41Pe8aB8LPbkIA5cvYzklzbgZvQBM4GuIb8g43+Y3qIS0+WVI482+L
Tl+xq/AKxrDIiC8+GknbEBo9FhUCBapTB8nJg1PqbCx3o5GLbGcabTJEizcnsKmSFZWo4BtoQtC3
fR/G8UyMW18zS0azOVFmR3Wgavd8uIrxOZ5L5BvOlALELw1p/qQdK8swmTbFU5FVpu6vYzkMDwih
9Cc3Zdq762U+7Pq6VLUvWTqiNYs1GMXhggrZ/povseQoTQCT7ZGqsJq/NJubRFCxqXaBU6zi08bd
exBlkhbhmKrWA6W4uXgAFayWD5XpzL1fUvnsozrJQG1OiVJ2CoTpWmo4ZtDCTWEhV6/6znTdf6dP
uH6rtFz9pRImkJH5jfTm29AXoHbVrncPMIA9LSyMuJ0OsSbjEWkCibDhbKHAxrQw8QdNb0i6k9ZT
i/EBKqn3gLq38uA8WFdSFdjWyOoCk0/+S1yd22421sCcEqJ9197QgtxRcfXi7hxv576ltN2q3Sqe
FTopCEFJMuT7sKZ2CPgeuuaKHmo87tSWRKxAnW1qb/qQpify9FhNDBaG7/h7m8RHhW8PPmQx76yN
5tzt1lo61j6uGqtGdiyLeVfna/y1zxbZBRQ2+5q2lVd/nbCstgFg2u7r4jV8tDHn2ScjS7znfAQj
de3oRFqrKfy+k9LF8cGrTUUNpqQfxZGKEcAjv6SIe2pWPSsOKEzZ3YiGMJg5yEkWQPIJTf1eS6vF
PNWknqaRDnQ3aq11rD81tLAb3YdZl2ohUsrs2jOLcTmNLOwnhWq7FgLArOzdpol/9Er0mCFbNSBi
ca9JhRm5Np5TARnn0HiooQ+c2HIndBGnqEE6b/EgttbD0vEXNB0ApL2pqj97guXtycxKvbprxt7p
T4SqIRPKG70ReHaXTjnWaZO8xL2lYQtm3p7M3SA0cw4BliI/XpBCEpZJH9796iW690Q6bbYG6iKE
Q2A6sIwQGa5NgHyCgD5Czu7KY5aapEIh0x7QT+UjtZ/bZRji+qbP7UmeKX2taKgFygzkWHVW9cOz
VNMmiyQYg6vS9YriSkzdfBLgR9X7yZvNE+claH7EhiljuNhDo7GbntrI0IC7h5zvdRE10zTkgSSi
1Astzi2fZ/LOHkzQjuaxqxcnfYrZksq7TUz2zARS/xiMVLleMb+Wp3TBRf3Vosohdym0QBVOvyK0
0AVOV3xBvaW1p9EFjNeSHJft1NxKtO8cHRSAoHpbX22umAiHO4mborRrqHl23+gWGiB8pz3ux2xt
DvPYrA1f8mwWw9UK6s65WYdKdi+jnTovaVnX9Z4qmDkcVdhxv4DJogcGzGGjMojNnFawRgO4Djcd
BaImThaH1RJd94NKqWxC2y3NF6/mpwTeAndvj0ZcM8PZTiztZ5PaWnXlrSCS0d0jyi6f4Po1eUSO
pJb+jsdYNyFJxtXTXGJ7OyYZEILALcV0BIJpupGhZNZjqVGbHHdiUakJUAFOz461zNauqzrFOC6K
05qY3U29PBNuL79nTjYNYW4pqnJOW7ACZ3N0yiQgKMt0ruLJVQ8ZftVyX1dAex/UWfUOC20doFsq
cUR7SB919SNhnkiCqm6J+nIcmAzBjKbEPpSsp9p+e5w2tKDYy/x+AIhfm8jk8FpQ9bphhkqyUE2S
epdOpCNEW8RRAY457eEWNJqiNnjKXfGoGDmqzEYZzXgvKoMFv21BnKGq0WWoZ5WeHpwVROGePeKE
IBHEYe5PGrjD62pBKx0oMunGnZaUyRjaw2A9zZ5ckqDhR9ZwRFsn38naK3+0iF2wcXsTwsUhK529
a6YT2xi3jtmheS2qXUPxHvRkcfofTl5nSsGeWh1/O7WDVKwecuyJk5pRP5xS3c2vO3PV9MG3xZpf
F1VTWtHiuFlYxiKzdso6G7AtjcpefE06vRVUTWPEO7bAC+o3p7BNlKeKk30jmLtkr5vK+baghEoO
ArLIMcwqd3JvqMf06a1wKhCNC5zEgyCsnS0dHS3voAy9UyGdrJMF6VxL0CQOncYrwAv5KDmdO/w8
RXPdZVRM7qkg5Y+g09bqOHsd8FJ2GHobStByX5V6QuMOsLEUejDRMm+O8F6J9+qy0lJ2+NFQ77cW
MrWpsuYpkCAPZt9FJtZUftmmivypZ3UifaepDXPHy41IzdXFQmGSWnbAhCPsb0VhFt2OAAVZMFNR
2gtn3QF30WZk0CeD0idBK43+OjPs3r5xGjxonq8iF27ONZHZ8PgVdMFByr6MIHMl11BblyboaVW6
XnWN0rzpKLzGSpsHNZtjcSWBzee8s6WCyAKp9bbjpsj/iViK0WLzaLaKs2l+QafkthALIuqu/zJ3
lVWEWg3OZpc5NvkdxkwCmr3myvJTrhD4QmwpMmrVokNtB8TDu07icsWybrAS/I+z89ptHMnC8BMR
YA63irZsd7ItdfcN0WkYirmYn34/+sqiBBHewQywO73YUgWeOnXOH/QvhdfJr6MaNOIReoVXQS2Q
XhVkMImQ5HgcUy38aStWWN37jTcQt6iM6N8UtxaIthpT7gkTVQZbiRxMiAaXmyjOysuRlKQXNIbG
jhu1QWE2pieyqWWSBZss6BKk5hGxegoxYvsNEL+gvV57TrhXRNLeRYbXF2hlCyFWNTAc9bEbO8VY
g/WPqo1GcSrdpRH52hoHMv+FobFOrcthzA9RWdndnkNUWtCX4l5d+9IzxOchkaOyt6SWUjEswnKt
I6LmfWqbiHTJDMNMO6bjhBlNhiwUh9CvEAHoRSPlFoBtcWcHSaRukcXigaeBCsZRQgC+3Fh5rtJp
phWk+NHKKr0yJ5KVXrZuldhJSUVq0f12FRKSVVK7Vr8NPC9RN5DLrGJlQVwb7slH9PpunAjVY+nZ
FTKBiuODgKWXiMvSpHY3PRlxA40gHlhCE+5T5gXmuGWV4SeHuPm1q7oY7ZfU1sk+Jx5K8CCHVJaw
jWy4TU3dQ/tJ0j4iWOXBtkvcMXxB4dXfeWT5QbZpOq86Or7exofSzKMXLRqcYZsMcGPrVR1DeF/p
RRPn2z7KED9tq6ZK7mRb8u+nurD7QKFJSUl2KmD9gGsbC1XyXoB+TyPb+uGPAzhPXx8Vdws2lMwZ
J5GiRyi5HmtUs7k3tHUoiBH5KsJIRDz2ke3IJ8XW8ydX71P9LpAYxPElw+nEuhw53G7Vhb3KvqWD
WLdt5X+3XeA/Kxv+2QaFHIuVBF1Srouuz5xDgEics0UGuf05NGbNHAy9l1syEJ/VB3BtH3HwLsDH
2l0rDlzp7haV8zHbICTm/auIIMIHBWHX1Z9a5PGPEqnb/pgmOZQ81YdjmHWR8QceSDk8ORI0677T
suAnKhntcFCxLRowr8lF/VX6VX1IzUrLN2GXGt2dqHV9pxXob4AWDsvokOZOgHPKIMYs3rejF1qb
AGtBLjIjasBCUA1U3BecUNrq0PH++lWOgfZfEaGns0pczB73RsPe9lxk6dbrLXXcZI2BqcGqMKKy
DFfFKKEBkZ8Dg9QlPL9VANz7q6b3Qt0BCE3GQ0aFud45Y170Gx41VrcGC5K/DmkJaBRshe3BoSwF
kVS1RvPkYL/eb4fW14qtBvBc25RGpK8bGvLpCWH60dul2OjazzrYZflaKnVpb6IRU59NMFqhuRuc
yHVWZmSN7hpFc2386Uu77z9xCXf1hsidWvctxWlevpYKwqxE+bsnYMaODh5nTMTBrPn5cEWIYsE6
iKkV77EktiW6yWC7VyM4k9BcYYCZZkhzBlpHkmiP9ZaHjpqvSATN7qkRlfwKT0TGe9vOdGs/8QwO
nQ3gaqUlKbQdKx61cj9qSGCC+sC65Enw8fyqIgLFxvD82N3FZRsPkAjKSERb3wjT/pNnl7Vz5KLV
nFfk4kn3VwCKql+ab8n4SwlZWHt0JTXXNU7U5fgE8UkD/z0Mqbo1nNL7TWTlHsvyPiww3SabXKnl
AFS7krBitkmjlNGujwP1JIFsquuqCQFQ+/jAg3YduuCfHcS1yjvOVupgZWqRr2QLVcbLmq5hmah0
0idw+Q/uVIV8V0+utFFwxtTqQUM4qv0c21pAsHQTMP3wKYt95VCP+JZycj9oKUKRFZQDUr4WsGjw
S3NOvW3E0o1FnjwYuZrtEKYnECkKHNCVE8X1XiIW3h5QCrKNpfLu1H4+LxTSwUX1AEgATT5Pm1U3
azSak0BnZFAhpHC8tBOFuleh0xMPAhVGlpP+DnoBgUNHxWFlV7q9biiy/NXaIF1oXl8gFGj+GTQB
gc2BjKSNO+uUSKe3OtNSxEPqAr/guh/HAyXDJKcKUhSvJfjj+mEQFU0rmB8/YyekJAB8BRqdBgvj
drX9ouhM8OBvMnNyLkubu28o/ZCEnl4Hj1FrJUc9GeN7qSG0QBRLIP+IAnHJ2oFYgWb89vbQF4V+
A4wUKE06k+juuXPl1pIPtDFBoRwcvFe/603l7xTTgPlhGu0D5Mslq/qLqXLwkdgDj4InBlStWTcD
D61gzIxBHLqwzNdh11mfLaTxn0Z+I0dgqkV19YmPMVza8YtvjpEnPZbJtw+O71yTpbd5GFemlxxk
D6J9Kwa3ir8aVjP0MDCBMRTI0BO4ofkUazfsMwzVBjKcnZOhmjKoFfwge2gGb1uJNvNOsdKr414Q
ncydYVQJD0gfctFHuyJ0i9kZh8SAXgyYkreuybtQkfVpCtZExK8ykOPWhMKarsxQEtuhY3HJF3B7
HynFFMBoCtFjSIAFFpHdlt7CUZkt4NsvoWk+UUYAufBrzoPW9CTGDqGPXw30CMUmRLZv30VjuNeK
sfrutYOxRZ50Cdz6FhfexQ2GBYOBAhp+ZXwizhwNIetqbKPeSV5FFhWf0aYQ8O/V1LivunyMV/7E
yF+FYVsWK5OLcl+5QF1cbOEo3xZwPNGowjzm9ldzYaLGj6JKjpw4QRS9l3lTLvY9rVMDAkWRZmG9
gircbBxpNJDvJDowq7BsHJJBWD3BpsiGqqRaHOuwd5NceXH7Mv5bEtz/pLB8spURApxc60nY7GWX
dAuwoHlzngV0Jq1xFpCymW6/gfbenSDyDkuOZTg882WUGZkgalq4lsG9XOEQJrsV7U1k68B+ajir
8QhU1rgbJv+ZrZJ+Z2/k8DAUeX5sYk3/qC/M9NuwCgUZSjx2NXPqMJ/9NvB4RuP1z+S58gFstvdN
l1akrsqsSO8tVnQJEzcLeG+rAQ6Mi5cQZPPX+YiZ6ck2U5r+OYl8qFmiCf1Hj0cN2gKUzqJV0RvJ
kkDk9TFdc4KGgUCb2wA3ok311un754jC5zfHdofvAurWSRtEvOGjN/+7fTxnQfZtjqAI2W865jaX
/fkcJ3urmn3sn83RgnyfyRzkbTK86oWjlIiCK+R5vie/8AIsFiDS14YG3jC1BBERQ6/6fGi7R/CC
vHB4Rs9d3jWuYk16VNafvFDlTjSWea+2gfuaZmb9envS06TO48Qk82niP0wjZgL1zEZONeDtkpG5
y8VXNAXKCp8hCqpKoBsL2LArY9GPh2OGgrwJrnIKle+ObVCU3pCaw/gsGk1+13q3fpgUsBqEIdDq
XegLXzk9DAakll4DgkhziTvad60AaTw8Y9GFJ0BN7qvh8Nk0oIrVBnkOUSKgdnsxr44Jl8ADIuXw
z/Tn7ybY1a3i9Tw4nwkef5DS6rgTpekpu1xUJrJItSzqhZz42ppayH6BZTdQQbJna6pRLjJQFWaa
CG0+F3r+OZPCOCbD8Pv23C7vMb6KdwNNR/jd3KBdTkDgcXgmPE+0/RiX4Qq5nqpJnVcfn6M7uJTW
n9uDXiwo8BDSfaCSkDQmWN35oFaZjG4SOf2LVUW8tr2wo4LiC88qd1EONAexIJiaC7v4Ri97/00g
nwWabgr92oSBmqMZZFmMWuI4xSswYKNY1SMK59veS8geoiJOv+QlEvD3gR7rd2VIv2PnjqWm3me6
3nj7IDRkeRi1k2MX1SkIR+eLWWZyB+F8fCw7fV3W1jpxWji9qOqEzTrt7UHdD6UhFJ7vFtreFIs9
FGZwSAqfA9Pv72o/KKu1HcrMXgVFjAgLkBvjixGE9Dlw9ayObYQEBg7tQ/c99kLD/0vlIhh/ZXFf
/M3bwX3s9RamO76XoYQerbtiYdHmTwPeY7xOoA+B3yKCghg73yqzaB1/AKH9WvE+gLETxDC49Hro
/b1WweQCS2DRNYkpVvymg0etO7E6B3kdi9pUNWT4Qn7s7BDWqLfYk1K6CWj8wvWzKELpuH79qmWd
Z4KoyDGc9TMFtxSeLWKTyqpb+Bgvsq5pTPA/0zMJABB4lPNFCKi2l12et69dpjXdKuJ13axjdDEy
akRjZ24dTbR/PdyY3XXpSvUp8LquRyejNXH41ca8AqCESWq6sBbzKDH9LgswOx8RoR604fnv6gso
FYbfFa9O3aZPwdj4d6CJgnG60KgjfHjhIaZ63KI4yMHom11mFAZsXD0pwZhWaPz2/cb9YwZGF2zo
i3ToBzhuly6cvnlwYn5g9yb8Dw9BVAz08/lJowaV4JTNq5LS/628rDyCwVN3Uibdn4qImD8kiMl0
CyTBKeadBQpQddMrmNHtNxeg82FTlAtpspnKi4G4qdzrte18NhpX/tCcGNW0lKBPuMqc/CEe43xp
U99e2+fDc7CBSlK2A2vtzIGElY/CASVz5wVJJXoeVu8m/Y8xDgZrY1W2U79KA9svN+0sjlzuv7qa
oVh3wxAifKSbtfiVBkbk7TuTKLunhyuf3SFGqkXoUpPb0Wwxh62Hzsw2dFj0GP+LKrN52TdudWf6
Za90vB3gq/V7nKcjkNZ4uaKKowmtazZ9QVEDrQPVe3WHCYA++lkFlyfQ4q1itqHYi5yTALK/KZtt
F/g6zvZJpNRPfR963WdaCd4/nnFu8a+Lh8F8HnDiKL5aqB0wblsNsIJXKlLv1ZPtq57794OHmPML
OMsG+AqijwTifGsjtXFKdwy8F+QnEKNw0Jx5wQQvfSj0qLC3uF/kS9KuF4cYP17wxhwnnq28KmZX
OSiBHMUKKqB9FpVAHOLQ/FwPWUKjM7CDSc6Hdsg3LdByf3d7sldH5lulqEFtS58Tf1ECGSlSt9kr
t17Hl0IpUq315rOTaSqCzwMeBom/DF2cAsH782tB9ACcjj4JGG9k9GeBwsF5zHC5/aY+CCrEldSs
E8oXjncosZtwdtTiuhZL0hEfxlhRH/AeUfJ1g/ZJeMAlyo4OnptTMFXbqP6V0pJeSq7m60KV642D
TXAxDH7t7E7zw1jNDZzpXhthV+YKFE3xCzXIKt/6g9n/6q3Bfy4h/yub2/sxD9dv48K0n+gMvN7n
nJSwakGs9FlwVCy/AISTI9JQte7XqA3z7e2h5vhR3MSY44RE59KCdT43aB46DXCBpiivVV/Ih1rW
xa/Wx0pPiXRtXWhlZGxTN/WstcRaPr7nbWDf15YjvYV8fR5Lp98xkZ4NHR4Qd/bs9AuTtj1uyf7r
0PaucTdilvg9kWlGA7VD6sacEEDrLGhG/TGNuCo/eGlxV+nM/80oCLbqm2jku/R21FxROLA+j72v
qjEkCpR+2tzvTjH9ali5tN8WVv5ywtOIBG6uYyo18xpioBN7FNSujig+NQdTWMWmS7vuU5pAeF9V
BrezGthDDhXSlvvbuz4d3LMvj9kCu9R0qI7QkOdV5QjcTFdjunosg0Tdq7JTH/Ok8UEB1LEFOKtr
t3VsWJ+xQKy2FMSzhc2+POBv5CCTFJvHIMj78+gqwsF3AX2KY9AO3YOi5c7eAq2+FY2pLF2T19aZ
sz09jsgCkXg4H0s69Eh8LUqO/Vhkuza00h/SMbuVAqVsD9tu/EG9FYv6OhFLb9DL+DGp2dvwIye5
Dgg650M3ZafQe/bE0R1tIP6VFz+rYVNuSyAxh1F65clXaMLc3tv5m4mTTM0WSI2Do87ElTwftO9T
ejWSijiyWVBogS2hABxpCCysoygW/QpclbbEabgy0+lhT2ccEQeyzFmVU9EQlqqiPD0C9LMPdTPW
L5yskWwW8wSePIb9vR6V4OPHCAUdj4WlWoPh7Sw+x7Xnj40xZkfgFQe6e4Gx7qiubPXOR+Lq9rJe
+WQoz6BVTWltUiuYH9mRjxW53PSY+377M/V7b6uZCNhgl1zcI96tPxTUpX5gkKU9wdpe2tXrw4M0
eqNoU0c+31UWP0Ajx2ZXmz7tH/qmcrMV/BGquGmTO9/KAZJ8qPm0CEMerJsSyw17IUZe22TKGqhZ
q3DswNuf/4Y66qlW+yI7+hAIj/wv5EY46KXWvYqcqRcPwapXcvnB2th0nlEqIsm18XvniJ2PWqSR
V3VFlB3HwQ7ubK9X7S0a13KfF9IO1n1el2s186DplDywbm/6tW+Jp9NExAeCQyY4G9tSYsHHmh2d
AZDWugNjC7xE9v989KaSbT4ixrtwpi8e0tQhafY4fLoUISYayfmYYQuu3ImM+FQo+tBQWq6gh0Zd
HW5rCxUcoIoJ6MFAUz71LZnCngTaOjgVVDKgRWqcLLxxLhOE6fdAiebZiBIKFOTz36NbIe67dRid
Bj8wwDfmXevvkQWmMuKZBTDMkHdQv/VEETlbta/jYlNho9usI6ph7sKGXHwGRFHE1KdERZ/6KbPF
GdTId1vdCMgT4/rPAIzhMeywed03cY9ASi1VbFEysE/WurH1OL7PHAAhtw/F1d9ANVjl0YOXx3yD
jAFrdDr10amS1rjpODt3ShElv4Rof3Xq6LxGRorsaeaH4zooRbgQ3y++QpaAjhbXNt8Ebc/ZfZZ3
RZdbyBueMjVwtnwvZUxD2K82bV17PzT69I/opkULKelFaQMmF72kKWdAF5Ze5CwA5XiOjjKulCPC
e2KTY0WvrqOCZ1yie9FravYO2sblMKFg6kcTnMFdPQjsQgO1+9xxMBdqydc2gZ74VKrnF3HjnJ/K
ngcJ9BknOBk9+iCrMINJ0Q/5qCIvEqsrIx2cx8AX1V0+uPmG73ZcOAUXaQXrMfUmpjYR78P541uz
Ju6tPaIDbEfBC9Ad7zhJcj0mjpm82oppI+ETlcmffhTd8fYBvIhKDI0brc1nyROILuf53IHs4v1s
cQK0XuZ3SCBJdqKkmFRGw8FqC3d/e7wrJ47nKD0raqIu3e7p97zLjY0x0lpgHdGJDKt7btSk5imm
q2s7stTNaPnmlzDgNNwe9MokOdsmuENeh9Q2pvV/N6hwBTLWnR6fPJR+P0P3JqyUmo2eucSjWlmi
ZF2bI65H6ACwtlwz05+/G27gaWBDJRN0qAMXQVFlXOtUHSCDhohr2gEwYENPvIXgavH/epaHQ4/k
Lp/a6/igXdzqStFBRe9dccoMLN3ULERPrRlVCDOCesvtBb02Q8+ZElFgCxoZ4vkMzUYSUqEKHFsH
T/WeYvVzoQ3of4+xA9DOEjxq1fDr7UGvfCW6jpgGvQEkCGiCnw86hrZiqG2qHJVG8YpV4MXiZHSZ
swkSq92QrRvtOgPw+eDEtrPwhV65SclFqcLaIEQoTs8beqg6qHps2f4xyPHoW+nwbCrITpUeou2s
+cBObQwTE/TWkcf1s3pd4BtKGRbS9UrUSbe/vRYXm02JnJ4871s2YcrQz9ciJHEcCsD+RxTA1Xt7
sIB6RrJV3U1SAzxY2O6L72cajXPFA2Q613PziErXAyEbNTy6SuRt/TZV96UvDk2GRAwK3IP3fHt2
S+PNbmZfL/u6hyt5bAIR/RsdX4Yrp2y7FBFf+3eUBLX+f8wQoTRekoBiyExmZ0tN4wKxHjM8RmXx
K1AaCEm1I14kGDUmmEXfPz7BqbdnAQKjvD/vtNEUjmPKjfFRrWX0DQhoekidoNopPl3zNQmhG9/f
HvHywPB81CiMTT6i2MzO4nxkBx1luCI+2mqDz4TXagARVUofbZGqS6t5ER6giPNwZDkh8GrqvAbo
ouWoUXONj25MrFPA9/uHrHXqYtNX6TBuXMc37rUQhPXu9iwvDw4DT813ahKEirkiijbowpK2FR3D
HijZeii8RNkoZiS0LUB8+Qq3DFLf7TEvwtI0WdqJOKvzgYDRPf8U4S0gG+o34ljXdf7qRzBiwAt7
3idH6d0Xf0yGv75RpbgUJKFY8p26zKipctGxpdAK6YjcYbaveR1FpiIMcSS58X+mlYt+dhoawV5J
fes3IoARihplr8PhDnm7y0H2W5gD5YfjET/DRql7SuzBS8wSSR8jyhQ6VnykMTW22yq2RLBVRTfQ
pFOcl9srfpGvTXMmX50ySMTF5scLhvUgvUIRUFxUBIe9rJe/q4G6rct9uYs8SgYrcHrFzywLALpD
1RDH27/gyjnj7fyWsE8ipvMCYxqFoytGak7IDzT612Iswr0IaA2tsUMIduqYJNpHk9SpnMkVRGOc
7+qi7abR1OgVwxLHsWwquSkDj/q17Rb5swIr7Q4erfcHhk3d7OPGCGpuAz9cwDFd+axpZlNLBCqE
dOw8TU2wklAs/BCOYDNdZVVoTvLUVkr7R6Ws7G1pRnTuCWJpvvBVT7X7s8yGqbvEZO5e0IN0Uc6/
MDieJHCVnxxTM47lNs5afbgDNJku7OqV+dFy5WVCOQLRhfm5shtg9WkaZEcvksZ3q3ah/0FMX0sI
Qy8sR/C5h3a8cPNcPoZA1nGOef7hoUPpaXbZlVqPa48fp0dcefvgl/DNItmjF9pQgFKM4JlUsjI3
Ktd681ttTEQXNETdKui4bXOPrHo9bpWyi5ceRVcuDFRyoErQD+VtNM+20ATXAqTA0qNmlGG4LaAU
rWiLuO0Dmt9Vv5ChXxkNFWAErFl+mBHzpmtuAnVoCnYUGltTfgVtjpQlNU9H/LWg8UULMfvacDz+
yWSAgEOBnMVsemJVrlYg6uC1tVDIDd5Ya+pd8j8Fc7Ift4PFlePL+nF2wfGg9DC3pNJkg2UMxhOw
Lyxj3Ic+9kEHP87E6+1xrk7KmNzTkIIgS5sdJPQa8pjQkB+HQhQ/NA9uE1r0dMlzrV2IwFfuPBQU
qN9g7oza2fxwICuKcA+aE0fbHRtco7SyfYAXpt0lI45OmbS1F2St410yGs2CltyV0Ms9g2YuD1f6
O/N+VgYy3QiNITuqZYqDgWlXnH/hO3sJi/W5qeMlx+wrUYFoN50Ssl+a87NUux8AhxqJkx8dNdC/
YV+ZbCSvMMTHEvEU+kUZbOlHAeW8vZvX5olwH1gTnvdEpGm33z0itbqso8EoiyMyCuUaW4RoWxgi
3xiDBJmPpPT+g+OxnwDQddoLgLP5L+fjJQOUpXJItKNJa/gBRwAJuMWk8w65FzaqhB661C+8OLCM
Mn3rlKAo2tA3PB9SMV3K7NhOHAPkU3dhMsjPIqyxH0h7CZj69vwuMyUagjRtQEUiSI8u4OwWSYw6
B+at6cdYG+Szk5XdF7eDvLZLUyBI6AQWVnnXahoU2URJcMEqnXvQAktaWBfHaepLEgqogJE/kLqd
T9qg7YhGgmYccTRT7+Cc9ie8jmAauG2G66C1x6EsXvJxvEAgkytR5YFrQTt0UgibTT5LunwIhKkf
MY9KTnHYohKIMOyXZpA6dKq+L3+rvYENnVqPp6yo4k0fOPiT4YuItXaJQMFQhf2/21tyccT5URRl
aNHiSEilZPajciGkqjaWcVSyJPrdyijxsbLoPB3SsR+kd1VUAf64PeblmWNMhO4QkQJdhpzR+fLX
PNbjvLeNY5G5zq8YT75PJRILkMZCfXt7qIu4P01v4g0A15/UlKaf8u4Lhp04TheoeWz7zqzXaKxk
yabqlCXJsWsnaqrdEhJJDs15NTVwG9Ush8DCDS0pHmnrmz+DFosQGWjyr4XXR7JqDGPpCri2eeiL
goUC0IB58GwhbWXoc8EvOtaNKuxVY7UQDiOJGAv9ded733jo+dxe0Gt7N8nHkZ0R+y9guFVd0sYI
KuMIDcF8VALHLPdJ1yOKkbfukvjk5e7RMWFiZAkEJ0Y7370cM10lFbFxrCJDVz45yGMY27qSqv3n
9qwu7lJeTYAz2EFaNSh5zr4C6KgAZkYLl2JDRZXYrKf3uCd89VtILNtlLrLmm86A5YFurZMsHNLL
w8PoxEWU+qdMaG4cTNWwyMLGto5FpCEKrxRofHVleYdwULUJ4F0qK88eyt3tOV8envNR9fPFTUQZ
JYmuMKo6tM8hMi/3OSQoeBm69V8MOXrhcru2xmSxhFvSdA9hvvPxKqQNOiwL7SNC7ck2cfVwSykx
WpV2IJ9QIynXsY9KM74vzf8xU+ZKcQCZVi676Zi9CwJxG2Ci04z2EdEqbDcTU43WYTbKapt7KLqF
Q4AFzscXd+psUasjvb0osbe9g7dildjHMhHmHdQzf2s2+FdugBTa4GOFXf6+PeK1Q0STUSUjpLvH
d3M+SWUAoijw5TrWhe2e2qrX010f4bmzjgMdxrSW5jR1a4m88BIP6PrQDAtqUuP8T3/+bn17ZlRa
SFsdQeOHOCT5FYaFFd3DqtLkPbZMrDwY/SWb2Sm6nT1JIThQbpmKTQgb47t9PqwYBjeLcVM8oeOh
3lno+/TA3PJ/Li21epUk0H+BCjsbFEoCZNjsj55nQITUoScOnwujcz7rpq1V2MZKcWqiQEeFSdYn
LdKaLf/OXxdIeb9q1WA8OGkVLox8sd4T/8EBk0trgwWfQxeMvLck6nvlKQ7iDFkGzdyWXZvvjS6K
EF4pgkOUJtXCpX1ltUE2gQ1CfxGo7bzdUBaFC+lOVqewgrNT5UH5iA5gtUfzyd1i4aRt8bEvtniB
lt/MrlYWvuHL1JHu+dQdnPyTzWnbz3e7yALLy5A3O9nIbjTIPCjePxtU7vhZNYbR3DskS3il2pYi
SV2iLLtTMDq37wUWowvx+uIO5Kew4/CYJgiBNZc2LXphsgFCnmBM4XYajAYOk0P0K9Y6a6HipF9c
gdNYNBeAlVHXA7Z4Pu2gitEnk2Z1SuKw8NYBae3z0DmNtsXpTj5WQ6MEW5JZH4GlOMxwbJrE5kqc
fSg/hRHUSLNXYom9YELpntgHtQS7pAC72lhxvhihpfg7IdvukNWyogeIKnD2hCZrg4YWbH1nHeZi
fE4kNNEPBixmRsWFyxaI0eSLfT6zMUF0osYQ4KQjlboZ88l0zfaqTYRh233dFJ9I64oF+uvFnceY
LsRNpGb4hggd52OCiASH6QT1CYdRZ+01k416TytpHJHAU93i46XhacAJqD9RFoCUz2IU0CKv8q22
PqHPYp4KSe+R2K/sAkdVDtQLwbq0TRlvtXjM0nXoGg2KIlgkf3ipmTFd0KkX4NFoPp92i2xH3qtF
cwLWFH7ml/5okijYt2afbtWm0u/8Wl/Ccl1c94iUW2A6CM/IWVtzmE8fxFDHerM5JSXq3OucTxoI
iYWoTDOo5qFzUndv6Lj5rSg5fb893zeW2/nVMBV7eGrxN5Zl1nyf9UJCM2+TE8Xp8LUTanrn9lXj
rMssyGALl3LYYR2MDladht1jr3nVz7BGsEqp0Pu6b6TWQJtrlfxvh7r75xiPql2DdMsdssXByii+
hPlOVXTvLobWt48akN4LCcRluGUGvFfAjhPhiXnnWyYGta1wUUlOlhjiHzXUrMca+TZ9ZSKNsVUS
LdloDX0FKMHhqhwN/f72El75UiC+0FKhIgGOfE768Gpf5oGap6fCNcIvJUpqn0IF21QMCtEtCgpn
oaSkXzkvOroMDhuGtLA+37ImEQkm9Vp2oodePUrdEXdYYLSoW45ji0OcmX/2vCB8KXUnbVZ+O6jK
OkOq6auAtfopQWzpeRirvkEbzoRtPDrlkUr9uAF6720Sy6434BWVr7QwRbPKZdKIdW+N/l1l6Omz
AUFs7QwjGqSpwfUWpaX5KETIQ+r2supTljs7mVP3j9cvZGRaZLNPsVc8pFoLPT15wJDxqMFWFtsA
u8qzVW3J7idQKQ+tfYGIDm06I9hinC2K+4m3b+ywanHrddoW0W85Fsp3bwzNagcvzbRWfUHJY8LJ
DNEq4TM7gNZBK8rRQ/up0JNMWd+eydzlBHQoNgtcfkAsgMvQ2Dw/oSUtnirHBpysJ6qqranHCDMW
CJysdWrGd4Pj5cMG7rj1iVZGjEEBvYp7JGv9lwAb8K+yM7tfhkrvbIMrdYLQaTraO11VkjXKLf/d
/rGzr2kSVTYBJ2PEBaUNxMvsBQACHGxpafoHMBPljr69tqFYkKN6asDQkqWzaVHZ2qNGggBsW0fb
28PPPqa34Sl1wELGfgTi82ypYj+RYP49VDoNke3zDPsboaUUPFw3JFUPP6hRQJGUnjbfLZJB1PVI
Ec+3phh9p8qUMTkMSAvZQLg63f6G4bKrTmLJjvyToo4M6TCJF5nPs9z0beiJusU1SxuS99Z86EH4
eR0kKPmn6iekLNJobYDAeFUQG4vXmdn+F6jhsLDAc2jI27C8enjbAVTUAIafD5v6rk3fdaCFr6qD
sTI6ke/dIYu/hXmXofsEkXFvVw6Hzap195NIW2hyBR2HP3aFwvbt7b76a/gwQIYALrbVebna0jGT
miDih1oqIfYnfepv2yYxXkwF8e8VfoP6pKvljUfaszExvStkvMZReow/U+muF2LrLLS+LQ79cQpE
1F1JRWbHzy66plVTNT3UafcvsmW7HbMK5a3cNyga0WFaOTp6nGqoI5F1eymmcPYu3E1Dw0efqJMU
4KYk9nxfEjz91AqhuoMSUtm1Qy0fVkSH3ya3y+vtod7KhvOx6BEgkEFpGWT3bJpIUWVN24gcr4Ew
vTeMBNZ9lsjoKwS5PH+RfZX/GDpLcZ+b1q5fDcXIkaLCDWfvEbVgEBS1FnxXaurBDyb1CX0DIjC3
VuCVy3+d3TqvjREKbaciejE83/7x19aJZJg6PPkSd+4UwN49oZNyrNtIyOLQDdrwIsvgGA9V82T4
tr8Qt6+ORApMSuHylJunwKgel66SBcUhUFR9N9qBgygub7ptWgSd2N2e1pWTRwhiVgQC+EBz0JIH
X7P3Da04YEQPvhiBu66/x+0j+NQplYaSdmukz6gTmKiWjKnbLRz8K3PFlIE6P/Vt176s86vxSF1N
FIe6TOPPTZjaX+Qoux+a2hl3H50pA2nku9xo4CLmeEMlr1pTDll7ILNHA7nGXVTJFOue9CJ5UhQ7
fKKq/9rowVLlefZABMIJapSPzIMQQ694zmkrs1Z1fIRDkRd2o8e0cbB6m17wC0t5Edcp90Lso4xG
eJ3EJc4PaO1GdqSrVXMYnUTb9rWiowFfjXtVGZR1XVXyrg/K0+01vbi1JxIwDTEXdhxmbvOGic0b
2ylsqzhUOjjxtVsn5TZHnfVF7XF7RNosd77kRWWhJO0HSIeJKqn/3v4JV6YNGg1iF6/GyRZtdq9I
pDZDHcrPPZ0YB5nsrsDWXh/Hh9jtMHHJqUytkiZrF07T5aba1JUcyCkaadYFT0HNRGx16IEdchzu
w5XWKuKrUSM0f3t2lxcVZ4cEjrIz9eeJZ3S+q0pUgJTC3PsQehjXvHYwFZD6AsuSH6vR0/rVEMUR
St1epCn3wtWzetehYBasXGyl8/quaHD0/Xb7R13u+mQzNYHTQSd7iA+c/6YKKGOL4l97SBoKepQu
S+zFTdHfE2UyY+V7vfjnx363xc2muDdqDEhu/4DLxecHTEiXiUmJX/R8URp0eRsr6Q6aGhh/jUEx
mpWSmOOHvygqw+DypkrShP2eksb3Id/uqkEWTntoEcD8kRjJkdqOuwV3WTxCpuvuJoHXxcxkOrBn
lyQNWHDm5CRAXahIzCYXFTWSsLaOGx0N4QeXe65esxlqs9LKSZcS2GX3UlAnd9e2DIb6AYv5cpdh
SDZs0Oag0tlzXKNPVqSE4Al5v/DySHprbVhdTKonpHQ2qQbrco0uKvqMELt9PApw9TZJwyQeoY5T
wZsTMdipPq21h1pTMx8bzt5t01U4+v/j7Ex7HLextv2LBEjU/lVeqlyu6uqluu3uL0KS6Wjfd/36
52IN3hdt2bBQAwSDTCcITYo85DnnXtJXyLFh+S1xQPDRHpjAbtt9270FrpXzn0KJrPyGsHCNpioV
T+PNsAqle+VAOY95NCXaLw33B/f33GsNSZ6iQyPqon6wniXvTPPq0aotr9cozZNdhnBjUeRs2WRK
0Z6Q5ih/+GXnlk+VWeh/QVxp4GxmeTUJj/ig5VukAyxzU1bYFdLm7dKHcizb/MQbVPmdo2TtPkq/
TSQzWZbCgxiJxGKfjf+Gxeg+Gzk2ah57r3XQWbdn96EHUORsAlPrn90xErWHS0n93Yin5C3pKep7
RuK72BL0DQhrH6nK8aHA3vdNgdTFemGxYHgzovmYxeA3FZ5mMfoCAJoRj7+TOAorKtKUQtC3xBjg
YOA19VfamAM6/7WtKy/Ie/ffYlRjq5+0ffvPfhTm/paMshReb8/B/FpCDqg8XdT28FnAEFE8Kj7R
Nx95umQTWH6a7IyqrJyDVrV4XFZxhhNeEw0hhi1mlNX/skjID1c0ufJNFzsU+jBgcH75adoVK6+b
ZVbKdUjUkOB03huQCM1F3WRGptfirVk/Ofqg/ggdbO29yEcp1YszAGUCGftpo8SZ0b4AKBmFv0Fw
R26wslNfU9MNsC/x227EpJSi7D5rmf0hDmdEeTyLlAZRaVcv57VALN/Bi2Mpfy38YTpkwCoX12vi
RAEVjah5stEX21pY0PZeJuICIf2uA9Bqj1+R6itwy6qzTw3WmVCUhPbUJrXzCzjgvIaIk2Hg6vc4
XPVcQPBh3MW916ONk7XCqlGnxw0+9g2kKCdlQMYq0KaVy25Z2pffDB4aF520oQOGsEgSIBSj4G/n
zRPHmw/F/TMOqD4CpqTh3n/ONKTna4ek2U6L7Gs4VuHeT8FGreydG3NGIQJsBoGfnGWZurokjl3v
N1gLNpP1gAtE/5LVTbRL9UJbGeqqIEAvg5Fs2ii8w2FSXMZ+ATCaJ8dgPGW1qL6kSZ7hjh5MRIa0
CCtt05dheb5/q129ZGCmkFewyGDdqQ8sr5syt9uhEtWToYXmlyLOigPocOVFFNn8W1EC5PPB6K7t
a5lzXewjy5A+fxI0KyHvS5Ba3Ocid9vJOOLKQ6kXIXjrFwyjHj1cC8IfvvBNsDcjs6k3PG6nv4cY
uZntNLdKJP1N1JU792rdLXTKbCD4oABJCpY8+TltG15VtnlsaNocZhKWfZsaylYTnbIRY78GwpfH
djF9iv8Uwqk5UetbVvvm3gKzUIfGse5Nc8d9MPwTp6LW9jPOjgUdhyb+EoSIUL3kWYKe0wc/OVBH
Vp1DIl+T0JEud5kxNeGo4axz9E0OcYeuGtoD9XCsTRMBdmR2s8+GWyjq/v6wNxbZkZKQyOiQ9MO0
vRzWrEbd6TtHHHHHcDeZ5kT1j5SH4j9pGOTqj9hC3vD+iFdPRql2AU4PmoPsUC7RnVOIqa7i+trR
jibxwynNfK/NmnhAdET/BytLFxMfrH8QdzbEg0Gpr1xBZd/4zlCx6EFD5CR+L6lAwdAAoxK6dqxh
IpyzsdO/KYihbnHoUx6TbFQPqRVUL6Uqyc33534VtcCT8X2RIoU1Q81tca5F12b8oasdk6mdGg+b
1PlN1C5i4AGqrivtyOtQzWigmxBAYDxwp4vnI/3JoYCqrh05rFKeV0HjAWq68ELeuNucuPYILyz/
XaGN/w2LTTEcRjHGH17uy1+xmLPRA6xH0UM7VrUfnMzCImSW9qzjU+OP80+kiY1NmQVBDUEtD4qV
++rWiqP+AAgeJTvAxIs1mDLk9/ORFR87n44SEv/YzgiAhLQ17Gjl817vLJQyQQ6C9pdJ8BKUHWRW
plqVJY6hOiT6sVMdXEyKLDhgeWhFmEwY7T++kszRS+oXXb7yva+PMjU7U4DY4WPTopUH748cRY/D
qcCL1Doqs48zVIBc+rSdumh6tUs72tLIMFfUAW6OKGEsEA0k12IRPBxz6NyC2ulRz7Nyl2KC3niq
mmtfSre2dr0ixMe/Jvk9JSZuZClFLu/NP6ZodGgsIDdrHysNOqg+D3q2ywAzq5gmtdXKYDe+Jvxy
qA088SjaLBXPLUU1cby3xTGB5Pg66on1DSX6+Un0c+Ulaj6gTmgm0bYofXsl9bvatbLZBMyXdw0+
hVcFnKFH7L7OZqTLisBo9moyqryMk7ksoG0iaLiyb6++I5VvdiwBAa1dgBuLYqyKDxVPG7Vipkkp
rZSiAzpByTECOX5IEUP66MoCcyQM0vSFQE5zfzGeVcfI32FFdjTNWNmXFSezdKN2E9Lb3GlFop0S
JYy+a2mvf/lgAGZkXhI6xAnp22wsNpDbK2Zviqk+tnErvqjWrL8moBY3MVYXpXd/rKtHHGMBNjKJ
vACPyNAvN2uYEdndyKiPnYF3khm0yVPNbY6rTg+IQSMX9ERcrVVxb3xLYPfsHwrGwI70xahBBCMn
D0ZxbLLWDDbNEClvdWW633osFnboPHUrm+f6mgFcg/wLvRNCAZT4RYidw8ixFPA7R8U30q/4Qvj1
P5Ya2xpb1sop83lWZMQ/fFOK/2TAkA7oBfmhS10qKlYFEK+Pjk4KhFoJWQqt+OWvwXeKoxU607EW
hb1XM+mGGkz/8Gxbi7fXBTn4zTRoqCUTdyU2/fIDF23WhbWtzceAGkJ2ELNFct6rfvUghpzKLkLo
zrAddZQiKhRs6jd15jmDkUxhTBNIpLiMv9/fclchi1+EWAikVSmFCcXx8heVRgosG9uuYzm2AZJD
ltakGz8iRTriEoaiILLdTrQJwjxqH3Iyb+ft/g+43vMESqIWbUxQNFcQ7ilzpoDm2Xg0cOkAOw9E
ZkMXI7Ue5yoSxj7CaXr4BVNMXy0mLLJyLj34cjTcydTeu3n65dwJWK1JvhC8dijUzsfU5hPYx6Rr
wO17Co6NqMVkQxEkf41dnnS7IJiLGEW/NHG/idhAPpZOQIV4t5yara1E9OVm4ZNIuQqpVglOA5nM
xe08anHtICo7vAbt5BrN85grJI7AvtrGfnQKBdFFVc9Cg9L8GFjabvYp8KbeXNlVcVDasAVGR8yY
147vYsuwWmwZHkhEDB4NV8BMf85dJMBcjDop5E3eQAm7eQyBd9Tb2kKQsJ/M6cXU8HXdl/0ksg8m
nXJ8ipvvWTzP8Ssltobuqsa6iOfK0cuHzOlci8sA2PE/fW4HD6Lsx3TvTmmSZF6qDXl5QMlLndBz
9scNOjh+uhLP5Bn5Iw18/0FkJ6gFcB0KjvXlPsrTRPFDJdafUwzpHlt4L5MX4jW2dj3ID345Dkwl
OiX4AxBFri7dtHUnq0nB5tipgrshrnhj4qEEYdubNMfHetdneWFt8mhuMw+0C7isamyATd4/sYt4
yXT5GbJ3QcXhhiF6R2O70gvFeU5MLK+8TOFHe3WFNgI8YYiWK8NdbzeGo3cBGpMWI6zRy9V1UxNi
6mg5z50hxr2TTFpxMBQf49giTDZVGo1bW9GsrdqgxbTyZW+NDQuX/ibFHMTZ5NX5x+sx6qqsHPvU
eVbI9FEnonRFH8ofxAEEdKA8xuR9rhdGU/4NkieSTvdXehEb5UqDM0CAnTYCj7pl2xhqWNxPJKTP
SoMCnQHlZEvEMvezgolBPU3KYxNGa8+BG3OGU4MiupSZ5E2weA5oBHwzUVv3mXQ8rrapHuPISSNp
2lpGFB+DZsAQCTj4F70eNLFyuG/NmGwXtxqQlVQmF4MHOC8BxWbGHNNyZ/du+jjFvv5iqdqpycN+
RwXd2d9f5SWyALrCuyU7zxHZOOdrX35lnIGCcZ6n6UVNAj3eTrHROH8DLdTeCtNApzswe1dq8vW9
9ZaryRScx7qkQ0kfJvqcOan5Dc/WNP0Kks0YN6kZTKbtTaOdB6fW6vy69GZ11rqNq5bTA/4p8xqR
cXkiZWeaiCC1cN7ZfjJA/bFN695RCqfV9GfM9Yrd5MZavNHd2n3p1GhSVs7j8hNRiKHVQnoDH4rF
WjYVVZHNIqckdgxwgNxpTYxFu1YMT1bcz1gqx9rXrjfXyiBXoY+J8WIC+mHgqAPM5XKGYzinpaGA
devsWAs8UWqN/UbvVuvUjR2jk/PWZqDNaEr5I82udAhRuds0kpS1gjFeHg8mLVnNsq+KKQoH9PKX
FO6IOyJ1/peptV2cu11lnrdloQ29tVeUaXgoK3toHqccn7NfiA+7mNrd36/vjfE/7wHJQ0MPm1cb
mYLkg1z+BPROcqyhK/XZRWo02PKRywAFVsDPXtxVtrL1gzk5xpOqBgfqttr3eoD9R7dXb6CwDQUO
cfoGVf4h/lT7hICK/ldhzxvU2FzfR7Y/GrvH3K9E/oq5mzVuGNBq3sogDK1dqun48FI/CvUvmT/M
5sM49uPZLLVuPNh+p6qbuKm7/iEws6LfBUaoh5tWqMFrwxM/3IOkbvmD1EUqw9FnkOdIr/VCrWjQ
Zc62r7u89cgfFByHMsQT+TnNSMsS99vSo6GYJFsFeD7mnT0A5GZnDEOqfQFUPR7qwA3GV01vBCqo
MJiN7YCfo/0zHub5TQ1BrnlamEHYuf89rg4EFD3i9HsKRTXWXlwSOIbaIcqt4TNa2aq2N0VfvQaV
rnxqsFLcmllWFY88Jteqoou0jdNHrJJb0IBVBrFfbtQ/Dr0+B0PWmKX77OjVvCmUpDk0uYTZ59No
fUkwTfxgB4URefBRuZABWKqhLLZ+7iI0gtCV+9zlprP1kZv+0rXmsOXFiUHx/UW9ev0yGJLeuOYw
OfQkl2EmGWmPNXUZvoB7m7XHxIxAswHiVnVvprU5UZNTC2dbxVMrHTJtnLbtdlKTbWSG4VGe4nTl
5F8vOL8IpBNtZLkGS0ZQ4zu0v+GSveRObf49YW//nRR9pJ8kXb601l5rL1yFdbkEhD2o2zQNYYJe
fmFee2MErzB4KUy9PQqG3dPSjJ6sYTRX7t2roVBsg1sGPVFq75KtXA7Vhb1PnmWJ5xpM46dOROMn
paojXFRhwNz/sstQjpgZpTj6BqTBNOOWr+V+qoMOQJN1TN2oUnZtU7m7vvVNy5ssjrenlK17QIkX
UWUjHH+6+WR/vv8L5LpdxE+eVFJgmIorR8da8iXGoe7Kqk67FzW0rWKborufPgfVlE1/3R/oXdxx
ORICbi4yfLImaC6+YBVABEywqicdAu2+aWbdfh4HDD+2Zebrn6cCLRuvmrQyJIlDDWQTDCJT9ty7
1MA92NqW8qZ1IMBf8FbSyC3SbsDL0SgwCXdikx49hrKW+6MlX8diC0DLDz9w9d5eeYhebX1WDEFX
BN4o+oF0XsxDq+uO0ixETqoj7VPX2Norskfak48e6r9draxhdG6Mx+UmySxEGpqoi+2o9Y1Waxio
vHT9XGxSw8/+4qYSk5fo2eesLKyVEH61/alEQ4OQkCRo5Dx8L7d/o8Rmz3O0fXFmNDGbyPK5a6xk
/otUtHu7vymurgs5FtcFiD7ONp3Ty7HAwbgx6mPti1rV4kWLR2XvOrF/1IJK7JvOHP8V4TitfMCr
QWlHQ0sA6kPYZsxFEjXYgTPgwozopD3PMKOQD7TEkDxoXQm+DoiPvemTIvl1f6pXB02OyqsNsRRK
SzSnL6fqT4XA87tVX0ptBlGomNH0E5RheLg/zNXXAznFm4jdIj2NCNCXw5T0yAysMrQXu3ZwsRW5
kR15v1pfxGBru/tjXe1MxpIbktPMrKjhXY4FE29UI8yJX8bIyJ84A2KPPcz8ZEYIN2ERlJc/7g94
a3KyZohzCCgyErPLAUs1og4W93hjo8ileuxehOZngFYH1FiGtX3yjg++iFik9NwEXPEsEIjIxUmH
cwspcDKTT7MfGM42rikPb0c37mj3atB/56rSXcSjzfpHUVrJGQAQIscB+hWmV7j4hiAi7OJXEozt
Vx2kUrnJLChWKmz0waPOZiu/8CWwG6gxOEL904wZW3Gq7bT/xcPNz/J92pV4NPdpl/0YksH5Wo86
b0Q1m8D/Y8cdlSdAsQomE/fX+V166nLmQjJeIL9yOmGVLWKAj/gGeIZAe7ESS21ccojambGsIl2b
doEeOtHRxJnolVpbgD9mEBifY73Ehj42ePvTIW2y7gledikOSTQ6lJpi0x69LEsaWOlIhbl4YwiR
/CgG5OPyXU0XfXjOUqQrms2E8nANuToSRfe1aFi+n7yEtWjrN+2orES7RTB4p/bwfOFFwaEh4onL
LdUjJYZgaV2erFRTzlOR9Z9QUcUBHiDSLvSb5LE0/WxlfZdF//+OSgygogkLjIbn5aijSBAGDM3i
RMsmPYw8kB973KuPUjbgWdXz+UdCIRRbMtV8GoM020QTptr3P/KNmctLBfoKqCMyp0XsbcdMLVQo
kacaRJ2HSiVyiYOT/tS7cvyk61O75TryV3qe8iH+x8aSEydZ5i/KdtS3l4AJzUhJaiu9OfWFVe8G
ethQoorpEIbiezh188HEL9PLs6lfCfoyNFwOzIDQI+FGQZ5h3pcr7uKL3WlNMZxY3OHQNnpwIHop
u7FU/8pKp1kJw9fzlNU52UURNFLcZR8F7DtRKR/7kzsAb7UtmC/V5Izbwg71baCn8ZcG0+Mvg9ut
lemWyQJLzNuEwTm+VAgoS17OFCKAlo5RO51K3+2fOlzEqQkaLk26VPuu+mqyL9Mkg4lT8cyMFWfa
NpCmHkdFrOUti3D931/CIwllCKoxVP0vf0k4zlVWDO148sdJ/G55cDyaeh2fmqoyVz7v8nX5PpYU
KSDpRHWUp8TlWEkfKVZqNtPJ7UeXnDyaZ7iPPSKJm2S2ndBLS1CONM3yyPUis5z/7noNj4m2p8Fx
CAs3/M4ry802nR9Xr3qJDOM2KkddeUqyIftlmkgserHQcsPjk7bBZuh88/v9E3lrvRDxoUMvC9uA
4i/n4DhTRUHAHE+sKZ29qQRzgkvrVD4gklWvvEeuD4RN8YbOAVc4fb539uYfKXPYV8XcQts82Xbk
o/1S+8luzmYsLXu7xTmnEs6wRuCQh+zyEJLmcKHwRHlHISwOoRn0KZjQTjtlmAtuhK70W1LFYPLU
SXWOYR1qD3mFhGabiDmgLpKMK9nOjUkDtKCCLVcY7brFjZ6iYmchditOA8nFLhZW8Zxlk+oNpWr9
G0VF//X+F72OsbQ3yRMQgeGDXjGQhF9Xc4iUyElpHX9n2Um2aRh0Z2m1u1eCMtg6Ierv9we9Ocl3
dADAP4uGweU2IlVANxkIxKmErPrg51p6yLqs/WTObbnL2U4rZ+962wKAkC1Ldi7eAlcXSesq6QyB
9xTQZzrDOmobTw867cs09qb2sYyZc86GlS1SuW0lvnExuXnW6zxp9JOd11oIK8OlFDYgPVB7xH3q
5EVLGhkYQ1ztcDqwP2eRYn/YMsalGsHrCIVFcAKcossfQa+yRERIt07gPrTIMxB1f5iAY27MoFAn
r2syJB3MVUmHq0uFYR04VRCTpD7IMoXIFBRPTTgip3yGZ2CRF9MBxTNxG8eKebLRwjrajZgeHGwY
Hz+4p1w5KqV1UI48h5c5EydaUUJ9Nk+IU8e/8LqLn9zJt78Ypch3Q4Q70f8wHugd5PqosFMvuFxh
ZxqdiUvcPBmxkRO2bdo/4D3i6JPTF+FDjbvqygyvjioz5FHCg5z6IcjGxXMIdR3oH5zV06gow/e8
LOCnYh2wV7Saxk+Y999rYGhr1PIbo6J6IHmQmJRQfZFn+Y8onGTzkAIDVk5TZH93w8DfFJrWbTOZ
4Evvod+Z2jZrUOWrA0sIJm+ja40JBfFY/vM/BqVMn+JiKJQTfIjsr7K1uAf1qvze97b9/f53vN6y
cihqpLJkRyBcxCInUQ2ypkE5+VakHsshLB/0MTTOtY6h1GAYJDdtTxKH8t8arv/m0LSGQbpJEZ8l
ab/oy04bozA460gRTl/TqDG+umaGtWwKCadCX0Yx95qbQXnJB5g/K4HqKgrLKvg7bpRgJW+by0We
qljyauvwbMRl8a+TT93TONrVF0ivqsnjy1mzObk5IHhVSISyBL4UnDRGVxncUoTnMQyy0OsFaiCw
dX6ibZl7ipqaKwfmxi6SypaMRAEZNsfitZK2tZ7Nge6epjIKGt5NPCY2SocZnJcZhKCV9bw1HG4l
yEm+gwqXhcrewsVx0m2f1qee7MyK/qWnCl99FPWQVh+9QvFOpNZGfY/TeY1iSEsHy05/prmJHLH2
2I29sW9bNEU3Jloo5tZqyupw/6TcmB9DkhjxFJM4WHG5X8rEKnnARsG5NDs49HrYK9/qtBhHEEjV
f+6PdWOrIEoJXQELO2pRS/pHSMNbt5FHONeJW25pIiavIM2Sh3Zq4z0Y69//w3CsI2VTg4Rz2StR
IPubE2H7XHVzjFBk3BpPIq7bfaCZswIPDg7M/zKidJcFmkGdaHH40FHsai1Ow3MqiqTd1EEW9U9N
nNtiW895nGD9kmC1c3/QW1+QOq1Md1hdbsvLL9iHhjIntBxPSpwq6kuF2Wa+wf5ravcwf821K/nG
1UFwe0cdoXhwhU0A8tmEmZuFZ7x06SLSH1Hyfe12ysMcj1X5ggLTS4JByQqv5HqWglPBtczZpxe1
vJm1rI7InrPo7NQC6wEwruamqEduam1aO4Y3xyJ2g+Ol7HdV+haFlmBBVEXnIA/FAZCyvgeO3r0g
ZlGsnPjbQ8FnUBkMYYJFNKtbx5j0smZaiGsX27FQxQ6XBeuLq/rNx2MZa0io/n+DyavrjwtYHUpH
qVQnPJfxMFReYfdT6wXCipVHJ87XCvrXG4XR6B5KqwQeN0s+e61onavoTK10e2PadIGDAFCGsTcO
5k7xaUZM5JgTLt4+ehzeYZREGQnYueLVaVUQypZtdKZiGz1qaeeeQTTCBAqVYs0w/cbXo+BBpgVz
nurO8nIoLQh8Qyiic8e0vrulDvTEt6UMQ5EaH013uBOoBRM8iSyyln/58SoxjVk9zOF5ynTjGV8p
5SVtB7EZpmYtk7s1LdA/NmmGdN1ZimSjaJOiJKSE5zkcM85a0xh4ZXdDE2y4GOxwJYBdXwtSgQv+
BfqzSNUtN0rMvuyElcTnGv2Fz9ZQfB9CS4Hr0Wlv0dB1X+9vkOsH2uVwizf+ZBWhiZZBeM6HGQQR
iMKMy2cY3F9OY1WvbgCH6K0ZSrhcCT9od3/0lckuMxolwmTPbYL4bPVRTz1A9J7P6+mzMtQzZgdG
trJtbo1H2OSG5+RTvJX//I8zn/s+JEjuv7NbO8MxcWPlW+DYPeaDk/lXTel/rfp2c0BoOxDyZMNk
SQAsWlHkXB/RuZ9c/5s6ivylsIJy0zpzegBs3X2MqYTGF2RweGn0nVAgAUV+OUHX6PSqB5J3Nigo
614DD1196aawGnZ5J/L50e0q1T4O0TjHG/pzawrKt+aL9o7UawZMDjD0cvxesdvAp09/dkpjoHlZ
8n6a7OqU5WrxH1ZjrXNw63CiOCUxyRrDLgmPaapEetj40Tkt6/5rOnTUOnRQgQcrmPM13dmbg2EX
xRpTxYbyfTk5+qQ95Cs1PBeK33SvddtXB1GUU/lpBJS4UqS/LiEDaYYBBc2OS4OS2GKvYnmgDUBb
43NGX8qn54w+32YcIxMwkju3Hvon6S8HMM9GhEPDn2ZD5HVCS55HErGVh/GN60vSsqCfgbO+VpjK
8zzt+7Tk4GiFZb7qgTvSZAt9dz/47GwUQ7oweqS0Bgzqfoi49kphHSRLGmibkAKo8qv8cWb9Nov0
tGuTc5wLP95Wfjt9Nyy/3lhN4hqeQdznf7WJ8nITFeUpH6qct0Nrup+muetfWlGuAfXlh74oofKT
QM9ycHlByAbD5U/Sy8yGMeXH5zwzs2nTx5TBPIOD/XB/7jdOEx6hNi0ecm9KBYtxghGFBBOk4VkY
5UiCrqIjP89Nih7KBIu6qxr7y/0Rb1wHREUSD7pCBnJuize7SLjekY/PzmmQ+cdpolWKP+uM8IMv
5v9Elat8bXytgciFmsf9oW9MVoIICc6cZdmkv1zUxArzZJzR5tT7/Fw1ajttNCuqcPpTciS1rNXY
fOMrIiVIGVrqX9HjW3Tpe7WnQQqg9yzirBt2RQWR1EOEw2pXtvCNmSFJRkkAUVQSvmWSPqZaADqx
zM5lYqiBl4BG3Bp1JGGOZoW5qNWs8f1vBQ8I2JSYwJCABVwS/7pYN2tEvrJzHfliX9v0g6dmFr+p
LgZPrZFHjxTf2g2dZMPcyL4c8Ms53seaMn2//1lvRA6HGj/vJ7JqAAOL49tXIpgnvu05rIWrUCqN
402ETh/IgcY+R6qNhaKeqLv7oy6XHDgslEMiJ7muCpt1cXKQHu9sqqXTKTKC5mHi3znEUUfsLIf+
t524wUcF2OWAKEnQYyNG8RBaDDjXPXcRM6WvpjvHMQ7aQzHM9ejRb+metdGNPviylwOSycv+icwD
lwoeANOCDPsfcdLR3s4fQ0QYfiMjpDTbJpnXOnvyI/0Z8ORg9PV4/VGABusql/uPGJxSGazxu1NP
/pyk8ZZCatZ8VVw7CLd6lafzShS69fWkSZNM8+gYL5/cnXBaPQVEeiqnutVe8E3M0mcEMvQfcxxM
u2qa6pV3k/w8ywly1VLzQUGLm33x+ao+1NwxxwcFPt/shRZdjVo18+PQkyFuipkMHhm+7CdVm/mh
i1zUru9v2OUxkSuMhgHVZ/lu4nlxucKVWZZlX8baCfKHmXmiE/rXzKQXpwSu8XevdPHn3nDTb/dH
XYbA/45KWgqbRPZSFoczmDuzn9tJO6lVpeVemZNqefioGNv749z4oAaSATIJ5TlzRUiaMggMURmp
p9kejObBRPq733aIqUcPUSzUt14M1kf9Jpib7F1ISUyqFshiXK6o0mZ4R7uFOGUC24U9poh04T0s
f6L4qfMp8HlU5Qrl5/2ZXqFKGJb1BHCAtzZrqi/KCvqMlrneDfopbubic6ga2VZF3ylHZbYa+NsQ
gLgBaa+fjHBXjwM0P1FbK4/HG+eV3vh7tV8ydZa7KdYbrUuqzqAsbKf1pnEs/6CG9LM8M7XWqNfL
N4OcMehrhz4gMFo8fS4XGjejscK2Vj8l/jS7T6qmVNsS9m7rJjXSfaZL6abR7eK5cu21GuONDUx8
4MSA7gCcvdQNisrMLelTG6d+0rtsCwA/NnZuG6wJmd3YwFzdsAzfxePxJLicY56KiuRFN8AKmbWL
30EcPuBQ6xvnYZrjn7THKvfx/k66uayS2UbnmkC/hNPXiUIrPPKZ2jAE00MTlIAwW1g1hufruvLc
zm6qbfvR8M/pMK8hWG4ERCStJCSZQhzdhUU8gn+U03QYuV7QBP2rBLVVP4x5JpI9Kv/D06gM+XRo
enf4arYBuUBsoruzconfiIkIhpJwUHQkJC7zLZgzZQ8wVDtBpoiT46TAsvHsdNLGT3VoJRri4IV6
1OpQjfb31/7m7KnXoc+AthpcrsvPHQVwZpAnFaeyDkXySfHHbNuoONvu9LQf7E0QRbN8BOeFuTX5
lyVXJNTO93/ErT1H8+P//whx+SMUgaTZrJXiVKla+wqqKvuZUSLZWbnZ4JWQ6Yf7491abijG6Ccg
3MCzcXEZVDZaeAFOXCehgMbgZk57tOcm8Ra3NAp3ZZvOiJUZUfDRTr4MIFwqPJEp3AP1X7z82ylt
Ha1P9FNY1M1fIYrJ/kuYqYqyjwBjZnt/ip1fQhK57k/41gJz1ZPQ68D/eCYuFnhowKuXhn6iztzs
4Mu6ex+IY+oJa452szmuWRLdWmGbvSzT+neXgssB0VGnTVc3xskptOY5cYf+pbCLGOpKlTiYJud5
COKe2tWaF9zNgZFyAGUoJVWX77cEV+Lcrgv9pAyFhr2U+s8Q1P0ngeaJ6pWRX2AtOokwXbn2bw6L
LyLgAUpgHOTL+WbG2GtGUOsnzmn52W7r4Fuf9fR8/Erv//UTU0fkDnneNUbHresPJIxMIolgYEov
x60AVCLkoOl4t+j01sqpN8d9GpSDgpdCaf8vcUoK6VGqoZ1PT/9yOLNNgwHAj3GyujA9JaUyf4a8
6fheLuaSo1qH+q4I6UQ9fHz/cvHBAyZISvzY5bizSMICqKZxKnE/flDiNg42htt0lhdFbo5sQ0o5
Z3N/zFufFHUE3lNc6eA4ZeT8MxPIjWk068w4qZHxqS0DcWqrTn8gpTRlfxtUtq5MP++PeeuSJ5ul
AIV0He/zxZgKcDQ95EF8muo8DvZA1NK93+K7sBL1b20bclWAICSNkihwOTdkAfHh7W1gTZVi/8ZH
SqSbeegBixqT2o4ro8lfvUg5ZIoDOozqAxDAxeEIfGzDNauxTnBX/aMouyLbFmPxUtX1WSnj9EEj
JjpPqP8KL/P9cmX4Gx+SOAS4nguOSvhS7BgIEZZGdmGdmmkcrQel960AKURjONX5ONePiH3AXTOy
aFozbL8xcfYs/sdg8dBcWvaJ/HiwLSjsjGwag1T/1bd+LKLWa0v/Xx4aVuwFgaDINYwFNhVjERnq
xwOTlKSlkAkGkoxksaNi5O8LI1PtUwEF9KHPNHwLlZH2RuiaM4qxI4pFdFLXdBluXDg0q6T2JA8L
2juLYTWHXh8Cn/apGnQ12lWmnvTo4Lr/KnHQCa+0Bn3lK99aawngkmEfq4IljW7SZ5XPHNmnThmC
rtukYxz+XXZxFm7VvvOVvZ5PjfLgGnOB93Jti7eaP1nTibg1b4rZEisosYnLe2AUYlInFJNOcZ3V
3twOlqdUY1h7Zux/xSE5XGMkrw24eDrhnNMq6eRbp7m03XqnYkNkPflgTbYOgqa5p8WBUu3uR6kb
0YP8nTYhGEOwte6inFiLZhzTvOLj5mFZ4pvdoFrXAXTYGEHbrVA/b4REoLM0lEF7SnrIIlTpYkSt
2vDNU5DUhu/hNR0ZXu7040pZ4takyK+AjSGHCXhkEaSQPkb0BR73CdvPakZ2AeXDL+FY4gkUjfpU
nz6+hhK5gZ6WlO9fbhRDTWHczLp5KiZ0aJ+i0LGbjV9atD3jKndW1OZuZFiy0gIVgssM+NRiEW0j
iFWivHmycphCmygC01Thhvm1znD5M91OfXWcIH4Ke7To7k/05tBg7SFtUe+5koyx8pTywGAZp5Gb
Fhy7rjYHIzHy+CCAG9VPAoEtCOXhFP1H4f9/UJ8BsDPvFOQZ+KhcQcaS+oLDRN8kbWuf9BBRamyH
4l9qXxmbqbLrFbT39T0DlAorDrYPNw2PwctLVWDJMRiRJk6+GtTDRima8j9o0VjTPk11s9s5agRT
Wq1yerH31/g6CAhKP6wwNDzu2eXnVcQ8hq6VmCcV+YkHJOGCbIu0mCG+SXOIxyFINfX3/SGvjwtD
okbE8kq9kmXhUtOzKhjMHoRulXXPgWJE2aYihd2oShSu9ZavYwD4a6zYEXwFU3L1LFLdGVJ8Glkn
0RfRP5o9ac0+SN1qTV7p1joicoH2iUSr8ca9/IKjaDUrQMT9ZDpzne+TxI7mbTzZivlg6YW9TSx/
XJNAubFrALtQCwXAyf21rG47nW01ZlK7J/qterVvqoKWVFzFlsTpNP6xdHrnN6zfaq1SeX1h/h9p
57Ubt5KF6yciwBxu2UnBUku2t9X2DWFve5PFnNPTn690Lo6a3WjCczCA50KDqSZZtWqFP1D/0m2h
EJZmMkuNK17ixEQXxGhQFJa3Qck83Atmm2LvNqHxM2vceTsN2iw2ihp15hbt1WRt2HrlhX/8DcvB
VKU3yGGHoTjllpocw6YV8S4p8VPduh0K5uY0t8Ffh0JZ9oNsl213nCcW39gd3Lbr0R47ceXM0SOm
QL2xqYSXGL6NSTlKfHFZ+/GUtd+CuO1Wwv5lNJSrI7RhIuZA60G+kA9FhZgomQt6Gyc9sLSvEx2A
YEMmYX+tWxPEzZjHL2SnBSL8mbGSCV45sZxWkiN6/1RR9iI8GVVjp6lpK28jfZhHU4FtnSWO8qUF
DXS4HRyufVZpkUWGANv/QjImhXY552MSntBmqX1UT8IXLw6mbTenX/TRs77eXu7KEbLlPEGKcsCg
XXpMg4JRcZ1KlLc0j7BtRe9nnHYZL1/sTAzRx9CvJ5BooTPaK5PcK4FJctZZFilFyuJF9tV0IRqN
dhCdaLNP9j7ph9A5tI6w/ocXSu8XgUoKYPoq8nd82Da9UcZFFVnipGF/e+CSGdGkhKiVunPfHISl
0GG//U6vfUKuFCZhzFal3M35inXWCy8eDXFqoSwOewE8ID94U21Fd3AInPo+Qxv49faa174joyFy
d6a5VCyLw5ElAXr0JjhhvUWsYZjVcZMp2F1YReu92p1V7xozWzMbvnYsaP3SFuPtMpVfLKrMkEv0
yg1PERzY0Y+Jhve6MLLXpoawePsBr66FvzslPvA62uznLzWmMaeAKQIznw7Vi5qo5SZAScbbFt2g
5it75treJO3i68H4ADO/aA3lDmqJDoJCp0Rvs5+qlhThoU1FlW///qHAiJCj8/bgHsiQ92FvNtFc
N0aSeW+pcPo9fmBOsDHaNjTurWlunK9/vxpbg0kB1rakzYt9aViIJmiK6r317qAi1dlIa16zVXOx
a2Ij+n17tWvvkDqW8TqPBhxE/v3Ds41B6UQpmcabxXD/GVUmAEBAoupkd3uda9cCF/E73IqwuRTd
kOQtN+nS4I2hh5XdeaEjnpiTuE+zBogVATQ378FBITT4Mxw9tV5Z/loqQGOEipV2LSLvi5eqqr0L
LaZS3pLZczNfMTCyg15fPBZNDy199Ko9r1gcMDtJml2WN/k/t5//2smXUnvsU6k6ctEuCKOkDGIi
eNSVwVMAq+0poWb5lFtzytgBI7mmzoyV03hlgAmgHJAkkhIQPRAWOv+6Zq7hwxoI700Lpzp5Koo6
8BtsPY0DNi4mboJ5kIWuj7iarj8yLsueAwvH6FOOCMSf2y9Ak6fxvEdGdwxMMfUD5SDNv/PfEtJx
7UuvCN6yFPMUv+Z130GZLwPkGLT2Qe298BBqSYvh6mQdFBDB2YayVNsFDM2mTepUybay8jXWzbVr
AKsmThsebyCzFkEkbHRrZgQYQKgqMnM7Nmk13JeJKiB4T2F3p2APe3/7VVxdkiOOkTQ7gYng+ZtA
nbcL9cJ03sZ2RlZNMar2iZ83uDvDHA1Ssyizvt1e8j1qLN4+oJ134B3gVWqp8zVLJDLybOhs2uil
q71FqoeNMTtD0fa0luvGh2GhG34RK1m9iUSTWDtr1odmZ4cNk7pkHoPXwFPR6U2KKL/3qmDMT4bS
Yety+5deCRT8PElvo5YnF1jcVsIpvMCwwoBBThlXvjdlnbeZqKff2l5XYpwWdSvbWUbqWi9W2Rjj
360PI5P+u0wh+S4I0C4PKko2DbgC5A2nJKq+mLFdqX6iqNpd5QFD3acVpe9d4Ej1Yogb9ry//fgy
EH34TnJ5huDo3qK1iALMEtWMYZQbkmoFT6gzFfjD6V0wbHppt8EYFxeU26stXjarEYnkHFzCA+Vw
8nxXVJojDXIK/aksRL6ZujTaOWaU7T0lFneWmxT3Hod1C5WpXilSlqFJLi17FmQkBksjsXO+tN1N
TdhFs/5kt2H8WI+VoF0S2Zs29gzHB1+Rbcuy1Z/aSjXu7MltfSwhmrXmyeIo8itku4j/MEGCZLQM
SnmkxmYX9+anANeLY9OhIxEI0rAgKaaNjpPXGt16cQ9A3qRvKgGgIErY3Mtw03vUvMXUcvllyfyn
quPvg7TWTUbKpCxtzU08x+7d7a98sacAO8DPZ2YI+BTeyCLEidZVQoDV8dNQKOIx7Eb7l9fZP4Tn
ZSutzIvXKWEV8sFgNPFql9OdyQhMtR7U5GlOihh3ZC0oq62RD5ON+kzY/YCp2a6Biq89nSHJHCSd
8m6Rf/+QwXRl39QMYJKnNG7z+znsFHx5BpBfeKqFX//+TUqyFnRxKAdg9c7X6iO3aaLYTp7GAC0o
N9S0nwboiV9GLvq1jOnac8HBQYGX3gnfbnE2C1bPQlNLOJslkkC1xWjFVbt7cJ3xSpF37bORQiMk
R/SREMTzxzKjnpAcZClBp5TbvlOfxBDHByvGAWUXh1q7Zrp8eQyINkQc1qSppy29fQ0jJgFs+GiC
7uk3S8TuNzdwmwADu7jl9BczmgMAntYkqC7DDjuUIwgKn640cBj5Kj7slklNaVW6Dl/Q66OfuZWY
uz5twApjcdfuy2lyftiKp4lNFpvzD0YA4zcdW+rd7X20SEeJAvwKkDAMzWjUAO86/xVdaln9NAte
eKeOLypv3oqq30k49up97Ra1T0UzG1tcacIN6qVrKswX3xsoG91y2YzD0/xivDE7UJvddJiOZpsW
/SOyp2a7A2IWVxY6rmoaEvF7K3BXrtalwZ6seZkWIhHHqgBE3pHOH15+24rKrEFNHJ1EVK7t55WS
fDGMCtWiTVWXfdGT+0SYqLT07j5r0jztsQgsuBK2ktnaZgrc+Dfuj0Xr930xeJYPGNIZHpzMSqdP
TiB006eN0f26/bWWqSu/+71ugf4KsgTw0qKxNDgl2s191T0LbD23xTR1eBlEfeGTChnupmgwM3Qa
JXiMPE35IpLCO8SeXrabARcTdaOaRfS1DdpwZRe904rPkgU2MXQK8AqoLEgW9/k2mq3WCwql7597
MXWYaeZpGm3SVrGPYSnadodvS/0P6mJRM/nuiBdnW9pmQ45bu/FGE2U5viYWxMmNKnQvPmpjrGgr
EfNip8tmIEQTsE8Ax2G4nv9EUXRmobZx8qxOY+luIkNHgbKz4ueswd15W8RDY+69oHPxWHeDujnY
qHitYUguoo1NjoOvI3oUAOmpds9/hGsVA+oBdftsZ6jnd/Aaf1lxpTY718vpURZJv81NZ367vW0u
H51+FvKczL9ABVxYLLRWV9e9YrfPIKG6/VgF/b09xaPttyjrO0LfFFYWb5WpdF9L2+lXYvqV1Zlc
wGcBuUpys2RVFoE9jJ3qdc+hp6Il2w5qt7cca9APdLrU8Cf08faFeq1kYtWno5SzQux2pd91EWje
AZ1gViVGwLkYjRUhvXFugPZZV+xg7yoRCb3mTr/dRgs2la7U32+/8ivrScsp8ADI9AA/WxyI2qH/
SlMqPjZU2KE/TkDcNl6elC9alhZ/bLR6ksPtJS+DAzc0AynOIBkkT7nIPyY3LpB47/JjSJrr+lMR
TKHik1QqBsJrXYDHtW1ENceuzEx1l42K3e1Jfeuy8DuAVt8sHa7kJyPpDIHTqVlF6rgSKORPOI8T
8H9IJaSuOtovF2lZMUSeXg3iqDdTlj2PzRQCaKq74FuCktgaWPty56EnxFvmYmH/0QVcnDYNAcdx
qMqj5+QT9s/KEPEv422oVV+q1v2O6rDho8dgP0yVUNdUA96N4RdPy8SHyo1jB81sOSus46yOoYRG
xwLj1WPSj4axgQleiJfRDirgiKM5dd8iIBb51umSuHyO+sRM/Yrg/r2pkylAX85yvxHQ6nDTzYEX
4ltGObZP1YwKpJkmC7CuWzLBKscYr1vLKfTx4CZ6wRTAyslCZ4b9fqMWhvmcs8+fkL2MXzMP6rjf
CZG/whnVvUNlDV29dUYxj9umQltgFxRGmoWM5husLOEqM89uAuVLXAg9fo1Cp/0VYEoxf7WNGOxw
GHrsnBnRB+JIlehfU8UJvuFw5RkP9jxO8c5JnSD9A1qkKR8T+unGP7lQYWN5RlobWysyw2ALl6iv
HrLWTAcGgrLwAYJQlXto2db4AMKnNh8r+AbfR6MpxcYanbm5V7DnNe77OJ7qI1sIJOLYz/TxhsJL
Ad0oYeNA4VTLSNnfPm9XdhflKtKSzLoBe16kxSo2lFEei6PVtsPDVBfjVx1bvU8B7UVOn9lUf5Sk
sibURTWRsc3StQbt5S+AxwLyhRKOXwB07nx/09TuON1kMYiHdp9rJY2+RlHWbmtHhdvZpPihCUU1
n01RBnugsmuAp8v1OcVAHZAeYBd5S6J1WjsziuR6QK8OIOI+LjxQZR5KVulGdxPJU/Lq2TZPsdtV
Tx0qSenWY9SZrNzsy5YSMi4UXMRYfockCyxHm6llT3Ph6eIo8nl2fMxChfrFrY3m0zD0jetrepZ9
4l52TjmerA8oZ6QnOLeh+3nm8rff0rgs469awJzlu5WicP4Yp41irVlKXN4JLsWalF8m62QuuAhH
TYVYCooJ1VHD7uhh0mPoplHG1eQrUU+k5toq/r29R5eUPflqmEQyKaDTDK1ruabIMAvyvD4/9s2s
DTtFHfKvwm3yelf0klabRhZu336iNSL+Z448I9vouTI8DVpc4USpGGFifb/9m94v/LOwKNNE3gHd
YEmbX/Z6rDlHWWHItJe6qFPvuQyirn2ZKOL1T6EaN8O2b4BY+GluetHrZI2W8uQk5YTPk1r0ka/X
cZR+RQWvGDZq22MColdKm+z6esqTbzhRDOWhzabB+zqW3RTuChTPn2u0mcbPyJBm474MjFBdSXLe
RRUXD0U3H/k27jX+WV74RtUlbpebxgue5fO9OoXzv25X5MYXRw/Cg9FWXvwmqopz6UWD8B48ZAHS
e7Pt2jfDrop0G+Eu+Mk2U9N8q9Oo+uQMtCsOuMR1yictT/rsH88SYvqcOXQfN3XuZG9poIt+pUWz
ZEZLOBa8CA4UrSEu6CVLIbKHPHaytDuqDZJzMDiNAiVXtSjCz/3QOMLPZsWL7jJhDfimp13lt4Di
vsyhGRq7hMkC/+vRbsuVku0i1rzX53TrGR+Ail6OZUUU912e9eMxzwpHu0OyLnyeRVU8BHAdNkme
Zt8B9ArYr04/fp0HV6ykLhenlx/A2kCiacteBpk+iAt9cLzxaHb4JPrYopi/M7sW1mbQQBGobTSs
PPJli4BhmGyWAZQDPYEqz3l8NyKGwCYuRUcVtvovdegfpjmM99IkxI8pyz1/dBP0zjQnKF4aCt0n
WidrwNrLWln+Cob+slXIzMgzz3/FOOqV0VKUHKFEIXbbVZXZbpV81B8UyELhpldybbxXezSiC8Sg
8kdjdGMx+32VGaPU94AJOCqzET9ZdtubW2VoIGBrXkoLfbAa2FvWpK05sF4GPn41fVQIqlTMBMBF
MqzBwgB8MtFKbUq8O1O9/8X9kc27otPn56Cd/3X4kQmA1drZKY2CGlc85K9KYSt/CdDlRIEHRniI
rBukGvKo5y/QhC3clYl8gaXp7KPY/W0iWvFVxdX3OUmb0vvbXjrrvUt8Q0CBVbns6cxCUqxadzoS
zmtk9pv5pWxc8+AKPfwSdbPlz6PH+XC62jrdju0X9a1E1EvOKbhgumrvO/pDX4WWfU0bu7ePc9O3
3/ogaQSi36Hm7AJGyS9Gk/4n4E1+u73q5dGk0qLPy+iA1SF3nb9gHDVHr2wsB2BllvU+qLhk3zv2
/D1rm/ipq8R/t9e7qGJoH5DRSxadlMhf4lcbp6+bQYms4zyD0cgqffzatXW3kUbxKzHgMuydL7V4
tNlOasUtYuto5xlGd25UY8KigtLYRlU07FHmE4fEy9LdaIzxEYL+Gg/zMrnCD5Y2IX17cHMkMIuW
RVggKR0zcDuOKBsm92ZWls1dHdRz4ndeVd8huwwixo7d7F+v08rvLcyU+JC2lfncMzj6Zcx9/Frh
D9VtMEMV+zyJprXhyeW2MySuDiVz6l9cZOQG+bDtlF4rR3JQ/VgqA+Lm6thtVbseviIjgqaYrszp
IWC+WvztkAFXKSl9J4WcaMctRyi2Z4x1TIJ+xIVY3QSuU26ayHReCxqtd/QZwvvb++6dOX2WZCAD
gEosWC/s0vk/WTyn14jRLCGTHCfCqnZIyCoMP0hSW/NLFQjKQ9SqyDy7qj3ea90AHLYNG0/hQoaX
selh1SubWFhBf8C6WTtSRI3DJ2PuFAymJlP9U+rCnQ5Om7d3naZOATiuokr8yh2dItsEuhpvC91I
vR1InsE6dK2GJ5Yukh4GpTDdxNezfJLEEmcOt42uWMmr1VnmAZ5/hxiUqgxf6AfW+Q9Qpfo305gV
AoPkBfm9KIf7qO2n4KEGBnbK0Ft5FV3TBZ8GquTCrzHvRk46H1rrz+23enma0QIACEV3kLkDsJrz
zWM1TdEVteYcW8Zl0TbIrEDZ5XDAGXp2XbDGdXrXMV5+REYNdEFoQkvfo/P1QOsowPhV66h1OK1u
jMIk+UuYTPi1aqkHp3Ka+aBNost8qv++2Bk90foeWJpyFwlHb38MRUYGEhczpAM5+t12wGU0X3gY
yCHLkWh09ZqMtO32i7r2y8ltJWgCuzTulcWbykpIPOGQtMcgBHvnVJkebfW5MY8ODVPra2h2ygZo
tqL/lyVdskuYXrkvWtXmlW/nqGHvBNiPQ13SKwDo2hV94quAGrqfilcUm0Z38/QLbzyc16bLl1FU
MqxxXES4AxvepSJ6mIjOrvDaOHIkkAATReSruWM8NEVR+rWneNt8rH54PQr6XCF/PWmlKGVzOWCd
IdZdRCfskNw8Gbr2OHFxvmpeEP0oAKcirizMwzx19be66fs1ErvcRottBs4IBAFITXKg5VWstKky
o/pbHJsRI4wtEmzB1ild464cm2A7unXT3hMes7ssLPAcu71VLm9kKggmAtyN9Jvd5eKFWVjCtdL6
mEFyv1Mr6FYb1Q1IW+lCnvJQTX7eXvDKDQD7lTvKQhcUIOxiayKtVNjZFPfHogJRtR2DYoTJ3WUh
Uv/RsIn6MqRSyJJ/bi975SXT9pAUQhw/IL3Jn/Xh4mmTap7dqBuOLnVSeuIHYKTpOPjxbYewKZvf
NW0X6ymfrbz44gRTuxK7rq4Pi0bnAZlvLLNcGKk5WVjRHV08HhJwINggd8YEKHby6iBlx9mwrpUJ
oYxDoVjq2uDn2muXCBW+MJNMbt/z5zcGPClTLemPMb4nFeDAWLh70+2DVyNHdg/tT4Xm96iIlb7G
lf0lc0yaCAQjSASLz82cy+vLyeO5Z0BS+iCgGUaYnvzSA0E0HQJvLcW4Evxg84AokCNTruGlqklu
J0bF7h2Oo+uI8SEfjfw/YnxqbBPHTppHdPiT34mcIB601Av+HWqnV7Z1NfbBRld623w0Bj1RDkpe
K7iXhnZS0h5z7MxH8rQDL2q6MULkvbB3t/foe1ZwHgkkD4k+EI1w6tdlm27QY70opnw+xpoYXnUY
iMa2RO+LUb4RlJ/GMIlfopDu9GZG3TnaKTb57Xbu+7Z+bKJIFMxCEWjzC1xVQL5hOVr5k8dIeIPa
VOndlbAIGp/ubGk85lqhJ6eys5NhU6Sj8586t9obrHfOn6AN7R2MYkAkdJhDPJxvP+jlpoC4gmqH
9G6UkKVFnTWmjlYajoKqgaHGdzWX0j8hxedTBg90y6noV9Kxy6knXSwOn5Tul4xTezE8bzUssT21
7o+aWyXp7Hf5GDMJtqum9w23y7p7wqCZ4DnmzuaPqBPDI2cp8nYWqrfxVs8tXEctUUkqu9aJV82e
7V9/+06k2xPxkN6fbJMuDqiSoaw/NuZ81L1IM/wOo1I8qTzx0FMe71FKxmjv9oqXIYEVpb4ShS5Q
jmUjrB5Lbx6UYT62Zh37g5nqD+GofA3ckgBVqJ36b04kOtxe9PLT0yeRUircrnSil7Tnwu0zt0bG
+1joxbTN88T0kxG+jZuqd8Po1F9vL3eZMp4vtwg/uMTg0xcM6rGf0GOH/dL+QCz5lMWTvnLBXGYu
EqRK24W6lqJ+mZwmrjlqaV2qxzKbmr3TD4Gzp/Vkpb+aRtqrJHozMtQyTLQaizlxk40Yk9H7S8Ym
VQ59BKSPpBgBNp3LCrsTmedMUWAdHW2qZ59RvQ4MMFR3DQ5oK8fqyreUmTihHWQeIVe+/A93qhm5
VZGjKHFs+nQ+gKiYUGK0Uvxy68a+p+bJtP3tz3ltRS5QB1wAG4gi4HzFKKhNfIxH7ahVSv45dpLo
4I3mmG7CrAu389CsZStX9o/sTEn9MxBAAAHOF6zDRmtAa+nHvJ/HeWdmVu++qKnp4Zej64G5UqfK
wHd+AZAGSvaZ1F8BfLt4o1iu6V5fe9qxEASYTEF45YCbYa2vNMEvsxEJJmS4QSIiK5wFOkWJyhnM
UKIfh7boNlpjMgdKrWGfYd28oapS79Ekirf4n9JG/utPyAmhoJI2ROhvLz5hHxrGWNGZPSZplcCt
FcG9EQA8wdq+26IwtIoalc+yfKfwIuC7ksSwWRefUFT0FnER1PFAzs3NGMXjoUAl41OehtEnLYi9
jYeL8CveI/oTMvneRtTdtEOVa9U+4UrAlco6NGnAtkA/kSHkw3mhyK5yA3u5I1dy+mWuteR3TvZ/
ZxJ2Bz/XMnPeaoruKivn9NompjmN/qJsu120GbuhnIRUeDsy9DUO3uD2wldkBLKNwFm5xq6uZUGY
QGCZNu2yZqb/ZCYwJ9WjVVT9jypW6i/4DoKH7jUrXLnArq4lYRTUukDTlv3uAtmESB95rtLIxt99
EGJpS03bmz+LzsUQ/vbGvfb1pHwnFnaqpLYt9pEWm95c00g9oljj3aFUj5RbnDd7r1Hn78z6YSrW
s/jn9qLXHhGACHCg9y28bFwVpdl1XT1rR4GK+ysmEepDpleYETJ3YYD6PywmhxgoCtAvXe7PtnHL
KWDOcSySOS4fVbQgd4aroPQrlNRaeZ1XQjmdGeBx+P0As7ooPAe3G4YkJpTbVuxtE7SYVAptT/9R
VYOy7VAE/0uhKXk3WuSbhADSDz7hIvTMURaZhZIaR0dxqy20ASOHT+zGW6kH4Wu14ezZ0toKbP3K
JwRFRueKC5LJwnIeNjl1N3SzSfwRpf6dazvVftJLae645Ezzb9FT4Iqw+WMCBE4WpIP8MR9CjEt1
4M2TTX9V1On9kPd/yga+RZvSIGd/Jsaaw8+VU8GCUoqfI0ECuzgVjpuXo6CndbSNUu3+7aUm3B09
SKs7sKcDut869qHbFpX5eUW089rS5B4OHrvg+3mz588qUitGBCM2joqjlC+At7Lk4BhT5h7ArCU/
qJAGeK/Z8L/kPTbyNegl0jSh4b54yXaYtHlEDD/Oip1s68bJup0m5uBpDt3qqHZpUa809K7tIWm4
JvVlpcjI4lFD7JVUozH0I21j5UVgweNsq6KPk31iz1my8mKvjORsRx5JCdYAqLGcg41aCZkL/vDL
XFMNupGX2Vsna2kb5Mr8QIIm9r2W5P7QZu2DYjiheI5KJXygn6J9vh2TLrFyOFaReFHHSxoCXITz
r+waaZjAV05fRGjzrYu+NUxf5KP4XNTz+Mit0t438VQic28P8MatEdm6cqx/A5ukZ40NTLGB9r6m
z36ZQdFjprEh9ZM4c8vJklaDhXOstn4JoIIkvghK0gqwWp8AANEP1gflSwK0yhcTPu4r9957bDxP
adh8VLOS8cOpW7rcAGJL4FuZLZu+/INmMwD8yLI+oTzjHCItyT7ndd7vWl2Yvt2F9cNgxf1KoLk8
fK4OtZyRk+R6X0gC0xrHWjh3xxcSmrjbjAII3Eh75BW1iNjzXR1mYlOp+ppty+W1wX6kOQuaiQkX
5IPz7ZAjQ9jHXjm8TIHR/5ldr72HEtQo/4De5wq2zNAJ//qmAmBK94qkHFOFi46lOWV4F7WRe8xC
7RDVia77TRsXEMoy93M2V8HP21v+8rDLMhIHMeTruAPeT+eHGB7NYmgRW3ZwGGiLP33fW/RH7eBt
wOv7y+2lLk8XVr/ge8ifpGUrW/n8dZpZyGWbJ/UzhlfzfWeO+X1XFU6y84YseDDTYDj2UafuojYx
6k2F/uQ/ltFGBdLlmjhFxlT8KxKtaFd2+EUdBOEC6KnB0BaIC7i185+l10HVgnipn7NOr/5A7h2h
OjHLKO5uP//FbpKeTdSR6JtIZfslxbj1RG5qQTc9Q+pwh4OZR5wYs6VEt5ow/xPOtr3//1tx8cKD
2G7NCSnX5w6iRrNRXDO9C8K2+SSAwxyE0A+311tuJukdwQQIfAGYcnbx4q6q7EaB0ySypzI3k3uu
ZeOpMIKjFiV/zQx8XwoZYKRT+Ic25vlHS6tsysMyy56EEzDjMvEdBuGXFicwtFiJu639U0PRbdok
GlIqtx9zGY7k2oxOoL/T4AbqqZ2v3TXWqA+dmz6NIzMpkVY2LMDM9UObSTdaVa7xJ0cR+vvtVRfb
R3JNATPKZFmOeIlG56uO85S4jZKGp2lsrCdUF7utXbv5xozRjuG0TWvENXnZfQj8/3dBMA1cIszQ
gSieL+g0Wqvqoxq8ddhGZL/MvOxPoOuCu2qqVO8pxjsu+4z1oGW/aLE+eJtqDtekDRav+v03yDkC
+aWUMblorzM864N5Vt5Q1A6ibZV7KqVPBSD990D7tATiZVcBUKGwLne33/fy4vu/a/OiObCM1ZmZ
nT+/xlxb75G+P8Vj3+/cLow3pRpY+yIKFO/OsRLnv4ps8bkx8/qg5m0U72a7VlZ+xtU38OFXLDZ6
3zRD0zfYIE5G0Qx3qVGOoGmFMdevthDjn2E2Y1Q64tpcM7SUz7f8/kzOOFtyWnfBwkqDDHOtxFDe
IJhhH15OpvEK1zpmy+P7uxI6FinO+8sGxsf2hhcBC0u+hg/3kCUstarDIToBXK7Vz6qe64o/anjO
bkl5wkezad3kD0nycMjLvFmLXNcOF+qtgAKlbQQB+nx5Z7ZKEukqPAU1johemcXHOc+r74kHJ4C0
LrdXkuxrhwsaCNcO00mTk32+oKFMXjgUTohpxuAO25lpwg4EXWxsW2IoA2BTccZtH7tTvGkLCF4b
2tdKtZJ8X/vEmAsxJJSIJe6+818xV2WnFXMZnhx0T+8Gwwu2xtRY28oGJH77OF1fSgKkKOqpo+Tf
P3xgxUpZf7bCkzYOybdal4I5ugfbSGt7Z61QvLYYly3JPGQ+OpyLCG1oxEi7xWUXM8/xic6mme7L
tCqxeNeEpf9d0f2+d3FvB8JN8kC9tHiLJA/D3LhV8BZVtQasJjGiaT8oTTjvoP4Ozv72m7y2V0HF
U+C/E9aWGml6045hIcWWrAqFy8HRk21Slu7LFA2hHwbTmvTvtZcpqyHp/oFw4ZJdSDcvTHu1VN5M
EkO/9Bw09NI+zL96ZpSuuclcORcuJb4n5Q14vOVkyqyR71RwS3wDqhJteM75QQPcdt/N5V0z9d7X
3BDO3kiUIfHdAr/xlXN55WHJTQlEsuDivxbfsmTkBmKrCU+tNsV3TTe1j10E9gPeE3nF7Q+5LH3l
xmExmu/MM4ANLu2mLJpAFLWdwg1b1PmzEyrOb7qmudi6bl/tsiGuxWZOVFqo3TyrxaZyJagvBwzU
b6um/GvPOvmDQKVChpNzOvAp54c0CMdsTFONrVVqwwEmB02rLEKutRzb7kHjHazhUa59b741/VQI
B87F+84SodRNZGUnU+//C51szrZ0dT1j0xD77pxZEccAitAuCAz3rjbWlr/2uaX6nmzW0YN4L1k+
RKVQz0wtFQG+TFZs/EjdATntaDZ/5gT+37e/9tWlaOeiBKBKGUz59w9L2U7YNYZXx6dOREqwUZHy
yX3UWofSH9W0Wqkjr9yn1BgMvTUubwZniwvN1Md4bKFEnNK5M+rPRWll6osd2+XwD41jx9vMXt9n
/waa1hxqi57P6+2nvRKkXO5xLlTZ22UUfv60JUDrIEzd+FSG5gQKA6nj/yhuza+O0Vj9PrPHaA1Q
ffUFS+ScHL7QNV/kqwjh8YETJT6ZuT2NG3u0nJSMjXHhMYhH7cftB7y2muzK2fSVJQB+sVrQjrUx
iirBPmwMMmYBVTg7xyxzM/2XGAbz7+8Y1H+o1VUAY1L+5fx9pl0GYEl14lNh4lnmD0TJfNs2xXxX
OUW0Bmu5/nD/bzX5dT/s1UCHt62FIj4ZLTIgr1M118EjEG3rt9tGa1oL1xYDpSV951B3ID04X8wC
cG/2CgbDeZkE7ecxTmN3M3c41L7qEMitlah77WRI2DLUY2LOBQiNzmKhTPUkTrpi9JlvlRROeg5c
ys8Mun6HcHC9wgCz2je/0Qge2v/hZDCLZMtI0B/SuOePWwITKMLSSU5NUzs/G2dyDlo8JLtCaYxX
ARp27Zq5+n5Ru5TCfpgGLNUzWtPuhA5I+zRotTpvvQStAl+Pon7YZGq1OnO9uhzDBDRPwN9zhZ4/
X19GfVsiT32yIwNmbVNrc7JpVCfbtO5Qr5gPyZe1qFEYdchWA4xeuliLRG8K2iZv0zg9ed3gVo/q
JGbjcYBKspK9XglnHsw0RqlSWfwC6WA4XtjXlZGdgmy0070mTCsefTHU096qlHl+KJzUXFNYuboo
+rCoP+qIOiwTr8GInKqXbpTdGOSooI2AhHylG4dm2xaJYe81NHLX/CavfD7sXBmpoobGFGBZmITo
GVp6pSYnxaojVGo0Oq5mTc0dlAJCbg7X53YgvfqU3FXvWktkH4ubatLrMZybIjlZ1TR89/Lxbgp1
o9yUlZa19NSHdq3Yk3fPctMwn6ObwhcFGbS4mzTQ7/GEIM5pzor8szkTbekpz3a3sSqi7BMjemD0
qto52d/fyogMI8yKZjtX43KIPMOAc7FXSE/00rNqb5UI1zhJkxlP6YyV/CYadUN0flgGqruplax3
v91+2de+LoAIWT54UqVf/v1DYEc7rkc+xc5OepYUv93eU57s3rCDDYT48fD3ayFFRMEgMxAgmedr
eQrqvSKoMdgMK+uT0PL8H0qjIPBjtf15e6lrYUBKaDAbZLxCOnm+lGK2pCLo3/8fzs6sN24j2MK/
iAD35XVWyZRsy1smeSGcxGFz39dff7/WvcDVcIgh5CBIgARwTbO7q2s5dc4lD0JtPGRT64RHZsi2
xAXWPh+IMqBbBMcGLufaTlHb+mC2Tn4JhWv9TbPcRVmyy6EJyRHEvb+mVVsSlk5NhLqfuXgnINuy
Uef2sovbWOkDbD/FZ+SdHWfHCdua5lu1hfcEFE6H5yZfDjuo9xhTTS9VggbWY5IMzbnNcRFnFK/y
b/cXtnb9dOI0YmGPY7gs3cI9ILzCQqI06WMb7Q/V2rmMqXxKBkhOdt04/qpNY3y8b3R1heBgAHkS
78PDdb1zjD/MRZdy8OukMZ/SNu3+nay6nw5WCwD6cN/YmkujOAwxluT3QSH72lgmUWKaysmP0zx1
znVuZNMu0mogI+qsh2iA58zon+4bXVshSTqNMhhn5RzKtVEP6mUlMpFhddW6iHajB562MCbXL0Nn
C0+xakvOj0NiQU3AXNii/GfrwRxkF88a6HvbzKIdC2tAVkozxFYHcu1rvrIOsjSgtcvLHZlO5Nqp
DZ0jlffsBNFRmoE9ruujltXC/UBO/M7Gn0zMGYsHrfp/JhenxQXRXaLJll+yBjaUpyg1+r+QrKqr
vVup3Zehokt1f/dWFyl5p3DKtIeWCJW4avtmSNviYqvocjHpPn4MlEiLdz2i7o+TFudff8MgiRJO
TJI0mYuulzU3c6l5WXERjsjOA9u5s+1I3XdZ3fg8T/OGO1td4Bt7iyMzWGGWmmFeXIaKZ48VsomU
Hs1fxN75z1Qr3Y3aprxky1eesj3VRqA4QCoXvnpqOC5hUxcXR83q7FDbo84gXuFWG6Hh2l0gQpDc
49D68O/re1eOndeFFHAQHe6qP1PNUB6aMCte2sl7H2Dz9VRKuC8BBDI7vHfXluZWjtXkfXFBGDDW
jynAkJ9VKjZDwLWtknyFktoPwa+btneYx3GE/7jETh2+ZEUVfI3npntgrO9LXtXGRlC0ZW6xUQOw
YTCqcXGpXanA12e5tytyTSmo/+thebCd5jdSTkavwDTI08/eLUIT4mZv7nQzv9SkpebBiR3jZAdZ
XX21aj3Z4pVbO4nUJGBpY1ReirBc75tAVCwJxVDAUW85n2OliyDQq0pr44lbSWwJzQkupUYpIykL
M8PYJ0EzWfmlgwk/8F1dqN05Le3qXJK5PLUWYhb7OhCFyuRRucXlvLaLb60v3jzVaWS44hIazYb6
EhZJ2JyyTCu8XQI9gnrwSjSY7ruwte8qP6hEt8rm4MKF5bUN4VGs5Zexy+LhrCvaUJ3yXt2CKq7b
IfNjWBB21GUjsGozCvqkChfIaJXyHy/ShvKzR/nnnVQwrxdcMsFAgCyJWJfqtrEzTsUcddyEKsqU
s8jqD+YIrVOaOx9FUQT5bzw6HH4ZypIG0WK9Pph1OQcKWWBxMcegr3bpEBSHKUznh7pqO3svLG8L
W7Z6RkFbMLgASJF23bXFvDKSsmqU4qIoQ/3BLeZmnwMM+2+mLXjmtjYvCIalj6POy3f/sKxFndYb
y4srX7f5YAxpUl7mJnaPyjhMD6nSZLukycV5RrDyD68MlMNvGAVzKnH21LaXfgYSnzIUaVNc4FyD
90ipA3dXDkxEx4QyBxU33u3dwdx6klYPrIO8OAIrQG2sRYJbJkNJpzzE4bj0Ts5KlzjuUYLsNp6+
1W/6xs5iN71ZpSIR2wQtQ3VklDb6BwFBTbJc0ZQ/RlCVPydh2z7d/6hrDy7s5LxPNuEnmMHrMxTB
jgZkUOYPc6aM5xhuO/VUGWNpPMHOak0bbnXVnAEtp6zck7IsAheyhqYbay+5wLmiK38jZtUlz2pn
lXa/k93i+M/7y1vbPBjEVPovjICAy7peXmuOvL2izZlSqinUaVpKQFjVnr2lELvmsekPyBEwiq4w
El4bsrXKKpCwTi9OUkR/t4Uezg8FM4v5qWQqizlAy+ge7q9t1aTM/Cj20vU2F2ub9clQJ6/NLihz
ZeKTZwGm/68vtLb5ELboSexTWNvqjfhiiTt7dausECwGU7m3OqL00CtHjRwFScA5tH42MzDhE9FU
pv3SzL6YD5mZpvq566FX/ZQOqebAPlq3hgXnnjmIbucUDIud66oR0dNEsPf9/ldZO2HkpaC9pSAx
RfDrjWhaO+wqyIYvZhnOX3OGKPvdFKfTY5h53tf7ttauLH0hsEvsAvWSxWkm+23zyFDSS8fwZ31Q
hSiHr3prxsFOpRK/95L4L9edM3vD7tqpBvzGFWKBtwALOBxaohAubV93qfeDqelWifaaOtZbMMO1
MyZDIKiL5WzrssSVj3WrxOWUXRqYtoKDHgXTfwgtq9AIB/lfVqNN5/ufdG1pkmOGmgaETDcFbyct
gCtPEYdaydrxRbRznZ7rws2H/X1Da+dEXh7DlojcG8wIL5g1JzlZaZukhtj1Wh11D646dc2pEdPg
bryYqx8SmkquKigVQJvXxzIre0ThbSB1eTuO5whqMN+dUWfbRW3kOPtYjGPwO5/SJiyQRRrkLRc3
oU4Alqm6kl+0GAm041wEdENMMO6/7n/J1aUh6iUDOs7ksraWZCVcxC3Jr620Ee2fTqC/GkHGOuz1
dhT2IQbAt6WhJyOMZUIqP6Yk9ZdjKIurlyVGkUzQt11GBxURS43zbhfYc3NwZndiHJj+3xNwu+Ah
i5PyM3XV8u/7q167+6QhFGNJVslUFxuKuBLenY7BRUVNPtoFraqVDPu2IaNTJXArtbEriDojx/5x
3/Da5wbSzMJBAOPmFrFXPCEXHZP8X9xCUY8E6/Bg233r2Qeawc33BgTbvBEkrK6VgAvJSUnFs4zZ
1bI0eqdVskubO0N8SjzGYz8oStnVP5V4FlAs1i1CUzso7ZKtIHfdNp5AYtnwCIvvXKWlNUjw6WU2
qAiEVpw5PoIkEp3jpvmfoysaY9cbIOk2umFrDoKmAj1/Js9vh1RUe2rsSWmouMdQXKIDnjSj79o4
vi8M6sRiq0S9BmAB0cUQF8Anru1yiKtsoHd2k5i6ez1oP6xRPJqDTtVd7cbwSTh18lcd9+JDrDr1
Dz3Jwycepuyr1k3Wy/0TdvvJeT+pnvHR6fzzwFz7Ki0aC2cGNHhRgqY6pYbi+G6bxYIxJPg0dyWY
EkYEvLH5fN/u7cnG7iuJNM8N4xGLgKYHfRH1jisuhtOXZz01g/jIxbXafRp1s9zqMtmIR1dwqdIm
QzM0BuWQysKPqPMIsxXEkWTabeLsemdOH3SKosN3TzHqekdryXY+jJHXpKcpSP4lTWi8cKfHY7k1
pnjr0vgpJABoe9M0uBnAdByG663OiS5xRWYzMynzqxyiOfqQVWCVj8Foj+1ZQbCeDEHJ3L3VJqZz
vr8FK4eQHwHXAuMhlGxvKdwpDeRWRkPfiYlgIe0u2n9yo7N2ZdLYRydCxgCRTUBrHOLpEtkD/zEN
oTYnS2k2SYVuowHJ8ylpX+DJBDQs7+ibDlupzy0EpqO4zKNrw4hhllp2opYHreH9da8aknh7GvuU
xZd3r5hUcEtaKC6VYK4XYuMkGk6pk9ZbuJoNQ8tno9Zr26riCkOGVz1EFCngbYbCotzYyLW7BGoH
5jyJrcehXH85t1bVJHHH6NIkcMrtqHSp6tmEDGw4VTaT/rAiqtWW+KtMFq8fZU4NQ6hM7DDUB5Pn
tdGKVq2Sh3p0CSEgET7ou/FvT0vDj2ORj+kZVIUYd8Yw9+d8quxkYw9Xzy4LISCQU5T2kvRWj6xO
M6oKkce+K344hhieetGG1mkMqQ/t0kbA0B0WsT0fY6q15k4b+8HOGXVwtV95qbbV4f6pun1C+B5E
RIbsPPK3dLRvjm9rqnEQeGV8iQcr/5Gqc02vBWm6o51xj+7bWjtYkL7DmkqRCZe2uCqiKbVGm+Pk
0jKDND5DB6NDTV7Xo7dV/Fm3JMUxpEjpLdAygnOyFQ2rCk17OpQgZ9v/EKIot7oqa5+PWJn6HdAC
/rmoTcSp3lSOkgDu0dOP6iiKP5W+/WeaJyfcODprS5I0ycSwXAQqIdcblQYw32XIPV/4GUN6hBW2
g9ecvkCzgTxb8/GwCiICw4MDLGTx3GQ2OPgcDvhLJIQzffGKIY1+QmAVxTu0GcvoY+KKPmAIUa26
c6+04ad2sIMtFp+1B/7tr1g88KrRIwWRVfGlbRv1oXdTGAkzAudDO9TmByu1dB9kRddvpFxrZqVz
kAJH4AqXgI2YJq7VlSK+OGLIk0MYhuYj/DzqN3BWiNLNHfwVT0zLzls08msHCQp3MEeSoOemZxB1
A2LxlR5fIvDxPmBK4hfdQahK8tvbW5DyVWvU0V9LEMBxFxGrJybm4ocxvkBUlh6rafS+elE5UcIb
o6/3L/3accK7g9mS+Hz6S9fntujzyrTKJGZQS8AkiTBB2e6YOo3jfdiElr5vHAMQbpkkabQLmXvd
q5ow3S/3f8XagmElkQkJKQm4/etfUWtdN/dM4F3cANalvTpGWvlSZNHg7Iy+QPv2vrm1pw2KaHrX
r7Pry1dGZyatHVKe0JJCz6/eUn8MHaoLMSyN38F0xxvm1lf3/+ak73jjxMPKnLQ5y1C5tY2kPqJd
53gv5TwDryC5jbZesbVL8lpSkqhxGfNcm8ua1tVrrQgvNmI66VOmq0ED1yS6OtG5jj3lLyeoBuso
lNouT/c/7OpKKVEA6OD9uCmd8QxOI2NRwPUte/iC6JJUcFHK9ODmkEzet7W6iYxBM3AopxNuCrPT
APa2xpaotGGPuJrlV2Wn7oDpi4NwRufdDWw5bqGC3WYYGDqVhYdXzGiCXk4JL7Np5uNBZHboHZS5
Czcc/No3JHinnE5hgvdk4eCdoQVvr3TxpWmr6FNc15ksuihJVu1bXe/0jWWtfUZKLyALQeAC2Fpc
PS/rs6CrCNdH+k+IQs2m9VOZCuPoukP8Yx6NzbdjdYGvgEaXJ5nI/Pp8GgnFUBuQyCXPwv6U9sIr
90pStPCRwgZ0uH9KVo3RWJZdNR7M5SAbsgVhAdOjuAjdqLMjRIvFtNPhNGlhyoOt6r611Y8JhAqh
OKmjtERr2g3y9XXkiMtAi+IZCYfyWQOxeQCFE1v7SI2IFd9vkfIjyCbJeU/We/0xNaZzprgjv4ED
OIfkp/3PqoPkJa+64agNvdj4nGsLfGNu+TLVtq10BVTSlwKRrEM+j6RxcGIcyY+j/2aqCb9+Z3ly
Fs4Con3ToOxGBvsRRmL74G/8FyDcszXZyO3lnT3tgtLqf8NV0x6kakywKMUvrz9nZQdRpdFYuPR2
rk37Uqmmb03SBt6ZSN94vL+4tWSHK2DJKXyYRJaVAx0qqmGgYnFJtUo96tT8Hkpg9r4tVE/ZuUZT
QOStersZSaCf902v7SPFTwaJmbEnbl0cG8TwUhW1seQytcafqTKq8Q7l3sQ3tREN1VBN/7hvb+1N
otbJh8XDUGtd2EuSrLFyZWQ8w7GrX5RW2/yQFUl+7O3CeCCc9R68oNbn432za7efkhd/SW7fm5lp
2FmYbHM6gJTdqD+OA4WofW0zxJTHpZJt3I1VY6QZUqqZofslX1zrFFETqiIFpdY3FyaguSGW03fH
2jG78fQbKwOLSiYAaAYI8fVBTdUob2MrRSInZFQCptXsxVVSGkaNJX4noHjF3wGZAd2/nHDMxjCb
exjLLqPSVfODg2rQT7sU+WdIjaxdO6GasNP7UN+aeF4cUgll5AZSVeOMkuosgU8JoalXKoJ6UTur
vl64f2hmI5CymJ+GrEw2IuHFEf1faw4vvCRoAyK9eAiTWAEHYrXZs60OqM6GEDLruwn9neBYamG9
bxid+jBXttFtnJtbw8y6sYWUSjn4DBVdb2UlgjRKzDF7jgMxfQjj4nvHZ24YeQm0hygZCQLKdHxf
65fVUiekqw2IA2wLdEzXRjMmSAMrD/Pn0HUnoH+p4TWnNDJHvLoVGGj/DU2x8VatLRS4HMxUsG0A
xF0stK/CQI85uM/4Xu1kpI33oBqIboUIr31uJjvdwz2/ZXRxK18XClUMs92kOARvC6Oh6CeGeMr8
uZqM5thHs2Yew7Cbn2PQH1tT1SZf7U35iqor7Q3DpKPLRUHrYHErmyoKgJZY3jHUwLdI3vSA4dxM
Hbfy7+XVwJAHbppCP5UhHtfFqipDC9I+a7yjCCBsCSbT/IISeb+TEl+fWrctNt7FVXtEa5LH2SJL
XNgbYl1ThtLxjnFROqcm52Tm5GVHQDzjnoHuDXPLTXtdnnz1ZaZPhWhxOjX8mSsU3Tumbln9FSlt
dSxbOzpTNt6auV/ZMtBqrAstFIK2ZTlVayyGI2sTtYSssA5FqLf7XG/fOWnCwaBRSpNRFhXBHS47
nFY1xIGRj95xRL58F5qFfTQFigq6lmcnW4HMq2Bq/QwHj368/1Dcrg/L8p2AOoK3d8m5iVZhpgd2
7x372PBOtjZ0KPiFW1NDW1YWB18PPTATXesd8WOaT7/NPgkboYH7a7k9hXIt8vyR8QEpkMfmTSKd
DJpR5kbtHSGClVKLg0nFguF+12q7Y9Q23u6+vbVVSYwRVQnZTlsyyzDhVtUmgnnHZnbiUzSTzVLc
00/3raytSuJ7LdpHaA8sraiBWtZtFrrHenbth4TBOrGr9dyh325MRNZgUd67LgSAgNSDRdOk1t0S
daI6c9CNrZac5t4tnlt7qp6ZgY4P99d1c4mJFNDCgI0GV8WRX+xWmGh2ayRIYVWzXu1Vmzd0rPP4
CP5ni5fmRg9N6n3hbnnN4AuBGG1x/hS7VJRGR1GoCav4e0qX9Gx5nTLvM013/jKzrv2M/4+ORuMK
sWsLK/jU2o39K8yaDi0imFfNjbO6fOzkL2I6AiQX3xhO98XqyzlFbSAYkpMnmuwxM5r8w0jMdKD9
AaW8PWsfJii+N5L5tU/+1qg8am8vSBQWdQk/zAky2/rUanVwCBTg/X2MYvf7d5fKPRk1FCKSvPza
lFXzdRWBKVMUERw0yJ6iyt1OOdXgON9i/1lbmMWDJyVgaG4uqSa7IOkUo0tR/mgixqvJFFybSqTb
2CdA89UWC+LNlWTzZFommerphyzp0XsUR6Y2y5MTw8nRRxWiMCaF4GCJYV84ZbHzTiiRJg8LoB5W
BusiT6x0RG/2DUxC0Js6r8BkVjrspMN4hFcjP1QhUdn9fVskndIUgwQMthCCSfDS4qbowtTD3OuD
o5k7ofu9Z3Y2e7ASUdSPZkpbd5+iPKJ3SKVb6P701YAS2f1fsLKXJEgSLsr5obG4CLRVrTVCJ+6U
ox4M1r9BbcfaYcyM8nNgRUWx4YRWdpJCGstUAacCQFsk9Go4Mx3UqkQSSTECcMkjFHdaR6Lf424Y
PLjK6rncgDjefmMuBnkgAQxAY4bOrrczTxM4glzZ7x8yZ69nc3soB707zYzGfObMdoc2rAVUImW4
sdylZUmU8npLZNeQifpFnNYGNkJR4Fz8DG2H+SxFJf6KPKP5yMwW03WoXjbe3taz2o8TAWfi+3ZW
tr/leDRtPSYXwUJcr7uOndAJEAr11cx16z0SlNU/iJoYx5626oZ/lX/W21D71RYgYDTaaV4gO3pt
C8K1hqKC6P2w6XVxrHuoQ2ASnqrH1Ij09uBVSRx/ce1weGzjPHSeCBm88Hx/wUsnz48AzQRmDQdI
qrqMUw2hpEnixYPPlEPxEHh6+OLFk/slLhvvBWBIe7Iy3fty3+jySGOJqXfyN3m45NTM9cpbfs3s
lECJRAVe8xez2hRzTh6jTu1RibW5/ZnjRsT7yu1UxK6tyl/1xkW5iTB0iJoHf6jjOfmhzU5qHQbA
jtYfps1s7560evh2f6VLTyFtAiGBt0B2iUlUr22qSmH1epNOfq40s3uEa6jvD0ijJdrOjZphSz9h
5cMCXSHae9UZI9u/NteX1DTzwZt8JNjsc2+14ffE5N3uJ12U+26Ko60Q6fb8AIGmlQCLoE00tnTG
iqZ6lSui2ddmPMXO0lrQWlXTao9qqCr2Q89z8LGFGmCjx7AEOsjdJCADbUnSA05q2etHMqG2gmga
/DbUlO9uHXTdLsoiRzvUc/5ZdyuH8TKAgZ+DJrDjU20K7XugwODyCHCw3RKkvPVaRG54Dg1mdcqg
yxECrzfbIu/F6FdxF/7JcHD4ISnUX91QKF+5VM4nSI/jLzxXWxWmWyciQ0bZcYTHRSrEXO/4HHdZ
UynV4AdjPp70yAgPITjmHyDGtKdciPhloLf9bAZz80nRbPi97h/w1YUDr4XqDlcGt8S1/aAHNGw5
bAN1rf4rFPNeDXNuD5cF/Bb2vBdhlP6ojCr9BZaw+HHf+Mrho01Hy4AIHZz7ku5KwJbZBSOLT8Ws
HNGfSZ5rb9SZ+Z769jBYbYMOoFpvpParVkniJFmPRLwv3ogRjiLoHpzBF4WIjpPpTL6DHsFBV5Oy
pujd5md85pYE2BKlJw88dN2S2tqUT9RNAVpThdUipAgsAcr+SY7AgaKKCqg6hfc5C8bo2BdjeLIS
65MiIz8NJbrzb3xwsAM8WeSxJEbXu00rDK8J9b2viKD/6cFwJYQqqLzT4vsSiKj60irCO903KkPH
63eShQOqlnmIFN5ZGIWCpZ211h158Gv7rEDEUe4gxwz+vW9mbVsJK2nDQkPA511sK3Ppknc6hZS7
GWu8lzNBCKcqarkf9cgJ90aTaJ8mFIbLjThg5Y2Q5URX+jMIg5dX2JzSMUiijFPslOUpyNrg81DV
3/ImyzdO7tplxY4Nlw7lWlCF19tHiqh2etOPfomAyremmqbvepG4D0qY6sPJcabuU6jXHrkXI8Mb
Dntllbz1jKzBS4erXO5iMCNxSc128nUY2XdcoMHX+7ioPxizpm2pi694RaqzOAQmG6hZOYun3hCp
O4dRM/la3evkIKVxEGarP5JiAymKsn911TX+s8f4m2nE5T/vPkivRXB4xaGhg4H0+ivbJPFzrzmz
b/bBFJyIKZkn20VlFYT7ceo88ZT3UaceHICtW3wiKzsMsy5AGDpVUh1rEVl1RswwYjLyHCNSo+xQ
khPzkzlPEehll9pCHSM7rbYK0mpx1Odb86avokmLu4pbZBCTrBqR0+WH78wkGNJaYZc9t8dS7lnK
ITSYFH7O9WjO94MypYXYVwAF8z0EZ6H6mM9aXB4oQNg6tLOxqI6mJJ//S83TqPKTKC0OnT44ar/x
dK34FciIgSmg3A1gcxlBzJL7MDL00VfrYbq4ZmDuHbWK39nfln6bfixzQwb3jjhwcRx6K20tTWST
T2khdo7arGZH02DGn1mNLM7Po9WpG9nbyvFnIESKx9PMIzGXp+RNpAvFcBnH+jT7HmUhdBnrvv84
x476MYfW+lPbamG+AzPVVI+JmrY/o1pFRuT+JVi57nQsIQ4BlEEFYtlHMJm5V1orVvkJPdNEatJF
3wI0ASuY+/o0fWfVSH5jPCdxLxgsxPIWT0TMCCBo30z1U7uYnkujQzV6ksSUj3mYZVvgq5WXgnxN
spS8Wlsqh6HJEKUBxGq+a4TDOXbN8UsEp/AP1ejUh9Ed+13nJdNG9rK2pxADEmKDGqQ1u3BpvJhj
oWVC9WMkM/ZN7ZkfmnISO63UsyPQNwgDAR6/KG5UfgqMKtx4hNfWDMWOlL56LV4vzIvBEQB5Nc2n
COn8k3Wz80RnSHxIS00r9kTYojjYk5TauH+O5J+7dCiEGlweihG3hV5X0UWY1L3m26UxBBE8DnPa
fax5qWEDCFylNfd66UTBf/fNrvlROK14PXAMvJSLSzsaah7pChdTKIlxgIPG+OpOar3XFGa5oBeP
j/VId9FIx3Rj5GYtzqP1xqWlwUjBftnFtVS6HfHQzH5P+Srad/LqNNQFas35lnpJF+/intHwP1s4
lsQTvXMAjQnz7bANBtq79cfkHaYRSMsHiSoYiBbVJzM3uUB9Ofsir5HTTBAhY/BI7Ca1HA7TULe7
Qe3rM/yU3mMXQ4sSFKa6awyxhdtZS/iA5UmaQ1mPBsB27dSg3g9j1+KX5Epf/Zw6u/w5JqOyb5ow
eoim0Tg4il2AOulqquhzNBUfvJYyijaE3Mj7x2PlNoDaI9EGVADh4hJzKngBY3fQ2SOYwR4sKnNH
vM08HGCALD/qicqMfJ6LauMSrpxKICh4uVcM3y1EW9hFTnd98idPaVRGioup3ydUdsJjYbu5Bad3
g56hG4zlITY1qoYb617x6tQg6fHQjIbkZ5ntGwqVuw5KRF9Mqnkqg7na1S7zo27maO+PVaVwCe1u
6NHQg1zcQLMY657WH28Y2r7+1MQMnnEjy92Aw3vWG5RMd80UJxkED4ZRne9v8OotBFPANSSIo621
eEKVvDAbRdXYYa2P9r05WR81LUmKnYuy/IdRKaoDgwjlJyszSbFHaus7qyqYDLv/O9Y+uBRWJd8D
0wXC6vrQp2pRaVYjD72pIbKXT9EhLCcdffpI2VjySjhEKYdiiqQBJyrSr00ZCNF0TEWpPsmW/lLZ
aXPUI017ub+glWfsysrCn4RVDSyjxUprp9of7ZgGl9zR3ZNWu3Azap371cmD9BGMVX0w0OT44775
5cVlCpgjyh/4SuKEo75eJJFgZI3uPPlJHXjPrpNWl6Qa4z/UKYtiXhLdy3ewKpsb8cly1ehbofdD
Z4S0AvGLZfMno+dT67Bv+sAoZ3DpIHW8nRFV0znJ2rI7THZUUmgtq69V6/b1IU2ofm0MxyyPkvwN
Mvxk4IJs+sZnedrQeFOiOf7kxj1jDvRMzYNWx6A80qRx3gm5Ivakm+lCGgRqgEr+MtdMPQijmeFz
/JCI/3uWxdU+a4LMt2dveJkQdmWQzt0ie19GC69GqfLyrdlme+mXQ7eLSzPPXT8Bf7T3SncC3dW2
ztfCTOqP8HI6zfG9B4rRZ1h/QVSzvQT71weqKhu2TpSuPwWMXKtd272IUa19q1Oa6FArTfEVNv98
3ngJbs8xZl+HNSm5IQ66MJt0VmGZqXD9MNatR83oUNUmBvVeOtHphyyfnP0UOOOWO1r6CL6vBFvJ
trBUJ1iCaAojteGO9zhDpd1BOuMIzztktolWzv3PunJYMUR7AGg8KgHLPNasu6ANofv2M4cCDOTp
3akKLP0xY+x4wyWsmgIcgVNArOOG9KkpKjPyhtj1rbkTz01t6cynVeV+0MNi47CsmeI9IzGme+gy
Znl9WBqGvBzmHj2/7KzqWVPT4QQMyvpj6J0thbeVm8BaZP9X4iNo8FybIin0oLrPPL9Twv5TPTtc
P0i4/SEIxeemHL3H+xu2djLgAAE5TnVZokCu7Y1aAcebU2t+HCUtwP85+SfQRb/xAdeOPTBKmr4U
oCQe9toKczvATIjqfNcpUBSfsqYBaeK01mPJMG9wNqwgP/dG5G7BM+TOvE1D5MGXVHwSb/Japrs2
7AQN6NAuMfxSb7V5h37i9MFE6uyhsRQt2ANA1M+ZrU5PHUrdyj6wsk0M6zL4e/0JyBYxNwaTzw3k
pcg5O15o6/7QVSaTYqZTHOq0SE91NvawPtlpSZQQR+lu1lP6S/f3d+3LO5L6kAIpIOjlcPCAO6hM
MzR8RzTIBI5l/dDnXJBIEfXXKVLcXYMQ8Ebyt3aopGeVi2Yaf3lfwN4olLOE5hvQxh8i2nZ/R21R
/Xl/aTexHl8WyS9Ky5ZEzRL0XW+umheuADav+3nuxR9ymjRHu20QVFNa/UiP3QHappQfqxAR9rSd
5uLQRN4WkfLKB0YM0eQTc8Zgh5K+403NRregLZszT/NHy+zN8Ih8dmPuITDJtH02GmPSHnv6V6G+
Z+KNO7K//xFWThcK4dSFaX5b9s3IVWT0XW83qul3Qxg+R5mrfQuL1jkJ6Kra/TSP2S/DyZWD63Zb
VekVV0VNQRb38YpyI65XzntSNFNSmX4UMTDwAF1dZ+0bZmwuRjNapThW7aDq4YYrWfHF0MGw52Bj
MOsu0D9BWHnqAE+RP0LTdQysufnCnIPLILRhP9z/tivOgzyGXEYOfsri+/UCoVMIy6EsdV8x4rw4
tbU+2Ie+DkvTAmALPeVekFBYnwZTyaOvFULQj/lQeuX7bxP8IWwun5qNXn5nhCRqoiNPRxrZS71d
G5np0XVKc944Siv7CWEGO4nqKUTzy+vkToPuNmZk+G3khf8VFKTq3WxVzTFs3GHXiX5roHjl6khw
PyVP2nEsYHGAZhd+pELPDb8f1PlnOiS0AZv5JepL9wy6eHiaYy/bKMetLZL7ovKMS8NLvJOp9x2i
wMLw0wY9bXfoTfBGYGI1qzOPJMZbIPBVezR4OUEk4NQ/rs8QrGpErz1UqVFsRgcnMEeGsep8DxFn
eiaA6R7vn9kVf0Bxg3FhzFFJ9uTveeOOEl6CuJtL20+DXofWhpqxN/4pxOR2R0SntTF8CBqPZi/k
80IZTwPMmVsgzxXHTNUffJXHVK0kMpMb/+ZHQEZSlKJNbd+tTLcs91qmifL7kHUOIUYdVeqTFcd9
rx9bL87jbwBHYPLbN3oxdbs0GJOt8Pf2o5A2IQFGckPl94becvRQ2ZiKyvZzKuzpMSya7kMSW/0+
NMzkJYGF6cVtEu+Ha+S/8fxjG3g3DSUqIgDmr7/F2M2MCHG4/CGd+3HPWwLrY9gVibNX1KLsnwa3
jfo95Tct3DVg3X/dPxC3/pLDDhkOLxN9b1i8ru3PeltokRKYPtLmhbmb82w499lsx7tKNdINV3Xr
MaUxyTUJEBY8hfwxbzc+1nkJzdzynTyajm4s8lNSCefBGJqvBCDBDw91pU+5IfLz3PVxvuHBVs3z
jSl3mrIEtfjWUReVFuJKpo+96QlEGp20zAq+DEKD62EKyo+iAw57GJy0HHdmQwa8EW6tfm1IiuVX
wFMve1MezGGOMzs8x1aWfZvU9EujD8VjNI5bF33NEsOlRD5AV4jeFxe9nou4soVr+kolHlByCP4J
I1M9mf0o3lnRAx8iERMQUCI+ws4uXBjPbZXDJ2QBVfGa8jOsSzBpnUANZOPnTHRoNR6QJ/Yu4DnV
0J/h4P3x/iMsNXp4/JBkvJEGi4wkTq3KtvxkHgy/TpvxiyqqbicqdJ3um7qNXGXDD0Q3PRMpOyf/
/5sDnEyJ0RW9Z/lKCAfanjlvoNuhbeR/3Ldz+yxAfElFh7o4r/rNmz4jVFGaZeX45MvipLnjC5zM
vdglgWrsimDeKmStnRZqZ5AO4P6o8CwuZljyFlYd9gKzn8Zd0xhkQ+2Q5w92n5cbB0Zes+uki8Ux
FCyLADxCy86pUpVORZrj+IWb2j8YVh9q30NVJft3ckez/qkP8Jbv6qAtzI3Xb+2z4mAgYJSNdEr9
19vntt1gqUlg+7VKy3znWoq7LwvL2itZGic7rUj+fv8+EirhX2mVckfky/PmvNRGpbtF6No+REVl
++CmRlrvzDYNP/V15g1HxqW2amVrXxdgDceHsBs402Ir+6p3jX5SbCL+svpc9Xn/IJzK/mSVXfow
R6Ha7FM3yrfqgmtvKP6MeNggqrgRjMFvJlAhcoKc2iz3LahIEtY6SZ/i/6HsO5bkxrUov4gR9GZL
k6a8VFKppA2j5ECQBGEIgAC+fk7O7vV7MR2z6Y2qVSkmgXvvucdQMfdJob0fDnjRvDoT/38GP6Bs
AxEBNxKpHWjdUEz/8ymnHAlddKL1/TZGppvCGg2UTfR0yBj5ecgm/JfX6H+cFsgnargS3Fxx/6vx
N2nM9yTG7wOoW1xB0Ksf4MrEfhxZnfwLuvs/3li8PTeHwNuT/S90t3IYYnPpgcyVIhuQUQdbxBGS
kLAmFuqi6t+ERf/z9wF5RHsGrzGspP7zUc52HctqBAC5aSuhS46ap1Ay8TPEfn9ii/03Wvj/epTA
kuFMlkGRA6nbf/4+WlnEcke+BMFy2/rdaVTjGcRPl/no3+j9/7VqRHt3szu89faQ08Hz+j9/2bwx
sa8Nae5hYl6cNKPRF1bPCF/dpD/NhVJdHmULbtnK2z6B7ydpq7FIvgGUzf6FNvXfxwUf5bbxuzkz
Yf3yj4uhpOixsQdpUK5gbwvx0fRt80Vih0D1ei0Tn73luST8BM+E7eP/fSn90+f41uZC1AUWPgIi
wDHN/lHFUlWTFLGzzf0a0hgS223b26Nq9o89pnZtXc7sNW+YGaKRR6YteIUkwaLR+dr73NbfNmT9
PFdR/W/nGNfUP24vOKyhGcZocjtb2Fn9cx4iUoiFqwielEkKghAvliXrAI9p3U0LYVlbsjFee+t9
9UkVGPRbrbzD9tAgFg+uUofa+iJqzFcECxfZYCbwALomM5irspUXqi8T2ECN8PMohgBrqqxzLkcg
L+yoXA/diQ9vtz3PJRFrFHVHMc6Z7+BKmjrdzXMD45qO5emamM7BRIqY9ggsmUNnd0vHpznE2/IN
2y5lP0icSnraSvQIF+hX5mlvxVwW41tkUqXTdmRZ5WAPs0aeIIWnVur4Y/ntIV9Kb4+ohO8qO44v
ea4IfXRIfzanCfHP8XdAC9w/C8o3es1EHjXvxTFV9WWMPZaI7Y4SkNi2kXbczxzaQIRPpYE07E6o
1cKkeiYluZaxyJEfY+sxeSlqCcbrIowV3USJK0NbQJcl4BgY4wmFZQl/DI39atokD7O4epVCu9X4
WtHzTg7JHnwtbP48ERj63yNTOafnNN/XGjbRKdy3Wkid2UWKJl6vGxSn7iuoGY51W7KqcUgbX+Yw
81N+udAaUO+QIQDDt3B7KIpTpPaxHhCtkLAO6x8ikdBC0v3TYZI0/IaBUJo9RkeB+GbIgFekazWF
Z+opcpDWtbbGPvLFlOUUfheRWuipRmTJ9KgNchNOboli/aki2xrOSwl/5h5S/puaKmEQEdyD3WaJ
u4L+GppOraur35HIyN0frLVdAsf1EpPh3VrCAfgXAhI2LvpDH54WwwG9dd5xiXDYvU2yINe1raeN
TKytMpmZtHPYsd0ckjk0W19TA1s7JDSPkeaPzerF2CM3TFPdrhkn0QynIjhbPYRyw3ot4k4flxSi
IfxYWCkXtMNGqJzo4xh0pR5pBAkaAk1Ln61JT+WWhIvDPgsRzAp80OiJZLeFe9doqNunDs0Cld+g
JJPsLoHJTnQCXG7kOjRrZPNz5ecUpv0ig40zfLjzptZHm3h5TAc0wgHMup4pHFLWbvsoyrutqSAm
DliS8CsM8PfmJRE0m8suMQjQfbIjIftvMoaFdvD2mPdkmEpm9r1DNDZIP3kjywVuy2OEi6k5Djzi
DnuJCYbLCZ+wr+tNEZJtKObgwrBFYKS2zkRN9RHBjejGT0z4o7J+5u2YLLppb3Ij9rbskTODFgK+
Nw3mXADcTInlDZhMHcE+fdTiFCSWe2mXpVOZPlVYcYZ+tHuePpiilMXV1xVGqX7lIJCcUz8y+WNk
WBLcbaysw+uxWummLvK7Sdr5CAv5LagyoPXEyUgb9LOzjEPcpVFc7mfI7zewnqKKI70mhBCPuKtq
Q8RljmVlrpCGzeuji/fUv+yF3/cDbFcyNvdOkSK0jM9V/nvhKaLD23g+7NzSrIludFRbxePvMWeR
/8gEF+oNzp9O3CnYGi6fCSXwc4EUh8BrC6hTDtwd9l+tbELevIwqNvHdBEVluJ+jck/T68R9NYp2
51ge9CnRcNg4saIEXwLmxaz8MWUyIr+osaoAQwiry2FKzWzOixCxPKXGpuQOX64SvwSsJtQjsnYj
H7dlvsQ4C/BAmo6fhmxLOEEaVs9rm5jC2gs5YEiBMlPr5Bfw/ZiQFmaPsf8cjQo/lNV0XC4q9fC3
W4DWkWexS2OfkklG9hqLnbk3vCBV2WWHk6YrVb6Lsy0TJy9TauPp4rVI1rt5U87+9Lyq5nCvNMHq
qbRrMl+15gdybD0VFpeUiLAQSomiyYcFgWG/zrXczMnpeHQfm0BB6WqQkeCtWvL6ZoGZEXUzqj5E
ve9voeE5bH5HmUO5EZMpj39AFiqKu23y3uvT6mA29Q4PKNg/HDWKQnJC2WHm3IiyETvCtqCHHCYI
LnTViTDPvJvH4xAX1EApv8AYg+/vYMrFng+lgavxD+fx+qBYuH2rMOSAvySeU8TZ++tSg4L2VJUT
sE3I72Ehjr2v25oOVqIlv7LY0OiK312Vr+HwB/06EZzqa4wJ1V1ElFJQzIuCe9queUMfrC5Hjcl0
r9ePoozK495gD3IzzNWLL96wAVjWd7+Ko0yRJoszc2EFqAocRXPZk/MiC2+O1gPTLs8GlB/9GRhz
znt07BzYpBKFKEULmhqmlUaCKPjigWtvwzbXIB60rGC8Ru4opwhLEuiiH+WMXPBhsXWU6RaMZUJ7
Bsl11G1RXe6m1Q5taGtgLMIvkzcKxUKCvtvhu01hwcFoXl4IkkRCe0tCae6bLebTsMB1bPpelLzx
d1npVH4MLmPVcQfie918N7uN6Gdim9TA/HQ3KrsoVY1N63YNRVG7ylKkso9xThHdjpyIryYGY/jB
hHyMzjZslE4DGMO0EvCJLGn4WPZDrH93JWN8Qg6ku3lBLIwMb3ye8mXuBCbm0PmcIfmtc7nGd4oM
s8Y9B91k/oQcEmyXfmZRsDLvUCfd+DrCtuCEGBSpQS/b3XTeoEtMnwj1E7/H7gwC1x6ajxE+Pcnt
iaxgUP7GrbS5QXO29vA1gCjTpwG+0VsIq3yZZYSvyh9ILuxAr4mLNhJN8XedFvpaKTVZVG7EId0Z
Y3f0Z8SZ+8X58ZekO7bwEVLz5OCnKhIdsoiL78Vc1/RJiK1ezuteq+1stgUNeAwPDOic4eFzgrAT
sX5GjCnwUASwNvisJtmeDjUWFX4b6M5nz/cxaYXV9jetDbyd65rQHyobyZvKfAxaI6lscqLMrK9Z
Rsbi2a3hmAeQQAxcdRYd8+YMsUu+nIyvpHlwC1PkkkQGzE1JUUbv2Lodry7LRvciZR0138dtSWgL
zXD5OQeAHH2O4CV5/JIM4RgJT2zWoe0bX3wo8HW6zBbJfRwz83uBAG7p1lzkr7vm2QsCkEPeNlva
yHt4CC69vwmBrjGP4cwhKqfnniW6RCcMZ0y0dgiIdJ0nPuFn3LakuIh0dzlCYbP9VWALQFEU8Jj+
KJ5L1VUJ3GX7uhwN6XkuptfR4oXskipir5RL8Xupaz2e08Zw/yOwKlt/+wCXz85XS4m3eRJJ7HrY
fyKxZzqwufyBBtM0n6JF8uNNp3CYA3OXOHYJsM2BVSaLZvaAPkkAyd4XNDMKxVyiXx9l9QnljcZ3
B5aTed/UPjct7Hzr+ETxugbWZmSu/o7gbmE4azAengm4K+IsZ3TL3eH5uIATYHPzkiqsEB9MIo7j
PY+wtmoFN8c2IH6CNJeFY2mAJioQcp5NSbKilywt8foUmasGnU8VgrM8AnqaBNfgg7UmpuckJ1FJ
0d41JW+NLeLP67K6P3O8MdsX+CRflixq9IASlqdtWVvrn8PokwZTVI42AanrwTe0DzA3EF2xSrn0
i7fwt8d6mU39LBPkTkc1qcSFQ1/efEf5ZMUwo0pFZyzTXBjbEMcq6g8OQRh21TXbzktW7+PTpJaM
fFsqVW3DIeI9O89HHvPOT0WhTnCtocfj7pXBRklsO/8AamLWIaoWlDiS4Tr7LufA0+uNA0ghUjhc
cyHZkfFvWW7LM9KbFag/LPOGtWxxyzQ0R0mPF0wW1dFneqlnUDVlEq6pgHAU0yIsk5fxPub1THCs
s7m6ww0CqmtbqFqV3bxIcyKg8tu+PBom8ERTjd136tjYI0/nqDpI7SZ5DhBq6TavycK+cRVn9sTi
TIS+Ms74fqn5iLQbxM7EV4fkuHJIVwX/zlkskCNmS0H8l3CoKkaq3cp9t3E4gcc4QmixyAVzlXf6
SwCKCiIFGNrNAWrvnmhm2mguyUrvi9FViXyJbIZSe3RIS0xSAPMl9hGrreO7Sq9J3o9S7rXDSDyR
Cg0sZOcPMtgEfly4iuD+lzvxh+olkxAMpt4/lgx29E+Ynbf854RvlPUGXv9432yiMcORHL9qbzbQ
TBNnylc/gn3az8ZgCHKw33qvQZLH2VNR9u7zjLprIscVy5p0OrJrQoxWdyJFHH031X7ZWhrvzSsc
D4uviP32Pwr0snHrpIWp5Ga8qKFNSfw64BRnqltKT+oPZMbFcxcZ7FygSF0DvMTFkl2zsOafGOYt
ACV70sir3yJEhMlky8oWxiG+7oXiu26pi2A3OtaNY33kvKs7Lrh9NksCmlAyOTAb1nlM9f3Cc4/7
ABKxdgY+Ofc+ydTU8luw78XRhWTdxEX+DsSjoSdOa511hIlNdhLWOmKYgwCHK6unKkdo7TJt7Vaz
0iPOj6HMBQad7L5vcdnmqa7/NnYn37cJduJtlU/l31g15GcZqsC6Y4YVVdYokeCPRv9YRDdmQrwW
tkLP0czRIJqcrG0qSPF+YCH8d3KW2W5CSofvysayHwtS3KdOUFwDPUjjHNOPmLfxGubYIPuVg0Gc
ZistwPgEotLrnKLbRzZ8nrQZvBZ+Fi46ZLtgyexaCYeLL6XCcNLS1JXz4Ja1isCQq9alO6Aeheb2
MIvoo0jvEe7SynzaDqaabgSK8RBZmN+1lplkH2TuCZzR0WRGbbb7m9F37kfT8VQx2rJgtqSjGE6m
7uCqqVr4K07Pm4u9aksYEYazxQzyXC7TjXI+Fs6eIK5HbDX6Av2AtCuob11uwjuEwJj7jlEGoAPS
weCawCbki0lnzrujypdfGM84VMKR8uribmfvwSJhI+kSSSni0GwDJXHj9+SlzsICe4S4sS9Rni+m
p94jYH0DXerhgBvNI2QTK4ZVXJAwLSS7+JvucxkPI+KhBKyVIn7WDHd0D7bUvHcVvP9RLB3cVduV
YCxuI9dgcxqaDZ6qe6nSvxFFzHKX7LBR6fCWraqz8Hj9nOOTJQO4XmQadOxd6CfqYam3ALSo2oUa
9kVsqTva2glUh2lHQ9+Tkia/WBY72xueJHM/A3jEZyFzidIMItWLyRzSsrYymj54qrcFst4ljloM
tGC7F2Y9enSUmpwChpNHUK2AgsLetsBA56B4GGBeVVq4tC6QjNSVLr8dHEO2rokjmHtL/YY9+Va0
WRGyFLdzyBy88mLwK48Z1MDR7bAqa3aNL3jeazQ4dZgwEyTZbEY841sHlyJBYOq5Ln9X0U2iylJP
u3SpJBI6PM5NnLwt017fJtvip6Bz8sMt9dE3ysNWJx63+clYgC24Tcb6iyRe0ZPKShTcCYwf2Urw
boCB8JC9w6w0WSGlKATGcmAHFxyzLcNFKRPW7sfusnbOZF71Wxo8wd99sAHmTAIq/wxOdS2IS9PR
J4HwFU8HZaLdXZKM0MGxHJrezZfoQSskTtwI9eXRjnKx0KGSxMq2EnNKYCDIGeuTrY6fSrrrGMU5
hjkkKNNN2pFybn7nGafQsuHie6fpVNC2HCt4LlbK8k/ofzTsqjOke7a+RCZxm6IbOD6BvDiCIODx
sSROruwyna1wEdU+QtMjhDy6iq4ufy5HMHrxRJL0BHU/EK6ExcXYF3SjP9ExpFDeSBP9Pvi+FINb
Vfm6oSizjptJYL6O6+lvPGuuB8BP/gdLueE9M5jaWj1BmdYFZJ/sryAuE/Y8VdrtTzzO5F1lS/pK
Z1Wblk/J/GhQpLdTqEHzvVu1xIfcTJVwbBfMKAaysRExm4eeu9mJtUBzn2HzmKOPvywAE6sOhuvQ
4UEQXo4t3q3AOwZAYjqBzrbyUw7cyZ+AH2Jo4QhebZHjGVDXuR2nLoddtO5IAQ3vgOZCzfcrcGY6
xNioNF9iG0bgmuWxYlCEDbM/IloPEn6XmPmFZsuQmnj+VNIoj68pTszRQRi7mV9rFIMZzVeVm4dE
AuK/jgYahMtIA0JCG/QCokfkrXoVWZgBu8ClCSSLLZVAhTEl6076vcKMLtL80WObnrRug8cDuNZl
kZ6J25EF4a2Z8CO6yskVvYiLu5pFwbVxBoeMDgtT7JqSDeFJF+HgENfVtIBOR085/nQ1hxVIGzo8
e4yisOne5jlOcIqIq/gSzyABUiXK5Qwr9HnGGgScow6Sx7jpMJFb2mLBPu1nJs2G8atRR/FeFXNl
T9UOPKhbtZlZCzhU61+CugILhQizZzeTumL9Vhfw0GxDvdEaL0DMkxsc/H+bJhO+BMw0y6c6pMcb
6GtUdEKU+FWbRgzG4zQDXT9vxESvGghv2krFFMUGyvKKdzZECcRYfCz/5qlAgdvg/sJaSRuMwBuS
rnHuQe2JhgNTketCuqdX0WgpzxtoF28EnEvWWQI5t0wLHk5jYdSbWppFtx5v2tyvmPcYvEew0BlQ
6QEZZnyfqiGvWPXMkPeCAzwdOj4t5YrbDte9GKqGRkuH1YL/nMqofo9JVM93NQkmeUmlZOhvUjRv
A9TJu2pRVWT2eENtJQIAfQjXCoSszxSajb0/9gmU0YXhUJ6SYGE3jiNtjq6ZMPteIUIZX2SsiRyM
KJLPqLkN6UcWb+/7YQrZhpttyz1FAmg+AF3F6NMcWfZ5BVpKW4GE4J9LhcQM5NfgEoCA2gjAEZTg
D4mY0qwzZS6vyFsMpiM5M3/x3Ud/jGk20S7oB/7C7xLDzcbnsLaxyh12EZLQm28UdginZl7JPOjF
NmSYt4PX3Vrt6y+eBbEPAo4nqL/B2yeui+xnfht82j1gfDhjGGAEi+KV3201Zu3e11M69oew5jtl
vPwosQ/8OyaUf5AmgiPgOEYqaeOQp25AcUFXNe8MYNjOYMjysCBxaUBE4M77BXgA/s2Y6lpRLP55
tbtinZ598QnfbeVxmPPtLZcVX+B4Mt2cbSdbvDEMO0lXi2BytK9lZTp8NsZPZNkscMO9RvkaYdKx
tTwPkxsMbujH26n8CgOsUXU11GZsGLHKCKcSQM+rdNXNJaE4viqkCLmeLizIi0+deQWPZZv6XOnw
IndUuKHeuAn3FKCwHzBm4euiMHBoOmYjrIJS5OMRPHabz10JJwTV6VFmRycAkWyDQpaPbhsDJllb
uHXCqAaDYjznaStpF3Qenpi50b0Yel+HL3VuJKCCnVZ9pWTdz6uF6U4JA8YTsISUnPJ4d78S1PRy
IJ6Rq4VN2NJvDssRLOZ2eOIc4wT0Y875dDL5hie4wbeWt1zS6dXwEpg63t3tnSfOoVc6ymPpGEwe
RasN316CpFL28PSev2LVHtMOW+7wZ7QYjHqyrqroxELrV8elrM4yyPFHw6P17oiUNg+kzKcrLaa9
RHufHF/n4tBpN4NZ4bBa0pvvoStC+ram03xdgqyaUz3CoLkrsDmKMNnp6Q5Yy6HbAqvbO5mDI96m
Kqijs/E+3YOFtKhuLdNR9AsKzR2mYQnHgUplumc7Ml865UE46aQS0w11a3gMDQFwTUColmOVu5Bb
SIgM5OsOoyY5FNg7oR9DJzb3C4n0K/ppblubIc+yPaYlheAbkvO/2VhDIrykPDziHx6mx6KIpuOO
eotRP2UF+ajhwxS1ygKE7m6xvI8IrJ5xdyMy+7vwNRD0mjoEn81yNe9B+WhsPavl2BlgE/5EIJ57
ix00njG2ct/HqYy+5iQeP5AbsNfoexZg1T40EOoCfl1aKIR5fKcywhFDmUzFfYae1HZZ7revQZHx
r8MN7FsM0ctzDh1p1gL356Z1MFpNOhIn0ffZRfA4XxqMgB1o1GEeIqSjYb+XcZe2bNzqtWMmuhH0
lhTw0yIaeBzZEi9if1ioCIdcB4pWz4uibEsj4M7DG1LRHhJys/d1VmOZiNEY58PN6sBmJCo21kLy
JG1/qAKzQKwmn90VRkZJZ80OhEjkdnupkKIFxa3TyPaCjRj7PbtmAydpZO69suIgJ180ke2BF9nx
GhG1pU8RyKPriZQAe1GuafUAY+wjBYTD6Hti4GGIxjflDGgB5kTkK0hvT0m+JpB2lTEqpbAJzkYl
vUTf6R39lgm8fqdqmrRsedimP7WsA8zEE03x15JqyvsI61L8/yw96gvFRFOfTDEBQXMJzc5NPq3T
OVqxXDgrsQn7pKEmrdp0OwACYu9hMScrdLIDlEOy7tDNzhTzG+7oE3hf43EZE20k+pA0+TK7agpn
YNdoZHc2HUtfwbvGPVMIgnFyVgbY9vaif4bSScG5fj1UgiKBRPEVBx6xb0ACm3AcLSnLQ5yp3tOB
TbnUJy4MQsW9qcXSAkFo4kuZr8U33Kl4ORESseDtWw/i26w0RYQCj6YEsnTl78WiNBDKI9K+jYBY
0VZjywecnsxuhougrpvuiEsqu3Se0D82GJbXdtwamO5xINPfUpzWsXcqRfIEdwZRXnj18F9JkuWO
zXvzGniE4wzKG9BHu4WbgCt384fHCgddzQbawjARnyaXOVE+oKsrxo+MNTClzdxqQh9X0XRXwX3n
m54msJiTWmFOALukWYe5PLRAWw/KBXhuMQy4F2tp1GGzULxBnDvbDvYFS+iNSfP3TRIHcxuZ1Y8w
aETjHieHesD+gpMzloYJu6urYlweI+Z38gUqMxldQDZByU9CbrH4F4n/3lAjsRNjsFy4LySd9Te8
EXvaqkLDOGNG5wBsfkyPGUn3pcXCL2PZPNBJVLjuK2rrEzlGLLmiIvvcqHFKB+e2CD+9lDSGNTTh
aNBjqFEfbwQ7/3QAgGFvOIYTW9qxOVL/uG7JzF4P1Py3kaTMv8I+EI8cllg1G7Dh5T9zle3shI+F
iE5EFIzZ866h6Pu+uETLxxG0bnM+0mkfaovu/sI3hpIoAqxS2lzl5Q/HMw0baYZDd+FwXM8u8SG2
+DUHfSH03rN8H/a6VLiU4RvjcQ3q8CmmjHkEBlrsjdqQqKk4bwCuklZuWOg8eAHkoc3RsmpELzn8
dwHyHTCUw/apuKbYqFfvawVCChRLjXUvwml8oU7WqQZeOhf8dd6niHXBZnK+R/RZk50EEheal2BL
G510ya0Y4KLI+P1UI8quzVKsUC9F2GKLVXNGdce3/OAPE12her09pON+a0JRfjlgVe+eErxhBL0M
lnnFayh2hGcMoD4qOQ85xWCMZhI5S4+LE/7X5hnqlkXZuag6Hd8O4E6QHlmHXVi2mrpqpVHK9uNC
1E9jsfYbsBtbfgQQhKYBeWpr09vSb9Ab62l9skXp2ZVExnSAg2wn4+kTBmqFO215Rr15G8t67JpS
qZ/rYdQVN1rxjujeHBMlMjh/BGjuoqfkyDHs7lAA4MTUH4hqFW/VUXxb4NIB67FVfCW2pi1eEdlm
zODi6vOFb2eqyPqWaJeXp1isGlDB5H5UuWsa1Kp1NL/XLFmeyhgp6WBv8NK0uZQhujMNrXkHXg6w
0FkpGNdoWzR/gtFYVUBNTi9EFg0SDR2Aq3Ek1S+Z5SQ/ofo3+WdeeZGeJnRrrmczWWC9GC9lW1ha
phdkg4UzlubZPfAu4Ho5Z59TUFFPwDfqrY3oZH/lKdzNd1AjcN/ksx5ULWZ7Ojau3SmjTRqeZwbf
oKmARciAjf82xMUESzbIx4q+xlSCRU41Fx/zNgEGqM3teiHEjz+xxhYf9eyfQTRvtn6pEBTRGtVs
KJ4p5HXtHm1gmEUyrQZFNMDRHbnjpg+HtmfkG+eqK3XMNCJiUaPaCZmpcY9Xp+Etble1opHEaKFd
sDGObY5hAYET5pMdj/26Uyh8MTQ1yw80COwJTNcYI1ipiovCO5lhGjMZuJmCLPVpXen0F25dJaBu
THPfM/gpJRjPav+LE6gVumMU9E814UspijDpT9CbVi3oc8uE5ZvZnubCVesJSVoqe5e+3v4cwi0A
m2MNZLrSk/8G51yC8SDcAKAiiaOHhTWqefdgAGVPc7bZ9ykoswFpZC66jKtZZxBzVHPgWgF7pQ1F
dFQ9kxFOf61T7AsV2MTnbAzVeJJxRdWjjNajxLpvKv5MNY9/gxJL9hZq/Dj+7NEVQb6T0WN+9WsM
6SSrbf0HcYg4OaObl2Hb3D6di6PC5lWhCXsApWq5A8cqgd8JAZsjx3cVYY/h9kEXCxef8QpiABTM
Lckp1vF+dLScpRoONL+yhyiJ6z9aTMaCi5Oi2ES4/5NLAh0TIE0JkK3PsC2xD145meDXyQb0cRRo
cqZzjah2TC16Qo++FftpSgpydCAIbc3WraCALP1YJchUWBuHFl6FEp+qHDH9rRVoZyfT+ByzNmYO
cRNV73sfpkVEXTIn4lu5gkTTHjQ38BeRYa5ba8gIckOTAR3NYHTRoLnJUQzqaKr2VoHrDzLYUS70
jqikca0TovgTabvtTz6yaO7yAJdIUFGQA7TAlvQXosE07/ZcOY30MQL6zFGDtNr7Ta9RO/pZmLs1
BJ+ebpMBwK8Yb1F5AHFvUXXzcdAe1attXIXgOSKCHLB2APOj0XMDylFuKBrHCEDKLWMJjJcZ7CIM
0l5ilSEQgKruSj6F8lJB86d7XSjirytZ8mmg+McUJ+vy2mLpU2xTW25z8Ti5ef0kJqe+YaAZMXBH
8faZjElxRa3Rcd8EIzGJhu0G1Zs1uioWCGuhtObzMFK1ffZY4/6cnW+ecpGJA32Mon81WkoAztjA
8o4YLPQBdAebXiqfofcCve15jr39E0d0sa0DeS5rmWzY/cxnfZUAGuHAgl3XrTNNENLM1vQPhnYG
4mGWsi+8Ysv8fzg6jyW5cSWKfhEi6M22imXbW6m1YbQ0EmhAECRB+/Xv1NtNxISk6moSyMx77s2s
71ykt3qQyt3VkXTivZvY5UsVzXLhvt/uWPDpoG0GhVQZp9OL3Bz+C+lkxlIt3CRTiVqJYZ4Lvvg4
d8DZIredwx3yx5oebBL0V69S82dASny4b/O8XQ7lvKrrgjLXXkkcVQGJ3GIMMTV21bMn53q6m1iX
+K/UYJQ7XPlk03oIYD7Ljd3+c/Xa6Djg8oEm8EjWPGoq6lvQVVnRmohuiBmZ1Lna2S2lGPeW0nyE
SdX85TwEAKmlKp6dxCkOt6t+y5LRT/K/CUjgMUlyhNbKDRW0SJf3nzkpGIixFMbJKUzzUGV1ozkL
uMkJKfQKACJeGhVwoS0rd8QS9PPI2gbcscAYcj5OMPv36bZwvzCtVsOetOOtPIB4IBuLdrLqta5c
/RU0TCj2c+A2/v8z19R93MoGVcsbjVmzsvAKRDT4ygPaj1WngZ8T5NSGYbNj2qQ1+j2P8SHsi9Jk
KuoC9AW/omlYNlKwTx1thH606ejMl5xhESIpy1O7bq1eB+Ty+mALWak3ldf4mSo+LrVDw4/IciIE
EJaQOsHZlrmt+UWQdnllF01r9+FWB8wXBZTC/SBplTLuP+meNmLn6LbDWYAsNNpj3hcJ5ZxroHt6
/5XEmr31iMvZ2UrpMVOxtf8tdS1zPnTCQlDG/OC6I83P7yhuCy9DIg6LPSSh7+yVk8ffYbgQxrAg
XGeL7DDbt3VaHGMWkd+rYO7/8K2Kv45ZjTl0NKHO2ddxjHQGQok6lUuK0Ljy+hHCsGqH3yDWdOwA
5N4De92394HXqd2XuZjuVmrx5eDqyvlNrvl8v5K3VZxm4SSvM2aTYOcpNfbnaNyoZsPG1t6eF6VS
mHZJK9z7zUQwloUiZZLV5S2FQktMEw1CHn9u4crYxnqTn54Dk5v8eVCBLC8rQEe0j4Npbkitiv2R
9YFl6B1LYRwugJFtolm3kauLaq5S57RGERpf76rhcSMuqNvXbj60PKHQ+eEud+IZuaBP0+kU5MuS
n2evh3iyFQuoQ5NQkNRVUvkXmiCsbCNve7jnrJwFRnbGf8dNVf4juaEAIq5nSjdzho3hKsPYMd7J
cHEMtbheih9FWSbi10YDJU8tQzG15wltJ5fVa0bPFy7IcMpgVJnnLaBHccbSWYjsgGyq+DjGzDz3
8xxG83km76fZR7W3cWVDyUmeacN10kaN850Ctf6tQuspPkI+hCeXJiS+/Unu5mrldXxDS63GfS/y
hD/ZSU5qQBvntZTRDKCMBaraBQJtZYmH5meVw5Y9EJsri6M/6+VHXdu+3M9lFfnHgN4MmYadxONp
HPuFIyCNa/cyCO7rU12SuHvPDjsjjvRfMZtlkbPiEzUWU8yKIZ5zxsMiRNbNU3/n25GlDjrnHEiS
mq9XiO6/SUXReEpKmwdUIGW9ceCIoL+PFn55+6YrpxfbQHMyFwp7f5f2N8xeIOvqY5hvlXzalG/T
LBr9YDxG3BHxPy828SeW2Hw5LmiY8bVKk+G3z3vN/KPxmMiZiOVYO4eBLTl5jYRW2Xrd7Cme+gfX
ONVd5Q7BsRbT/JCawiVcgCvhsWWTwQeIJGvuN4WlASgwGfyHEfRhpm/2/RcTB5vc9x3ZpVeWsAbv
Yd+lT03QrXWG1t+ws3EK9RsmQL+5k+AfE7PlwkEfS3JxHtOOsUq0tJ5ziJEc6WmC6nMdpd0+mqqN
6vPGT/yIJbQmyC0CiDmJ2jP3+IFAXboJh8SNE6k6rm2culzqkYwyKM9Z7oLZBtS6W0hjHPsDdnMR
EM0BmRg0KElpbpmiEYW6JxRV/iMhMl1PMZ6jNavSrf8DFQsLXDDbtkgbwXac8WIf3LLIr8ThWnOY
/KX8WIeIZ+2mZr6uq6RvR1S94eOysM7eTmX5tQjGvruIexjQNf+lmiG+R6heXkBR1v/wRMX4DBhz
M6EBciW9pKib9n4qA7gXPU/BYSzD6nM0LmOYmZswc4Bu151B2XmFkxn/LBPkJI1BFT/70W1Rti6I
KLvN9M3dKJfkOhRt+t4iGT+yGUb9HdKRbmogOuVadXX4XHrT9NT27vjTMX5K0ZFO81PHh2PQb0L1
o+oo6jcbjsvOmj7422y8qWBbZL3VMmzumm5zqLuw4WVB6iwPXeMgJXKXNGHMVtl+a6LtjzsyeDfT
Dc63YfPTJnQ/a6WoaxSSlycjZ98lwXK4DY4P5Rh1x3rR5rS5sf5rFuVfbB5Gl2F09MfgDu6dDAaB
jBrQEoXaFFnaIvWFg/cAQDke6KPnF9DT/wo9Sb4PPoyuSCYSyqWyIJkJkqXJt7Mq0m/8d0R8VDf9
yXQnJzb2CQ4u+ri90KfaQ9ITCx973oLyrH1pT4lO7qVhAO4Fa7AjyheBOezUFyBv+oj2e0xT9aJV
4iFvctfu2zQ4VtM63EmyHrQz/oJQ+NuMMyiCXu9aEMUd/5e1o3603A9maN/znuDMfWkgceaP0gja
K9I+x71NzNRmkHLRR3LbgXUI48Hfa3rNh7CIYhhxY/v/omjzomPtqvhhG1R3mYdokIx++w4SPmmB
R8rpEd86TzczA2jvRI/DcWundjwUVb0SZmPceB8ldfjTept42TCAfvYJppCilf1TK7T8b4YXp7Qi
xeE7agLnx0hD8Uv0InjXonGfULPbZ2dQzbWTYh4yp6j9o+SuuHfbqTmkDKLvUPWpksfVa/61YJaA
Nu1S7JLARIcRcgj93UsfVxveSKPJHpizql9uDRu1U6lbXRV68SmBkUYwI239M9Jr8m259a8ecum/
tIE4ih9ddJIOln9kZk2d0x0hJZYHUiv1h3QtVXzSdXeMyrCtN3Izb15une8Q58mBMgDxduqY16Wb
9yX6AFR0q73DOPTBR8K7cq7nqUTOmBhklvWb5N5+dmOfv0r0sfe7TG+miyWU8H7heuXMVaiHnh5A
3dPSPSKuxZ+p3Jp7SmRW+HJ2xc9uHagfXM4x0l3uXR1B6CcQxJq37KQrndMyJ+rO0ZDZgENCI6+4
zfLbD0TxskT4clRZicdY18vrVvXesvOHzjtOxit/iSn3v8q57xYMF/16oVgTE9aRIH8jO6D5Wojz
ARp2g/JvX+Q+f7/MS0Yj3eT9YiBgXzEkGWiVNeKZW1rF31MhkD9DgLNEgBpbphe3CQSzyBQDE8cI
oTVrIrENTDPvm2zxxxjdlIe57fwHYEpzZ8Ej7zwAjp2N9fa0kBtW7MHzXJGFswaETAqOOkUfeWBU
2D6npl5R9JkgfuRyKF9qRG/QUkcsjJtlK3+Na65H/FYgRHYT7X/FOMhsAI1LdpENU5qGsGQrhVsV
awcxGIQPKWXkoxEWW1KE/+sPugoEoh8k20erUzz9KQ4vjGPRzYl1BQsdpm9nWxDCd+PmFd2ZSsQN
XnzrlN6VFozx0JYKMf5tm252dgzWnE+/6IYIVhwb+1c+QcCf607OzZ++MLp64ujy/ftarY1Dl5fk
/YFmZQv3ySjqd/DHUEGk1NptDsAlbF7uBmU2OigducQPbaaXxX7ZdB22/ERz7V3xeNTrhQbDQu/d
VnFi9FnaZOY6CFo4elpM0SSvfbcq+yGiAshuj2xfbscy7vL42bL03HuQDUT0IQxlcsEIs/1HJnbZ
7Iu1GYtzQQPQPuuGSuEIDLQszrHo3SbZHlsRdbE5DjQXlTwNMQO6cpd0k5lw4KVmLd+6Dhh34rKz
W/Kl0Rsi+iK0dwwNvllXTAohmPJw8nsgjhLT3Mbi0HZFajjAxSZQC3bLO0zCAnLCuVct0CKL5lBg
aGZbp/IGA9KNltTtF8i6RWb+HBXuo0ZYSs5eM9icbxLtpvvDmeYxO523zp3sxcvZ0PGjGbZJnCDP
Sjvukgl016dez0e2ZDnJkKwDm8dokZ1jnJSzfB9FzD2cjKRMPkLB9CMjjMF3anaB4hj4iFw16suE
sS5GA6HMvgYQAikd7DLP+0B6OXHnCg7zUAL51fdFENs84+cuBwfRzEuWn/wuCqj7aF6+R/y1zvva
czD+GmKnWWgHWJVNmyMH2Thf5GF7BM1sFKr1SzRat380CLjeBed0650IzOgB44MeLYZnoDb4oBbV
lI+RQcKDgRwc/xCg1MQn1eba/osiXQ8IMwDHb5gYcv2j9UcX2Xn2PAYi/tJRnk6lccvHpcH0ypyc
lTLevsR3lJ+2JVoQ1ejJuCl8R1jq3AbYNJMJ6UZ3DqBGvmHvSPzyKDy/9H8WtozFAwLnyq+3H8Sw
PuYoWsk7Rhb8BI4uWuJttzatnhWkcAz2qP38jHkyzneEya/bpVnx4z0NaTnkiPuxTzuxCf7RYse3
lcizSMZ1AXhyBmu9bPINEDKTxjasntjewQG8JQ4IhY5MyMyHjWV9/ySKidHHToquluneolOE4Ymf
MI3PrhPXkMk4kUd1wbo+ohbHPdL5LppbKQlyomMOfzoqGd3voIpyTCGzxaNywElsciROzE+3qKC8
T8dTKyl6DoaP6LmZskNgT/7KTk3/wlmeUFWPZc9sSHvG938ZR/CMxEMtPMEG6JheeyfwanUTWVk5
9Sq+mnC5zycmtTtONtFmOb/PeIT2uw0/9r7QBv6CEXzuflZO63fPIYRQ9ZS7CTp4p6zq/41xGOor
dWbc404qQLXhgYJKXl1LkPsJccKKbyCTvP/Xd204XLTHgPYA1VvkPLRy7U5jPM7NPckKImW6XqXm
bLtFT3dC53meuTEA6D6dAz/4hcs0qA7E5s/zcwW/JI4DE0A8rBrb9W6NE0ZiuI9RrAtNE870T3bb
QUjPRDylHik7mVMXs5e5leLhPyZMuOUPakTbafRusfjONUy7cpyPXCcegkFfxqW4Y7HtlHAMsPoB
IbsmVZ3rItLw7BQ5y6zo5fTY3wXBlBpE1sFWQdbFgVgt0xG7um9iQW5AVaIJf4s2fCHAtq4/PYh6
1fEpVGhAH/PSsKENIwP//yYHwxEsPT6vuxksaLphyGu1Zylg133hLq7mi2xdP+SYw8XakkQXVpgZ
UmOrw8qXMq7nPCS39q3tWuQEz2+D6q7NjQMX7EuHif8hYQrcPdm4qqpfxq0k7yq9vbeprI2xxuZH
Cp7Gs8excltjLhpbUdOfFF/Jaj4jy3z+y8Gr4q0MZXnvn9skHFT04eU+fuZdwTKGKHPLMSnpoGSn
kqs2Uv+bOErSvVBTlR5DaScMy7D4znbKF7+e74kkx/q60UFNz/Hacm+X5NC8xPPk0gD5dbPsZ0WM
D2/G4HvD75akdRd3YoioEB3Llp0hT2Pa9nWzZwIqqvs4rEXwFW8tuz9ZajTqozYhCxx2hrO4cLCn
Y7m7dFGQ5vdNHLnMIBQr9IKrwGutDj4HJictHGN6tzLwby+gCiOCdefp9qHzTF1fY65YxJsZcaPd
gQ3MKQ/TNrvHSDOJPSt/YbMifhi/lz98Ucv2zEwyFd55clfjux89G+HXP0Xst8UPXZPc5cOfVktk
d+iM2wC9xK4qvZuGOoIGqixM0MJGhuIQTswTPNrGebDXwU8ZTB1mtjeZe21dDDZkItXxsB/IRC1f
dIIwrXcqWVogYyRAtVtFX6bfPSGBg2QYL4qyICyQjOxj0FfB7B0I6I/86SkJR71dcFQb/Rs/BAIH
P4UvXoxhynnvJsDTRWaEpD9r5mXMXzFqWxYMzEwp8h3eYIDm1mMX9h3Pl18jEW0ylJhDc7GceirW
/8It6uw1sDnhE2KKRhSSuEvN2+YUaf+zEGAEAedanZorApAVjCARxNoet0eQ09fUfE9FViQz8ia1
ThftF5nU9Ynm3GB7UGGj/iiCw4rniJCL5h+UZFf88+fbDk9WyRNHDtEOvLZSopVOh1GrC/Fs4hn0
M+HJJmT8Wk7yE0+Dqi4jWGr7FMEfFC/KxWd13Kog1pd5rSw10Ebik7r4JbXUsotxEWLpTLbQQTIG
rfuetOVSIlrPUvNM82Ca6aiMFRVecZuu06kIHVe2WTWhDZyxbSLC57ctbXfOWEf60DW9+3fVStUv
YPnhMMGk8u5dG/ita+UxGKU0x/77sx3TJP8DlT7OYqdGCOqsgwKLkyzKTWx+O0udb+t5lTIeP0NN
foXeFR5BTjtJSgmZLmg4DO6TSdYh0b1hQn+1eEsUZ10jp+lokFq7r6ZnuI4b0nGXHyAWk8Zcwf3j
vvsgNdxMIijbPtMBuNmj8dYElWt1HXlyCAODfgnMLJgduXV+5PbnYJ0YlqNOJZ1AUpwsaudRedUN
FEMS9RHQncW7uN7SV6ecgmk8tzHlfUUJWNXia2O0Aclalk76IxhbAhv2jCNzu+zGOKjUf5T0ElCX
uFm6lBD9Nb9ffRt3pHIwXH1F8hn9fQWrTcWFZqqfJcDV+ilhvsioEFzXWZuIKPjD/dI5pxlPGdGq
eckAeyoIACh3fhfm3bFMS697xGYpykNiVxP8l8dOPA37wGmC+ViR1lVRk8ArL3xAGfXfDKtYEhyQ
dFXtXREwAdrhtMN7u4bKg+uWpSA/YExQMIQzWYLkBj0Zlk7neghv5bI0HyKeFiD7cCyr5mh7Gxf/
bM5xBiEqFzW/Y7dO1hNnPDnmNDyLJGCcAtG9ecYwMgIH0pJ4rvH173XT+exkRk3UEmM/8YJEelrj
d3Lu5+oeuAYXdzXdeIA+HsvmXLajA3PCbg3SGexQ++t7YFOM/kgTkbnDRkwLJeJqrRaKSHxbv8gS
6ftTF+I7O9t0Ua3lSTZieSNSAsXuaNaBQcwaTriKTpqqp8jYouq561HMEMWnOpE0uPyq5/DUhGME
PQm45Pn4yIYlB4hvV4mxbs49Fd7zvW/r47gUvjkGdprS33hQObEyJ7GWXSiy9NZ3w7bbL+iv4MsE
7sItZoCJyvtqDBn+HcBKSWIIvdEt7lxPCwxfPOdVDy9imTllLCpS270tem/4Qfk5dD+8Gfs1O4K5
quZ75QgMnxRicZ+tI2ZxdeF510OSrVRVuGinmAtU0EJNNnl3arwVyakT9SihRfNqYxGV0mSEJyZd
hmNXD6t98/zGzjMw6VzoALHBQGte6gK2aDgPuMIqS0zRNrZPbsybrRnrDxuPsOkJXXiDuRfF80a7
vP6qIVLEd0iy3PK7lixovLQcrOUGWeq46Tdfa7ue1j6Cf8IsuVQycxpjF/C6LqGFdlh4sP0hrwxr
E8XaFHi8qXEKE474VZTC34XW0vDzHHaT6HZkXgQiRW2Eyub25sKNuvuNyOKhPzBejFsNzzBMkZ8F
4YJSfQ4oxasPdim0kOTQDeHyX7rJfv3DCMCxfxDqIu91xLEa/yvGevb+Oks3TPUOETRQ3oOCnJ6H
Q+7oSZ86pxx4v4c5neKES0rONszcpSVBYh8DeeJmUY4t1Ukx3yeGwcPDfkZdL4PTMkmdvLRycqc7
Ik07+1prk4SPfSdy/dojqVY/uxaU61jMW2oeHdS3aOeLoGLnDq19+R0y7M8vIbg09wi3qJtNLM0u
904RsIrRRfIJPjbm/dGrs1Kzknbi69vfgKZ9v0xr4vc3ZHJlQVfPFYLA2fpT0Nzl0tnUjzBUYfqK
hw2/Pn1y7enMNZzI5zSvIvfcMdEKDnHLCXRneS66E2FPPmSPcQgNTgr2UWTrgsf8SnKHM99CBTZ6
kJAYhoVDae0C/xkOZwvOkUvEU8mX4o+jPfVJCieDzD1vOHfCNS6vEw9YFGWYBuLmggzVeRu50wGT
nFFupTg0iDWh5c6FHusytnUU4F5tmIj+N/kwjRr3M2ZJ0vjXTizBnZldvYhsQ7f6f6u2YD+G763w
XeL+3cJq3UFn+uLv7FOOGHZJRvlyApucy8eww2rDWuvNL45SDTI824BRVUHsBL3FdVg2TF340tvx
hqNGGK8f+K05K12x2xgQgFl23gXntQ6OehONpfhoNkz/LY615IEaTLvPEy65tT9gv3fwB3Cyjg+2
6iJ9LLplDA3kSOpE35TqBTliuH5pyYYm0nskbRZl0oOOo/iigQgXnmhgpWUfBKDsQwZqKUnrLjFu
TNV9uhSlpjnXtfW/BLOp4KWrObAuxYKkcadhfzEFcmdNJJPUrpsNOkoKZoeV1NV1RBmtyCjaOMzY
vNYx0yYepiuOG38wfZmKaO1PAxFXw3sPMHI731o/jj6blfb9L0EJifkYI60wb+XeEmO300imnxho
HJJLItjZz6lN/f7YlTptv0AEVrpninun/DMbZzIvgI6CQg5LIq8xtIU3vYiV5GJ0M7fYMvBK1bwk
zXhDVtzOpfzvkxGH5BSpWcS7tO3yLrovWgVM30swjuNmq2k8rcS6lIeAkIuQTIYe3uK+ljGu3zRY
luatDQKTPpl6Q22c7cjPOidUb27GErdx/jkXfL2G2ifk7D01FXOmq2IWXh9Cvvs03deLTIOTjJP+
a7iZ//F0pivoyOS783cyWtIbr4z5EJjo5UhxoZ5maeB9bHD+/cqToGQWT49nqPk9dIbqcyONYKZi
A5atKewjCE44tRzjIGyEEV+KLFP7jhRl9QcaMXrorh2HYn6APJi32z/MyLSdU5wmnrZMsEs31Wv/
5Ba9rOPDmrYuQ+fc+qwGAV/FwzJpx8fD3nl2feTebBGhhMXPAV7Z1sNUIK4XAT1BVYdDAy/sgw1U
DLbKxzwNOrHHAGr772UdNnOG027LvSwjAg8Syh3IolLOBICya2YMw2S3MItHWOnSZOkfgsJX6cdi
2hSKNzCJE+w4voqO/sMjm2fHbGwJ8b4kHR85wVWalXjeko9N46zHWlnmHGuH0q3YnNSHrcU+3nax
wFAWSldvWevkKgkepetReVzqoGNXc9S13mqeYW7GInylsfLZVc0W1jh4r1LHny9Lrwicnvl+B7zA
axozaKpK/0gonuO9qEaX9iVcmXh/WLIS3J9Oguh5zAkmUXd4h8lvnZypTfJdVIR5RJRCbJLHebR1
c63LocUSKsuALS6nYg1mlif2Pkn7FUjuWkDWtrcNpWjhXtXQ2odaVfZXm46GL6Nw3eucpKJ8wgFn
aAX7llIm05hA9ElMBkF4B4yIqS+LZIHwj1JXkEvQQF0UmDrqPqZtxUaQ99sBxZfxaQKzTx8myijo
D2Q4TekTQ92mPHPaoEAx8BNe8tUaqt6fa995jA359uD8MR4yEsP16wYfo1gpl3fY1kG5iF9krowE
FDt8ZFqv6jJhNg2yinuqq/al1Aw0Y5Yuea8qh0yy+1hXcvuyRF8QBMdOqBY+Acg759HyAz1Oh7SD
KQUELCrXOxAOBCXXOFMyPG+oUMz7gVRSkDMxknMZrxK4nCQKVZ690tqmeLjF3PQH1W8r5NJAG6af
aoYCTnkZb3VZSSGBCVBn42RbmCRYzWhM5DWaJ3q/RzOn2BMg7EM7/qMTxh25R+W5kVY6qtTy1s8u
EWBHNrC7+o6uf3X+bkOXdj6r+/rCE0cvWOqRBUFjyze6bWgOGf7cfH1RpnCaVwJdkmi+xJsfGHXF
ZWKrRww51bGl+a7/MkBnwoRMBXRnsZ0SHuK547s7RyPtq7HznwVDGPel3OZX5hJJfHLatvyvkPCn
u20JRz9m7OoMotltHF/+UYzp9iPgpfgvn4hoYmMQcWI7Wkr/rg6Wfv5Hee8+y0CXCJhjkbpZOGJP
wvDUeU/LwIzqqERe1BeRePrYqLXwcWYuw8vk3jAOQOUp/uUyU21JFpmJkIEUAqScMShXbz0Jg/qx
4Bauf0/4OB2XrjwtJoZO3uDPH5yzceLvnKiN1s9+WqkwdrRKrjq2jOZuGKo3bo+DwY+IQ3Hrp73b
uwONTzDdOgJUCrY14/+Bni06YCVvwVMOZw0mfxy44onCiOUQv3DxOL+VKiC+Mfn41zmMi/YE3Uxj
PhEF5vGMtnS0+7H2cLwXeL5yhj0lUrrfrJuXodHpv5OnybyPwaLeAXV8wAZiT72fQ5OwVkO1cGbn
cDRdfa0S7buknaeNd9DDUI33JeRi9xKyAs3/AXBrgx+yCUbvKU8YZtwJdpr2dyWQAakwKmq8/gcj
zCC8kIelrmboFubtkU5TWBtiXU9pXhCcyw8r6kul8twCoco28n9D5une2fcVQXAXGJy4Ohb+hlcr
cp1UPA6lmph2Nysdzw6JN9k+izps5gfAIUIg5v+nw5OrXTwHoKEkTCibbte0EZH9EtyWiaVcZKjJ
VEUX/Bvsu3FHEDfytSaQE6Q5NIWpkzyBvCsvtcOsdaN2sGWpGcKmTbwc+MUtaYMlAkoCOa9VTVrv
w2Crwb2IX2NCCpab6+mHz8A0gDZLmN+79SCCO8qoyLmTsHfjncD+FMCF1m09/gjCsBNXJ4XKZ/we
Lh7UWzpM/dljiB9+i7Qj/o2FCeF8sXWNy9Skbf0EZLpoKi4/rg9u2FMwUNfMnCrJvEVkuhAaU8O4
RynnVOnyN9PVACRXzRKYQ6L0Eh0VU+rgzSP0ENNghaHVZHAh9pumeZmzhC4cA2k1r2+LqComqN7s
E64kQSMfvW7e2pspI3pm9fg0HVQj5XwYkByr5zmfUz9zuNGLx1WtN/PBXP0q8ec8SlBEHHguuPMh
UuH62lUw1fe+IIDrbuGIRNSqe++q8C5RIlN0MCrfYixSLwzpcG+S0OT4p87DKQ1ozsT8uffr/KI4
8rAijVDxT9w95bBLOMiS8w13CXbESxiXJyHBKBaMUYShKS5n+wQsW/t/ZvIkJE7RgPU+ApJ17TFx
Td0AZEw0WtERTBwoYJKeSECrQ2ZihqqXhSRD1a/zgW29LCSQDu0+J+McEEK7r3rHTiRXCJFSX7fu
P85TBYzUYZpr9FWWwKvBCeNYMWYu07DtMCyrDBhres3vZFk9M+yXpGu/yPDEOFzGY5PcdhtakfKQ
MsHAHYax1QAymmK6snRR8UvPPaJSTluo44jk9rYQ7XlbHLW+ENqBe4reelg/1gKkmCQaXQXrU9vW
/r/O99u/eECd8JSGiXz0c0rMQ1WOVFWOpkehVaYlBAcf2KiMC6y0P0Ow1ekoKbYusSxJjLa5UARO
bKXPZyNF4TazbiJbH3OE31cw+AqzFq7heyIDW9ziMNrukZ/Df8Xapb9d16vLc8Uvpzmqvg+ZKZDI
uO5iihRx5S9fjpWIt/LNhMv/LVyUY9fcYQFsRsQBki9NKy8uc6UIsWIu/vgqmt5jTrg/wguS9b7s
bNw/2tbpPviJhuBLNvUw/g4LRkAMtW2tz2459e2lUD3KaNcamR/Qj8lDkemAD8FdMb+jirT1wZAu
AXJelM344oGwr2fBaJroElfV8p5HS/9m/bGKjltf5q8jo0A/MwHV9aEBhJp4CrBaMi4IiyQj/hSU
WrJRBHqlHxxHf6+1DeWeh5uqqKQ17A4e6xfq37VWhEgx2MoHhSFah17lZQ6qMlB6CkeJw6xTU3Qm
ilgSuJFUlIW4Bwwv0npgs1hr9igxXZMtEzPyX6IMzHLxOiJCnh1H5ustFYqFqqDbRsWENHQuBebW
AbDuKmdAgdul+Oyqw1iXAuKMGLjwUaIw/mVeJ8L/RpJMf/aDW1Zv6MCQHzFy8yP6IEGxyTZ7F7Qy
bnnZOas4M+VM/mP0pK6pIKELF0ZQGIzrcfwi6cWrYzTMhLHg93TJWiYOuCEwgOXRe9UTW0cwC+Zp
uFn8GU8+rlbGgHlXEjZQbyjs3KvG20+o/N0HXtH+lDP0XimxauI0CCU0zmNOTk51adMQoDj35RZe
u5TXHx3eTZ6kM+l2bxf0lSsTw0lRURli+abWBWs0XDQZtk5rCB9Y50cPGnPat0R+uWBSSfw2046Z
Y88D808QnnpLHmhXelRYVOeY1nmTn4ohcS6NUV1wz8gSP+VQ32JeaK2K9/p/HJ3ZkqS4tkS/CDMQ
g+A15oyMnOd6wbIqq5gngRDi63tFv11ru219MoJA2tvdl7PygfHHtCC2QFfjo0VgZL0f1h6Jb4fK
wruhlcODSyFyvaX+q/0xPDhosjOl4RFbPIoiENgdSkoahNuNV7RexEYE88euamVFb/GcjPLETQBh
dDaVi8UM+YguK7OqZ94GmHfXIh+XHeyiFW8lyrOfHO00rPetDPvHKTVBfYyuiniEaCOP0dKPEFoT
sgDFbUdFV+AfWr6o6oQMkjEkM2t5+8EZQ6nOcc/axXv3eiechj1hwhwvAMmS5pfRkVdeqpG47pFb
WzNRuBqlPxaF7TbVXtwfJ1NCt/MJGnzm+MARSpmZ3yM4Hox+XJ/oxIg4J5zTAkR4+p5rojNHbppr
u8vKkFcha3ki4FkVCX5i3J2D2wxuobtfWXTZb9AniPq/7dC1RKfdtMlrAIN96lKDSgw3zjBJDPGt
y78pm1eUt56TRg68MrCG8AYvnjxtG+RMLy+8DO9Ql6eLtfiWs6x5r8dkPXWjp7PP2l1TMIoCINJ8
KJRtFckKnLk7bSIAFKPwPH8j/Dm5h6irUZMGbCIHbLdoRo7jgBGKPX5vuK4V7UkkTCvC0RxfK3b6
ZdKfxeLVC1Sgbql2PoCwZI/uD6VXGQEuhyfk7BK/VKeZrsr72BZy2cnGzhTI5LMuvGeqR+bqZxmG
AQUhjXugPcBlPP8D0xSVB3vBaNTdCCVBS01tl3wNKC/JnpUcW/Ci7oU+9c1ELDxOM30meBbGf2IL
5uGTd7zNL0Am1G5J8ImjpujlpuCjZDHSxPCh8WcUP6KKKJrmFA0t+sNgHpjhl/a1hjH3b9Tk/cgh
9zW4AUF/4aYY27FqdkNh8BCTCLLZJcD6yTqnNCA+RIM/50YAkYdzUjS2PpoqWcKD7VRtXwpBQShC
ahL35wGOaY5BSKTDMVZNSLK2Z627KVcstOyC4b1WrCRRNE69yRf8VzEwiQzrfHnAsMO0Kc1SP0VI
4v2umETVH5ZcaAAodcXZmcWJ0XdLX/bnnmedbJlcnWPTX8vzdDu4T+lQOvG+9EN9WYfVw/e98su+
rXGSkpDuBn1T+kTvd5nQFYZ/W2ADTVMPCXRD11ePsXCS42UhdM4EtTrq0mYDmbl25sL2qkCQ5kcx
M8hspA3L8FczkbDaVCz8fzhis8d4JHF/JCpWPjnGCeAeXMUi9s5qUZiZ0OCdDdwOtCnjLeEvGV0T
KjwrTO6kCqGrDCRLd9Yb8kcFkIB/f56zj5HyOLMjR+HVv9iza3+DEXC9h2I0ZVu2RxJ/KZs7OFx1
iGU8kSLAxDsRKTp4BLD7bWxn51c0OtOCtcJjhNMlCDdi9tPvxc4EtK54BhxJEZ1tNMYRJm8KZmWP
VsC3pZMT0A/Px2sFtdj8itisFg916WaaiLIDzJBXZqOmx04pQcidnFF5zN2Ie6x2ZuIHFHm16Agr
1SJqGYkNLAngaOJ1TXFUnd/ru4Gbrj4Nlcl+zyUvYTar7vKa2dn4e21X8E0F6t2wYyHEnQZ6tjts
axpgToDCZ7b1ealfk6wIo0PjG6MPpjTDnzzhon0diqfntnTCnjSoQ7iO+cGHpINt1pAdXoOPGlN/
va8q61ebJS95iIOag3/DJG8+k6yX7a5uW7/cAXmY0bp6ER/btSsIAPbFpcls/TaBmMAU2bbVL4yF
WX3bw7599wTcnFtwRf4TOn/9DlJnRc0T2XiO41mTKMeIg+9ttYbwZLqsfn2PPy3+i6KayZsAzJs5
46/rhvskCtsbPfZ4SAFEJG8ErYGozzUxapxXZW/vgyYjUl9USHD5PJf+HlFB77EUWvJgg65Z6VD6
1F8xXSlmXsBFyd9onhtrDgHz/Hwo+xDlIRXwtw89BQXpFuhEcq5SjCw7comVOVWzH90ARJyOIAsn
wgYmT3BqGy4n92QpG3dfdNYhxd3TXUH4DRO6wF57LPycppwJrx2T32or3j2VdKMDILL1zUtL4dzl
HWLVFXmuyCBCBuAHnILHNlPxhf7q8sjafk7kfR2VqfOMNIV6FC+hms5uNPjjzTJktToUGL+dTekk
ya9lSEFP1Nz4gO0ugvhVNC6ZeyINyfSbtAgir0MVh4juziLDT8LlZczpMWKYcCsozbtRSy/tsIxb
fEyRbyW64Srbttn1KSRtIOPZpL88kTBubNIxn95mOsDY/XqT2unJkcVzfTUHb6Y2cYaHStEZdZxq
yglviIA69jiVrgQLNg8Yd9ahYp4dR3YX2xWjHYMj/Vbqoue4bf+MEA4ezMTUfUkViFgsp/jyWcQE
YME301hG7YUNPyAxuHbzgGvC5eVvLInHXbeu5VMVyPpPyt/4MpYMO2T6+SBZWs7zKzjQSbFwrFf0
X2mB7MM4Rx7oQ/zfft9KVuFZX7W7Qq5xf4osni1ea1XinZVM5HkZrf8exkVzT10xIB0PS9t77goI
XIEUkElZYi4vlusTvBcC5eMdrkk082zBwUkIXXvdzsudVn6vhnaMM22DcX4sRmZypkx2w7seXh2h
YQcKIhgUXjflRBRjKwJYrhsJ/uYN7ZYvuLRtynshn5fpwO2yjndVOPuAjDun/BzDyLyBLWeH2IN4
e8crkVYXquyc8SvKJOV47pyrAzuL2r0HuBzetT5yA0plUf6xbtZeclWr8u8ofFfRycJamot+DN2U
UgdEK+7DwCrn2U4oXCZYh09DFI7oSsP3dsKqX75NlCRUb9O0Dncx6m/zHYdBODzihzL/Jih95bb2
Vu8Xt6m+PcOkVg1eCFP97kOnemxGt8KgFwlIcrZyE4zq3mTNnQhdskNMNGxOpsRV6inJQ8RGybd9
sXNZ/NF+6jq/XaKxBBSlsvLAY5EyyzB+1TtPSHJASITBaRlZBdxAt5mDpxWBePhk0li6f1CZwuW2
dnMRP0li8v4OA/9Snb2umX5mL3H7ozZJ3d3SD1mj5BQh6mRrsJ1thnhYZnZ3dnR3RkQslzZT6KzD
S90HTfKI/1Ys/Bdb929XFUlwFmEsXP6zs37upjo157FoZkkCwvNG8K54cx8ZTer0tSeOkG5nbOrL
XkGDfV5wA3YoDnq8SUpW7i8dPF6qNXwdHqt2BP/N9R7AEmmEEmPEFy61KLyLAe0WmznG70mJGB0L
pyrBeEnQrkyqw+jGeMIS1JltABZ6D2OcBk5dBI7/qAylgpfUCvyhgAD1skUEY6vYmGR5ym1Ghxc3
92neWr8Iv6pFeV227TKvMZumTxuc2SGYOywqQ06whzsBBESV+n+Djo3BnYvx6gPAXukeU3QJCTRI
TM+h4YzaRXknVrpE+nL6CWGhofQlLGZA0fJh7xu+Zrw1Y+GxWVnHLtwVJSrzJR/Y64mw0cGnnAbt
/465fN6M9CGwBaSUpvrjB9Yft9xzOlIF/CBwQ6RTcmbT4DHVr01/KSYaJnek4FKwqh1D1Tan1wFV
sxzVVxt4OXJ9p8KQ4LAcfidVCxNCrYEqEKQmvP7Qe9cfJ/UZIKBABz9rQzjjLjPaonHFVYoE0DHR
DKMWTGpMwt2GAg9ua4B3MQ3MqnYYWtsZGB3UTcmzVAf1+EC1CvsadNtMbsPKWMClI7WOCtu5AoxU
USvClNVdGYN4oU64IVJ2YhrDhFeA20N56qNxS1VtO7DA8cQbF/YI8L7fAhKrKkAsfh7qjeBU+udZ
TOXAcFX3h36AjI4KJgrexClruo07p9MjIU/N4c35mMOJjM2rwWXyB8I7cIakmI1lcnDBgbn+jNM5
tOFy8rgbLxvWMIQ7BzBNTyPuVayCNciUzYBhyN+BgNRfebWCEK1YXNGsEjRReVesElKGJJiAqzec
u891RG+/uoskLCnTPNer1UeeGPg7IA6cpwHLTMp9rRzOfpK4pChDRwAHrnTwz09cthqO79eHwlbO
b+z1mLxClZQPeul5x6WQu3qWv7V6x2gBD1aWVI+xChXjtuqvK2OPmMM1HQIudJf4i3jvRe6+jM3c
tXv0aPzXlW4E38Q8Lz/sSZq3kNxfCIELpWYjGl9TuMPiBAYVoL0G6lsUkkpt1q+uGurfayRy4KFo
NHTjNQEhtnSaUhZ3VRSxQGe1uvH8uHnOjcSEVBv8tvxpc/THglA98aVFdpsD7RiIvRWFc3DzqKcO
3F69tk2V949D04uMPGfBvgGn20R9iU3g7lIQu9Zbj+nsVbfR8MjJWcMjDHmhE19s6bGPMF2/N67B
M7/k3fqhmwgPIL/MJt/KOYofCm/mnsCgrclBCsfWG+0JPKKANTvwOimZukNK0CXeUuHceAwIJQtw
vP/9+zyK9RtkQCnJZ2KeztALYcmHc/7vOh5DqF/d5UXKKoTehteKWxyfN1e2jNWnbWn1CDrtEGuz
xJJdCjQeBiEX0LrgeePN1W15pGWmTYjUKrLsJcuQYlvye74BZxcPZ1ujBm9yMBbEY/MYe6sh5vJl
RGXwwEN8fZorgaxUt2n8pyY7C7IkIud7kH0Uv3u2YW9ec4V9ZsXJ/4mR9dpXU4z8MJ1J93K/dhK0
xwhkb92LOK2fiszLv3t9BQ0SsHMOLcdOvlX9yNMF/Ca9j7yG+DCXB7RCPggOY5sm3KVllizddimu
k0jTtlySahF12b6b/ZGdX1kMeCmoCnvDXIrYTgTmmry2ibqZPZwhuwmfwV9ndbK/FP8ogZAfi5s0
ataPmfeg3iZjLT+XxVE5mlNRvJEFNp91E4qY1FegH2LYSO628w2ovdnl1NoUTLIvyeil7G8jDSoI
BZuZ3y9xrLOHwIVIjKoKz6Ucu4/EstQ6p3x4f3ARgg2BHceEv1a5PEtcrMWh7oAh4AGY9L7VqXyI
Quvo/Rg2+UU0C69kf0nLHDRH2D/MYxv/sQU/lwOBjMTZUJkkmj2sSPTFGZWCNTTiL+0DEWPo2i9o
TjpcjL8LQwVTFS3K+/Fy6WHoC5ZwPBV6TJ+qxoeCMfvYLncLqOJu23WTAUKlCjeoN8YXgofFNcGZ
gJnznbB9SriCL9U9nyWy9UgD5A3KF38B+Z9MH1rKmxixxqW/7UrW3bs48S3/hE3/i5+ipQ0bFB6P
KyNcfrLt5KbJp7D/abyLnzsp3IQexNZHiTlKHuIRNj9RIFYm6rFWOGM3FCjx623XAcYEInMW32Zh
Ef92hcLz7Xdq+GdmjAc0gnRmoudzguP5Z/UAoQSbxutVfH+FAWBG47Hq8LyxofYx8mPoaMXRgPLW
nzURAEX2mEKFBRARxiXqZNLihLW6Z5WAh2GeKH51uel+ytCyoj9YhsjwBB0VRRNBDdwwQjZHzpDH
ywm5mbhVNyt7KulB4Gooq5yuroQIdpj7w3ehIhXv49yrYSoPUf6758X0LaEGI9tPXZIzYOds7ZZ2
IqCqWE/+JEkfrem2yQc5dedV+X58wx64J16b4Krl41eh0sFl5iBq/tLGYxlqp1G01wYodZ1koLY1
TBR9opNf0sMvtmMnm4XEy1BkjqJv84vf4DreXi9zAPrrhSCaJQNAgLNWY7ldC1YOus49Iv5+ar6R
pAOcB17fLhcLzzyBFC+okufD7RqDawhE6zw8h4Qshohkj6Tao+DmTm45Y0Vzo1el3iq35N+jfcL2
D8XCPmQjayf+TlIgVtzKiBhsWizX1aPJqpECliqtfks2rslJyyl+c1RsLHbDiDSN33T632ADMmIN
sEi+GAcSL6XQDPV7sHyxOibj0L3iWlThRnPthVLRyoZqnEwt8m2i0PDVgOrGS+Anoz15iw/GOqND
xx4TctT9Puxat9lNcvLvkXz0xKuAtWu8Ia9VDbfGU8X0O0Nldf862NUFp8RYg9ch5300/hI9ZoaF
60dfGFTn0nd7c9NVcUP+G1JaV2/ZZRX1t0bunMZdmxMv5k5hM9K3G4+8n3NhtuHHhUla/sx6gvjH
n+LUl6Jd/QQOyxiiJqflEN6OMQ5MOpSKtNxMQdjTJAXEaRQPVN1zDezh/a/wN/MII5xfVSUOEGPs
FtUth8WFM6RZ9r1bpwpIt6h888CrJW/+hujc6hSwt6XnQ7PU3wANytoX4uydffbKyD5bHKxsqpY5
5gfeRcAKeVYLAwR+LcXLyvI95xhP5vwNlHOyfORjOXcX15uEuMtp/uZ1V5YB7ATiAumtxspHm1FD
HG4vI9JJhI2r//WnUj2wSCgBHPVlpXY9zd1cVUMElg2r9nR8iLWy9jTUnbrleOeoIW9n5h82YrQZ
hdiP8BzYFH+ZboV6y2zZyjtThUm4czX/iz9qXXbBJyFSTz5JUK582jiS2boCxsI7RBGWfuAl3nG1
JuKJN5SmC/dgtM6O3MYLua2NQGfn8dPdpsHIO35jCWcPCtYIy2NqDbs7GD0wI7N6mYc3wlJwL7JY
pfoeRaAL951mxf6lV34jNd8Z2N4Dloa6eAIvhkASRLp+xzM5RJtpsOYhHw1Ao3adVxyi4Fvlya/D
frlF0x3Eezf267xzQhVRTILsTYTbpK5X/kMrWPwbReRiehzpu+vfOz/iMWGVwtYjxJDNQ/9jkHWx
E8kGN8bqjRJ4qMZqTyumwa3DUNLSpgB7PiA5g3rU3zKQMnY1GH2CJ8ooVPzmw+Yi84oTI/2KRZS7
z6AMZ2hfDLlnGDRK3msMKOOlRq09svpoW0z4eBduSJbA7Fk9lpK/YW+GiDn4noVzU8xOVL5yYcQn
D4e/Vu68bUpyLK+xVG3wSgbMhx7IGo4EHz5IZzvCqyAwSALZBW0OMuC1wAoRHbnuuyecEXX8ivZH
BZeHrbLY9ZEVj6YpcnsKYR1cjMm81zSpCCA6hAX2lW6Lc9i6rN6QLDJoKkXDZSmZePS3iz/Xl2W4
BkoijXT21DhI6eeJ+A15XtIiRA1mC4wHV+Hk3KxYInNSjC4owgd/zCiK9NfR2HtUJJyaFHoX/q/K
Q7T94jdVhnt8njg+mFRCjnBdY+H8RVE8vkvJRoHqtlqquaGj3rKw4JIrCUVsZMDZfBbsuIa7tkO8
JxiWTndD4iQYAl2Ye5JAWkI8VaHeE0CAIp0nyMETXqk730+GVzxO7TczrEy/E/7Mby1HFpqVEBVC
SrG2/4i5qZh1WS2QkJZlyfObpcvyJ0zYa7aboB2MWw3VFVgJ6sEdy16FLse3VNTbQZTX11FImGs7
OI3YhWUwNM+p7UfvEKwNc+q0YF2FlmJWS92XKx/CuAnjQ5W0LArCOEeIaOcFekfaDMkuQFPiqSsK
0+1mzmPnPWSjG31Ok/OWEbghS9E5x0ByVAQtn/CGHggR31Hoss5sbvyOY12RLxJcWZPeKe+7YFkJ
GU9VgTqpBgS12MrlMglaqbmmQS6ncyNpdL+SXoi7u6521ZsdVH+lt62e+1iyLHbuFET04BFQfhUc
Nb92dYwtv7j3TnC92kweeDkYc8lcHcspTL7yPJZ/YxzEXAjWZP6pmqih22HUPQQC+O0vaooaujap
2mlx47TLO3Mtlg5bzN4laHFKUehlci4jA0mtU8oCk+Q17ST5jdeHsIQwSJAiXQvKFo4FCYxviW/B
vlyRBvYhwXMK2XRA0903tsiKbYSxsDzW7lDQ7NkMf+qkdjvmbKfHN+kkxj9lXNa6fYjH/zIkqPo7
FuuuYafYCwNRlbQ3NueqfpjtECIgAUZx3wHgAKEDTs0IOMtGrJdlLWHzen7S61MTjf1wsC47d7w5
g6i3lLx6zqkiu82A7pcguYAOTNGWJkaXhaAk5LRLUcGeQu6RAERBHY8j3lVd8Bxap7Ufwf/lMuWw
FCRtBS1vdzjslxtuQkF+J0TXfzKZNuNReFEIA2HU8NgzkY87Ulo9oRyAaQc/as3BkXSCbKjOtcuh
GRNV3DQFlnfAJ17CwpMfDUu+yMjlmCIvNfceN4T1NgyjOdxPqRTXWo9iLruTCPPgMdVz0H+FBa3R
dIXYUR8Rc+V7SmcY8LUauZNUdgyDDY487QSFcCbDuCQESAPJjSqIhojrdpJnUf8UWK++CaK6cKDa
+uN68FiO9Y/RvI5/E2yvKBjWxl5zO3aZ3WlxRV+zXVp3s8Ou/pZlLeqG05FveJyh8dNzQ97isRZx
Xxw8LhzX4pKuDD4HPPOEz5fC+fZ8l3gbQk/Q7DHjab/YzrAm6hPqw/q8imxIlqMgjRRwwSaiL/g6
jI8w76+Oc4ujCXtI06RcNbPIQYYFoUfqU1XlgdeJ84iBsfe23UTSOqHMr4qafRwFct62OYoC5mrl
M5nqVv+yY1zdhgs+rW3C6j05RtqPBmBJoHwirpKSG+7WNpHiBCcNIG8Ypr0Fa3/EQWBa6MQoIivY
gRU5M8oTrK9ttFTOR44F8VbpWi7bCDyOPVAcSO/p4GAb4EbJTRiO0Tp9rGSCmgNOPIjIk4ZIhH24
e+IF577QCJKuT2qQXPCQNruWu9JC5Kzur8jlMGwcQAj19ElPHZ4ODxsRhtg2fUsxwv1CSxQl3+HC
AgNvlPBPXRM3D94QdN9de4WFrAOI5CFJrH8pnZHDf1rFAkap7Nzbpves/t24RdI/ueQXD1yYe2Z6
G0btq9c3YXaW6Nz12WVRdgwKX+GoWFrhPvWoh1g+vEh8B971SSliYaj568IO7Ikfk/K0sA7NPqKJ
JOVmoj12356X9bu1z4B60wtJVxASgp+/2GVOg12DG0LuFr6Fan9Fpwa84mnuPDBB2ZaTflLls7Lu
7B4DTd/mBgIGSxZkNRAas3DJ6bAy1056REuO0A3HLJXhMZ17fdVCRn99DnK1/FBsEf0duBJdgEDm
+BMEZdXHUcl5fcNLzm0j9Jb0R+k+m+6U56SPvHAAYuFbnqCI+ZBaN/7ELf/m/0qQT9dYDkgs8CoV
fyaZUfXsDuRJ9oDJeXM2fd46385IsFcIVcUPVV6E72Q9OvcLbbWNn03LexInJUehS2/y2odbL3TX
6ctfZtdBNLo6H3Z5PsQpZhCSyxvDBIBBvsl7dVPA4ZWvWHQCSFhoos7XuAbBLWQrq+AFlh5pqaTS
QMd16INLd/kH0FNDsjpAq9qz8WRmdgT96wtOvzG74yuqv0h0VnRsjL2caXfoxjs9QvAEadvP8+3k
5XTIbXK/yfhB85W33xl7oegz6MdRMDi0FY1crFyxqjMT8bVovl9ueBC0At49DbXbMTiBC9k/KDET
OZZfoA6SmHeAm843SsVLe6oldt1DAJdTnXNueOHJ9cP0rmaSXB+DfsXzMcp1yegHyUV2wxSMGXvj
olOm5+Favf2IpWBdj24R9u6D9mGON7DRcAJ4DRgrVQ+aW2rLX0v8sUpE+NT6lTpfM7LrvrsKBMAy
/McIbtVfYdml7WZMUpiFqRHfEQD0zqSCIzS4Ls6y8bWazTj/mZxmbCd8X0ra5y7Oa2evzHJ90IWI
GB24Sb1moqIIemN4kL4R5BzxdTU4+Hvgh6n/6JlCJzdJz7B21zQyOq80WYQXzJVsBWN+4tMHS0xd
H5Pad5ZtPiYTHBirxh3olHrajywtOE3jawp2W0dBtHzbNB3BEfP4LtO6TeRq3hy43f5DCMUL9Zk6
adb9u946ZOCvM9sdpnY13LNLjMZDx1CBCSOvGdzxM1bL92RbzWJR9eZPafrUPobzMpDdnuaEnhze
tyTbQhPOT2xSPA/73dVexZGT34O8lA0bOBZqaPl0aG1FaE37RD/nWB/zGT1xa6gMObvNFFFvYSbe
olVR9t0OWp98uCZyGZeoYww20eI1zmNLBZndhP5Is8o0gFs8uIY0OMAv+t93JnSyFyo/hHfG4Cv5
M3Q2NwcFReB1GeDpbwGmS+pSljlHfVtmmclDU3jOmeIkLCuihMezRwnlNtVPsTdsS5o8CeGUOJvo
4yhLr7FAgzNX7VYAOtHBZ+v2201KmyJHJOM966CrNxP47C4jjL3yaSzg+ch9cAMxuYYGxsKiaQ8s
YFDYgYpfQWeC2sitnECL+0O/KIpn/N7sWOp2j1lJHHs7pCOTAgZ3RQ3CtRDYevDltvHkzC6q3hT+
kX2ju7eJ4Ld4QPF1xXaIMg/nJ3zCO2yH1a0Crrhu15JcGaVoTWnO9OqVfz2gQNkhg3R260tVZGAP
/GF5a8vBwd08Jc5tSYlSdClcf03ORRF2NXysYPmbiF4XH7zK5qcmKWR3RqolKruRCGRPZeItVzCx
a9gkxjMWUp8OS3rLl57hwqCYsojyuOZ4eiJAS231tE+7vPskg7jWD3ybbXsmQkcvmy2gn92gIZIp
4DH37U/JlYczQ0djsyXWJygmEKywdxw0yPNOnxpauVsaiLhQp3VI2UiFrb0nfh9vPE20KoaT6+Kx
LbpzDTsahA/bsJMcaJwAHcgya6exQlX7FcH0ecUYKE+ohNHyVk+SDMoIuOGkAlVlW5zs18pJem+6
5ynDvhMlpnFe4oVkJa83xL5H1gfBk9OxF3jM+IRoR89TVjwB+dWjdEo8qj2K13fX0DC86Y3SWAtk
sBwd2xR3yPYiOJa8Qc7GXUyOMwT25n0ShJqiFF7ApU/0NYzbB3Kz7jGixAZCZdeq8WBz/PwvyJXZ
K72pbX9qq9g5mmaifMQdYnWuYvaNTwtyZ/lNSl6DtYujtfhRpUP/KRhQHnwEUn/4mHFsnKUzuFRk
LoTW58HJmotZCeVuFlX5YI0lufptTOi5P1sNDBsVLAnrg9TOAmjH0tbAPzGAdTz+zp1DpQNbiRk1
jRqVMHuYId4tZ0g+8Ndz4J7/YB1qrEzoes98/zl/XywLua98SATYCaZaf9R12hGnlmiGgkpiNpDo
Le2e41AFx4lTh2AOPU7eRtka7ihJC31pWrSqR1cRgmJ3QXyYAtSi25uhBDOIALJy/XXriRJLM6br
PjUGUm7ISkZeAuClj/lMZd22z/PqY2ri0j/EtMwXlKmv4YNtvSndE1MaQsKKV+b2ipTzhIcGgYOd
ro8bovSSX2SQ4N3AEZmG+46luNxgq+l/gaDL2TylV7BhyVUOYWwmQONEdUk/X8mItwktlISnxLhY
CYVb9k8dtzL3xKAgPsJRe8jDZWxO1I226+PiYs7CgoYVmzD16t6WPeBt+jX6OHnOZROr/SpKxVp4
Ev/YiBrGO568H67U5oxPFAOyy7sYMsqs3H9X7zOFk7Qo+uch6vVTDM4o3DqOwf2DOY3YqKXn6wrD
Hqgk0lX9440FBvYtN7v4ALElSF91POZnD6Jl/Zf4kg9ujvSrwMhXjAP8QcNmnn5uf3HnowY/sbwH
DLPuT+r5Q3GKsTuxFCS/DCHfa1/nNMQ+swZFRvw3G6j+3CGXzdMtPIwYkDxpov0KfJ+kQhvYlxEO
CDetJLfJF9V/EsCOgAMI2KTN7+lUsPykrY/3KHekKKBULgXFiwVW0ts0Lsp/o4ywmEWAzyaWMnHp
kVG4VmuSXedSJGeVvSxqnS/GIhZvOzpo0607NZaGRHJmD4KzZnwN2zjtNuMwtcWxnZ0AIkSyZPdI
avzhQmm69FqvE7fJBAJwo9KVyIDBwMp7Cq/Lb27YOuM/HLB33yhN5eFJ1sA+Tnp0hmMXENI/0kpw
vRk6CO03QzNUp0Vh8N/aWq5k+jJP3cKRXX5j7mlq+iK4ad3bQgfpLh+7GFSxxv6+g30YkkaNYB3g
saex4eSq2Ga0DwQpVXxeU6X/WBfxygAVopMdE7PzjS2a6THvXMiNaRDo5r2y6YrMFJJcf2Guh5Tq
SEbGLQ4JrGOilOJEY562h2jtov5s6jzsLlz1Fv4fhRP+g643AawahTymSRyD94oa7LcZafrhhvpA
QnMW1ljKKp0P7D2eCv8VynqMQhwRqwJLkwlwGyU+wZUQhjqx3einzyzupYxufa7J9qtdF+XcLDRv
3o1RQxKJTWPwHmFiibbFGNCsBcJgpXPBON2IAzDKezyBVF/CAXATFR35/eTB0SQV1L4Sz87rqGgj
O0E8z+HRqVKLa5NBAADWHVnoIdQxtIu5YjT0El05ZB0WfU0NufE+UIN9gCQkAsyxyXidu0hT70Xp
p/MBxAG1MBjwwXB3sxurDV2yIEg5cPWF9sorzwpzLrOJXRwYTX657pARtNolxqqP2VDhxB0GP9qe
DRbhg1gK/QY6d6JmkjHgS6sOMbnHS8xrHdKai4+flqpNyjiT0Kg8Ts8QraiiYCZ1SK25oj+r0UTq
4jIMX+GKkzRHz22He36m+Xprqzn4VToVUzulHON6qUrrfo/0EPXbdO3l22iqlqmcKD9FpLxJ8y3x
6cYi8DMO7EE2Rm8Mxxm1CaXvDBSKuMn9UrlTfDfWhgMaaob3lpshuWdTXRWceXnNnrw15tKKji4o
sCnzQa2Q0e4qUxQPi2fibDt0imo9p9RtfubgqR4axlaaHz2ZxHcLa1aS2v7k/yuBbxw9aSvs+iAj
D2xBnOgMAHPhZSHS/JHDzDUbhOzI25u1wIKZd7DmBE4YHqdhcD5J84s/cT3QpklQeTjS/lP/7YXT
/W4nutIwIaUs4plky7IFMpt5jyF1lQCGAuHgxISvxzAsLFuK7ehN2NBTb0TWTf2JotaO7e1lprvt
P47ObDlSXIuiX0SEACHgNefBQ5Xt8vRC2FVuZhCDEPD1d+V96+jo6rIzQTrD3mt7W15qIFCjXlHz
bUIe3mWXrktgtloC7dm51ikPLYM8f1vr3Je/2aKXZj+T3HRbwU99sl9XyN6IVZ1a31M0EPK3mQgw
fOaBaQg6ZHpJF+Un46sqW0oxUZAiheM7RjTqTrwU+yZCk74DfoBRfMDk+yO9KfpTUtYSxjxn+huu
JGoRb7aLude29bo3n43fPuwrEzAydFicgGwf30jwgM+kkDI+Cp0hWieaGcUOZK23muineIvzAnBE
zmkfsKmaxktQR7PYlZ7PgqQktvnXIhl2n4ZinMezHfLoCaIBcwPJ1CLmRzcEDOd85sQrQdPZkEdB
l9/ECZGJGEKz6BR1QYiUx8N0eSYZHC0yDDKPZD8SI199egjnG4lxApbL9v39HNg0/e1PIZJq5nbv
CH0Q/AQBrso9k6eMJXtayWZ4C9okXs90a2aCLNrGkNSjZBWnnk+a+Tfhf+IGTQqqJ4I3lsfFhLQp
GX6zMxa3tD5oAjLbB1Zd0RXwbsBDp/DsQFxowUyvxNRU1xoym3tM+v/j2OcoAkzawr4ficTax2si
+2MuoXp8ItL3Hu1MUbhzScAwW68H3EX1tcDa2CIAycgmma0Oq36jAQ6UR2yCEz7IwHE9Li/pVsQO
+OvvyfNDpr+lHX7X4NuYGI8BFq7XQBAD8FVDqFDXGKwsLLE4TI2rf0WZRFK9429rFofrunQZXTDz
9FmGciFaEEhRRdLxCmaABzufmO27iGueISrY9mBnG/2msJTtflzn5qqHSky7wJVY19uVguSdtihL
j2wNJkbhpTdcYh9o3o5iw4/31aiGP81iaA90JizQoSUPTm3IzHnv9Z76h0fYcDgaro+NbhrvrZi8
6Ap6sniPWjItNiSyGOLxetV9tb2go+5a0hVIvkUxswlYkNHhuGPwCy1nQjhe2A7RfuyHpsXz2JZn
H5GNOS1tO8sj4xmCgighWdzOJULrIwEN7cdKZKfzLsRCtLoDFK+in0mmE2Gl868Yjy8CC6cr2y/H
QaW7jaEeUMOqFikhmXsOo4+sr/1PKLZreR7JD7gf4KvMGy9Zxv+AWhRqt0oft+yqMHSfiJ2was/0
rK0vk11vzgX4S6hWCX2LWe/hY0frFgx/QzcNvjPd4fSOnLFacdeR9pxNDVYJTKpVds4a1/mNub3H
kxYhubgjjiERV+rzBCX04nU2OLZkZqVnMnmrHXxJ5BpbwEdJfYpjeCRX6y9QaMARIGSTDLS3dDR1
dmVzu/xOch7SE27OhbtZZQR89gFXKJI+MDoHKnvkcWtou+AZVxwpnXVqMn+P+wgXAUJVayFjSIKX
AKvRueQD83MA6L7J8n04VoqwDDBFy3xrIbCXQCnp1/d4MjY4O6Ia8r9lWeJQdOreI2sF+j5avg31
40plz58Ds3dgw1r27q7Az+HvSYUibk+1koa2pp1b4UDgDiQoiv/xDl8Vin34EOOeaj/+MchIR9TH
HYugVtIubALafuY4fZW+pX7DSPNRsYZJnomHw2YJozHGt8lLghDmulSD9n+oQtbiMHFB/bRE33zo
kczscxx1wKwsC5oVYYPH1oQnsIkvuCv6CyEEaXLR3eA+j7GqeS3ZVriHCjuVvRAVMf9HCLP42zAF
qm4vTBXt8d4olqBjpNddLwByoyV0hgdobdb54004oZIlZ8rAvLH0aZTTHMkW07HSvNTwZcR9kjLL
/qdL0gGOC5JEPlMoVvKdBxDvxXYA9JScMr5877tXo3DPS46aj/mWnp3qFIa+KPGuevI/mugO/f7M
V3RJZkVw7M5x5Yg+UjKF++cEBQV4xLtHNkIy9OIMAAs/sYOUNzm5Cw/lJcHsiqPDQzzKieQBn08C
IXVIcCtq661KGOWanTcDi4WcAuaETZzvBFxjxucSEknmqHsNktm5cudl6z6NYa3voW4o9eS6HXtn
3C5TfhATP/ED6mjEWXYI+rNyHOWf1zComMlJhVNrAtTl08s4QXdIu7B64DlNCDSbmNIDPS7hz4Rj
rfY5cCzJR8oyeb6IDBEeM+IgCv/UWBzgxFV96LMgbs27yLX31aGdiV8GzIlw8FkQXmI7GMJ1VRE+
cc47BJotllEraILmbtKS3M1urZHqA7CJTwNLKmLs3dG/GrDB85ESk2ZbO1HEdBFbS70LolkGByQG
YfXmF6w+zpmlJH+JMwgmGzOmmbonWQIRNERplaMuKGqVPTOSDWjeSwYF6jh2QLsZ7dY3LkUcgGeF
lB6yu9mtqUPPugk7QkyfEVjJ+mEFU5UfmKQl300LoxTLInK0Qz0SibmtXctCihaJ2L451PO7s07z
exZa5Zx0oEN5z0wNKx9SynLXwyj51xgtkTOqwgfnOrius6mxdlu0hYpB04pWodwsk8AyXxgz231N
zk1MjJXUzUm2axztQXSSzwKaS2MMn4hCuqSmjF5Iq9UPDNRYmMQ3Nf4OgPpQkQWE0pp7R/sfYUFq
+4YiegEUmgQIGFfsBySTSUHmTiSS4JOSgnNmaKjPjt7CGGOTIHNAcFuRaXSsY0nWPK5P+KfeGNhf
KLKj6k/IMO+WI2y8K7/W4nNeIiLZlUkMdtP3AffGlV6qjxj3+gJ2QOeT86SGBvFLbiCvYP1FxfEK
xVfBF8TOgw7fIhpQ+94UQ35NCHZGmuvIrLwu2srmY1WE933xQ/XJlw68LnS/moGN6gmLehofWn/w
H8aIrgYfeJY626mEdHHhFlpBUlIY8ne6qnGeCgBWDG1W3a3js21FW6IJN2AILgZomTqYgMHYhX2F
Wb4yr5zeb3hT+DN2nZhGJonYwW7IJIMct06zM9bq0AELrEO0oWM6iavTCxVtZyII9Z2qJuIVYwZz
jJVzmTaWBDROVNgW4OiyrVv20cNtF4OWqchrcJMGytcGuW94LbwkJUgczA1ieCLE6ZSRSEF9vfU0
7bSGxXGO6kLuicDhlVID5Bdwiq2anpk+RwCHlpgTH6aJY7dzipINBWwsudvaMU3+4muZ4t+65z6+
K+dV8fko/mz8WCizDC8E4vXFb4Vq56bZMW5CLUFYDpZmVpznBhgWfD5wfRjuiyVXYK5wKh/COfZo
IiDZa8R+eZIcW5VB7N+4M58TxooctOq6q2e/90gJD2XzRvs7/xbKb1zotDnuBMZm6iJYLzm09o5E
Lh+W3jMR3CuBXbaC5rHHz1jzsHPYYrPJdXs0quvCPzLO6TVZUa4HvNl4HzpAQCNicPY37KQsu/08
9MI/HLpoxLETK96yPjRkIoLf+hym0PuXwZhDbcQBCpw0ZoiE+EKIt4xxLLmU6AjJJxc6+Jzzkuhq
ChTi4ek9SZtMNGk8AE+4RH+hDSLOy3cb/7FbVECsGgxyqsh2CDndNl0C1gcveg8EwivjXOwXxE63
5BMViOMKtfWF9TPblQaldXlUDDoQh6X/z0WG5IdXxPSeuMjZiwuY9IqI5r6mvmFtOBJTOvaz/ESb
AsKEPRrGwyViWg9+tQuqa1z3wcFndEG2S1epeUdB6XHeEkiH3lwVM6s4Y5B/cSppaO14JhhJc2kn
W1Ab6U8+io7UxXaCNx2v/j+TE8WXVkn+TWcE6wJl4j+QsgQ8uBjHz37NAG1DCnnhfHM6I/BPBh7C
PaUj+Z+V44YIzSqQhHdtK4HUSd90zSmf0coijYNe/pDRhH/WTLCKXdiHxYvQ8nE2c1w99sXs3YWh
Keft0gc+QTFLCNsxXhzhnzo1S/gfLAmZlMOCyDkiUHA+072P6sDGdc2hrBuKn6paCurTeqDqAv23
2gZPZk1XCboIWSBc+6b8HWpvyu+Nt5Z/3bWV7r6uMTwYfjOHZmhLV79+lwvKwmO9+nreolklfzs1
dIoXl4HgsG1Ct9Abp1QtQoimFm/9VNq3zu3C7lBH1o33feE6/rVN4+SdZ2LqjsBNg/RtqqB0b0Nn
YGwehou6rxc6jV2ECpCs6FmnZD11ibdw7ybeSxxZEup0PK7Ta99ZuJw2DsRdS8xJvYNeQjwo4zB/
3rWuzF6bReDH8kvYGRiQ2DrGuzlGhbcV8zDU9zhOWurcpkHLs7iLuIolILFaY0eFmBGlRqCBK2oq
wheBHVA8TRiz8ispabr5ZJg+AovuMwxUC0/inFRP9MPpO0w+Rm4YtJh0mTBJ5TZIhYNBMa3RANe7
gfABpHetAi637bPWGe/WJjR6u9AN5c9T0PUcYnMYxLsY4RnuwonhH6wznCoz4uO+SyrJoW4EhrnB
MfyMN+UJVhXGrvCheMAnd0iPTTtgidVVrWNA6gCbNMuNLi2YqBUaV0+nLSPLJlcG+a91IhfRON48
Wo1q8N1WHDNSTex6jxU5Y03bOXjw+1+ezjv3QD+m29elESvxXb6vx/hQ5smAuVxlGJcHhfH5qdbS
8MGCm4NEgfTYYMFkxR0vl35F3HiYycyp77uoUequyEfOx6ubypZ4FfTb0QTjjnNOAkPQgTmyrDfm
m+3UHLwn7E2L1z6rUTiTgwJAYesOJNvuil6vzZ1ghI/GrGauCzssSkYYUl2IZX5isF4d3YY//pxV
uKDgrrHAQL6rTeBcCsP0+riKOst/dRUKzg1jgI7/qLY2g2yXEiKAEn7q70Z3ruaPIm09UticRRLe
IKpmG2s5XAmkkeuzAD7nX/RUQYxy3GUKz4b2eN7kFKZkiJJSweShUQtFsOxgMx0tS4W/dEUWx0AZ
ukjPKC3RV3FJN6CBUlhC9FcgRS89i1azTYzvrXTNcLZ3LthP8AhK2GY3tiiLd7HnmOpJFAT/9ZtO
kaB73y9cXIjARihO9ywllHkqPH9o7hEcLMNrYOmJmXiWaboLnBkvoY88F6CJase/Y+Cv2QNWeu+u
cU3/gvhb1Ce/80CGKSwigjFCS6bN4lMfVo3HhKh1G8F+KO/Gu2I2wJErm8woULrphglroUd9NAWa
WcxBZfRd8n7ZPbRRVRHRQiG6GTPoYghURQwWnS9Ghke/i9F65/B51WmJ14ElHLVitUXHRSIq/GY8
SnEek7nIPUjRxlbG6vu59Wjemw7CNHm7M4rCkhCW+FyO0kTvLsPctxY9MEoYpDn3WVXk64MzTaL+
hDvS57+IQeAkYO9vV0TifRWHz4burdsBYLBf7eBQyLcBlckJlXzyjmJYn0GYocVHLSd46Wmy7qa6
Q9s43go1sh2ZQ72whujCK5Rd3AYCSaa7td3szieD2sDbd7U7ql8ZDy82sQrsx4NjCHrYzVx731GP
yP7oqcBk+CIZOW56N1LFzm10FV94ortfAdi/W2iD1R/sS6p+Fyg6BPAiw3KZ+b7F1gaMm+861AZo
OQDSjtde63Q1p8Csbv1vDaLFufA3hPVz7nbzL+JfZ3HneCJ4ozKUdUWE81zA4ATZgOJkq4shct/m
Ws5LeeS7KFPW05gKA+aN5Jx+6sw3CWE2YfGas2Ala63k5cPMd6OqP7PGjDOW4nEz/kmKNO3x3Xs9
1kr4eJV7CKjQqnuW0knyycu7+hByWfOjaOiyVOzoO29m/rG2ZCbjeurDGjaAVxRfYwnF83ZW0hcV
gefdAChlEHo7L6oY95kqGVBWmjyX3bPlH6tzGXAKc4Yyj5Yv7TrOlywu4DJ03C1k3hQtvmWtAMlD
Dg5uj1pZqC+aMzm81dhNLzxhFm39FOHX8rSiPSRWXYL+TSETf+POCuQpjAqC6jNw9/qtYp+iiZ3i
W8fhv7jIzzq4gwcP7fhbQGb8AwIH8gIBYA32QNyYNyK9SPTMgCSsRwZXkXyFG6nIbasmx/+Dcl+2
R4scyT2XNywQ5RSZRk8qwOVj7DhVpwoierYvAlfjBkUyd7WZTmOilfBe7H0XPyCli5OchZ5xHg1r
UX7zkvefFu87iFkl/He2SoTTLaAS42OmPJKb2a3p9yZMXHJspyF9Xbva/II9xTy7xQOB6I10aXwf
rZyab6qy2P6Ujs/9ogOyMXep6fP5guWkfmpiE/2XwSSxBLN7NkIiG4HLKrKxKbcIxuf1NZyldx4I
SfO3jk/ntx2Z02oWO1xFR9asCQLhxoBOyZtAPrdRv5R4sMBU9W51q5i0W/usM2656ijRi5khIlmj
52icENvUeqrrQz7Oqt9ZKjPyIMG0EyuM/JjQ31mzTM7itEU40+dMNGFWInGkNnN7YkuMdzBklTv7
MgiCe690DEqQ1S8euV7Yz0+x5wGY78OAdX47qy7c5g6n04FolTk6JnN4A4ZD3C7Gt6S8IYiqPkp7
1DwCe+aQ2uGrdHNYbBFUIWzARCRMuBIGpqmeX780yHV4zynk5MZiXwEli2naG56siREJbFDgr979
hMH4vzWHH77trXTKbb0w4QGTQEBODeotfXZBuKPKE/Hyyr6PChowoAMlElg70NLcbRH2htb5GYou
v8q6jctLu6Y6Ozkqbe6bkvRsrIDdNHmbOV99Arwls57dhM3sY8Y3l15yBabvlcqhuBrRN8XNWBu3
95Y4CfF3CTzyqHDvJnB4HK9/57EB1p1iXei2TJUDmEeqSF99F8vNsas99JdnaN/1/DHhGEDUOgdx
dTTM057ABkb/JsR9qPOn2pUfNhnNfE/2D3meqGahOAPobwkFG7Hmb6LM0+wf3eYv3ovonrxcZA0+
3o/n0HqEEKOkkOIxchiFdWd3FStbT6gs5qFxg5EwGdHX7q9gnXP/GHAbxQjEHVn2+mCmsrId0nSi
FAxEMWSFVPBNEInlGlP5hXDK3FBOGzDRpUOzwmKfJWInon94pSLJD0EI9AmVzhSSeYxgd1PnA+MH
XI4WRo4YFkzUuTtAt28WBVpK0i3hw6vxwFB5znexJp77IK2ILuAmku8phLO5M5Xr63fqyKkg2J6z
4suDnPEK28SQFZI2P2E/2WMjZ/8Vo0b4k3Ejk3/h0hHgHCevi7TzhxjFgWVAAyAPuwoUBfrraTnN
ooDhp0kFeUWpzaGPzY7buEsE+5Gw85jSZFYFyRV28PqJVmX9wqzpf8I65pfxIpY9zPUw2h1ChEW3
fB2seDkJL+tpNZQMW1wmGJpiSsF3cqLdlU8+jucT8Rzm5h+kOX9kmlyoX2iqGoH4hYqruw9yT613
IAydZYeHMMRlTq4KQED3BuPqG7ok3u0QWmCP2qr+7rSyw1lDbYJ4EPpFdU2AXDlQmslKeQoEf6rY
JGg1GRGjwOf41Mht76G6lpgNpz58WvVI9Abi/ZwYa4PbjbeBWOScK/SPr4XzD3u8659CoGXi95yN
Cbc3GgOSVHCrtbver+vi4aZ5/8NbQsjMUFTLFjZO4bGgXcqT53YlHOsyIbPrLw4XJKFj4smTISuF
tWkh5zsVF4M8FyRzAmqj5gdxjxGJyJU8ZpnfvjpVUdOI5XTNBNpik9/7U00CjzSTNwJjy6z+nHuv
D3d+547rkXVuuVwi5lps5MEwN/9QF8d8EAXvd/tRK+iCR9wGvj3cEoOW16B0pnFblDcgKMgLIkZY
dnVJ/OQXvOdUrlLhJMP0D3mJcLVtX2oiazcFCpaNaJ0ufkxTyqmLiuuhg86LEj053K5zCDEV8Vqe
HG+aV9/1XhqWaBm70WVotj5p6952JaVzeq6o5LMDcC3x1KbwODfi9i0z7qzH/Ijpp4wZcbScqFU6
WvRFthZ3QkT1iexJAixokdbuBM0H+UBBaf9RLCEWh5iT9jShfeX3RZT2C0qNSr4BkuU4alLVUfIk
PfmALJ2We7YaxFkkWeAAxJwC8F0RR+4f6y1I8Yx02aLOyu/BN47Oshee3/m/smVauW3w9yMRQlX9
Mmbegj9xzbv7SXA9x5628SGTLpMp1rTNiv63koTeogTpn+gneqy9uIt+orrzuyvBA5YAgzk3d7z3
dYhaV+gX5Bqkf6PyoH/pndImUAoXk+1NGwSPBdvDFagmNtK879bvlvc9pbsywI4Z1gcuXk7Wf+BR
AN0msBTww5JfEJ5w4rAZhy4DiK+j/UOI5cdecfQ5dZrzQBc27Xvwy405sFLJvT3fq4sFPrMRG6fK
+Ou+Y74TD7u+Zf+ijmg9Rs5HkcOpdJ+8sqDL6/rAcY5j6y/9MfAGPgUvZ8PAo5iiGimcRfwxMrAV
zZaDPkELZk47kedJ+DOvlU6IhiLKA/lZB02vAY6N8srOA68Yk9XqCTnjsjwUGtMVzzJs29ZMmsuU
+IR7VqSGgajhdDuCTQi+WH0wlJ7pq8dj18ChPyOkRHeVl3AWtgH+jZebPSzjfnY6zBPNNNwXDgXu
i2HUfOqd2RuZDacjVeNYeUgAST5I8Q+hchgv1uHC2GGN4egkhK1JL4oQXAj2Q5Q+MmsHDGRx79h9
GMl1/jMVI0EqlA0ZzLqUlMr3qBTVfZxCNyCWGT8NNm4E4qMvtwxLOc4Tp4u+JTITMHkdyt7dwLyc
EUOTmd9rOhB7wuQhuhDHQSajLpP06pZOFL92wphTRTBIuVHRhGCCeLAFjVlMdhT9oO1XKZojIE/P
3rGTzcIniEhgfZnSRw+1K0ivanGs/aw5XfcOWaWVW3EzL5xUnc2AjoKYLtxB0GpRW/nypLMFtKsJ
iCCgAGqi6ED9YuyjJippX9Ggh/sUPId/N0Rx3+170k3kZjJACg5l4VFxTYSsFecZVtpPl87o7jAp
Qt8kLPC/fiVU7pSpENY3HBdiVk6spPL13E0WSmFeULDzJkvS1WFn9elxZJ/DojfsuKIfNCqT0Ofb
GPR0Ksth+ByKeQzQORH6fIv6BvLAvd2bIdd3OGq7aDopIvqGSym8ykXdw3X67nYaT0JtIREh1Opq
vhrrzew7O5yMW+TvUB172pivLtTlhA5h6ZYJuSbQl49EVO0RxlgtXiUS8fIJqkfSP8zQsYhohd0P
dhAQo7oFp+YJ5juPhTSzxRX+Aio2nMSbjkFb8azqEE1CSLh2xDo/oyIuqN1xL5XpoB5wUhAOxAbg
Rm5ZSRxatq03sGUoy2m4uVnqkqC7vGSg2K0eZI0haZxzl/OyMguqmJ0TbzeSf4N2l+OffXm1sLBN
9rKKGtoonkqZFAcvI/oSaouBQfxU1sKNb1gWZ5ifYoT7iC+6QNfjpiTYckkPNBiV7Hbr0safgVOV
2a5znXX4o4lzK3cVOuUHjGjzc+4khd3ggmXQM9PFR9sBnPF9w0Dyqe4plNlYDvbiRz7azQA7/1Pq
pDndjCWp/UCUZnEOkVIvRw2+Vn44dOsFwS1ogort5BQpzL81r4BVDtOwfqzSIs/d8nJX0HWFZzWa
WuBk32Nu6lsoVmxV9+Az3uI+ZACKsj0KyiphiYrQdBk3daJRuYgwB9ImM0bEDyZEdHKNQMuxJ6wT
VJM77rpAHgjqdiIiLsgobx84ABOJ1DMN2Epir4e2hW4cNMpRMmSLghO4KhChO/q31ngbjzUkOHfU
bXn1N/LRpnFaci6jzieAC6paSZ4jQkXqgMy5c7rZW+5Nkwb6H8PAmelN4gqFpb31cvfYAEVCu1dh
c8c2Dw56jcY9ovwy/WrdKPb2cs7m9OoBYDHEXbpzlqzvM9fVvwyN3EwZNYjqN4kvuBR2Gt3ITLE7
VO5Dkcc3RxXN72tf4957Yhvpy3ftjw5oD09Obn7XirUP9vMM5GWPiLg0P5IeQiasWjOIGf3E5Rs8
sM0NahSObQLclkrHzx4jMtJddE550WPBq5apf8DjOZV7zsGqeQQbJVEYwr1L7/IAQcev3qXB/k7m
ARrU3h3knLBSRuyZ4aBnSaP+BpQT3k0QnFTvPjcbzg/DFOsSC0DM7wuGPYTx9aBFzt6tZVdkLas9
vfOwcsd7inyIOPwfYRB/xbNZVfoiMT2wVGTFkofHloXz9D3IyO3x62baOdi2V+4x6kZq5hVWYAaf
KCR4YzegE4tJxIoSK7BS15RYW88hWIXtdxa2d2jD45TEtXyVLFzQukzpeXD7QEDz6pRdvlvChMPj
JBUrUjC9+JU/yoK6GTmml6W7SbZ6QXJp4/puLjuvJTw9o4OeEsgg364NoNtYRlEjcggugeQREgi3
A04+l1VWnAnnxOzXnXcZ4PHwEE4a1Au05kh7x7VY+/kBMG0ombjBzUEGJOb4z8zIo9oPdbyER4Pz
ZjhoFNvFvK2DsSb2Hv6NeCZQiLhNhlNefxa+HkgbzmVZceZh9PHBmrTJxOAZ/qQTEh8+05thsVi9
HLogEiGU+jH1DYhcKA0HUINdU55q0A+yxZbBYUik2hS6vLXkCRVis7Ax1x/lOI7qRXXIZwlh6hVZ
RTYkCnPbFjbzBwzmdLTsj5mExXoXFhhO+JdsK74bs5TNFg/eYDdzmgj5UUZZX2RX3pvQxyxdotbH
OdBwov7lWavpsFfiZ+5T0SegzBQr9U1UdAoyZi/JcGAbNkN9AmKE4YCGWfO79Nzb7zOjD/+OdUUp
flSD3B597uyANEZBLSMCJkqGoZCMSTRXAi09KMdQnnydGh/d4cJG4VIrBq0nK6P8ZoEUPoc68SHk
YOGoQZg3MvLfBug7PivKuOkfogemfsQaeZEhIaUDnSLBtgzceNY6TyPBGDRV0vLMS7dTSmEKZ61+
H4Ijl78iH6yOgbML5Ql7aJuZJ0P11cUXhtkD9LgtVtAcJk+DB7jKH0IwQrZ4AFjY2ujQQl7ruj1m
YK8Gu9iIUERbUPqYpxfyECyS9qhYp0PZFGH1kVAGTNeIB2882qYnr6JO49yyRW+G+DTN7miPWrik
8jmDhGHE1AL3q3WXhcSlG3n0zLR/nNAGZ4g7+6H2YIbZKCJVPQUBtq+Nms8VrRUSUT6kelcjYmOP
jFiBeVlR5U/IZzvG/MFUknbU0TVsF8wRetc0lPw7x8YjlRHjC5q1rCGxDjm1txn8ZcxOzGuC5RSy
+BM7NloCPUWRxSdB0PI3hzwzxrpQ8q71R4Jt0Vq8dZXwzF7UZWPxig9YuiQOEkZKQYKIAAsCY1E9
Z9OZ2KjkZ2h9IpZ1kETDD5qRIPiis3E1XwmyuK1C2xKcCFzu7G8kdUThmNkHudAWQx0eGOvBRS67
wdm2xK2x7fMnZ2KXx4E07DRGP4v7hEjl7zKy7RXBSAFlr1xpolyKduqhKphxfqQeDrcITCku8q7M
r8PQt/EVEsPUYnGuELelBNl7ezZTVGphmhJjEhY5D1botAWSznYOVs5EcI7oe6Ps3RnbfD3VcBwH
nm23Sa4cAminxika/2YsHV9EJWY2vtjQkM+7LeVwI1F/MJqiTGAmTr+2icqoDTYzHjpIE4viHXDA
oBK5FKv404UcEPxafOqQPcWNQn9Cf5JdSJwJp0f040V+HuJgFNdwrpZgT1pE9meYZBQhCaYFvIdp
3r0WEYrLL9WkDOWaAMbWDvmLnx506TqfaRRUPyM284Zvwx3+GGdd8FmRA1hvLfKvbwgy+P7J5mWD
oJNbJuekRPeET7n2zitpbn+rVOkWvhPUcUR+es1JEUytx5avsNcBIufPOCEMg1Aax+tvsrSyxxYM
1HJM6jrotix4b4E2rQjbfUjCM8EzfdickB5ncufqNu4YgaJ8/D16rJoOY09U1eM6Mth/ZllFMgef
T9Zy2hKZtGFfEBzpkEDoZUP5ClfB/y9o8+KEzhr0PW6u/EV2Ju0uhfLhYZC9AytdRY54WNIJOzBx
o/XTJOTUHmq1uBGpS7EkXg/8bbeRKh+eu2YumU1zGB0KFM/NMcrb9DGSbLZPk8+wiyieKsarOhEf
uXeGTkGUklkiNn7I/Pkxa2qrwI8bieNhGCPmMWnhbJWb40sQzFjDMyOW+Rw6LmomY0NJl9CkOH7I
he4eYPUSweOoEBuqi3aI4Fr8MkRTxMo5Nn1CUkaJUKBk+CwROeE0ZA1N2Kjzq41mSIXAbgp/g1It
RaqJ/el2WuN0O3SK1/grSXG37cLECZ6QHQGyN41Nf3e1KP5JpxB3DVNy5nD/J3c5cYCWv1zX24GI
IR+lYr2McNnHgkkaiN7mLoBdgWhsHAQrTNzfMblIMM7KG8lwvAIgCNGgDSu3jSpr+9d1KYFD0g1A
b4Rtfp6IJ7iNmbAEog+cJHldzlqPO6F0t1wRvKf6DsUaPom5yD4o+hZFsJdOXwwGkOBig4wULOwO
5VvjjPq7IFD+XwF6073c0p1fnB4d5pYlY3Pp+JXyXYa/nGmNSwbHS+sO8WvKOfoUzKWukH9x+AqE
+b14qcHs6jMJPdOBtR+fcpSEhBP6OrDbEEX6QG0DTHYGCJ18M7XyUXOALquOIih87yS6KP+7CrH+
i9gtkcJo1uIYQ7XFqudUIjpR6S1sKWN+e1KrRYp/lVcnpscVNtzVaD+I+0qD4W6ELihZjvOkMDZp
A3CesmRkRirTerFmCoFyob6/R2k1pme+QR+Qs4sgeteIoGTPoWMautkpE8DdYzW41xFjY74x/ozZ
ipu3eVj63E54FqwLqshzm52/gty5W9e+ezVRad4xP8LYiZ2oLPdhShm5NaN7axDzVH92zIIAoeTM
2D4aZxr+9avAjR+PloAktCKFiq6V16jpGzse01mAxOo7tQsvpfFkN2/Y7YkfolCXHxatjbnr1gSN
5kY1SfrXRcFTAq9bB/8U5aR/b1ooPJymSOS9A9ryqLk3XRQ0h4Guzt/6YRf0z7JO2IMTdRcf/D4z
5H4Q73p7afvxxaagWfZsUW98QTQUhCZRtpOqBhSGZrdoMh8bEjq3rR0lLoo0y7wPxTY4uBtICJtf
GizVkG78rCbKF80SDmhngvXjJ457jkxcEfFS9lTFakyC5oqqjNxQKBTt38JZGUbn1PXPUSvLd+xl
6XcCHM/um4W7GzFHTGM6TiF291z2j4mmSNym2QRJvR37/5F2JruRI1m6fpVCrZu4NCONNDa678IH
uUsKKTSE5K7YEIqJ8zzz6ftjAo0b8nJ4oPLWIhcVmWFO0oZj//mH4A27bTRJeDk5dOYKvwILCujh
rVxgNR+izdxtlGuRj0V4VZqtExvpP6H37hJUaBv2E9wf+o1ORDjzSGS3fsiEY/3ARaDH/Nyurfc0
hE6yR4PBhdgq4PoQADa5W4eIo/yzhZYk4fyOzORemKj37oeoVos1KqYIKKs0kvNNqvR8jRP7iG9h
NuKjaGZeaW2iUSCCKYeksTeyqTr8MqEXtvuqL0bczrDYEDvhQRDkV2UEGrX4k2xCtMbmCsmH7h6H
mhvPStfoV2+KRsX7vOOScDtVYYVpeA0AsJq5/6htaHQxV4W8mq65UdgwhIl3dYz7wUab4e5NnzvP
FtWp1R9ARUPzc1bSRviF1gbx9rZzSxxIr3oY1lFwR++PYOkdfQarabexi9CU64fsVcx7ToJnYzRV
hEOT53f1p7xT1gubuOtuVRjGzXpy0+CtQUbR/JgnRNf2Fii3FWtnQNBNiLdtZe9VmDq3XYumAM0J
TIKMYCiIx5tksrvqDh7e1Fx1w1TAJ4QRY4wbRSXmM9ulgTSy8kHunmjxIpNQGOhWq2RKpYdxgyvr
g4P5a7FDmlsW9xNyUQMtpY8J9Bpfrjx8IA0skgDfM5gNpJsJRjF9U6weEJ2TkoMVmZOuE8Oeh9uB
jTHaz2zQ0LyIEgwQJsMxuoY+0nKXtN1+CR9wPDYNdHDpelbm+BLOXm0jAW6y+gpWkci2AkLikwpQ
nm3cjEwh0BQjfYlJDZB3fulQvIJHwDYF2K/tF0C57qfHAqZW1qonJnB0OJYRBDkmzUDCbNfMmmX7
d4sq2zml6t19KUCWaWrha7OntyODH0R+wYXEw9B2rooyhP3tovoN96TqTBZ9c7s281sVdm33gwNe
Rnc4RfC+YlR8i7NOYT/LpV5/gggR+M9YTy0NxWm2cSxIJ6b11SIjD6+GGf8vzrhAy72tAjiXVLHd
wZ3CKdoFAcTlVdWMKM24kMNj5ypvgquEgsuLQ8mIXY2T6mwda2redQ5BSTwp7vS0FjLi1ePPoUa1
ygmAr1QyY/dMUYQVJI4OWiuNW1E5PVD1SLICNFZRdzg+qp8Nrh3TJ1AM3XzphUkQHJB4BX/INdzr
LME56XGIKH2PJTIKZ28FYEMwqPIBPXo496spUEZ3CEOli5tigE+7BlgtTRCjqvY+W8XYmFtwSpOz
gcjK4pcUdASvYK8pjE/DPAQBtTD3fIb03qfXfTiAmAHHeDCfApid9qMF//StQyRm3dUkGbdXwqfA
wFhBogGaEj7XVU+a+2IhUY9DtUbxF5KqXddwTr4DkCAGJznA/gQXcBQYyBNvACvV8MvwS5np6Z26
YuofK49QZ2KLBqF2EOAkOiKjtHW2goCel3cB1+b4lgQHN74vC3o/Gw9XQzrWCEBysB345RYqTrSB
mPJLC8tV8G+NORN0rLLyiA9AwtZ8KiC+tPXjmCk//tIlfQTpn8/CpjXF9OI5ZjzfeIgc4db1F24a
A3GkgQgyGlDG3BJOUdl+6xxKVCsjzhYdQnb+RFveodXe1PyIPa7Re9RRndoD1InowJEnjAcA88F/
soO4avaUMaQNDqNrISS3BEdKpho7fxihZofbpeUj9qZCCLd1Iohb3KnpZtNqMskl8W006H6mKE4p
cxqiZ7G/MGo4R/YV0PRAhS0JONI3ZYAKZ+uoqMm+41KA2cUYutGxsofgujZKA4zEEVIS8OH3L9IB
6IAzVw3jtehjhGJ2MDjf/biZm3UNLk0iUWJwiLpeL+8dZIc+Ae3M1c1ygjkL6OocPInfEHg35lH0
/wq8amAJ4ciZN6Lez73ZLRZWFSor04PtScdmSkqcBjT+pHWu5xvfRd8E5DViJFn12qxwDRzI6GmA
hYJ10sJPqVM9fjXyKH2cQi8MUVOFCsImTGzsnDHKO4wl5yM6yTp4MUOMYADnB+POQPmAfKlhQa3h
41HNw1mz+yWWN3qFbt3+ioYSMpIBA5+Gchkp/hNsM8DTjQgfcwrAH6ix0SUryMQ+LWQEgBvld+gj
YX/DTM6HWR8SJ4mLTQXb/gitn95e5IwD2bOID9+g1EhChMhXuXYUkXbbHlz8tZ2XFk8js+m+ZpLe
YXQIrpkmhe4OeI2m7/Msm8VnbfCNdeh21iP+QcPTIP32jRzL/Jds7OSbTwbtjZRDh7NjCS9/NXKY
o32DWfQONgrxqp6qutzWmDMYWy9L46PX5fjiCejPbxHitWcDanwIuxn2yWZAx3ifhYRorby6gH6F
s1v9vUmoVlbIfIsXBBXyxTMt+SuJor8SnLrOXc86qyFnd05lYocpEuICIR/TvAtysWGqsS+OME+T
DU3k7FZDzMQOiejjagWBEaPlAQ/TnE2vQtQ42RWJRmgm6WPEPvsaSSn0jTLtoBySdsx+O8cTKooq
hLu20o3JjYDbnpEi87OLX7VdNs6ahM36J3VWEW3lkLsRBUyOlWecS/e2hXNoIq+yaYTrouRZKwJv
Iq4VrpfeOFbaojZiv+oIkIK3qk0oKtAVY7/fsRlkP4e+sr8ZA/vt4hKeGTdd6VTfXTp8HhS+LCcN
1gOP3wYGdljbbrar+9YS+pkzJ3D2pPOR6TBBm8UhI+c9rTr2VW5vRuTW1zUIKJ5/fZA+11VDUKXk
vCblt6BnuxV0XH7ZTWd8GSAE7+eqlJ8xWl4sd/BqamiZJSF8E4729eDFMttFfoAybQpTfVuns/eS
Y43RrTvMHSA3FgWqkUhSpEACQfPr0RB8MODMVNdDpuVT37fhY+ULzsLAJlQLJ4JgvBdNn+PWAZPc
WoU4lt2i9Ju/mT3V+Tq0yL9eOSO3cBqsApmt3Y/j62BOmGdyGaXtScu6hpxt5UDCoZddK7hO/bqr
VftIV636EgdTcRfnRGatoMwAnKnGbR5TrCCBaQJ3/CWSGOoIjTBnZyVtWly1JpnlV4ZBKv0a2jmh
lroa569oqqpnXfcB9YgwkZNIjcbvirqJlHPWfdGvTYNyapuraB7WQ6TxvIJLZ67A+JIHXQQx16GZ
MFVM81W0QdgYP3lcbF2qRj9790wbUnjnBxjQMRUIziq5kz15eADxOwQ6ni1NhOrWW2QK6znIDKC2
uUxeam+Cp5IZg/oUlCKXVx6lU7Vym5gdNKhBksgSYmNdeViWHetxdJEkO0wAygafucGJBkGIzQHH
9q6MxAMBiWxU2HSJd4iUsEvDeXB2zdSmR9XJ9IidS/7WthbESl6E/YmGQ/zFzx0cotscuP66z+Js
l454AG5G+tpv0HC4IvluBZV/mCFBUTzE1L2uLPDjlLDNwz3eDzTHG0Sv/bWdc3/WPoRvTJ8m+lw1
qxHTprKkHuhB67nNuyYex1weCZlMZvc7Ae/1gLmZqo8Z181nyzFIYkYAopEDVdbjhFpo3Boosb6m
Ydh/HjTSPeprqaja+syeFyIWMBhGc+mLYcL0WiEoNeFEBoE3bIB7mnhrQgKCyNkABK+azltM2em2
AOcUrnjVLGAa6k6eTCunDQmiH5IJuosJ2rd3G2yPt2kCHWALewIraBKPk4MiEsxczclA4HlSNxrH
uT4kNKJqfC5ilZ14vIxAtA8QY8pxgyt+HLzFTWj9iqA6OSs4XA34etoiwsjC4j3CwOHWjIYlEmAQ
eBZz7Qg0cStTfsANWEyfLV/XbBAmMtJaDFZ7XQe8xDVWHhkGRrLC7zPm5lLs8zpeiJc4U+AGVdVm
sDUwZO5vMbCkmWjXMDxBK4S6d+bG+9V6efOsll8NxW4Q+A7XAS7eUyZgvyPXQ4PRq4XymtQ4FXpx
WT0nY+Z+8+pm4BhlE0S9ikPIdjKljdcSWOgnu7Mx3+SGhoGPxkqNAEkcGGE805WjUSNlNhKIgK0c
KxFxIe46VbojxrhYgklYaPuO7hqWSwPl+zYipqRY4a1AjBe3YwS4gssQ6W+ykRF6RTO4ydmIQI2J
kPll9Bx6awPTF/odDs5A6GDyyYblFJM6JxMMRFem1yBAwk+3fGkxG8SHjNb5J5rC9LFMs+d2Z4oh
P6RE5saY7hf+K0x91J5+MFi7sqVzyddBZi5IK1ySNEe9yK5zbm+yzN7qNMvDW0oI+7N25wpaeBmH
31AmFy+ZzgCgS98OspsA4w2gecMEI4joJTVXda+LZ5/gHAroJFB3NjInXHlGZ3gLgpZzmi6HXW9C
IQN32zuk269MmZUQe8CsNwOtLr3qYySSMPWb+rPF1RfJvjKqbyx1YjIcxy9+jch+SJmFYwFT1e7i
d+0hrLY67pJXuRliD4U0r330SCECbIyL/BoGe9mDQLmEkS1lJ3CHO8pDivc8HRGaxYvEmXQaXCx1
fp0G4dIAaBIIgx3aYWIMaMByHlUhdFvLGpmmfND8fsSH+3uAfREZOHMVVeuwTYLXBj7pyMrN23td
ZKNBG4PVupJJh3wlteqW4APP/8kMB9DBgDgHXo/NZ7bG7DmY8zrfqLaZvgq0F4+0HFq1BmCvcADH
Juven9uFu0CS3cF1p+Ga/FrbXLMIzMWmysdTQwR9EuBXMs5HAdf5Djkgygqzw1+D12cCvLmqLyHq
E0E9YDYaYv3Iy+C+P40CSy+TziplS2KoYpN6hnUnmI1EuESZviUTHK0Sn1MWG6u26B1Oo0U51hI7
aa6NoZY0salP0AKJ2Ru2dWI49RaWNm8fc0/3NbUjUNsQdg/IR1Va+8ZYHq3MRHVwpOYCl409SEYL
4/lxyhatFOWt3uS47scL1IMutqKoRTiU2lzMOlQD+xrZDTkuUd+/EHWYP3P17r+NYZygK2pIzzEA
G8p1DmrJYULQuLkO5kzssPAi46uRgVVSK+XJK5z1+rXBkC/meFykDJEx0bL28PjGpiEm5svqI/cX
u4p2N4hPYqTDaTu8h5hlHeaSBuzKscBxt4TIRc6+0ijLdgFV6+dGd1y+oIfHkL+GNHq1bOQLOHQS
V38TNkb+BLEwhKyDbh6hlp+Pb2FJtbUOc7DKDRaO4pqtiyt9Awsl3RjwBYY9WoLgHjUXfS0L7AOz
xohzh7yyTMVrxIaOhzQ/Ctq1Ra8b7/SgGL5lKT2fK6RRzVaQKECfsIJtA+BZ18aGNn4fPoEwBxRc
ZWFsRqSQ5n07xnTEvTyFaDZpGrXXLbmjXxD0Nnt8BE0ahDN8Rxq2NFnpYcu428bd7OPIwJSwNhj0
WG+d0WInWZNL2V6HGo371TJdFK+XVbSlnY0VB1dQTCwhDtZEdRmuU10Z6J65QhESPmExSBb5WFQU
WKm2sYzQNpkHsJRIg6W32pg4I3rFsNNiqLo15SdnBzrl6sklwiy4qoQzfm2icTGCqSWKYZquNhQG
+B6kebVd8Q7aauNmINGhrAz4xi8xPjeYxwiS9VZVDvtyYycJFj2mGcEOqTHaxr0uKsR7W+I9vUak
Lz/P2BDBk1EDkVI9pC3iWVubzVt7i9tsEybDfC3GOGqu8sxJD3qaQrUqMd+CgUHBkO7bpvTIlkbK
5++I8OIiAn6Ig2nN5eZX3MWIIGULnes6M9wGE0NqGdBHe7D9fQBYguJ9JBUbG6L0bp5620D0FvT5
F8clFWWDbsL37mP2569dOIR0i4pKi02V+wMXWFJ+vwENYEHSjU0JrEQ3z3rEMqasNwgu44coqa0B
XgN/uDGJnWJdoCUhiVtT5WwsZYTH2c6gfQeRFTykfW61W0Kf7F3vmkQtjSrp7ij4xmgnuVRGK5uD
yGT1d5jsNEYivuP7FL+LDguYdV0aef0F+3b9mJkdvcVhlrW5Ux3UUIjLNdc7uggRtt4YU4HyyCp+
R3ea/0RdLop1avqINgikFPPWsJ3QQNKFvINtPTJAVbipYMBHdReShdlvODBrShkMv459ovHvq7vW
ebedWdeIYywBEzMIl8xqp+v3fqdsmJAk2+VXmpL3pwUEGWxiiORUmOhaHtALceCqgsYdKqz2pwak
qQElpIvHErI4f9ebyO5xq1DZK5Qhmndl09pbIBUoIWB6XOVSDBi+gLiVnypgOURWaZ0PXzJ8Dt0V
jBz6LZBzyFqGxywBJmM3Xlz8CSQNMhXtG1NlLrM4m/DCB3DtfsxQq+JtU0Oy2IjUnY4Ju/uPnO3o
ecKZNlrnypm3mksntvlFoF6tLs5vzYaAk41dWPTRLVV8zVwLHg3WUuUDfmfh59nSNkqDLp1+gdOO
P030LG+UkuWNBnGNNyXOf5hZ2W22TTEhfQ35wE+0qaAKJR3gfhQW+NlXXm5DKs8WrM0ru2akjZOR
RoWaJ7lnhWF1RLHbDyVO8AQ+dz+ovkBRWZRlnD7CmgkdSKq66CVgBNvzRoRTxyZiStV7zx5itPyq
DXvHXUkxDQl6m9p0/X6VaTrR3XoW49R+ihJZ0GGGadV8JR6A1+QmdJmBuJvItK4D7Ps7mjfFVEE9
Alim057PEsxrLYyMHnDE/FzSNVor2rWkCI50uyeTlVKJwEtsTj3IsNdD06ENpPGHq0ibeNb4IIlR
RUyh2MGqB1+6kvYN5gIOsWyxk3bBq3SEmel1xzdHAlrFijwArLNwt3yOiYrGO38o3e6WRDvPvrK7
KVY7h5zD/DuiVuliGCHLZsCasSycLc4OeCfeWB6GrdT+gejwog9T4SDjBfYc27tQd26T77VHFJNz
i2CfFsQ2CnXECxmtEiOebZMgj7C3OBSOuKuExNmtTBB+c7k5cMdH1DdSqnnG/JBi35/t4HzTvMPZ
k00ys1sOfE6oxr2JiRU01qPIC8IoYDsRw4rSarEIG/Bvj8kkn/HRIS94HYZo1vFckGw/yH/CQ+xh
PLaKa4ipVBZRLhDROsrihk6tt7EJMr1XcOsLGv+QRdKG/WmFANv4WgO5/XJsu34Fza2bdYzXAAVV
Rn7Luo18daCtTbBPV0gBCU8Rhb6JChQ0GzPQqbXue6f+tXCGiQYY7HhxQ6kVQny47CSgJxZOpPiS
29zHxumXdlBaE4+djfSE4PVT+aBpSLYIscw9nEKpACHK+q7sDDWtMAH3vrnpMF1hAA8+T9JGC/eo
a8HRXNuCFjd0bfQ2wtH/GpCfF23H3MpBnrB+JoiMzpja8zvovmvDNuc9iimqfHyDKcrKscLZPZhV
Z/NPQ9/ZGaoYsEPlQgOaWySHo0O1usYY1K+3GCERG18owkaiPveOYOsQWNDCZs6NQxMfTmWTwID0
2sx4Mh0bhEZZcfUrlLk1rbNZqe5Wx7V8puaDuxV4FMar2SRQdDvYsF5WSuG3ZJumFV8TiYKgpMxp
qaxRP8I/iqQm2d2yDbe6aZcpsonRzRg7cxjnCGMpQWiI78dusCbXLMbzQ8z6xeE2SzsVJoUkUq+X
KMEgfxIxUiVkrA8TDLGRRhY1nAT2KUsU4GwPxKJxAYbhjR1BTp5IF9ba2Td13t7EfhM4m6iXQ7/W
yhfvJFl5/NvY7ahVnBf+N7hEzcGDFkqRisrip2vJ+h2e4+Ctudows0vZ4iE/Yme7ilo8TTdo2+yD
Z4L/XuXg1I9QxkCYeLZk30Gyf8R5afymcqu8kw4xt1cRXRx/S4KN7W1h2lmcmNbieGTVdK43tkR5
vFZQm2lF+E6drgnbAFfD4tUzVxhwYVqge3+iXRrHP/I0J7I1b3LjHq+nFEs416xv8iTHdtl1dLXL
InIdrz0097dmWydHN2RDJjoUf8ENhgeQEKE3w2ASrWO7K3+OsgMsD4HQD4+ub2GUTDABXWJv0aO4
zUpNQRStgIa5+wQ+3ZoVr4OTvwEVfXFCObzJuS0efMWHAmHMASFyAzt7ksUsXHSnwXyPM5XTqO+i
p0QsGGuUWVOP97pmvtlE0aG/G4FtuO2hIqB4RRHgBkP8bhZ4uYok6hEtGDg5IHyao4M3CdfZhLAJ
vauSFnW5oiCgV4DXskKlJzis8T0fQpwiyN1C+ot+jkA3d/jO5W8iPLka21u+I7fyWPjRcusCj1t1
bEV4XGIhpBdTBfdNefaiS54z7Gi4e+UQ4oip+MwVayw2CApUtwebrKt15wj1gI/P+I6AsX6PubF8
p5sbdFz45vGYIi5+ogPaHnHzrp9HrMvLFcgL/jrCcnhivCF5Ef+B9A2SPJX+tsK2tNxXphvirFF7
mAledSWtoJsIYj+pVQ5CArn95z/+z//9r+/jfwY/i4cinWi0/yPvsociytvmv/9p//Mf9BWW//f6
x3//07WUadrK9uBVukCekFD58+/vT1Ee8C+L/wjNKGzqhlZzaWXtXY9DfumH/cPlQZyPgyguCKZn
e1pIW3mW47gfBwE0dOmUusmRJNX6zS60vnc5L3ZzZA3Y0ApSr/7wWMvf+Ntj/cuI+uOIs46Uxp8i
OTaFOT2w/xEdalTBY+1re21NM5IBrGjC3eXnXP7WfxnVsYiQsWh7CetkVMCCXnf4px49120fUxU7
z5aVG8aWkLIIEdkEUVCnjrmjWkW8fXnwsy/ZtbCIli7zwD75khBZgDxgsB7jpp4+LZI2/Ugh53/C
QtbPr8u6HlBPXR7z7GvWkgsUlveu5S6/6bfZIzICh53WTI+EeaHOnmnP/KCNG731M1q4KRTDVT4I
cnguD3vmPQuTIR0XEM4jJv7jsD3ktlJVUXJ0qvEp88Gye53ADKLGhDUwcgs+JGKhPkHhTb315cFP
VswytRhca/yc0AYKS3wcfJITrc28SY6prCh9C0Q1N7C+025/eZwz71aYtoMcxZU8qON9HMepueAy
DA9pELZjGCEnCUcgUM7Qt68DVpO7nOyHt8ujKv7WkyksoJlSHjqubSP++DiqpsM9+rkbH5nki/8p
OtCJDIMyhupYtGV4d3m4sy+T5cKUtZGDuMvP+W0CoasgKcgo2RnqgI6riNUhtEL6I5eHObM2hOmZ
DuR2zfajTieMmJsRE4306BcjElOCfWqC3enXuRxwcLaqUPpXl4c89/mEyfREIADLVy1//tuTGQuj
t4b5dIwGW0ZPg06oHw1GmrbBUNrFV10FZo+VKNfxm8tDn3upxD2xQNjUXdgaH4cOGizxcejmacuJ
rkCM/2+F527Q/40Z+vs4JzNU98msRaQQpUDyQ1NeBc/Q7KotQWyoG8IIo98iiL79jYcDXpMOXs+S
M+vjw4lSz+DTVnp0vaLtPydJJftHB/rU5u+MY3kOLFnNezx5iYj+3GxEa3wcufDhQN6Yc/BU1HAu
/zBRzn4tR9BQ0RbebKcPBB8AIlOXZ0dIz2qXkLISbHFWJQfy8gOdnZCeNGm+msLV8uRrpanyAfjC
/OikbvBCyRKKrWVaHtZ/ceNyp1RWI2DuxdTHl0c+t/rQ7/zvyJb58ZOxh6EBgYd3xMXc/CzcFJNH
th6BzgWH4m9NC7J2ecRzzypNiV8QjHnJMvg4Ih5aMWGWTX6MO4jEPkXOXVuP2aOJwzIOkgUNVECq
5A+jnts7JVMSwoHjIEA+GTWq7Lkcmjw/ku3iwfI35/Ibtofl0SVA4vvlJzz3Tn8f62R60k4uRnR1
fM3Ial89o118vCoikkc0y489Even/78BT6aPB33ftPo4P2Y6rXk4w4nyLXKm8lk00n6rckS0f2Pe
sHvhhgxEwlX25H2GhFnKksy9YzGk9o5unWrvdEzC3npOtcKwzY2d6vbyY55bjfTebY5dKZR9ukqg
o6O4rbv0SP+5qda1T8rtdqRf/ofXeXaG/r9xTteEyuNKxDpNMUgN32n+TkgrQusx0onSX8iiHaJr
soTdPxVsZ6fob8Oe7J4t9iJh7zbpscceS4DXZD5cqIo24y70Rzv6w952bjiOP609V0g+5cmkCVtc
POYoyiAMmv5VgjbrmsowwOk6i75c/nDnXqglWO3K0Y5JEsnHJc9xWAYoayl/pT1+X/QON7kF22GV
6mDH/XiPI3j3h494bhGyvShT8T8JH+PjmE5Gy0CFHIAD/Sd3jd9SeY2yyr0lNCwAssyr+tPlpxTL
Xnlan+FZa7nwZqQntfw45IRDYusYNseSbsN3F6pD3ffXRl9ABIG9tQBSaGVBoEb6lIYu2ys1LAmf
l3/G2e/qQBTDptNztVr+/LfiZvbaWmWWjo9GgBPHCseO7hZDH9Tf3DhAeS+PdvbTaophJWgi8m0/
jqZig2TEKYyPPnToa3TIJYR+dM1PTgbmWKaVPowQYP6ww57bCSxMTJf6zbbQdH8c1calbcF/l0o4
NBEwTH2zacAux83lpzv3LilkqIA1KiwlTiZuirAcakufHG1SiW670S+7qzGZK0GkbeX/YXs7P5hi
NWopl3L440P1xUDuhjfFRwxU7Xf8qI0bswgc3GHNbnv5uc4tDttyTJAFeg6efTJUa03wugyLryZM
TZg9rab1GFbTA8EjUPgRJVZ/+GLn5gkAmq0wVtCmZZ4sxyorzMxFEXzs2hrX6LAYh29T4wDsdBa4
HkmC9VjvQIDEnyrhc6+V5YCY3+bqbZonFY5u/IoDUVDs0yMgcDQqxXbOlTVsNAYTfyi7xdnRlAQV
IW2aGXrynJyIfj7BNjtCqa3XJbD8FylcbEXcytoZCLg2bAIdInNnGp7trnMwngwd/dAgTLylU6kw
WSLrjWYa6PJrYlTO9eVPL5ZfcLpLUWcusA+QEiX0x2lGBGyRkryaHpHsQw7HMGKfGfX8M4F9A2dO
JBCFlfXYewRnYjgqWrJSuPfJq5BYjsu/5dwy5vrsuSwuB0Tu5NO0w2AKrNTjY1qQJ4mHoYkXSjGY
Tfg3zrrfBzr9KrEcm6QsuMpmZvN1LjGG2cheCHHdFbDd/7C6lt3n9A2Tx6ldaBJSoeT/+IbNRsEL
1RUoBJ2oYg0514DuVDsujSYs5oADyReFGB7d433UrC+/0+XznQ6OY9Fy5C3XW7ksxN+2/3ZsoEMj
kzyQjG4gjmo9jWAkld+bGHH8A4ETtvGMr+8U73QZhPYrarRKvlz+EWdWASU+awD8CVWOOHkDXTmE
dcNvOyiJMRZmt2nn7O1W5a9lgazhD4985n1zBEAp4LQDGjm9U6c9thLAaB4aoK5+xmsTxzdRYWxy
pVAaRBs3bzDWyYOh/mTUkAT/xhkoXeoMig36wsDyH1+5HBEuJpXtHQTsfr3g5GyvtA0q73ESBOj4
NuzpJ0XkYP6H8+ncdoMJjrQdF+4QrbWTxbxw0qqYfsvB6R26e30nBdtMMHsPZQa5+QqkOsifUC1B
ddTeYByooJFqmKT4bQ3fwyvcavth/BRgFETsSTl11t00oqE4Xp4Q53+oXnZg1jo73sm0tGhQom2V
/sHD6KnYgdIRlG2qfnrARsTEVWWiFSd6Td9Ot+PcXftQ/IZdGEUj/fqyV/4uqDiySNT2EnfHbNA7
kZrxH2q4cxMXRMjjBJasYHXyPmsEkYNfmvowGKhFbbRgnyLyML7j29LN/37pJCmH+SJ/7cOn+FqC
EWdgEut9sHqcl2m+zXQqy2oQt0afBxWGps0Q2uuyE170+fLnOLNJLKtTsTItm8vwyWOSHDFKqhDv
AI8eN4euJfxiSAW3fjuHefO5qVXxC5eB9GtTivRpxO483l/+CWcKAgAixbtG1IORwsmWnNICRZju
ewc4dXSGsapB01wW9kvnz8hxZB/rr9iFJ+r68rhnSh8qY5y0lGWxaE4LVmK8O6SFwj+gyRlguHDu
5otzHZbbwZxEOzyKo/wPz3pug8LgWAiOA0334aTcmu0Ek5nS9w8Jbs7RTdnT2YtJefGIH0SGi5qy
q+lqod3G+C3s3y4/8bk5TbYfjQAPpFqok9GxZMsF2jTjEGeGnDYo+9KBbCBdWfG+t9t62l4eTyx/
4ckRhHsQb9mxHDZEfbLWh57ZQ/K7D1zcwBhGP+1ez35SiNcgHs2nviqm57idlpSAqILLN8p4r40c
18WMZGNeTV6YW0P75h8A7XOlD1UPMLMpLOtfD2ZiU0jAKi3joPD6eA3qub9LeDc0dHGNjDd902c4
A7YOPoh5iriVZrv3kIbYRu2idHldl1/UmalIu8Kkdw0KDUJzcm74LlAVYSfGIfVpG3AxVLH9c04j
GHogU/WG4n2Uf5j+Z6YiN3FhYW1DGwpZ6sezKnMdkzjIwDt0lWvdFGTYk7NL4rbeeE6VQI4bsIvd
AYAEPnTTKPVfLz/zmZKPxwVLBf02hW0vk/W38kSkxOhBA3EPxpBkRKN6JVrnqYeldXmcc++WzoXC
IYtuvCVPthcBX7AiUMw7pFEGWyufhPnJDXviQBocWUkcKPr+8fKQZ3Y0iz0FBIdxwb9PHm0UvVeE
BCkcYHA1t/FgDeGujWQCCY/0wzWULRrbRTCw61we+Oyz/tU/wVGA3WX55r+9U9VBnPGGwTs0eFvf
ZKVfQcaSGCW7puu+9CLA8uBvjAj8znZmCeHok1nU0zSf8NLwD1guezcG+YxvyHdR7gDcYoFMAqu4
ujzimU2Mk4pr+NL74tA4+Z51V0AV9lvvkLCZXgV4Xd8mMvqS1GP3cnmkczOUSpKdiyUp1V+VzG9v
E1ZA1VLB6cNU29EGBRRxJsYwzfJvfDXksTCLTbqV/7JL4h4K1p4Z+mBXTbuzYZjj+dw58ZNlYA97
lReG+Hr5yc69QxYEVIy/GrOnR64zii5Cs8A8WQz50BjRR1yTQorjSdWTbvXv4xmWEh6vEYxxQaM+
TssxDKOYpG8AIKh0UDiLGf5SOGCsYmpEMJef7dxX40R3YIFQZVJQfBwsxiUa++3IO2gm41bRqFko
T3hg/o2v9vs48uM4Vl+NVtrP3gEXqeEp9cjfuyosdC9YAy2+DVq22Y/Lj3bmsy0dF+0p3qOgZvs4
pJh0T9qJpQ+GlO+2n3iH2ZoPdVI5j5cHOgdgMpJ2uYlycmPM/3GkLB+xD8Ed/OBpci2ztjbvCJ0K
3JUy6nyHKQvZs8pD4FsYkT6oATa/bMr05+WfcWY7s0EEqFYURah7Cti0XOWImBqZNy0u+FbsiJeB
aMk142X3gjDWPzz2mffLRRmwFLTGREV4spkVZLRGne8ZB4z8KcBnHTwmfiiw0ZFogi4/25lputSd
SoGYEhJonozlJZWf5dL2D8acY+BO6thEfG+0oKaXBzrzEhXZeAKwjYITLOLjp8Q7kMyzWBgHWzdw
fjGyh0laZ8po9mT85c2LiCF9/+Facaa4YMtYlrsFY4D23sdBkRj5Qd3OAU0hcrGewzzQWyFHIlLU
gFH+hrQUGd6VYRARlj1Wf5o45+o7xndhftAYhoB8Mn+J/3TqavSDIzIb0V9JJpKHIqFfEhBgGD4K
FchrYIkIBmhOBlEypvkb4mvcrJGjkyzx738DfgrNY49C0bRPFq4DQ0TmrhEcEbsgVBTY1tJYzXG9
SGDsx2oWXy4PKM99dU5lCkcgIMQTy5//dnZBuitxsXL5ANrAgBhcRB0zLkHVfhpE6OJ1SL5l8ABx
1CLYvCxj+9inSOpIayPY6crE8jPeB0S44ISgZxHdY6yK9+1AR6y+8hwb0yiR2QGBAjOn/3AYOUHv
Yt0Y4rNuFpEXJ4uZQBhNB8iwfmm72xJaR/AJI7K2/nb5ac9tVw7ls3KotmB0OSd78WQU/8PZefXG
jUP9+xMJUC+3muZxS+I48Tg3gpPdVZeoQrVP/z7K+y8ZWZiBA+xiLwwshxR5eHjOryBSK5Pw1Nfk
yRFOh092aJvJzsQyytzZKUJZkASC02i4+zACxLi3SpAyH0+pQckYKhUMlD7IGM4XPUT+q+lNqbzg
1R44KXjUyhs+5dpYPA9d4XzJNSc/Dpnt3Hf4RO0uL8Ja8OKZhc4juoZs/MWWrxqw9rHHGqCC33wP
YsSLcLQrGj+l4nplrPn/tXjXgapySDEdKm08os4niggGKgbWGLwgosFTFaWJoEaKA+Um9Kf7B6cN
oflb0KMbtNF7tfdRwzeTK4dqJcum20z0JIrqtAYWNWNDb2Q9tvPjEpE2bG1x+gq/BkWkPnGhZP1W
Qsp/GFtryP/7+EqTW8zNIBaAsub57EMnh5vktMFLgMrdzm7gD+N1CxNPjazpcHms39DOd0vtgYui
iQDqelmgqSoLcDWcoZdMjU/Aj+NPAbozx1jkwb2qACFFeCgZPmslhlh71211tNYsiGF4NYLehita
D+JKaWztWW+5VGxog9EwfgfUKnCR1TAso45gu/G9xKXusy48++COGgaNgVJ8dfCpwFnERuEmt4zv
doZfa1MrE6EAjTE/HsLSu3LPrW0HPopNFYOeK4nt+VeRHgUM2bnBi9BzdMJtYN/qTYmnverjLiE0
X0UPEm0hIsHlT7Q+sGfRJCCnNpeAktDxKk3gRv0SZy4kRqcZ5Cc1mq3qQloKm0kBAbbDlhuP68sD
r8V4F1SeZdF0Bc8y/7A/Y3zUWyE6id6LkaJw6SLP5KuSDVIk2hGV+f7KZ18dDuVV8sJZxmj5HFKn
ErJ3G7HtvTr/Zg8UZH2RKPpmcFByueUmjrvHyzNcizMEUjJ5GsuAyRZHHLWJXniJ5Jt2+Fr7cWAH
vopCRvooaA/CK6zMHEpcKrNvtdkUezNq3a+Xf8JaWGW2yAeTO2kcwfNFLqGlNfVgey8xzhc3HUlb
i6Sr849Moq7cXh5rLWuarw0SFuoV1rIMFKdU9u2B6Vrow9xAZoSdxKU8/JOrQGs0TMGVL/bUIs3t
CpCnV0LNykwpTIL/oDppc4ksDlCjAVaoEUV/aWdi2qALpzpYffvWKVUVX5np6lgUHTwAgtRC1cWq
5umENBeuBacpr+NjihYPipc4fe4ty+yrK5FhZePO3QYyEDpwVF3nv/9xTmSnDrjqxPGpq9zkywxH
88cgzx46eHn4ipXXeuoru/Z3UxXkBdyed+gP2HgJbNAqPkkjNaBZJ/GAIHbd1tm9HY6/1fxG+6ea
T+YtHIQouhtUiZ/u5b20tsJzUWauXSBR/w4ZiZl5igUIGAJlbrMDhCufe8CfJ7NRjSuR4Xdfa3FJ
2X8Ottg6bQcxSQ56fELVz/sVg09WD3miyUM9otpPyo34hM9Vjn6JxVv8a1t2CNf7A9QyeB6wgqhC
G5b95irlpG8gCI/1lT2wuhx8DK4HAByebZzvASM1gfhH/EL0IQZknurINQ+50SJbTjEcFafLq7+6
5cC9q0Qu2pHGYjjs+SxAdx7D1RCz95mO+9V+QBIb1UpAP9G9acufl4dc/wiejTa4QyOF1P98ikEU
hSGIlPBU6B4oKx+umv2EJ8+IqgHy2OVNpyIjdGyRObovcs/Gmcdz0v8VpBmOKjkD5a0qBZiEbZb4
x5Vmr13BPK99BWoy84VF8Y6C4flPLJg/zq/g1iNkHxIkwUzMJDA9uFFqxIGufIPVweY+MCjPGZW0
WA8kp528sZX4pGEPGn5qJqVt9xNuq+1hQlLuv8vLP0es5RGYGwnGnIkCN1tcxlVnjQ4+B8kpr4oo
21oN2MUn1Oqma2F6LSOkIUmez1tSA0OzGAmEujVgF4jSaKWgAZpS8n5DMgL2mo7vcrUB/YTmhA6A
lqJzMhwDIxE7sK0lfpBWdYOefbe/PPe13W4BwObGomrEs/v8s2atkJHRq8nJ/ZHEdXdrFUr1qAVR
HCDEYjbX4vnqc486qfV/xrMWZe7GbEIDlYz4ZJqJ1h2x+5L5XhoDnHPVju4qqi3BZ+w1wo1tt9gT
8QKBB59HVRn9RZS1waFS7gf1xvc/n/l8l5C5IJCmF3k1+rjoJtup6Ix/LBqpm4+vMiVb06aEqpKD
Lfbz1PbeBE01gcZj4T7QDE6OTaUE4ocYToVfAimReiUnWMlIKKRyixgUj+bQcj6/AQ8wXSvz+JTz
tiwevGBI24OG5OIDOq1huo+rPhwPUiC6iVvLUKB9/xeTtoFsgRWlabkEBkEXkfqYEtQmG9QEZjEK
7FQ14rfu4i6c7V5pwwRXBl2LHOBTNZcCKNVPY/77HwmDotgyUDnOJ6NUuu+9GDGFzjwuprzLT5fn
tzYUtRcSO4ucT1s2oWvSaGCETXSKECBLbm10/3Z4Vhj7vCilenN5sLWyGKgYHgzQz3i+/z5Yf0ys
H4SEe0UtMNepflDBKbkcCkOdbqM2Q72BVgQ9P2SIFPVA0wzXB7i/AlSgBWs5aZjFlcxhLXKwow1I
yCDyMC85X+nYkIVTBmOIwKDi3IYTeZGsTCfeiRGxkS0dmPzz5TWYd+wyTlMg4fyQ6zL04kkh2hoh
9boOT7me1hZazz266CPSeuW9UKxwUylul23RfuirK7FifWTagv878u+S3R+LrwapijOpy1Z2XWns
6Ola3RPEaQ8A+6A4D7mXo0/ikQIVu7+Ys+tYJNqgo8C0nK+yic2MwnUSnkZoTF/AGwa3boPe51vH
n/wOxI9760xq9e/Hh/2N8JxTEt1xFh9XA7dICbKNwOZq7b5DfsyPCdw3Eaob3zvRDy1CDkk6/cVs
XZqDHCg4efryFYW6riWHkGJridfA1wDLnK8Nln63lYoG2z7NMVzyw0zBoO/ydNfKIkQL7vU5SANw
ms/6Hx8Y9SSL+zZWXqSq9eOdi9T5EVEJpHRCtXWwh4R8n7lx7dwBsMUz2XG2SsVm2Gi1nBAkUIX+
rQVYHf5F1kUPhyY4+16nQnr+uwxUk2ZkWHhqBxx3fC5WeOJFGCSnrsYY4UrwXDvSlOQMByTPHGcW
o9mIxrCPzfAUZj0+wWXnDN22qmEPOZ0mtxkST3/zwU12Ni90aN/2nJr9se4UmOAtqVl8mm13noYJ
x1s3FsN/ep52CAfzgt+qytU+4+o8TaqggCvnCL7Y3Sg5xOhkR9EpmeLpRC9Hqp97rzKmpwBIU701
kbG91m2fd9AyeJHRUnuhSMB1uFhbJI4QLba6+ISoSfNaJ82scDm5YuMYuSuvfMi1eMVrmaFMsk3u
i/NlLfW8iGuog1BoowY1ESxbvmAzgbdEORh1ts+cFMGROi4Rz7p8ktaWdoYCU3WhPECZ8XxkY0pa
HmncvxECQ29dGrn3KGJ1CLjr0Y9qpIFwJbVaW1cKrFyKM0aVz3k+YKBkOvINRnQCAgvuWsfvRr1N
G0u0O4RqkvgK/Gglq6KZiWY/D0Mq9svuFJplYpYE4rnM07y5b3DGEoSDcERgLZ+a8VHKFFMSJ5vV
lWIcWMX+8gKvzNcBbjgTDGlJ0Q4/n6+BQHQ54dZ1QvNM3wpd8F5oLfefEYTj18tDrXxL3kNsoRnV
DRtmcfdgk4Takpknp8EsMKWdJlMTtwr1H9wM3QHoZ+8V419ctVQTbG8mUVIKXp5NW2JeUjRmzBOp
07aeV0ceooya8x8Kc9YdupXZIdDAuF7ZRnOgWRxPnj+8zejPkzsuySgOQj+dgtvrC6BazM+AAtfd
F9w5+vRKRF85mrAKbOAbNm8giKLn32+0A90O6wGcs4mn/CbLHLwuUkq3wdZFWzv7gnGT3Wzo1YPu
//j35FzO1CbKDJq7CLZmpGMqM2bAK8K+vEd2zNx3iWgxEzD1basp45UotLamQEdm1g0PTA7N+VTh
aVUZ1lyADDpkhY+alQKQdUTWX8GorJVPEEgAXEFbx+Apu3jKoTZWKB7qey9gEftjgiQ7gn1Kfxyd
Udkg+ZM+6zkCTIewLhFN7pV/KO8gbxParY1Cn2WjIzY5bYVtrNFd2Vdr8QKeowEGghT7XaG/yic0
7WXjvoAU8tTbCk/S8EZ32l4+J7hBKH6lmPIJEIVRHUw6QeHx49+cvIEKHEQr/rv45k7XWQj9gZTF
WAa/magZtyNwvf042NYGY5e/IAY7QH9ARBI5dHeJZa9zLTKwNAteGtjlP1Vh6CVSuzb2D9tYTEqM
NCcV47thwob7y+Wprm038Apc6/PNA2TwfLsFSFTTDciVl8ABjbUxlEp2SOw7za+/GIc7DuLajABZ
QnEDbJJytEfp3UzxcJOK2sk2JkW5a+iPtUhPbxXRBmpTjrYsCpZoCKOxARQRxcN2gwBXfmeo6D9C
CIy/XZ7S+lAUH0k0eWIu+0NF3ipoPTOUoaTpTZerP9Og7r+Jhrv0L0YC0wAEioSW0sv5R9JRyMLc
Nw5e8jhqt2lRYokrOvWePRxcuarXJkWVjerD/KneCRlUqdVNOS3eFy1Gj3zMmxw3+RiXXD8UXn/l
rlwL62QhIFV5m0KPnX/MH4ksktiNgUeA8mJHIa5WsdpjM++IbsLME7v1o0eLb7r1jKm88unm2La8
uLw5nnsq6bO5rLIYGTVYCzDwicdJ/cb5EF8zR/0ppO7da0kUIApvz3r8saju27Str6QjK/N2VfIR
RD+oBbzrcSsBfNg27Hig5F7xVWnyYdyMnSfudKvLftiVF3+tPQQnr4TVldSE5xoXy9wx5ipdlAJS
BBHH0E2jU+a4xWsu8dBx+8YKfFtJzSeyhuRKcFkdkC07h3DexMt92yKP3gkrIa/Fnuc7stvB56EJ
v2q5TDUukiy8MsH3wQwMFIXJGeXOiEuIdzVL+ZZIcb2MlHGe0HnkviIJM94uH8d3nw/aCF8ODAZP
R1qX87T/2LZGouaFgknuqQGf8NUrNLf1u8ERke+MRovEneHG6HJaH9bKWIy7SA1Q6UgGDf+KE/xu
LoXAsb4gnFgecoo62DrFKtryY/DRu3AelAqOpnmEA9Dz55PNBjZmhJXKqeNrbnn6mdu0RtwXFy39
CVnN8qOxjvF4XgJrgi87x/Dz8TQ4kFRHkaew4bB3cCSEofo4zgrlUwzIJ/voUZyHm0uDFMdcbt5F
uo5BR6k7fVqh1e4iRxP15RZ3oeKGWll9KIVpb/AMdq6ci/cbiOPP6534DN4TdM75HMehFLlpDeVp
LqAcB927S4MYrWO7p8KdV4niJ1FfX4EovovsBoPyirZ59hFtrcWu7YOyjtCKLU8axlHONqJG9ZSN
iTpuq/bqK2h1MAC7fEpYHjTYz2eImvyI2kcmThX5zndZluKLI0CiIDSuDh/NmOeJ/THWIlvrYrfu
9bEQp2zEOmaHWjrCvwANUUe9fO7fhbN5oBlyR6LGAi5fkfokElpRPcopQrhf+hT9Vwyv003ghDqy
o668kqKvbRNY6C5VPR4DAKDPF3HgNqiBKxanlsfRsWVzHBGbH3sfT1Przikb5UsVt7vLk3yXezPJ
PwddbBPNijHvNJLylNfldM/OUDCZjQecwl0sZr7LKgt/Rlhz+h0WUVcC69quQXIIPCHAPsN2ls90
9NoG9BpKgARFA3Yqc7vt0KHZvaWdPbxcnui7y2KeKOk26n+zUsZSUyxwMwf0elueMAKovqTYQ6O/
XhZFuL08zuqCwsCHie/AwFoedl0xHGVqZHGaRlqSXo6dVehN/9Zq8HMoHXVEFdaKaKWJIrsSut9l
Ob9n+H9Hpod2vn+qqdNDLP2KE3r27nfhUjyzJ8CuugzFTSY773kyxIBtHjZgwQyUVp4vT33twGgw
nnhHsXsRcjz/AaZE8F3gwHgCCHGn68J81LG7xmQB48Ru0Isfl4dbOS9gaxCPJKbSNFyWmYRH0Obs
o3RUmq0v1CHHnNOlKEnwSJ8RJnXve2wg9pdHXZkknDpeAIwNdXZZNkxRMyk86RYnoPrOXayWwQFi
XXEL4RGbxRRJkOqjaQ6QJS5ikNUgLRzukPNlrURfN3PmeCpEm+6GqNarmxq13fbDV/H5OIv4U6LR
MiAlW5yQvQ6wAoJjfuhkp2Md0lL8uLyMK5uVxzbfjY8BmneZK8o8JiGIy/zUGKLS4HN78qjJuvk1
o6hPVZpAS8aogMeYX8++Mk8JtpXe4fKPWP2WFhQosg9u52UhtpaVFlP85Vsi5U5pKZ0OYRu4NyQk
6IK2YOYvj7cS8MCeuRroN8Z8l+xITYHp3BnFSaSYjygtUc5v6LzeTJNXFFe2zerkwPGiaKhCXltm
crpVYeUahCWBKJYYXpXTE3109Vg3kfaI42Z45TiuTo4X1oxB44QsRYE0J8TfdmJyZdrV94M0lcYX
so+KrRIPnnHlGK4dfrQnKQ/S+qGvPM/+j6TcFrpTZ01cnjgduPEmeL5MgaN+0VwpP3OpT7vAaJz/
Pv79UP0DAYOWB8WbRfYY2mqR4gzPCTE198ETGhQvtPp/FE5+TTFk7evBp4A3T49JJdCcz08rkcLu
R0yF2hZF9fvcSGLltsRBbHwgRx6CH6pU6C5e2TOrqwpjFUwXxUj+PR8VswHK1TB3TolQ1WfQY65x
aNUh/alVuvtcBelDqUaIUl9e1pUrU0P/lzj+u7ayLPc6rQlM0mjykxo08TcPB1S/lbpwt24fa7ig
FpYX+dHo6uVNhGl2dCXPW500TDAkAmZhpyW7gl5PGWgKol1ZhvJ6EGCE1HlV4PpKW2s7GU3Ia2cd
etqXZ732hS1IM78pkcSeRVhHtKCNcPQlGPR1DorJnbByKsRNUs2S7mBk/mKaM5kBCBfhjnfs+beF
zWYU+CEi1qfp2StGGdW2hpv8eVLb7mi1oEg3qR6KKxDntW/LHp6VH+hT0JU5H9VV1MAAnYpUmB6g
pD2iC0QaFL5oKkaOQy+VnTTM9lfaRunXy+u79llJo12qdTb/URd7GTcavCkbRMqqrnUeEEnHSg7b
g9wXQoxbvc7F1rPENW20lXuN6DLjARiVpq12Pt+6UxHviEPmS7J3Yxl2/9TjDLwtRtiU27gRWL+k
ODNjJOYF1lNUd87Py/Oe981ZsWtWlwUWADyTDU3H7/wXTGmnqUHFLyj0yU1u4y6PPtE/cYf95XFW
4j3jzO8UuhbaO7CNnkRmXTlIDVVYotQb3DukPNZTnZb4w+GEcPMXw8FepJw8SxssQXjUYHTK8XZy
QvKCnVTC3dLv7cAMJnhmZYag38ejEvv2/w+4CPZTP9m8l1HvlkRaLIYcZfCl4jUvouYRiHscDnND
XPxMq366AuJZCQ0MDZSGNupMwVkcVacu9TR10FUyQgyKfFtiaL/HJ0R+r7ze+ydF0/7Kplk5LIw4
A6lR0gMmvxgRlfKhNTFPPdVVHX1SjcgBpzXguIozVP1foXQe1mE2jjqXP+raaflz2MUayw43Qc1U
0pMX1m+lKJ27wmxT3GvKrnoTQX0HlOgTTmbyFn/WstpdHn11mSlHA6tAyIxE6fykNMWoB3rLF546
EZ7AG95VeTi+tao5QlN3+o/n1zwXAO7wROOf5Q5GsjtVkj7NTrZsfzZ1iRuVEWonpdOsa1LTK1EX
ZB8FfcTGkOZaPlI0KYPCUyM04DP1NqhEfmvUwSD9RgnlIW7jFjPiKJhdkT+OgZ7Dzx9DLz6pV7lp
jP5ydtLqBAqLU3nOzlNM66UlDbyyomu7lnsSNDgwDiLe4goFg07vPzWTU5nLDhuWSW+7W73KOkwE
FcfbpoqOZVpX4TJ1c3nrrAU/Cl208eBAgB1dbJ1Chl6bKSC9QbSOd4MF9cuFDPDLlI28kiesDkUO
yCvwN+hrMVSAKrjUIiU5ATuuj241NceuhG2ZoSb+9Bezoo3KlKBAcYOdHwilHK10xA70hBEvqmnY
EfpDKs3H2OEi+Yuh8G+eNRIp4i8JC87ExtVmb4R6qrBn7NLR3NuRiRdVlDnlcCXOrJ0HBF/+32iL
jdKO6YD8I9KIOpZ4eMQJoF0PWtCbmzjDI6DCZynwkRB2DsJqiisp0Hs8N0cCeCAiIigbsF8Wyzph
oa6GHaPnkoQQA/Y+Q8VT13u0FKBkYfYZDPo9ZTjra45zOKYgIPtvMxzGr/E21vYSomSEPLjEvGEW
uYFeyREbyCQ/5X3T77sode5ozNc728KJ2v/4FwbDjjwMjGFOyiIQYGINw0pTMq4ULB/iXCbaRsQN
QOqqpfV8ebC1NQaHY85alOh90sA437qZ1QhlLMrkRN+0HQH9amm/G9VJ7rqslubBsDXZbxosZ8db
DW+3Rw87N7EF9VV9ufxTVoIS70NiLwYYuCYsAYKhl0RDkyEsF5eZc1/EveFtHKX3reBXkKfzN8/1
a/t75Saj+Y1hIboxM5ZtsdZ0wmxcXAF4VaBOf1pA87S9gzOv89ondYUoQOwW6cdvT7p8IGRQqp4z
/EXK0OolqqvTEJ9cWSS3wTSUeFt7/XADpVN9DDtV+bAUNwif+WlqMdyskLOIhMg5qNiGgutURsXx
Iei6R6w/s8/QRN2NnYT9tQFXUmkwM3xIUgRkM5bNKaNvS9XpGDDREnsjW30od6nWa+qVpVzbMihT
8wDm0c2Ftti8jRbaQ6i5LGWnpF/0pMFvPC/NPrzraXGGh0q41BYD9CWGj47MiaE1NePXKBOBajg/
NnEMWkLXoPUUvcfDuqNuHiHdZIgMKG8aokWCfXi9sbzC+eeDx2TeN1xrPNEQdsTQ5HxkhIdUpIY9
eQo12uMbB0MuSWfajqBPx/ZgbLRiavdjp10LFe9iIAPPVSNAKUAUqa6cD5wUrhuXQ94jiN/WD2XZ
3YYSHWLs5/P+oyWxOamcFXlpcmg0GxcbFl8p3K29yDmlZjO+4FA5PMXYWG28bnQ+Gm3noWgJE3EA
OHBKzmdV1b01dFrinCStz35XKuABdkZkDXd5gfHc5W/3LtzM06IKRtYM7gbc1PlgIjHIqBIze3Vh
hO/CJpz+M3t7fIkatfw277Nr+ey7AzJPTqeoRrUfeuNSwn0SRtbUbVq89pGV78y6qSO8urz8LvPE
9AMBsuGIzKb3F9PkHQ8sDRclaFCLzxcErV0MkMFfK6+2t0WhKqoP/STzEQPIb/DdbbW/GtHCLoWv
hMjpooUjOIkJzfDsNRdT7w/weh9yR4YPEbaKe1G6/ZXx3uVFrCt5szurXMwSuosZjoYtemVw89cB
StBulLGya1Vr+Ea3Re4xi40qP0+HhIeDF3zQwogLg1c8rFrwyMT1d0/OvEgizJrH5KvQaow3p017
zbxoyQcixSHnokTBtQiZkKTnfJ8i4aFIuzG0N22oxn1Zi/aVUt8PfZxUSMlG9CqGRtmnbtp+o+7Q
3Cey+QIcqn2+fFx+ywH9UZLhdwD3+61FOAMcibfnv6MoW5Ai6lT9sPTMVoRvKNnQ3eHqLNFalx4i
U34JpyDeoTuhwpRIk9BofCdokv7TlJkYwYfSLeWvtkX/YpujdPzdwavvp5MC7ILhghE58vtxCZAB
bKvXPda93fwLVtd6wTJZbXzNzLtHQ9gy/nVlanNcOZ8aZmogYyDQzaFuGXdau+1FHGjxj6EH7vwI
0qH9gZUuxtSkvWDrR0cNdykq0dZNbFSmsavsQc2MXREX2XQ3qkLTPjuxEmX+FDl9tB2LJBxhd8aT
OChjmQaPGpDq8piEFD2wyERf5yhyPde+pCl/dOzOsK4gJxbRjbse4AQHfiaXz2qVc9Hij9bCBKAv
cJxqfANqXD7p0oul72lYK7S6F+7tortCEoOwulxEREsBTgD1o0BK8riMp3FfKBlkvB9WFgvroDQj
DzEfYHxl30754IS7qjO9cOMAi9Eeagl1zEPfaNxZQakVGHc7Zr6vk9D9oUaRom0Db8wTH/hX526q
2BbRPlGiunjKMdxM/b6cwk+WhPtxb7mtgWF96/XFIXIrrXhpzCAI72oUjabq0zS0omofMKLND6ZB
j+VpShCUvElLiR0ltgSKwFPYrIfuQDemvlWTIm8wGR60+POkhf1DYde66zuKTH7aTYTNYmnW07NZ
oHuzbZSOM5k5WbVPxnHobvABTYNDmXR6sxmysMQ+LquSZC+FN8jbwZ1qKnC9MQb2Y9nl2a+Usljn
O3pQVzvHwLvwbTRHBOWbNHOSTZanVugP6HCayd7O+iD+Cg8ke/VGluyuoFHubCorz5IHUaHVLSkW
mLTm/daqLOXOqALnh0N6FO2Myss+VfUkW2QVMD4/WMinhbvGGzPzOOA1K7atDm5yN3V1L3Z43Gat
32aD94S0qi58tbca7wBSLw380YKevhnCxsC6WBhju4fTI+NjrVCnQc1gUp4aLrPgpkRtIPeBXw3R
s1f1wt0Vmh2520aCbr0vVFVkyG3budftUNFQ4w1Y3MG568xSc2geoCy3qaoggR40Du53gzKpfeeM
ulc983oy5aNVWoUJBmBKb3WJdsBXEXFm7+uiHh5Vq5bSz6wo9tCpnerwWHX64HEB1pW1M41Syw+K
9JzkQU311H4UcWuD7kVaf7ppYjfx/NaNQLHnUwEp3xyUu1jSkNt0atIXP0JU0eRm4Jr/6dqNM24q
uxSfCZ/zqiVmOGAnrkfjnYGeRPbolP30Tzi1ETrZbekI7IyRLEHwIVPrwNF90cW9u+HOssdDiHlM
/jj1qqJlvpESXMVWyZENeDBJTIJnrG40eayq0NMeTLVWimOAE/ZQbgxZFflzmOdKuB/QPYzetM6u
ik+N6mRtuW3aLNB3faAL9J+cPFaT74ESyUj3e61xSn2T93FufVWBHtp3eQnE6uhUZVjSNOL1sOHo
yfZZdRW9CPf6ZBgi3PSx4nR+n9tmcNv39oBbSR2HaQ2ju8vcpPWxE0HisQ70NNrq9hhQWcdY6STG
KFS/RWGtPk00B0O/Ji4kx5jQrO2R/Nf/DfAMuzM11AG2MMRxOtW7WjWep0gZ+zfNEAZwlE6Vybce
qfFHUzGi6t6S3E0+EQrRZNcNcXStgt4bNqGlt/W282zAOb1e5uoTTsnJvxKoq/WoqryLRip7tj8o
ST5t8Ie1DhMSz5qv1o79054K46VCAkNje0d4ddvjhNdxIIw+gwbqNI1foigUbvQqxA61cpqyQeXK
RU7CzMUA4GiKNSRzJ/nLxYo73zSpkn9uAC66fmSX7nBT0GwZ/a4JA8yAnaLMbyssqZq9GrXRcTIy
Q9vWLd7pvje2Y4sKnpJIdUdSVeZb1GndT50yKZXfmHahbc3AKqODYSa6ibmyhe/xvoYzmh47mEsN
WARMHK1XxEjyX0Fncq4zmTXRFkHazvwEH6+Vt1mNFu09avRJl+8TdTLt27gOohcrS8Zmm02GFSHU
r+NS7lSh9Qz1POm3yjQ62NKi+diVoV+5vKM3OprZn0IzDdpT5oFc2tAm0hMcAtV5dqXolC29fV3s
yQIQxBKSEPWl7PTuRu0LnUdbDZdkkw9RPt01fRbIT1CwEUnI4OieappH/3G9meG3sBjH/aChJPWr
dexQ31jNBNQLlf+sOVhiKj6rXupZm9KuE2tnDKYU+5GWU7cRdmUOe4XmJgjuFCdMf0xBPt5kdEmi
bRGYzgt+sPF417cz39jNLFMeZevNNqhwkf1+atvivk7BfO2EHQ/2sdB69jOUbd326SOW9ZMZF7E4
gGXq7F2gFmDSG+Eo2n3XoZCnbRvkobSfY44k1KMK0RTRP2tIMv0+nAupoAFC1tPjzpCbgNeMeJFJ
L8r4AFUdV+htJqIp31zOhhbtDBp/sx8ScBZqXlSjlkL3NM8D6Y3p9JaEVtPdlGGbPVcoTMtPgRFw
xl2uEXy0meKwL9vWEH5eSPeD0jjzr6DCR95CtQR5liXbD58DDTtsW3sLjAz3ZIL+SWu9tIBick2I
8l2qxFC83amAw9bkRW2ep0qQF5IobIX+RlQsTs3YhndOFNc/WjGN3UFoTnrN4GTxYmFyNjVSIMGI
MPKOX5YNUmSpUhLb6KeXmZHlK47oH7Uu1+5bBUmyUOAm4JQC94Sh1cSVz7uoHMx9XaqLFCt+vwmt
JcCusHo6Q7WS/GxbMVSbdLTj15yS1NYesuzam2FeurPE2gUo/LsnB1AIvvWipNfUoWvRn0rewqhV
nhI4Ue0Dd0dZbjX4DO7WCinkHgqrs7xPeQ4BfFepbdXt6nAiKUuNBGYBnLLqGADKfzZBA3eUeVuv
+y/oI7c0t5D1Zfy9VyJV3cMzydVj7NXNP1Vh2xlx083LuwmQY3dDrlcYV7Cu7zYOdH1kRXiacRh5
7C7qTl0y2A0yUtbbRLZcz7e5Fn5O9ai+65WuZtNWsqyv1LrefT7GnAnsM3NyFnlbvMJqWbijTsH3
bb61pA8/oo9vpULpxC+9UF5TwLWWTyMWh9LIXPeHBcvWWcwx7JEanaJYfRsSnND2QmiF/DwoDd7o
Fg+ZfmfV2gSrh69nbQs9c3+Azuj0Dc0Z2FKjksVD5icwOrOvUYXgnX2ASTrVj7oopHaDvbbtPU34
iQsc0md35cIXhhGJf+NRBBbpeQc7YUBpG+fJb4KbLNwFSHHkj56b5flGB7qY7nSpa6/oOvaab5tV
BXZS0EXjkSOS5rbMoyl6Nmth1Z/DQi8l7u3GIMstKG813Cj4hyvuBonMIDnmJqBSv4wDHcNjSJvK
ztFTK+k2rd1pzh4lYDzPN4PZOOjlECwokO/yzupmO/OyLWiiBYnomidz4gp78YIwL346UW01H6xd
EatmoiDPOxVaDLWrRchCgTiJ+7ofX+kXhLt4KnAsimL30ZmMn1g8Klf6XMsrwYb9xgMZLheFVJ2W
1nmEbOto0PqoVV+VkrfC3h7TcD8qqf5ZzawsPKju1G11NzMSP42MKvQbu0zNKxt/edj4DajyEqIp
gdBuWyqJ9qGqhJlX6K+hHRobx03T56IvI58KvknKAZXtSjHyXeHl94gcbNAT6AdQGTifdSo0aVVJ
o786JllF3ELez6I63vdlEPhKb08H9Dm0TRG335VYSe40aYYbt8quiemvzJyV59AjWUGhSV/U03Ir
yjngmfEatHF8VGFe7cyuHr8AvFLvZCv7m8sJwFK8ir4Eh5OyFlBslpvb4nzi9ejI3upt83VMvOYf
p83sR493j30HncZR/Vgmrrdt23TKDth/KTxxa6XeSb0T0zbowaftwVoEVwoai+rp//4odFzhMVCv
NZfEghD7HQnVzXwFBhRtdPSVdm5ZSdWfuqL/kZdoEeyn2gjUlyurMS/vn3fYvBp0MKHbcGu+lw5t
0hF8G5HxNYrc4DsYkzrfImQpbqqoNbxdVEbjtE2DJHpNvbJ+oXua7CDeqtoHb5vfv4PxAStRmaYm
eP5VTC8uE6sfrFfZdO7npNadTeBFdksSWDkknW6ZysPluS/WnM4YSRHkfITZKD/CejkfMpV9a0xa
pL8YXwkwio/Nd/zJu1I5Wmzvd4MsKlVtBF/aUkL9xcLd3tA2oXKL3KR7rWNyZS5Lm1jbGaCAoS7I
XMIb50n9Oh6vzeR/mDuv3rqRbc9/lYN+Zw9zGNxzHxh20pasLNkvhCzbzDnz08+P6p7bEmVrj3Fe
Bg00YNhSkcWqVavW+odVmFy/ibI6K1Hk1Eo5jeUHPk14lFpbwL/nObht7+Trjz/MMvGv1uS7kZZT
+1V1rxrl0BBrRpI+JQfuLZqnnYcHAGwfD3NqzlYRUDbiuCgG5sw/z93YFW/g9p9AiZ0aYhVrsHRv
fcGP5AfdqRzV9e3QEzYfv8UL7uuj2VrtnAjQJvh8XqN6qi6q7SZCbNzu7nC01b9Fgh09WvvAFfZc
rrXyxCGyroq++1LL6n/1pbIItcZ24P3iYFuru8Z3puxSbBZLWQ05XpsT9EIzvUDZS4pgC1plg24X
xLO52fDM7kCU02+5zjbqbzbb3j3Z8mVePZkIjCpOR9ZQaHzNhqsm/9zVNx/P/E83BKwzFBCB0hPC
3w4hh508ELVYP4l9mx2kL9aXwA02xYkD66dr6NUwq91QTHFkhQnDFD+SXfE8PQr7afvxm5waYrUT
BL1slSxjCXVe4C3LFOsJ9z8bYrUTUM2jkpkuQxzKY3CQ99U+ObUTlgl/txNezdRqJ9ShWho18iDE
jdyy+2M22eDU669ljbGrk3wTv/5n77Ra/U1giUKbsfqLH/OZcK8c8u2pj7/WBPlrHb96p9U6NhIp
LAXacA/+l/Iob4sv+uUQ2+OhrzftfXinznb7GJ6As51aDquDsU2KsQ4jxpwmByWAyhVKx7rV7/6z
2VudjHkZpNTEmL3BG3d/LTpl//EQywd4vyDI8pZeLVWW1boGkzhnTZHID0Z9KIQbU73RhtlWhs//
2TCrtY0xso9ADMOUoWdp2zg5lKUTnVRdXS9vzDtocUKk00FjIKK3ijetUXdjnYrzZ6sxw9yWorG7
8k2ZKg5NmVDdFHlBLYe7Q7QTgDflbkJ160eU1CppB+CRp9976wVVCcKH0gCpNKrGq7g0DWOtxK0v
fTaTFMC8OOafaqEUXA2zM7sz5vFEJrXM4uuPyXhwNamZAQyh3rJOkbmb8jiJFX4J8E9XbT+OUniw
vjGdCOtLlHg7DnWPhfdGKkrFbN3gx1ibRqYq+5/7RjYr1PQtsRMPXSHMpuQYZdH8JsaZdN9gKDr7
VOlwZnw5ZF8dVWkQGlFQp+UXpco0HJjlXHRMAfyvoc2QJuO2PFVmWW/whXKAwBBsD7S3sOZdbb0W
aSFxjpToqZGF6GwOk+iTDgvknBaQ+QldruKY5r51IsN/9/0WRPXilgY9EkWdtSFPpqTiKNCqouYp
m1414rwKlEJ2Pl6V774eOAISemYU13soLatNIpQmLepMyp9qAT8/h6ZlcWMtJNTtLAzZiRPn/SuZ
8EgWbB2kJKpVq8HMEtAGUMHsqdTz7lhDdLnKccs4MXHrdJjJovq2FCaAT3NTWUUx0Z+HRqBudidJ
dNxLQdfOeyOSdsaktm4f6VPsqEGCyW+clbcfz+Yas0l1Gkt2RBgoEHD75KLIZnm1NjUxTSohDMy7
KuRIsItkNOsnYxQ79Twvwo4+gFkvPi8VBj35LfU7lL9tHRVw4XuS8s9OTPhLLebN5kTZDErhotoP
QxPcyNvn4Sj0aWOrwX0r0CmKHT9pjHyrdW0fXGVzYBhndZurkqspZt04AW0jyxZVVt5NjaZf+R3G
Yzfh8kitIWltPczpkthW2ujNIZMbrXRzQ2r7zJkCGv67SW1i9TeBoEwphX9ca+Tlf3A/V4umSi1A
IEOi3k3oZl1QDqIF01NGfqjNDKMo2kgFDKiPv+O7DQ82aoH5sv1EqJ9rUHHN4g1NPTPvqPrEDjgu
30bd2TjQkVf2/qxX5yqm8PuPB12+xdtvxX6HVsbbcsGmwPb2W8kjPldJXPh3pdzPulejw53CO2oU
bUen3jS26YAw5j7KejHf6MI8Blt6r+Yp98332wcuB3BC/A3ZjSiyvn2MfrmCqUYg3KmVkc/Xg9Ba
ig1fW1f2YVtZKKjUQ1V4hUiXzyuqUvOvPp6HdyGJqQRlbWDL9AIdXc2DGJeqFolycT8n6LrRS43H
caNVPkKoeacHp4LSu+GYayj+LC54X2j8rLaIGdQG2CQjuU/xLgaD2+Qo8QtxicpBwryfiBDvZhcv
MUqIZFcvgM2XaturADEkYx1oYSfcAc6drtJO6ZwyVfJtmQQDwqB6505pPLpqDvv342l9H5ssdIUW
pOHyH1Kvq4005qLm12pa3ythLVzUmWUd1T62Loqp0xxeWj1Tkky+knw1vFCl8Icstdn242d4t684
zRZZPBT3of5jIft2bVlalqhCUJGJc9DEdhYpiVfKQ/JtGLT8oFbB5whQkffxoOsppxO6CKEvEHoa
NDCj3g6qqcOSTXTafV0W+WUTdMXVkA1qf0Wjdf4xoMqnu5k2V/GFH87+KU3Wd6MvzUQuvYzPtGOi
8HZ0+shV0pvDeK8Xhnn00yjvvjalbKVOpMS1aAM5H7MtR9OwLSZaCL/71akOcqqTdyKCtxxOqyn3
+2DUIz2a7gcuRpITxrJ5yBOzSw5KD2TPLtp0ushB9dzEVaMf8n6KviqFP/6mdzfMosUnFeAw3K2F
3r7a1YImDdbUVeJ91bRYi5AglPV2kNu03rcW/lgYIWXliSrx8jtfR1SEtIBjgz+DhA2ab80P7sYM
TAzAhntM1ky3VXvr01xZz2aWCG4PifdELrVe3Ytu18IbJQtGy5QA+vZTJxrS+01T1vfoC1Pz69vh
fG6ieSNYViDbFQudjkjWfPt4eS8f8O1LQg1ZlA+xEFmME1fbOkg0pTRIo+5RZu8Udxq1+EFTJ+XU
mfizcdg8tAIYjE7TaiFn3YAQdmQpxMleiA4zEryGk8l1fUqkaB2QlYW1vmgIk6MRJ9eaeg14MiVN
O+k+SEa88CS/8AbanHaIHvvvhoZlKDJ6WhsKlotruR6ri3MVSKp0Tzu4OCozQt/doPp2orFExUSM
3RaRia9pb53CVbxfmsCUF9Q+5ht8s3V1WIJ8mzadLN4DNTc2eVobqISScZg2fi76rdIBOv14nfxk
RNqsi1DQ0u4nQ327OockF5OmF4N7I0yaja8b7caScgtRpBAMuFHNJ9qE73YDiP1FmpWviF4x+fDb
8YJc7LMp7+b7uJBTbIUoKeGRFToie2QfZKLulUX3+PE7vlujiAOKyCGiYW6ASl63BTEYy0Ozzuf7
pLCET0mqqBulmYoTq+anoyAmAWkHZUDy07dv5gdgQDoIFveWNLbuhLgrAM1w3H/8LsBy1zubIgEL
FO7ii3bWuuWo9fmMhbUa3flCLbRnfj1B79KVokq+jnoVNaIdJiJaobYC69iKbQQ10F6Y617Llv45
vLhvkx83004fMDFALzoN4QSivVE2Dl7usvWVNogxJbY1YlH2iJYU7g2OEOpDbdkq+rUCR/So67Oj
zIOffWqUoot99AibVt/WZdhR5IoXBSdnmOpQS1wfGtw0OqNhlNlZUPqgLPDkVaj6bhuEYYFxxQj8
61TaTQCWe3BwVdjYfqEhk+UgX9DPIBdTtey1XQdlEkjTVMiVpNshEI7EoCrZRZrdD0qdHa0YPN9F
SmO8Htwki8cq8bSqMZMzfB7D4jGK5aK4ySvAO/EeOLwa586giz4Y1Amv5CC0SwnbblQ4ujqrBBtx
pxQoH6ZbPfccodWxnxm0qtpT1ZDihzmWUQCwQ7/k1mrPQxnqHTclahW7TNSm+RPWx22N41tuJj9E
hZSj5JZZ9cInX5s6Sp4QPOJNDYw4evYjPc+9CGydtIthexj8ppFveBg4QfwNF289/lGMbSJuqjAd
Bker5l6/V2arrmxFS+RsM0bFLF6aAfZ5RzlItQjMn1J2SWCnSojfHdAayFe2oWK0d9FKfgrvcuxg
wu7SJDKEXRAobX+t1mmQfcbwHfqXNVqpdpnUINo+iyJFltGR4kyqZkc0YlWpWSR5gTsC7mvf6TEi
FVlU8hh5fqoM2kYLwMNtLSsXRHeSm7G5gYXR5NuJVDfcltTkp32ol+hFlKPix26fh0HjGqYQqM7g
D2hDd4GCPx6gNmtw6koBpKr6fVkfIObo5k1iCp35OPmTVc9O3COA5I1CWgROVHehto0qMQsBd+pm
vyEfmxNHMxsoiels1r098bsjt5fEMUgcKwLfFdlqWAzGZMv6YCY1ix3AsddXegWVAV5IO10KoSDM
B7pRQftp6Ds5+gyIW9W2g28a7d3cpwrc+iAdBztLEQl6CmIYCR7IsS7LSeqaBe5O4a0Rb0O1inUb
CetQNz3VQPGKpKtQlY2uQ9A/FwC8apQk9F40Md5t8KHKbTWdQKLZOHrhyKQg+lHf8gjmsB+5taYI
qvQ4VHaILWXXRSvM5feKa34CHLFQtcvJlCpNdCLQVhIo18EAfMTyA6JYzepUOGViaFPuiKlUN3T1
yYozFNdzJQI3PwM1uyjV0IBxmkZ+73+peCRgjAJAdF9zUzTara9Dlfvjk9qPI8oyAZIOE+43BILz
OPGzYN9ISBrqTlFitzA6/ZSjFicKhlSgjZ8H8azZtaF1nKlSHgjSru+DOv+WqxqOqLtEjpkJV664
C32bpc6MvDw0Auvrx9H13WmIUPRfRCjuYdRIV9kMrxEDhU+FWyltctNWxExVHFxmxnM9jQg1Yl5G
Jw7EdV4DSmFRA6V/DkWQRbtK1KZamYaqFrLPcWhULer2slVvOiFSxmcIJNopZaf1xUNdMkKFwQC/
Apt8uQ6+umliKUp1DKExhhssy+n8sg6/J6OSm2dJ3RNt5CQ2+pxPPrfNNpS1Ufr88Ry/e+EXU0pU
cgAMLRpayzn66gk0Qywxs4vThxJ4+4MVKuE3OOvNlaxW0B5+eyxYV5QyueOIQDRWZ7LSQPiYWiN+
6NLY2BUlhmsu1ei2t8OswmLt49HezS3oJ27RFLuxgqDCtlo9sjoJINy75EEaClDlFpTIa3h87SWw
+WwLcUP+TIKbYNRgpMXDx2O/3NNfJ/wLnQHzJTRjFi4PgMq30xqpGiUZ8sOHKRz821KPKVxsrLZC
49bOBbgkmzRAAsCBayQ/F/UUjBl8mhILVEee1VG66g1fGE8UXV/aCW+fCglP8LILA27hNK+mpEH9
DnRyLd5Hi+9HtA21XISykZvkJJdEq3FMN+1EcYFSTjwbVBHjsDYfA4TGCqdq+rQpnMbHE4bprHIz
2FEKzPXABapOdFHKQUx/dz9yG6aWD30NnXADOuvbecS2aVq0SeXHsZEKfYvVYyLvhtIiByI3Ck/d
Nd7VX8hKZXJG8mHkISiALIvq1XaIKlZiNGniYxbPqnJB0V0eXd9UmnITjVUmZfYQEB62siy0sWQb
hKDgMii1QdnUmgFL5+N19G4N4wpAmozu2+KExyO9fZyxEuWgxbjrsWl8w5PSZITkUvRbLZYaV8bt
Y+PPWuWMQpKf6Ey9iwu0ixbq4qKUuABKVwV6Pr4QlWYWPnIhI9NUMFT1z0rfUmFIAHXMfrMKgAQb
CTT/40OjYrC+lmft0MwZSe+jMRvJHtpatNcbS7gGIRzv9U5OfxPEwniLYxjhnjBEwWM1scj/1FgJ
jg0Q9cIHEqr32T26c37ttlUh13YzazWEycxXT6hyvJ9XLj/U9ShiMq9sxbdfdKB5u4T68VGLAOgd
qtgS8vMwyufYNfIYhtzHC+gnC3o50hbhaQmFbdCBb8fLaYtlQz/UjwICTOJtFNN2cZvKzIszcQrU
+EBtAHXYYtRIMLKsbUc3BK0dOWYRJafKE+sDnUsfEpRcmCi9UD9e6/xlSWaGST+Ej1wMJXfSdH/f
KBe1oTgB1azdx6/+fqa5VyAnTs1YxSltbYY8+jLov2ayHlEUru6KcpAu41LvUnKqObj+eKx3gCVe
DONVYNeUz5jI9Zv5et5aelcLj1mbB9yoDA2mUeQgyGHR/yzKNJuuCrL6DKfeThRgyXVWel9WNPGO
pSIEQUvbRzaLlh6wUqjSpuQCIh7xKArTQwZIbXrsAFBrd+FoDjcfP/xqoiBpiUu7e+k9Efmo/r5d
IrMSByPpdHE9dLGyhzWd7lpLJAvHlvLEmbwaahGaYBEif4BeAG7B6wygDSD2GbkoPdAhMsIDS6/6
bHLbDM8kKH2C+1svxmgAQWGKoMb00iRZnuZVMFeyWmz0MNMfkPrSHuAVglXTBc2rIPec2GfLHL05
WV+GotGNryVyuesG+6RNUPt8Hbkp0MTLNS9wIySTdllazTjWN6ods2r2nOqxF8zqb8rZv7wpVEva
tUt9E1GNt2/aaUCRkqgyHzDgBioxd1aekGG0IVf8QLROKWe+28cQrwmgNAmAuFJtXE1spwjYWsmi
8GxqHW6D/aw4cRcEB6ag8aokj0+Ad9bjsWowRaIBTmefKvEalZZEMIuRk5e/9rJ+aZp9cKhxOr4d
iuyBq9YpYvS70eh5LK0AaNHYjOO98HYyy2ZoE5oV47PRijT051qEjmgUVrSVjTIqvQlBhFOlxnW5
CgwMooY09+kCE7DX6iBp39ZDl8zis2X5+SVSWflZF+OE8PGG+MmbUfZG2omYiEfaus8A6y3KVbMQ
n4XO7+/h8KBjbzWpW0xqnNqycMqqcr3dcashtCzyqjQTFoWQtzPZQdsey9JPnmGUi3ZlhanXY1hp
93E1n8hX3r8a7Rs+GtudujTZ4tuhqHAxt3XaPuejXm9FdCy23HnOS/LT82nM+9+8ynBjQ0Gadjd3
DFGhpfB2OHLkuJoQP/o6DkOCabDZbgI1SB290PPfPMfQseJ7M5NL64CkZbUcMXNTEyZ3fG6MroAu
n837SJCDYwhb9f431wcfCs0wGCOc0ZwIq+zXL+H8KrPWPU+tlSKw1BzMAFse6DdtuKsD/cSpuSRZ
r4MmYlVsL3BCFLo5p9eLHtcdgA9WND4HRmk84r6MGYY0igP84s4Yc6+jJoaeAHim3/TuRCYLjgj6
//ws6SZIurefTx1KcZrNPHu2Cg5UmyTRt2cu2c7YQ849sVbeLU1Gom+BcDP61MvifDtYraOiMNXa
RDzRrV2ATvUPo+vmBzP1tbsuKE7Fr3cIZm2xW9QWutHi8vXu7aidhank+8JXRBHNEQmENJ/3qAYi
mOGYae3njWPMU1LK3lw36bAvcUsunbyKinA/Id7di3YfsRjtsjPbzG37KM5bGypDHrdnMeeCbEti
JAqdneeKn0l2h2O4AVYnjSwBAljd0ZlRq7Dsb39vfS4gk8UGi/yB2oyqrI45sZGybNLz4MfkS9M1
og7pLrWmyhtlPfmsSXhWfDzeOn5ByaUiQr5OgxJy7fqWIHal4MtVrXzxC1hkAE5GG7mBZItEnnHq
br4+AXCHoUyA8jbuDYAP1rZJRcQeULlpf4XM3evfSxFB6s4OpqATUrcLqFFsghnD140ca5yGTh+B
rBztqOKoRtqp7cc8dTIhipXYbQCKqcfZUuvOJvya6akl/a6+gTHRQjGhjoCsDAiQVWTn5Az71C/T
5w7jmuG7XMH3Q2y4Twbo0hSJBUSgGjH53gcC1H9EXtvgKoAoSkUzIUMOtjnHfXYqL1kFlIW6uhQ2
lgmEukpsfrvTNF8VfL+U2utCEEZXVnprM6Vtuh+LvHOSJjIooYWW9/EiWV+xXkaFEYwJDbcMZM1W
o2ZBHft6qrXXeP/kGzMewl2Ku8mhkKmt1NrQn5FA9BuVqO3oiFJ+go12Cu2+ijHLM4CCIvEEj8gO
WXOEO1RKCl+1qutySMrYaU1fwvW0m8ytgYvBRRtEYXoil//JZFM0RPgPJNLSol2R3AAHD+VYSNV1
0k3KZY4L+lbokxEXLqtFz4GQM/uqvP14sn86KFBLWnogJajSvP3CAioYZZsN9XUWJ/keDnG6FaUq
OheiHHvipZEgFPFw4guvwsDL5C4ejSwqWIxgrt4OWmlmSXGnba6LJEeUjta6A39ydtUqE04c9uuN
9ddYOtVK2lIQN9d5TBoLNe0Tub4OC0HP9x31CdHO00L1z2YkgoJNrmZ0DtkGsXRdS7E6uaEv17Gt
ovTR2hKE5upEDW4Vmf66Hy4nNDGQmpi1mnMRHqk8iHlxHaVRcC5YUu91RXgqA17doF5GWQwxmIEl
/3hptL66rLVSRESoyvx6LKbwvCua5zkTxptWDEI3sBALRS6l3ZZhXO0ATH75eFmtv/ByBaZWrEKx
h5pL8/3tF46FwIj7QI2uhdmKrzg6Bccq5v6gRaRcHw/1k9lcsIPL6bwAvdRVNkC7aUwFLSuuhb5T
aCWN7Sc5tZKnj0f5yWwuGBDqEeBbNUT63r4QKkS+2ERCeZ1I8PLSUKyd2Pd1V0EW0Os7tdr1k0pT
ulo435DTT5mHr+MRmlxYDLCKWcQcE+uTOq2SQYGT2l5DekPY2y/pSYtKJKbupMjll1wL/FMH6LIL
X2WTLKAFDMo9HI0GYA1rTCQYjjIJK7m77gdBOAuHYAy8YRaab4B8sFsCSSxd5H7bPaOkMewzulrP
nRVmz1LUjF9TXiP6K3v4X8/j/w6+F5d/jd3893/x5+einFDKCdvVH//7U/k9v2nr79/b86fyv5Yf
/Z9/+vYH//s8eq6LpvjRrv/Vmx/i9/89vvvUPr35g5cjoD1ddd/r6fp706XtywA86fIv/1//8l/f
X37L7VR+//cfz1Dr2+W3BVGR//H3X+2//fsPcqFXy3H5/X//5cVTxs8dnvJ/nT9N39//zPenpv33
H4Lx54Jb5cRUyCBoOi001eH7y19Zf4poFsMZeAFVLBXLP/6VF3Ub/vsPQ/oTBRF+kGIAJXHS6T/+
1RTdy1+Jf0KgWArk1FW1P/7vm7/5Rv98s3+hAXNZRHnb8EuXaPbPMgJ8uOQOoLVANomL5v9yAr2K
Q5EalE1FW9nNUBLSnYYGxD7uJXXT6EayC1PfwJ24jwokL4S6u0BRp4vOxFl0udYi0JXuBCGKJjvA
i1ay20pDEyTEVG2mORvWvs3NPHroNQHpKlK+4UsqhZGxCVt/nO0xFqPUHiU6+3YsBzClFa1v7Q4Y
gV3KpXKpi9H4QzqrsExFYayx0eWwra4xoi2iPoC+c7XMn2IuMoaDTFJ302qTiwagEDkJSJS7QdWC
bNtHCFgOkCVqV0GeadPMlVzZQs6O9TJceg6DrsXP8jDvubs1mRPLY3AoR3XsnUkvu3ukx6XMDYOq
2jbRAOqX6nO6HUP1huKoLyKHHnS3gZ7Vbq35+RfMDDLgJnqRbVGDkp7kGlCtnXVmApGtkZ9GyCBf
crMvd8Wgwudss+yvM/W39uEvd9ebHfnhbv3/cB9Sf/hoH94+RcPTm0348gN/bULIF38uuTuHHW5x
XFDZTX/tQbqe7E8AYQsiEwnJpe/+9xaU9T8XDRwqEiRgf2/cv7egLP5JkZUNS12fvcsm/Z1tuMqD
IE5yp2AbrpPpPpDwbhlF6VgepU/j0bzMdjIKLbZ+1t6dohkvW/mfrf7PGKvMVaUDOoZJIB31q+4i
vLeHjfD51Tz/HVVeR5HVneD//up37RbDSiJiB79aORrX/rF/QE5wI34NfpzqIxGKfvr09OzfBihQ
2MaCYRWPSOskl2xv3zOCuPbirq691tBA5WRWPR4wU98B82n2HaCQ3dCI4yaVF/m4uFK3WTcaKGKg
jZ4AFLIrrcGW0E8iV8YX1bWyTNtNVa07WlhJLpuTvnBsmt6gyo07y3HpdYNUO4iOi1sMHwYXRIXh
6SXuRR2KcW4XhuFWgqLxYEqptpFbM3iWxLb4gdyzDuFMU3d51WWLRVfg9GIGtmWC4Y3cbBXaZgrq
WAd1k4ewxqTgum1yOhJ96Wkc/U6cduEOBJdpo8hU7ReRKI/2eXoppuiJmVqh4GvaxTdyVGkbk67J
TVArKpZyiO+01dB+E4uu8RApzLZZHAcOHfPisYpN5ayp63IrIwvjaYizXvhNKrgFre9tk8hPyTgI
27Y1ASm1jXTeh3p+O9WT6gnQahAErstj0heRDRiJdtbUWAyBDg7hzHw2EtRrNCg7TtZXgzOEQrBP
REg+kaJVZ3Low6Dwh8m2FD9wsjiQ7EKpSy8F6baPlepzJkX9eYzwOHKMWbU9sVbfJk7/rNUlKX51
0sVC1/v1WElHQzoK6nkEz2jehVVlj43pCsaZrl8NyDpAte/+To3eZEav98eyRt/vPCqab4ektq1x
r0kVjMWAzAUhskOYJMRO3ZWBrcuVvPW7sffQ7Wu8j9/yVyMuMeDVS3ZwgLpuYkPygjvdFQdb2cpu
ckp65uW2+7M3WqXzxmQE1bRs+BqzO0CT53HnjZcZryN0B6t34+swP1NtfJRzJG/swEV2KowOyP/M
/fXHr7jS+/3nQ64uaBgrV5olWPPRrCLPCprbwci8ubHcsIrPVfR988y6yAscjsU4cRPD+EwFMfbC
ei4O9aw6c7aNNANZyYdQ8u0KOcgUejZ2EMXnQSjPiCh/Zca//Pxvbyf/POiyEl99DAOD5VTFc/WY
Vo2b9VcDMn6qa2ShHTVn2rdO/uvk/+U4q0roPwOt7nO6GdBTlIP5GPfbur7tB9unvzF39qMx2I2+
UeCYJ6ZXhGfGYYDlIThyYVd3hnCJGnSd3ZTJCbzBr5bf6qhp2gaO7SRMR3VbmG43uLly1MuvllR4
1invvheLrZ+swTV5hoozzbM0mY6K3brJ2ad+IxwnJ3a1i+Qcj7VNY0dOtu/cwhk80Qts1RY3o3NR
udbWuqo2N5md7yfvpnbMi0PqyXZ3duqkXSGP/udDmMu8vPripgjfIUaQ5yiZWxEAq2VL+nnWAfNt
3OKHUtizDuL8gNOdHUl29fXjHfGLLAJtpLfDjlOR97MWz8cgcnCBrRpaNJZXZIqtNRfFXW5P85lu
xieawCsZpn/echUEmk7I2qYr2YDbYBc6kj3atM+JM8oh2Jyay1+FmjXGoA+0NDSBIh/1rb/t7vN9
fWwckKI7/8a6y3f9wdyUju+F574n7E9ZNL50KX62uNYhGx0C7Krb+QhvwZ61pyj+FCtebW4GcoLw
Yhhix9BuQ8tRoMx2YuJ2mo0+sirvP/6W1tsazT+Tu4pui11r7ve4ROdGiFh7ek9x8AJA/sbUYihK
sRMb+946q4sviFe4RZXaeaJuUs3YVqGuu1zJvIjvog17MW6f0lox7VYzvCw5Q9jfQhHZtKaNOM7H
cvoym5FD6utydd0gfrpR+tarmr3Z7YX4iCq3md/KKOhWKXcwBUvlg1DeN+J1F7OFlKtIe3ip2c/3
g1jbonkl84SFNHhJJHq+HFxL0yeMO21BT9wpejamFDQdVNXHztymiXwmpcVlXASHqY3PQsHfDEbr
KdW2nbGkVELwgZeB2u7HZnCj3NgAkQqa8zbXd6PW2+NwTbozjOeDDlvRF/cAdflQ6uRo+o0+Sg/A
Eb+MPSc5QoCe0moXyhA+h1J3XqEB9vGn+lXYXZdgLDNK224m7Jrb6ExDKuc8PZN2yVkXOfmltGu9
+cl8Fo/jnf7Qng838rE5EfB/FWfWUuZRN/VdFjJyIFzKaPoP3IUju977qaffF3LgNIE3Z4dlpqbq
XFS+jPLVxy/9Ag38yQZZq69KBrr4bVbPxzHtzmdcd2ZR9ayUQ60Lh21t9pfoD+/RL7fV/j4vB9ei
wwhuFfj7VuWm3FSPIFPn8Syvmy9hMtlxNHujcatphQ2VY0N9exNDGpjFyW66bSV6KVDvsmZB9r47
qgieVonTQVNsh94zg3BTDPE5MfcQVwmiRaUjpZFnJBdzcJT8Q1DXtp98rsejqH/yO69UbjCGwssQ
Znjl6WF37GQSVjSuMcT7eIpeqn4/maK1cYeOjnePbLR81Cq3LO3hcRL2dbaZtt0PuXQUyWP9eqNm
VzdwTKzPTzyi+am+k+00BuZp9/exPV+U0A9rrJzs8agaTmM6QXL78fO9qKP97PlWmXA2dyE6mmj8
jt023ExT52QeZm6x4WrGWbwpVQfyiX4zm3fJVlfR+30gxJfO8B1JceCo+0I5Vs1VoX/CxV6/yE+F
vl+t6nXrH/Hu0exbYm8H8LaS+u0ouaGUuEMu2k12LmWf22THCqNHjpQYKuEamqKokAvZCXTFr2Lv
Ko/yhwxue0psbHQNYWc3H46KJJxYFi/+bj+ZdnOVHCXkLWVjVfIxqivxyxiH864uosBr+xwKFArX
G1yQtE1Bs9mp41E+GKEiHVIpsXjbQbETFRIJAu4LKTuJNhJ8OeS6ut4uAdU7mAx2EDoFFLz7ItnM
4PO8oZWaa7BwI1uvByyygBFPNY3flr7/55xac9TpVuhmGzBXJHpTvzNJNsIZE/Px+eNV+quTeI3O
GM20y9WaQDMdhgtrUziaJziCUxNXJe+H8C3ahIdTbt4rraZ/3mZ17E9RKalDk07HMNiCw/hCI8MT
syvurH5NeL3OLUheSHVAQqvPivhTrZxYFb+axtVxj/GnVKYTGWOVb3PkzkEZFMIn9PJP/P4XLZ+f
rLp3fNKhL9IATd5j5lVfRM/8/NzsB3ePEu39Jjss+x2nHeKRucvtS9GuHdl9lpx2a7jd1+Qr2c63
j7+n/Ivb0LrppPclMEu0fo6JdK4Oz1OxkYpdZRvRl+y+uepRbd0aZ6os2aZdb4VD1m+i2/hcEFGl
22YiAla29CP73Ae7Bt7toTvRT5GXL/yz+VntSng+gdCr8XSMJYTM4y+Jed/Gm2zut/OPJKkdGiug
/5+Vi2rYauVh7two3MrTZPsWxY99M7pac5hDbzLOI9nOTtmk/Kq0tpZJqQJRQR2F7zZviAfCU7fp
vcyVH3Sy3RNf5BevvvazozM5z1mvs+iPjdceh+vmvNqSsOVnsZvvrHP9sbqMd7lXOp0tb7N7zaWD
t5FO3BVfWNo/mfk12p/CKwLFExFkSmHibPF9+z+cfcdy5EiQ7BfBDFpcEwlZulgskn2BsdlNaK3x
9c/Bt7bGwRSItbnwwEMlUkWG8HAHOU1FJMhFDsiOWCANxluOrD061VQaFB9oMvPu00BB2Cw6gDDV
5UUM39DWQCuZ1L/RUoO5bMkbCWurs4hy0LIXpAP61faexxoSc2hOjdQcp3EHVpque05UZK0MAfom
aEuAIKpvyZUhjSQoLDY8ChUZAhN6wkN2hz6HJLi1TJlMIEnGOkl3qCW3T2Nw9p4hhBmgX13Mt8DH
azd+CdbLlExjwGYy7itzoKoR6TBdVCIKBV0/hQ2jNZF10KXShqS67yREdmRqxU6oT3rhIqYijZ5s
ZN1WN3le3W8RMYTlpDGByNx+CINdJQ+Wor4B0scol5C1x57VWyDic41kfWQUkLsZK/gWaBVu4A0F
00wwb/rRrwm14wC6S1KWzP2uRJIRiXV0Ei49g+JPx1Qb5nKBcP/fh2CJuIgZJVf6ar528D10hErg
82F8Ov0ujxE4tFHVpUjFZkdWeYbeZqlRbktu90uy89F94P+5VGmRlGw7wS2DcEZr8xV2aXL5lKLH
Vwuo6uRIoBJN9+71S3wU7cjCawRMGnil2ZNvCKOdTmb0yu38xhieRkN+Si/pp3eUmXMRvQg1Z6j6
z4ZjzVFbAo9SoeNUT8WXqpZAJwq6WjNECkBw8c2nmGZuYEj057HWsn1LoJiIjHaUtRgrPDaO6KLd
81bsVTeFK8Do6S0joSUSxQWvvePfCp3ZaVTZGHvlxVo2r3RMkUxZh6FlV9ojg0IHI7Kng7Lhba6l
bf7dfeUFXVfi9zWUTm/Dk2J3L8xfGUmjQwzMzUYrztpuLSlHwrlZIBQwDLJDaHRPFdpX95owh8Fu
J4N3FIU2O/iicPW3cBFr/pS0uPboQRzqkMeYQWexGhWHC4/b+yQJCWkl5CNP4X4odwpr1KGvx79/
PisLirH/vbzLLq4UJPyMIHrcvndHSFTkPKq9MvX91741BA7/ED7a7hxKmZPLu6QFsYVwbh0IOYBW
Lt9wKOba5COHYomnD4Q4YwYZU88HWy6tDMg4T+c0E6WjghYNyRHtGiPzyZ9ZU4p1pqOhT1uiSpbI
GdUh6kyoR7D8uY+pDHl47QIYZpmCj9IUUoQ76MgjgCf7DRRuyfS2sXKzt/PA9iwZWxrGS3p+vmXC
CWRftH3n7PEt52Hooo3KxNplWvhZgFS1qLFiBPXC0dtAxJNHkk2TtJYtXHbUKVCg8av5rkaOCFDB
Pt+hSG92jkDrQygSJO8IknawE8545oxk0NONQ/cFVXuwdEvskVcpPa/FGHlMiH8M74IJWCKtwSQ7
2gWtnMlM35Mzt5MJaPgP8jm3wmd0oN81F/05R5x+2pv+Aek7J3/atNDzPXv0UYuMcAPZOm1K8FHa
EwMWSqRWjrKOJC0M9CtLcwfm8rTlKa25qkuMFzCzOZvPdqxGLA4FKl27FnchpZwRHcINW7yWtBAX
SQs0NzJyOmCQjsZG6momb+RWYhZmRlVrojIFJcd1dJqdSMt9oweHxmJ30nm0fiVG8fzfrsmyw4P3
Kxnyc/gIwYxt1virWJ2hWYyz9dqtuR9LMdSeZ6F3NadmGrMk87xqS6bqLdShcEdBlQUvjjH/BBt3
cs1gLlsSwBXBxtq8c4H3u1DNqT4gFYE+Pso3OnxWIaCJ2zBPgQU+mSQkwYGZrC3917UA/6u+8801
DNDF2xezv+Pf8/f+Ojn957BXbPmJ/chvjFWb07192tJSWsu+iAv746M3UgVQm9vzumrJ7u066RkK
F1cRfybKmadYl0+QxyA8TWlt3H0KhO3GOq88CUutywjwMBClYOyYiEaqwxIYW6/7FxXjg5u+FIBv
xhqtdvORbEzQaYAj1VQRwqP9yKic1EivCQWJplkbADfYgskRICdwZc4yqd55mpvAKZ6kw7BDiQzh
F2U3ruvX1B591sIAiUI4NdH/v66skZnDvr13pHM5gsKDE9opiQzRahMSG/WdI0iIfuZ779Sa6R5N
WpaNSNrhqWLxJjg/jN4OHN9UtuLe2aF+9G2LyG5K4ioW50tWmb7d7VujtSa7MGKLRb3Qo9qhOoZn
8bXSk0NgyZaqh+bP9uMrA/xo5IURK5IwUKMKmWFWO7ag+Af7qUrLCGRFkPcjWYgQ6ACQW9OaPF7/
k1YdmPzcywQCfN6d7598zUBBHWIa2R0icfxl4HRkIgooc5YmYKC0js0wNcXorcyBtaUsCJikM7hN
VM0eahvEMKVM/Lku/rf1eF2JgWu5SwJN27PfABRy8q95aaiCXm12UKw8+1/R9bdLjpbyWTwLa93q
kgmFT4szUSAy2mffeEG2yRos0WRNzq13Wzd9Lf5dgnFnNIUSsxhSQqE3J4F157DPrQEJID3AIxiY
gAuQvxyqwTWFlCgprNJo6PNgFBakEJ2APP283Wvm9esLv02+KMMoH2fPmztN+96QLVEvTqXO0YHw
Tk2hUOkol/JcHLY6SNds6owZ/R5ux8zApN48YuFPhFVOEeNO5Cx4VlADgkP9+p3DyUv1To8NVQRK
Z+O+rzn8S/USVii8bpj3GZQ+RnqM3Vx3pIvB08R42rq4aymZr9Tit/UM2nCSOVBGgkUfbCEZqAyJ
9JG0uyYwJuwwh4t0Zo6dM6CNbgIek0x2d+10MdVDlvB3zomTNyGnqEeyZw81BRNqXr1/VPtzC7+8
If9t25eqNErnJyE3qNx++mBepxsKW8hmVH9QWXnvAEc4FcCTAtPqCJArEX+XL/9x2IXJBYFv0VTz
3lc0vY6fEy1g1ILZ1HM6MGp41iIk8nxabbQrrwWWX0/tt+2I0gaZK8Cb9xNe7b+e8NSWlxh1wIRc
pJbibiFtTtBMLAZUu21McraUDyzoUmSIBylLlAhY2/GinVBfS2sz+NM1+kBaHskiIvyqYBFj5TrK
hzDcQDysDSr+81b1jFB5Qy0BVTX84qS7BmoziI1uHZf5bj6a0qIE0DBRrFQdllHiSCoT/uBfCzM+
iE/sawVjcf955VagOfz8GH7brGHoq1xOZFzQMVEQkDMxKQP2tYBwua6pvpUX6GIshmhjuDV/66to
/m08TwHDBiS5uH15V1oSHtujdy8P0SmGX0vbW2XX+8mFJjMJP2ubtwuXN1F6oc1zAL/95ymvWcOv
YPHbNwhhNE0gaUM+4FOi3gGBofAanSMI7FlDRYpPwS2u1TG4bHX6rg245JbQBimRQwgf7P2j9qF5
t7YnGEgGWbVGpL/QXXoKWxqgt/KP7xV0i9xqLUf29f58m2eQKckUgtt+f+qe8mszr3H9nJx6mjrT
p+b6T5nV4WDtciOeCAh1rfJUPG/pnKxcjq9Q5tvgkI8QWy8RgatkA73vrkF5b2tp43KsxfVfK/3t
18teK5shxzGSLd5tnNAAJROZE9gTktfB+/s7a0/GZMw+4pbezVdI8OBCftm7b2Mm4HgauwEzwlru
g2gvAifqkRSxvb/jz+mvUiRINur9iX3xXhS3UfWsuIeOdO17G+xlQNxMKMqG+MjwMHyCnbYmhav+
LiTav8gN9iG4pBtHfG3xF5YpR/fBMCr4VABQjPgWbrwlK17bUnWFaVsNjRb4WVl69QozUX4NzdV/
Yz2qxjq31c25VhJcMo/7SpYy/Zfl+wiv/JFzBJOXSOREwI8a2U3giXyTDuoJHITPMk0InhSkcY4A
liJIOOQmgzphtNH+txZ6f2Vpv+36pDFgRaxx0kYD0FmcL/DC6okpWR6R6V9Br0+BEZrlBoRnDTz0
lUz5NhwzhrU6FBhOIaERIvCYzMCUAc6X6RlUTHpnwImhsttRLMXB3/DT1lyoud/o+zOQjDVkmUfs
LEScvvwSnrVDNMwcg46EO+3a7VqL2/Fv/I05hGeGipfqo94Fv4oLAjJkAGRTkkz2tXHTQ3UaDG8H
bcufrfXspjy4dewCOynWndxAqhLPYPOaqIiRAfvhAbeLWBYVnmBjlK/q4qNhFl5SOyuJRCCQ2ido
i2PBz6RPKnOomdCIlQ9PnogSqQd2cCQg1xumNCIgmdUGuZH8reqeGkiu8oBYqrMX2dosiFwRz+lN
/FtJC4ImccD5G51rjmFDm+i5QBUnVOsLAzCTEKv6FPwWWTOVfD1D+OcNWUvLUQI/aG9HqqmJb11s
9JnqeCz/nqCYmHRoArAj/64pUI7Ft0m3YfxVRbeKcz2ZvWc9ZwWxTKa2A0ko74KZ2gK5YVyeYki+
Cyzie7miDKTEmU4Kt8o/s2PyaAkX8XMhByzX9jXCmg9RJEVBmd9+SqqnxuVbK/1gPX3qjU2OwbVz
MZu+bxcFyuPgcmQmuLXM76GiCTMYgGuQETW/pDaG7CwPdn1IZALazrF0wB9AAKhKgBeI+I24fZ7Y
owkvrCzbVIqUe/iEtuL1IcabYCq8YqO/f2OALwfh0QgLH3AAt09Sj1jSyuzoaMR2BA+wsbvfjCE6
H9F1jkoTi98xN8B/fr5va+47y/9zYcW0D6rMb+HVWqNRH4cdt4uefDegnCubjYVekXGXWT8Ptmbu
2EVgmoA0eCoUdF/0/HiTRs8R/OE2ThCrHSWqRXMCIjqCL9Li1EKfRsEYvJBwwp9RhdpXI9hF3+oh
Arem+iUCHBrKSJejfWXj61ae0SWfQJqJpYi2fiTo4FwchDfFFp66UwQcHBXSX3K+RxdxrXvBPge0
XjLaJ0ByOROEDtOzB7g5EGng3H35+WPmQ/Wvo6CA6OCf21JmTRS3HrZFHd8r9dZqW/f24aOOH14Y
2FDN82gAX8S+HEEq7VZA73HZvZOcWnuWwhzdkMbPM3gYamCg+SZ/v7EREmzNgBnUwEgHoHLvBcaI
lF0zJlYSHOrh8+dxvtyRR0s139dvA00NI0dejkOFKscpfy/d/tm/KEbyrr5O9+5XvLEjXzHSo3EW
JggI7Bq6Xlg50aqP1T5xAj2hKp108JIYMvAUCClA0U3YXfGc2MguvGy9148vKdZyYXo6lBJT6AfC
MJwFUe8AMkY21f+lXDN7cPkP4V0Fh564jX9f27uFIeKqcIigEot7qoOtHlnkiQ52YCZIWY1mYYX0
TdF9fTC26jpr4y2MkNaGY++NGA9EsY5Gbg0p91vdSo8LU1i8hdEBR0QrJSx+vAFKYTyCiZxE9mDw
cKx+PoHziX50MBZFhSDvOLRy4QAmyS+h/yNdSqdnadBt5B0eW020ji9sQSjmTe/PJrozc3ewq1Pq
lm5EIxNZrl23a4yc9ifVRnOTK6KKvYvKjcfhK2/3YGbLThapAy1cBJbWPXblNTHBkSSBY96zYolw
EH8qbAi3zHVV9H8TCYmexKgL4r/5PfFbY9wJBtoiQWAx2mNCWUVXaHgSzj8v+uMoG6uysC9KH5WF
12PVS4C9TVmHv/QnhEDSFW1fO+3C0+7QWdDAbjZ2+XFogAEXdqasikot0by7hwDUPv4l0CZERVk5
TJb3BJy25qA2Jh8bK3zbUoJaO7rL7pcRjnoMDnzM0fAusT3vdgiADRoe/qNRW1Jhg1l4iD00s8Oc
IWPXXxondYUXYEJovEdnrV3YIwX9i5u8ZwiuWUu5beVxVye3MDIKmAD6cvanJMHQ8htUBEOSSaTY
DZEb7IKNiG7lIf0XnDwePUYrkRWJB14fC3CpbwnRP84Q4EAsDEs0gXwmChFF5QmN3vxJj68QBq9O
nvCWjhZoqKKctp3hTbrUIAP65ItXjbvAxVeeu/7G294uS47tCe2JkCCJLlxjTaLhf9Z/gxDOEA09
E3h7N0KuwwbpFVs9bdyc2S49utULeyX6nj+Os7UtDaSIiG+BX8sB4NNSr/9thCUsPI2Eoii1bM4G
fXgpFYUCmhWgashpNxJ0jQGFcd/u6V2xv0uMeFL2SazmPfYBDaBG96qcEANdGyczY2e6BHfvqTkC
TVi85xuO+spztWz5GaUuHmU2mpMEpctls6450CZ/NxOID3PBYB9aWBqR6SZuxKuCXn0cqZcA9dni
wFIYNfJnY4fW1mzhzEReKGYiA8vecbTAVY+MGkLjiWxlCDgLpNi0Pf+kloi9XbzOpniuxhj1Rbva
uJZr48/X9ZvTxnYxaHA5H0UcifSfyVPneonebdUk5oV6cMK/+E6+/Trns2NQlAy7n07DyXvvnD7X
k7P83F99t+8JZw0xQfNrNOny758XdMWtXgLsPdmHgkCMEbsWLEqkgSvo5k4T6vl5C6T+MDzBqVia
G7AKBEyBJUO8+zvZBVvyVmuLtTAH6ihV4ADH73o9RKi7mnTMMQANfrz1cK4MsASxg9Wv0IpBBXkD
pGuO2U29QMjQ22uXTvf2nMtYmZGemJu3BXVcMflLRHvd+nw4xhq7T6Sc1sOlFKBQLxuNfAwDcA7Q
CXVwDs2Sx/wWSLesvfx8BFaO9Feu6fuh46culOZ1BCzoGRfmUG4Gzo9BouA0X1gEBsRC6eBhCf3j
eI/O+V1AXU8Y9ek9Pm3Fv2sOzhIynlQaFwFbDRyQIxpoDN8pr4MTu3xBIB0OtH1Egl15wvup+gSZ
pp9XbcWWygtDABaPqWVZrFrjoGCRP3NWYre/la2fX9uUhZMxel0EclX4N4qG3BQLISU07/xulY2v
Xws+Zf6fdqxmunqQ43GuRI4V4Vq96/UJhBg7jUzT1TPLxGw52jYbmf7HFXYchIURyCEHCZoxPD0K
c+B+S4cenesR8Z3g4qUoZSN9uAemb2O0FYuzRF2PTaZ0bI13aA7/gMWyf97ylT1ZIqpVdqgrjvFg
neWaNOOdKSIi3SVJ17QNUPUX0uHBA7AEVedpV2l9rOB5cQsAPSQ0OYVuc8vOyg7gE1e6ZLQ4gedJ
zkmhs2h3kM2QBkBmAdp9V3e10RLF2QJ+Pa6CzlTU/zwkKM+ovRbN6XYAsDKTdXkrRkYPGim7do9a
hj4agdm4wVG2e7u1GQr/j4qAHElvP6/4igVe9qJCH0ltuB4RZDWCT0tHa3LfjQaDO/Hz769c4qWE
X9FHdVgyOVIwRNgzRxCoEObsXX/+8cdMA1i+hYlo867BA4Jfn5Jf4T5odoNnKb+68u7xNEB6HBiX
NiBb9ai1ZMsSPw4FHdBRMgNCIjR6TIZ6iaKCVJwDiUAU70K4l7FKWTTR6Mk92CpxrhkSaWFIoOsG
FcS53Fj2v9+Fyux5s5PN0okKyoNZwG6rF+8Xwvuf1/QxPh1rurAjMt9ISQGB7X2kOpPmSPwnn+lh
ZoixkUs6m0/oUYJnlvskLkHiIrr8ZLOxM6ur9aRKXAbQwZTG1T4EmliKBeTd3bwPIMgHMQdFh8JQ
iSbGtsTJZvboz4qaN1F4T5FiBiS/LF5/nsbjvj1MY+G7NIziCbmCvYr2E7CPg0byq2KChohWu94c
SHFDURQJOvk8fPpvw3t4qkG8c6/PP4//OGMPzY1FambwB2g0gxZqP5jsvb23R98VjihVUsnI95GL
xPEH5CSt7MrS5D86t0uoOSRiNFmZ00EzoE3a5a5ixpdiF6JE2ejMG7trLo3lGT/P8DGqADNc2C5e
KTW16PAGcOYdGnZ7+dDcSiu6hgfp97D3nHwf2LkDuCFqP5avR8f/Q4fRvIsPrPgSUq7VvTCJIRwS
dBrZXIfz5EyZoyQEcozBaKQgFirH/xaQLJHlHPSWNC6B0xgIOtQDuycveRu0O//y8zquvHlLzHhR
tp5S1zgoXk9RJgOXddNe0Ts2bhVO1x6ZJWgc7EtgSKskbBQVnyeHf2ZjklreWXiZnWwkwoBQH4Ee
R88Y7oUbzZtl/coQAW0pS6/43UscOSOB9D2C0N+eF6OO8Jl/yOstnve1ZMsSJ556UiRCQhYFkTwg
UeFkN5Y3EdqJjqDRRjM79dkrz3J57zM6oSusMMqrOoLg/SUv7+oErpL0VY2cQXFbr0RpUtJRsMkm
t0PaBkGhtO8kEorOYPUa8RmbRw1RSXdFZQZovCu7jVO28lB+ze5bjAChhBBhHNxF6HL6z0JzHcFN
EpoC+FGiDdO+FissceZywfQC1Dy5PXsPboLdIJc3ILonyQHujf7zcV6LFZaA87yWW6VuG8QKrXJp
BfGDC555lOslO9X0YfwUtVgHL7qBusxbHabXVgL5FHOuebTnSvmp0La8gy8n6oGR+Hrhvi1pm6kS
uJrh4bPxThrRSsWaXX4r22s5nmSPJwwEQ5UX8cSjwyuMQEJmVeNk5ke5sAQAGALQYE01zZKZqKbB
zQSElLWjUyr+LaLEBFVfFOE3AZgeTE010hzitgCtMS+tRiLRCjlAHRuqYVqJ7ouGzP9l0YvJhSCn
Tg7QMTS8PiSC6GbhoSoHkNpTdDsYPJo11WbPir9+3o+V9MNXX8C3RUjqSZOKApVjVq+eZPdv52Zu
Z0XWz7++crGFRbJoFEeQbXkV7LD0wTZvnr/hpq+4pV/wlG9fDSZBv0x9bN2UnlBPyANby8Eiu0lR
tfJ+LDHgkxzxErRf2H0fOZJH0+fOFVzOQOABTYMtF2COJB+dv4Xj1g6gL4dc5VydAXcHiUnhcHbq
RKZnIumonbco6FeCsSWoW87FlqvEGIsloEkleVOqgHSt8/MOrxU3l8htLfdrFqcIBwhR7IkDayRY
6uBGpXblAJW0QxXAwImv7OwO3LLb3Csrvm2irlbM4hLSzavgQhbzABlckqQ6vDjxnu3UfYh+9Lm+
oukg+zUCA7Bi7U3ZiInWCkhLgHYeRwFsB0514kBS0Kqtbh/dwl1qqFSyVBOUMurHuFf+4znhF47U
OELpxc9wRXt3OKlufACkSDwz14RwOvuincfrz1u5clm//INvlyqo8i6CXDu7F8GoLAAyFUm3n395
zegvYddDUzeC6sPoc217iIUaCeEA+BfvpAhgE4OwklAreu49D9BQh0wuYT2BSgw6S9IakXazL0TB
ELvPja9ZuXhfMcG3iXrgXJWmCGFhQ3ujvraH9PAXYgDoe1Lt7hBsuNtrR3ORQAK7epHXPLat4uI9
y3d6PeQQZJ526RDTSkydrN4SWF8LdJfo7F4EEThQBnNHveiiScUF7ofsGStHi5a0ddNX7MhXlfnb
svE5uOuVGWGXObxRW/MgvhEf+DeRAnFooVuo2qEd3PKfEit6Vs6ME2hkREihbXzBWuFvCcgGAgh4
jXmagJ6gL63UQ+Am0I2qb9lk7bFJ/orWvk1xVKOOhUwEan6VWaZ4uu06prXJoc2ncdtg41Vcy8Ut
AdfVBMZcZcBKMjbE4r+2DD01LtrZwKEx0vi0hZtam8/CdEzMlGgCD+Pc1AbgJ9CmQoolPFeXLbTR
/EMP3rAlvlryII4dKxhAdmsC7/gyHLaA4Ws/vfAdmi5upSjHTwvKsyDeO88UYnSUn4pgI+2+ckG/
dufbZpeQXFCYAQOMnNVePXCDaMhSlOhg02Vvy91d24GFFRimDHIZDQaBlDqI9dr8HdIyKlK9rpCR
eDxyCDBq0Ob4xM/An1B+8hoFG3Kogd7I/NnereU6ljhpHvpeU8/hG2IUlEW9SU9KsgfsUQHfXUx6
9q7SnLnnYU+jwWobSIDaMhgF0oNqQtpUQOxTHJg9SJT+/PxBa+ZqiZUevdBPix4fND11lNnlR94I
LxZnSZBRP252J68t/ezcfdvfCuqVIdsjZGrGFyl3qnHH5qCYBp/gJP8q1ZGIrR0GOeI7GqEMG/Bu
rtojs1OGG/ue9SSMt7CSj9sQFG0Jm2YyRfEhSsTupZ4/t35lhm9hNuoo4NqdZIZCf4iEQyhcxojI
cCqiO1jqUs5hG4QSh5RFB+bOy4KNM7lysZZI6bbIA80r8THMmOltg3YnHjTnCvo6QcUZbGCPVjz0
pTAEotW0UwKYuEKxpwlVO+laBsj1OD8foZW3iJ2H/ba37RSD7rvAHLIW3UgcFBnAjhtIW4XA+XY+
MGvswvZkZQdB8vmhQeOzVewn0u2EY6ejy9kAWgfpj59nsXJCl6K7DKRZmlTFMJ3ZvoNZmsztCex+
qy635puzC+ODfGoncnNwx4NY6uw/jXpyil2ZKq/pe/fCvypgjgRNkX/g9ETTuYrE1AfDylaNa+0M
LAKckCuSrO3m6QHdEg8OaNkhIUOLaKPKtGLA/wUKjgSmD8J5eujIL49wB6DDjFTmz5uz5rQuUb31
5DNyw8DNh/gGhAD6O+TKnkCKbqg9aenkNrpyG5HClC6JvTHk4xlBaWJ5rIMpz+d4me+pCsNgc3bO
kATdpxEZUGri7SqiMhQfrfjMzMZy3Bh5BSoIqaV/jsxnDRtCyhv56A/02yUVhcCPjKK34VviKTEZ
PbqDFQMz1Q7xLQZdE1wvY8tNedzJo6hLyK8W+toYg7kCVTf/V47dnExR92Agn3zbo+NbbI2H9gCM
LEXzTnZlLlNFwIJ9iHaymdutDuBi8HdjD+ZCxr/vvqotTIsfaGLAC7BcvZ7RzOx206U2Bb2waneL
9OVxZzfmu7AvFSfGaiABgpgetVfIrcah3u1xFe8eLXXQJe89UzJEE03GEkBcG9flsc1Ul1hgPptq
NhomYa+G/CfTAHuojqAaLrKPn1fu8XWHMuM/j9CIjH+Qy1g47RSgGbPebyE2VxwYVVsYkrgHn2kk
ImDL9vw7kuC4GS/Nh2AiX1bsu3N5CJ9xRI3Qgg7Vnq/sJNQTV3rj9+PG0q14LOoSCqyUYAn+wjVX
4Dh4B1swZCvQfVAzBKoy+vBXJYG/lZBfyS+o/5LHhsZQUEmonHTAApOo0ws0D/xhz0pNJndCnusD
TNn1S+/2rryZl30c/atLrPCgMKw3zkeyeU3vJdo44I5+QAKNek5jsLvY3GyrfZxcU5fY4K4QuKkc
ANxorwxIUohiDXhZs0MJM7cRe69NZnZ9vrsH6thxU9igpKymra1Cnkmv47LaeLZX4lB1CehVSxms
chzOo/8OjijG6HTQMfv6M7cFPlkzx0v8LtRexqBtS3avPPlXVJGjW/8p3oFIgkxBGKL1Gr2E3Hl0
s0NPk4SMNDtsaubMt+qBAVwie2Mx+h9Y14QgwK3MSTmllmZkICKITSUyKlpuXKsVi6EuLEbNDVEy
iS3wVkiGT2xNRvmothzktbbIFB57WNBO++dBUCKl8kd+RgB4Jki7K4aOAXhaUyCSGMiNgt4w2ogm
Vw/FojA+QkxoahSYP6V/GkLqVe+tIuoKCPBb/415ZYbXcIujc8VNWFJBi54mJVBegz0MKermQeE0
6Z9WMwfFHCBQ/p/M+RKKK6acKrFeKew9LuDe5ahI9WSIwAVU9QGEclNtSyV8zd4tYbhdwHs+V7TT
PtCjHrDiOILCyWvi0RaQyJSCwpoKIKTMS5JnjjjRrnvLqoACG/zzTNee4yUsF7KQdQJJy2nfeW6f
79oRIqLgdckMFo2CIK/1KrRIWqUbDk7qOeMHzH7r/02TfZGyG8fnqxz54NYtobteo6QaePlBu1rd
0CdIuCKi/fTGKkYg7KPBmDwwsKnTsS2OcfNrLD04DaLO5a9paHplrndJ+dwPmS6y6NyEcnAxKtco
sQUwDGvQdqza0kiFUk89G5kOkJAmCMksGaS5XLrji8JIo/celaiMB0Uga/DhrVb+jK25scIrN31J
+x9CzbIcYqwws/Nc/jO7AV3hKvpoJsfK5i75LYvJU/S8MdrKrV/qLYdan3FZB+2PVvdtFqSevYG6
r+nP5FlgrwvekesFVTXYmcnGZXnMGgTpvoUpyzlP5SBABbpfdH/zt7pGJinLTrwPmsLkuZbRauKf
RQnEWtMtiyQrkNGdnsVGEmZ7WZlOZXkDLQmECnAFQKwry4YvAK0QkDQadHDltyMtxJx0XAZFhIEo
gSG2x7GRN67AF4Tu0fFbGEpViaGDKPTQAPIa0E2gnDKJ5iTZcaQgE3FT0cFT17iXSNG0/GjxwZ+Y
ORZ59Qck18RPPqb4vc05a/T/qslLxiGh5fQiQyrRbqIXJjq1YLkG97H25EEQHFn9EEwWUtTvUtxy
GRzVNQBgXkJL7kVGIYeVspOYW0XBEIa9CMFfsJzoRQBiuYAhafY6VMmhY6xEM2oIZYz4OTDiaEJ2
QLOFrlSGjBbePt8oka4grECE8c9HhAmVMm4kkPqyyAVwlLlydkaRsL2XTgDcHbNR1Fyx6soiXxXJ
o9yWkjjuVQDqRRAqEx8yGH6O1uzxpnVvP1+OFQCXugRVhzhQSS+B37mj/QG6KZoZf1YWMKiSzVt4
e2uC+uAEQezWivbKa8cZULSSFMLreV8Qfh8jeWlemVn6qLa7QG9rJDPBo9EdGzCGqBsHcu1RWGKx
W44ToXGACwWDHGe/QSm+E0+Twc5URPGrojcNGuHRK6NzEd0KNFba1tQlElvyZCgoQ1gUKeECeP/6
Ik4oLqBlUT6FL4VK/eI0cbe++Ghrk72Unj6qZFBfRW4gdZO/8GixRAfbR+tNVEDVig3Nrj+Mox4k
NEXSTzpEgbwRsa+FJEtkd8SjH5oR4CJytVv6k6lByLwBOyFoFjij9t80dO0D8F29seVWSmTlhC5x
3lPRFEPMYkjw8V0T03dkuz5vhadrUd4S0B2NWR1nc5tChwYLC9E3f5QKrLDT/RZvSJODzB0Mkrtx
J920S/bZXatEn84cKLStfLdV5VoB5qnywpCPsqDlST1f9ovsRm/QGrKiA+dwNHa7XXJKD8h8MOB+
S/+I+JSf76TEfyHTHtjff8HBVRGwjoYHmX4a3URWu7Dja8HEv7OuveSC3ChAhfw/ks5jt3F1CcJP
RIA5bBlFZVtO8oawxzZzznz6++nc1QADJ5F/6K6qrkokW8pRFW14FEjjhyI9p1q879Le7frqVLex
K3MKVk9rdDVTv+6epvqWaUQFVrnTQjsQnWgrpD7Fy3KNGnzyy/Unicb9EK/nTit3Zg07nzWk/2QY
L8sYSec9BRBx6b0VOWVLDGXaHbZoAIWZvbggMRqHzyLxlIhRX3F4Fh5htZ2lYz9S+5Ysue2iuvjg
26YcVuWxGNvTbN1ahj0VMUTT5g2VmTC6d5Eib1hMR5C/uPLcIZr90ay/xjQUtcmR+Liaec8yFUkO
2QmiHY3fZU2aSVHcV6txKuMv7q2dufROvsmty3WTD36zvIulLwxg6rXZZU4RY4uQT6ktr9dELUpb
kZpzXCaYaa4zOqd0bvxtyL1hXPYUS2YXEpe1VzX9M4qLA7md71NWuFZevWrJEjSqek+swln68jtZ
5suwJKFkBWOD7+lQibthsGwGHuQ+OzZph5GSyi5c5azCQUlNq9Hua42DS9G9aiOXAIsr+Z7nQSnv
s/in7kdXxQFINFU7yUxO38o2JkZ11YmJlLERh6d21j97UzlbnZUFnTHqpWeUevZvKuX2e6zbEluW
lqSDyiKJmPTmilAnYancmADJUIhJpijb3rB5iqs9dQZfOcm6t6qTrSkcXgz6e5WFxbXQfSR6F39o
dfWelZ9DMUxHLdcCadHcesrNXaGun1K/Frta0fqPJMGT2lKrv61ug23u8Zf0suEWJZd5fO30S5L0
jkAkROOvA3aS0w5PfCp6o0quSefkkeUpcZBLxK/v16ok6qAkYtG0RhiasEsIbH3K25VRs59IteX0
qjBOnByyOCyz3dDsl+7SUwoneeQoY+NG2D0t5EzbyWyLg4s3LUs34RzW3VIIFnyqh/SojkdxdUb1
CWPxQt3RiGIAZwrP03JMeiQteqB1DgC24ZHkqzhR/iZuJ7IiyhmVZCe6nWRHwnooxPYUYRpSwqNg
hXY1t+TZIrBxZSClbs5zfmtYt8bHKhIx1pJvedPM8Vh3v2X7u7Dn1I5wDPmrWVgkyvTcD0lg5uo7
dB0TYgYtibC4qZoh9xMTbD5Hhy7dSdjjUvNSqdcteqlnuQ6NSrxgNnIpOunUyZ3XkvIVrkP8Pkqm
H+vgiRsh9+eSwbZl/tzy+sDHWGe4SQHjnv4tajdnsobDKsbor639rERWOFTyTVnVZzJtlRczmvtd
SRSukLiCshQHLQOUYPM2ZUXwUIWRFUtDhcDq8HrK7KYWHbV4V9rEXdbsBZPSeeWdJ0TTtoZft+dp
21rHNMTQIFF7Kr0lJzCk88tle59aBtSJepssgVrUXuLzeC9WnYdaXqaZDF0BP6lkAipPkZcTcSIQ
BU4MnMBS0YrUpz1jaJRAmPllkTK/Mza31hSnNnpektiGUutWsic+Zr1wfamPlVDF+JeeBMOdQFVE
LKM90o/cx89RSYVcjpWG271sBVmqWX4r9vWOVHCdRKnm3jbqtZHX6FjGt3m+jO3vkHU2ycPDGuTt
i8lb11PQosFl7oDdUeq1Y4yi0ysHXdilZhW51XjesHA10/YoJEVYAvbHYl46XWq9RIQLuxO3oSLo
N3noif4S8j0PeA7a4gTyZMXeONjd0eBku4hA18Z1GvAwZXIpKZ7EyRaKT5T5pnUjOUScvnUr0mwB
ucZnYQXiuiNBQxvsTHeGwpG++c52C7PBaQjWMG1pdiSkjBACij3hyK+n55kcnvoobnZcPtfSNcXz
qvIGGpi49U3pMERPwvaXlIzoVf+kEvsOsi8MzGrzMX6dumQnZEWoJ8XrkLUY0ua1HPTlPoHoaPsy
MKfE8BWm8DSLBOBFD3ruq1GRMbvPnX7sFifHgReLUo0rTeMUfFg5HmLlhZM8XYkFWrEs+tSgEmLt
YNFfqdWMBYXROJq2S8RtcKq64TfEw3BqKyP9lm5d6i+aFxXM+umO/KBn0VuWgWIYAcNgGGgvhiPp
qc3i8eJedYQaBUrKHFJ8nTXZ3YzBFkyiFI1TT9COGXOIbmH5V2x4uzD28dyQyZAThBYOeu4MNRl1
WTXf1X68LAMpbyQrAH2sXlUciZLLZezKSLKbvFHaN4onJF6rwBnjajPwe03LSeZ0YMSCp/aV5uce
O9qctmhmBvNUbaGS00uqv4qI04DqrvU5E1/LTbBrkIBhb+ie1EOxdK9YRwVaf4xVN06YC2zHJ60+
N5PXY9mlAgQQjFoS7zTctqcJgU82PDOKWUUdyXmVR7iIaXhjSrqA+rqunEfV4uuMnvfy6AzrQmC1
O4qfZvZjkFAx0Mb46e9ockgwSVtzTiF4QTRLsJ0U1pbiyLIvSZ7VvXTxq1bvlcdRYevTqa4OsFFx
edZXr8NsG4RatWvDaRrOubuw3MrtpaZpUUd3ikKZmbYxqIadRfInGN/HFh/gH1U2x5Z8kSLlm7J1
tPT2RJVHbu8Mkm9Igze2JedQtj43qxbGvNEmFi8qXWjRpMMxI7an6jroKOg5R203z9qWfYb5iBeL
PVfMml90E9xISrxM17/Mz6Tz0mpj0WaOosu7uC8OWFHtp8fDB9E159wfSQhtN1Lxan/ioG94FyA3
w7Ls8e1wpHZ0q/VcwNJPrXHtBsca9kUyuPLSBus4VU7btUcNHEAnSVtV2ks7HGXhFinFoZe/iFau
1ojp/GG6KqlwZeTEaTEIxWXyZTTAlIS9LhB/2mIxucySrS5OZmaneWkVjqdKJ6Oz7g6jbNSOta1U
VtJOjj9GA8hoVA2KKrGn2KMoS2TDX8ul/N4mLvzMUNys9BEvY4Zs1YEa6/6qjrgw9e64KfYI+g9o
KZ6Mhv2bh1wChsoQeb3t1dX05Yq2UtaDpJ0vy/wBX2y3au+IeAd25ezKZDCuteok2tEqNHTZ1Xqw
tpZ4YixFuNhS/dbMvc9gJfmRpMmCBVhCSXyymHxUkREI0ZcIZADaZm/W3jKeSDkNrFgm+PSxmBkE
iirVNp+6LtDKaN9Y5t+qxIo7ZcK1rMKoEb+kjBymlFetTW0gNzNPDGT+dYB22gLzhpBc00zbMg4I
vluqkK37XNclsDpsnqa30vqUxbdhe1NXyjqvKZ42ohOlwV8J7sDfPQoTPCspBRxZz55nWfmdmO9y
RIJQ8H0bUaWVlzZtTvVkybZSCaHesGKFbmdMvlwHYpn9U43WS6wBC90HrVhvhMcTztpVujcXemYz
Pb+QlxQf2qqcj7PeE4pXDUmYrMt+wnDbZpj3eaqlkz6syU4Rp3vNHb5j9tIK6u5L2jKvyqzfZSFj
tc6cSX/LdMp3JPvg7OmVaHdCOaXyO89oTKaS8LsZx5epdfsC+dY67qlmwzYSDpWU7ZImCogZfcO+
76CqQrDOlDhTlf4pFpbKMVlzGqH2hvkprgZFGstOJ5+c0xKVRF2duZwPCurivjtu2Wdq3UWNo+Js
5FZi52z4aiLUk4iC3GsAmXqt94SWo2RasNmB7j7020K8M6NYdmqNyXEZzF0XKZfG6I4apFvclIdt
sRhhoxnoIr+IM7eWKh5fI+7UoYYo39bjEpd+uqWOtr6Lqv7ZLLRpUnUoJTYUiGum/Wb9PaFCGsqG
xHgmAbxW07xt7C9yOjii4ifydw/XayrVTZCeG8xTuvmVTNRjqRbXZYiZNDD5SW2UnEd+g9yvuL0X
K0Wb8t539X1VrF3d529VMr/J4DOLfG3H41Ilv+RekH1J8hkZWdMacS/C35QCw3R21LzEJGNKrMDb
QJYIeyH38ubMCVvXntwfckhoyV+toCxuFu0AtcZj76rNfrDknVSRXcbt386sEhLEX4yxDduUY7fV
3FVAGSp9zeKLvrpjxuSQKv3KxfihzT8sQpd+jPPDicrS65LMjfLFjdp/ukHcuPJbT95mtMeVQq6f
06OkiLYw/OqmYEukUlevivlUpm5p4EgO1F1jQ7GApSrVXdGyqxVJZBMJebgyTtLqK2ccFOpcu7L+
sSXFfjXr1zZFPdCXO1l0ShFDa4ZoCs01rL1Bnaj8y2KXs3XIP1WDh+SkjGFkPLlx16Semr5ETNdW
H4nimhh4iMLRFHflNwRjpzkxluHVfVY+NDOkStiWIO9BMqR9OpOD2id7w/K1lpuaNuWgLeN1m81T
jGEG80ZiX7kCdO8wUNJimDrpzoSb1ZDjmUpNNPwsG9lOpHQpH9EaZIQ1dIyLp2XsydlZbb90xpfM
KSMYkdZu8kX9lIPcYoJJ3tiQ+62x1+szp2fHDTNlR4VZTfFJxlhyYf80g2uKhLaSVaiarmV+xljq
dCRjy6EGBxl9ra8JwoT24T9cyr6xvS2M9PWFMwA6kTIihQ0bqj1Hiq9FJ9MioMih02mo+AbBHY3z
oJScRYdiwO12s84mVbCat56EHxSA8NjlrpSPJBdxZFNl92UcxnRcipV7Md2CnLOtRTi157UC9B3c
Zo1PGN0F/UBHsQx7YUh8S8IzM30ACSkhUa0XD78RqaJpsfrtVHPG1XbaBVMcdFqBE+Rrp+KxE5SS
ZxQRH6I7ZEXs1plCbZy6urhc5toItRi+XVV+xBgzqrLbcbVfhVn1hcKPcFhcPiLmN7qqCFfRU/R9
Xf4ZHD1LRdvhScClURbKKCttk7FtmJxwbD8NNZwQ19frV99cVaY+Kht+aSDphxOgsKm+88krVrv6
JenBbmv9rexDOTkPwgfp3oEwk1tmYhKAmRxP3xxcclxN6yQVVEbRweKqnWqG1LKmBiertfTnYQ1J
t2wY41NSz/Nda8XlrkZtD1RpjupeEGpfmZcgqwYPfKJ1kiT3ddKho4HOV2bkO6v/TPZaXHUYss/q
vuiW/RyngWwRHaFv102SmZjK/WGdwkrqfjZdT0+UwC+WGFc7pCYOjk0vg9I8t+X8F8c0bnCYdhQl
RjAk1XNjMj8VmdazuFq6vegJ3csakWIrPNXy6vTEUfO5XHEdv81iSoI4kv4EU/LqMfpZ5+e8PW+9
03wq7T84wpHRD3qe0VUKp/inYzCWTZ23jo8CzhgO9bsgk4ODGx0WdWbwIFtMOjL11KQM+HmGQFqW
K832WnnS4g/1V53y19uq9KL2dtE4ifoYTwjZsWrtpcXelHytj52o8wlHA2JYyw/8KSkEKyS/7iAe
JBC7piUMPiRvwLKuZc249J/+LV3UN+UurD7h3lIgja6ku03vF+ltzE6j1jswx9p14LLWYhewgklW
fLGTJMjrc8f/Fny8BbTN7ovTmIUV1puTU2VBi+OldVGyQCc8G1FxZXgtkcx0wfFeoNCpX3VMpaLn
qZW9sbSn/F+q+xGqcylUTwpKxHrDbfHbyHK7iKA831qm1vpdphzKsgkzPSAEnlHXefhORldOwyj7
FZKvaHuJh39TvoWN5He4UTUurV8FTBh3tizaJNL2rWc1l9rYOE6Rs8VgYPmeQm5raj8zv6wpOxca
WQc6X8b20Ag6aMjLVStnyVgaeZjflCamA31uM4+7ZM1cucICK0tOqImDtk+OqnnUL1pzZIrcxEgH
2UzjWv+EqaXL9mLjrQSZqC79FEobifA5VD22Ya1OH37osj1lgsDYvkjOAUOV1mtphY32kUgMIBbz
s67+MzDozQCYCKmfOcyqD7Uj21HQPbU9lpWbiD+9jN1v9W2hnyv/mumqwf4rzJbXHkafkgbAcZLL
OzjTkFyiJmy1W5WfOu1YMz2PBLxkeh5xkyh4XHprF0pySEGw1T9V5BXklhelawDaDR52qLYMVpUt
w2MMEUf4ZNLd5I8rKSJqcFFfq17lmPVHAaCFDOLxRDnSMGX2jxrPbZudhCXbe1nb5jeXSv9W/2qt
H7cvhR6qzOSTc0+szsBkB5bGg2JNl6isn0gwtZWGh0lQvfhsRQEBlon5ymcx6qfqpiZv8XLBa1jY
XjuFyiZJnSytzs1AH09TrSclUqYx0EU+3HaK3ithY2SaxCQtVPGKyxuQm0NhFYFRZex4LAItV0qu
wl7FQ7rCOfxYtvWbzi1ZUITJCc1s8abV13i16/IpGljyJ512plJ5A0gCRRX7Z3I3Vyc2r2t+s7aN
su8Esz51F+RqtmEc1/paKa9tdNYoaGtYsMJXIneSd2VxSJmzHhXAw9wHt8qqsH+uOQcxZ+5llix9
za2pfEP/HLd9KYDxBu1nn+9mBn+NL4WIHJFLk7HB5ZPPZSTBLBLPLv2r1B3gpl3Uey31MWEhgsQy
/PGXXSZY3qDuYEBnKpDtmhqvTfU7Fl962z+Bt6NCUPpjMzhqzrv74G+tsvuidHbbQRkaz4hFLV5f
b4m7BCyiqZ+W8r6m5w2HkPijr2K7VJ6yKKjox2PbsF7VxQV2s85ZBw6mBEoVos5yDE6qiUYMEKgg
/8R4l9qDjuwoTw4TpSzniO50Pev9mHHvjzrtvMSZsgku0BAlRVeFVEA0yyn7kfAh1kK0MFFt48wO
6mUxyGb5EXdd/KXW/+bio+8clZkiTGisS1VXDha9OliJdOhrcBT9gohhqgg1CozsSu9UyVybemEb
yptJWRE59eaIKGL7pxYvyZLL4y/Xrkp9LQtHj4NY+dGswtX0lzx2iixMumBUd5AcXMOT4czEOTSv
+AZnBbZlwmmtbj1Z2s15zK5J/65VALiHXpi9iZmBrPhcrFAR/6joWiF2dKoUmTomOeQbI2y5Kyxo
cJy2JRXDrljzVC8i9YiddGY4R+ptqGP4Ez4fRi3Esmp2/zPXO3ZKk7hZF5jZrusoXl76VrD7+DfS
D3q03xDBJq5RBNNPm1Gq4eDEmL7mJW8LObyLK/cX5oapBXsaPPnFAnE/KsQgm7QogEsieznlCgx0
UBIhC9u4cIvuLddJQy8hPA7ZSNFohEL/tZmGo6f7Er/DvnZEY1chcSZpQ+Y6DYxzvniq/Lb9Kum7
TKS6QPP7HjEmz7msV45Y8vbJj3LjyjU4scoTUhJB++mBW19W1QTbtstHmA3naEEw7uALDEyS4gQj
sPwsqjcccCNfJSRAwIsv3EBGhIOdvJP1f/ny0V1rLpZkl+LbQpkW/erF+4wSGCir4KhVHWWIXDQ6
k055DuwI/mHPfbiiltSMe6ycehXHnNyfEx7S8irPB1ZC0YIROgrjeK1r9WdxQNoJ2OvK6nsK+GBc
p8XF/Umhj5TeBPhuFSRZaHV3WoDEEGMYttH+1tF5xlbaCtW7Dp6TUDbvVvNSk6s12rqJ78DbLNQu
ukd7W38eeOAd2a8hHsXlaUFSROvf1MHae03mi7NTC27Ue/0QYlstpp/mFOZZ5S4zTJg4PilTZG+G
GcQxPvP9U7Www2g/NZINUOldsuY5nryu2bXzvnttCQHFYf6P3jNCCqm+x6gVTS+6jQjK78bfmLuJ
5NQiDvU72bKZ8jHn3bQf4A9GT+aO/lWyvfRbqjj3YyYYR6o3xp/m8LFIT+qLgg2BPD31H8oa1PxF
iretG1DlcxVLO2oQEsscuvgo/dwU0VGQbGGeoFVGyJUMLkO3wHMI8gdkx9F7ibUvKeWk9IbyAFhv
yb9J7Bb9d1oEIK0kZJvLqyQc+s7Nl10kBjR8+p+aG053z9SfZvwC5CUy2s4+ZUrqW16ZLLLmoWlQ
6qAEeS/O0dKGnX6Cx7aL9ahy6wojKKzfKOCDCxGzXyMOAOaT+FfXz7QShb5T49pul4NWc00v9K2h
kf9rpR9Fe37g/xhBcbLJ5fU/YOmx5FQ7O6bJDusYy9HqHfwAKi4RYCjZvvUsFEliFl8LXvnMN28M
SOc38GYbrtWIbuIN3qQnm1lfgnZ51YpbxppKGszEsaqdn9VwaM6NEhirGy0+aAmCMMIAMOEuUTfS
y7C78DcKOjFsJZ/1ZiyfI9dCfBw0z4icMQ6ipnKJhK3n25ZgeXCw2htQ8fxvjFun/lDVG69d7N0C
p3I9mDofqHpm5OF70w9ZRKwBEcOYFbYUNULLW1vfNOiZ9K0XfrfOkVk4xgrvcXgEEagPHZtjxaWj
NJ4l1e5Y/uD2YMRedt26d0UFX5G4CbHe/8ArTsh3VNHN6k3opQSu/6BTkQCQ3dx9E19raYdCC7J8
V0iORe1KRI6Ju9gQmCZntF/Q+nIKEZsulLt8DNiaeumDcAvk8wEnFb5ovSVf60CnXsJNyc6U7DTj
LCHzk09Du7PkfzP/uYWTETa5XQnvUfPafFVytI+yV5iTR9NjjYj0O2y++o/+pALpd4viKMVTpx+k
ictcYmz51YrelwRRSO3wEqjVJArtTXMzKDFO4p7KWYchn2xxehggpW5eo+3mX2ujompe1KU8LDpN
m+rPrK2cMVRbeNEZdih/VUW61xKztwVY3gKRwXRVJyvcHIe1cge9ORn/v95JbKhJgFrn2UlIaarr
L5X8AyZX9CejlT8EAAhb0MYHh12XTt/B2nMNmSDPWpmDEpFWE/cvndLu+zUJ5ap29LHZdU30J2bN
pzWZ34KcBi3Usp3rqaP2Oz3P/XJWPcP0ZH3iYrGr2FfpZq8ImRCQ2qbk1smPnHzLqBHkQ2QGtOCE
DXZKKDWHBwyXuKL+B2Vf/pBCv0sVTLeZ2asv7W1sY29c/8ZJcVGg9FxcYM47lZ8sKp60KWOwDG3i
YN/mT5rXSf5m+hVUizamf4u+l6FOFnO8V6pHM972jmrOp7zFg3mYDuvAJi7BxGTGawCp5fRcP1v9
PdZEP5uxdWtzPzbyJyAAPx8f8V3y8zQ9GnuA2oWI3KZ71Mki9v5cQUu3eHHL8dpsJzC1aJvuknlL
leypjsKMr9Y04VkVbniLdjnXBEb31yQ5cW/Oq79Z1FhH7S+ef2eU1jEIgE2BjwWF4UrqYUa6qOCW
FeOo5XDUPopemOHhgT6sAN/DdY531bRfQWIhq6ASlPjJquAv4HlCTTpsOpC77DU5p+C2r1dgonDb
YONO3MLp6Ji6ry63Cr/tzo50r2ZAMyLFJJjEPqzXc/1joLnKjekKuAxKMU1XYdwLz9twJM6CGcrJ
uGtmzNN1CzkojZ3VxGgbfnWsUuqLfFuUsMzx7gsJubNzYhs59abRp+FWuxfVekbtgp00cgJBvsks
fepk3tGsukt8yKgyRAoE/FpMrNQgjGKMpMjgm/hCwOv+uzDu47wz5HDFqYi4ruVnQhNYQuBdJs5y
daRaK70cmjha8BtXkl0/XcrszdJP63zOYVkBerW9OqC3A9xtHyGAS+sXYwra/4E1DuzJjSKPEkXC
n/F1Wi+tdBv+rJ8i1e0x9fToX7MAYKXpbdHHu8TNsPLNY/JeN18FSjBrPkwk+anOnPqQosrgCox3
DZNjHttJopS451SPlJGFD36nLLa1s0iqii5FHhTVzZqO3eQJxUWEWx7zAwnspmK+rx8tqOevSK8N
7hk0P3X0q5lObtH0o1XORYfnLmrnbXE1nvfi4JyrO6tK4epUb+lMWpJUekl6b9qT+G3yNWPuLeVP
VL+NOLqq+ZUWEBIS9khVT1uduYPK/cnEYC/t47o/qB0cII5EUIylGG4TnQTIMVCfz14eqJ1OevGW
b9DpyFlGxAFF76s83uId65tFXQ8tdZysu9Zw3KRL0TrLjOlzgNGGrx4i4xFxqnpre19EeH5HVX7X
h5wCRY3l0X0oyFZaio1Hf5PLFBaoSAqnBvGjZEDpYzHom937F4nWpHEGZbdsnvJsXafurX3PLIf1
AAgKWCHFkFvCX1F94krWlL51ryg0pY8OmCXOdmJluWtlxyhkS1cx7CYRXfmaVtDh7qN2u6+rH0U7
JoFE87slb/UCes6INUzRxeI6qCUe+hyow74Z6Wgssj/kQzt+M5J7NPD8VjdfgMbcvqMJtUT1Mt+F
hxPMcBRQaXQNKbaDn3JoiOFCq1RvGP2dYgVV7OOegVWQGy8aT1t8ztd7m37EiWeJnyIUXaq+67kV
aMdF9BYd7vFQgMBb0D8Ed4ip/mpJ4vdYCoe45aaJMHp8M8H2heZDzzhm3YREd0zQpy8s85Pcpdeo
UBmax1XD4krn5SDUV3+XaF9mQiDCXydRKM48oOw2Tq1vlXnQGnA4EHfbpUFLF0OAIsSejk3EORG7
Olu7qf9lyTkFmY5jp0NEEnc7syudlXQ2Goak+9aEF6WcEQfNaPIZ92SHxAbFO9LHKvGzraKGANfW
uaVa3TPy2Vs19DhFDPCg5JehmO1GMk4jjD7+zoKjyE9jfCNiEq47thBI2dTbk9HR3ufPSYMjwFRo
HRooEBO52eU64TYmXXhZ+Am9IswziMnwbjZfphSwLmnGgRSF+dTVX4XFmkgBXKhOzaQ+S6bsVOaT
0LuPRz09qcOl5BfGxRc/zciQMZpPhfoTNbhlv2ci8nyJBlx+EYjZTTR/2QZsjmh2qZMjVOEcFeVO
+pMB7a3EBxlp1w05ZCSrbqW/Cw0P5dBwFG5ftfXdx/HjWw6s/wxVjB7TJpxUg7o7dWT1eV4SlF/l
nSvblIATDd2ekGiXRv7Z60CoxYKnzTs4CGM6CMggBj7E/lglfz08/Eq3O/1tau/+J1S5bNp5hFqP
6dFazkTRND9qSqK0+5iKfK+YaLKSbC/zh8emcSAW81Au0m3Ek2DeV+pLlF9VtIxx9Cb2c+9ulnQZ
hynyOvlRbdb3pMiC8iAsd0sCv0bo5ox8lPEttZ5lefKXYt9v8FTRUxWDKClPQ7yvZZjDZ0nYaaa3
WZGrT79d7SWwK7oREu5KtatVYSq8pvJEpf1Pr79VIKZ0CDUVusXOOhInK5D3HEfY8nmYh3NWys+F
ClZNfFlS7jVsFMt/aodcYlhFWOcSpnP7mnsu0sS6YWPNnlu6b31JXwULrr3ZNL+SJvgnlI9KV4ft
yA4fRo1zzfg3DiAl3MDSLJi7MTe/omTdk9P3Eo/7RX41kBXXjBCk7bsmxE89oHZHg5EawnRKYfeB
00zRqVKI3ZyixdcUMfEbWXs29Di9KSoCoTampq+2OlSt+FYbhPeoCEfrf3Kce7KmhEKLmrHc3jfx
AQFx5MSihe7/XCQwuQih1OihDKRvVK3uvbSI0hPMaa/OE7MA+KrZaiXvRiuJnDYzcmcU2ylIBvU7
7ozYhwlFtbAmJzNCQKIqE9mhEtV9dYkEfyh2qmQx3+YydzAr85vA/R5p13V6of3ssoNlMjvRpm6F
Iqn61nTVNQhC2Gyto53KMdM3mYRxuvgvFZ4VQopoQhmVsZT5iYgmSDgJYUMuMWO2DAoxgW39XJjC
oZWE2TEFxdPw5ZDZqJZrDrdRS12p2q3Kl2bCf8lBMbAa5K9uocUvUVM0FVwJnKX5IOhwIa4Vx8DI
aGvac5c077ouEbk9wUTJHmJ2dZ9J2mXCeBOYYKWKNYGwCD2mDN6lOlyBclcTPCqTZAr/x9l57DaO
bWv4iQgwc3MqUtlKVtkue0I4FXPmZnr6++ncyYFRLgNn1I3u6pYo7rDWn1bT5nf9IE1YrQC2i4Dh
SKzrWuVlYpjzHJEHXqC05qKpTW0ZhfzejgtNIvVk8iF4Dm3RnHPd9QSniDJWR6N9cROxywkaqXtZ
MsHJ8kcXHaplVB+WcueU+TYOJd44GYPv52s1OFn9KmEKiosty2AO/KScDEGgLUkBxTExKJw9qkhH
2zCEwuC2GMMDPqWYqnPKHyZ7pzQr3d2V1jocr73Ym0wzxR7Abuuq7sKyDlcdAzugs8wZrD5RwCMN
NGAa0ixtmYwGuL/mPDAhmGu+IKQpnl/asdmBr9CNlp2XN78qpmaEdDcn6G3F2ZvRvW0tW6ImWt+N
wZkgemNuFklnkc0bOgAXgxSWViGWEkeDsUT+sCoJsJWT4xshj1ttw1ps5RStJAoEqdNY1o/RsKyl
3NSZsa3NzoR7o2RK0Bwieub8fazvS+BUKd4dzm2K365/zTqXwBrjuWo+AM6Cpjh2YXzUyk2mD3ez
+2kKwO6cDqXRd5PVriab36FStiJ6M0yGtig+9jPSonaZ1laeW6ivqrtm5KPfVMhf3CZ4bYqaATpJ
gIgENd6omb5S2q+xo81UPgwGbOVTp6kbPYmuU5B6QS2Ydmd6VhCjhCgVdLh9O63bxiHucyyl+9E3
lbqU6iR8RQvjpWYFn1qJHpVNbciWgZJVh2w4UZm3kFtGyb+APogqbvI5V5F0tkwEc0J3jwTb8GEA
2R2tzFdpkmxk7e6jcYTJY/gNKqYBQr4cQ7Cxyhq9qC1XQG1laSI564FvRF8k+2SswaWic42prQYe
kWlxUCDjjF7bzCgRR1k+D5q7ikV6Qp57TOPkEtwMiga4k6S8n/Gt5KhubNtWl6os5Mqubgqx42jt
VTMR9zPSznKw3VVxE+2ic/eGiJj8INra/WIW+cZF6m9RUJl0JwnepBKVgnHt2PI19FKQN5Rsnbq0
+9d+fjHrjU7faSAna1DaRJQnePQUP7TvW/04Oi61TuUz2TrQrYXe8RX/tBXRf4F9l6JAaCiUC4cq
3X5NlZoORrH9MX8qqvRBE5N9mqC5wRIyWvObeltLDT/rT051tqNHpQGl3qlFedtwRUzuZG6/VTYL
zfiNpmUlU+xoKgriyKj/VEj5U68Xv+MwXBsxZEUNCpeqputNndgyNojJS39aMmHakRrHvSLhaPpT
X3ykwVvUA3eyhcX0ichgoMLOE/z4HSjFpGrLxl7NctXijlDPvbl2gkugHY2gi84pzk0DFeLVGueP
uOqHXdI+imzdZfanlceMWenXFnIxZvmtUMqXxskemBvQZxArfld5afcrtnXPJh/WGbwMNW5qdJvu
prwj7xptyOii+RXLuMuAGM5lfZgiBE+oV4Wew/Lnvh01GztCib0k3s6ZmOTA6loMhEvditoCfkKF
2VM2bqZgnvzN5YvsBAlXgwpEpeuuXmKS/XKN49VcNsVwnIdtHOx1cWqtxAs5YtL+sW/uIZ2glocc
InXlFiBviE5dbLmeolmrXuVag6GJ+vSlV6JTSjVuNvtReZGDu+LQvsRmvVKGB9MwiV4d8CYYfpEq
1sWi1ssz5Ax9y0mbXUJbWJuumckAofxfloGEN9Uu/P97PfIQMVEgs2nLtLuL6cTyfD6EGknd4BQG
IFDXJ9Cq00lk9k3FpK1zdZOVr/NE4sdoes2se5r23AXlzh0zngMXbPrqOGin+A/bGxwID6n9ySUC
WL1dOGDyHV6N0shiHzB8nmwspyAd2bxzmV+tz35eRRAkBHnnIhzQFdD2JspnLmwUpKgbEdrHyToK
VxX5MCUAdhpv+moS9HfbWvTnUZ1wt/RtXBGqCqFdZBDXZkf7WROIYrcTmIOx6vs/Ue2Ie5QB9aKP
CnmWEYg+x/4IrxVG2uSrKj4PF6AquVNlUnt9ZT46yFAweJS2da4KYx3jc9k1uJIxrijFRuSMc1Qo
vOUk2LAzIspRDyL/luj0u6rI/Z3mp3TuFcQbG61TCy5A0JEm7tZ6eBiZ5FQ5pljUenIqlGWGQESW
BMwZBu2io8AsqALXY9Zs9F5B0jqCAVKIXaQSXsM+86fREHfdOL2OCrihYamNL3TUw6Xj3tcao9Pc
8R7ENW2emlun3Orhn9IlZT7WzgaFqFkNqVe6zllvYZWzkx78QqWeLdPkpWbgyPgkGy7Nqr4G4mIQ
YI2eUKpMEhCPY/oe0Hw19VM0PGscbpH41dlPowWqqz2ogIbJTRH0lJiQxQaf47Nsju6AdyCI6vrO
mSCZAivTNk4c6a8BbtUc4jSc4eTKIPBdiiu1Xxm35k5CnAdz7YKkOtuhSc3Xbq6Xg15jaA5+jXG/
MQLHz9NR+6WKj0AqHteCVcfxIxIp5jLYCDIao3JQBA/KW6OGOFCS17bNP8M5AiV7quZ2WyfBowK8
oMpf8QgkG9kIblorSzeRM+psH1S9pernLL8F55CwHA0jQHhn2ptMfZ8ihgwKA12x8Z7H4gB4IWeh
QidTm2DLQfrGOW6VHJjOuij+GIUNwdgRSTRqcq+OkUZY8Hs5PNkSnxCYvGm63Hfpup3yjQ2KF8rX
kpR0Gf3CiYXcHRViz8/N8TA8yAFpqKkWdCuJb4Go6DPskGPGm44yGgQdbGq4PU3SrIr6Ai2b0cm7
4rl11PuwcF/yKqeABr+0p1xBW3ALd0D0uM7z5rGzKe8A3BK7PxBInCgrdONhN64dDFEomE0IEeE3
Dd1Ok9xk6ozIWEQK9AaEdm6gerFs5N9VYgW/AX45wOpPW6/eet4sOg4tQjpK2F56JsgYmES5V+RR
MJbGa+kv/Kl+ItcRNYsRevkAyklassTWpUnOSZq5vLQuOX/V0nnZ9d1WqohAZrFnyukCW/GoIWpp
hJd18ToOJuYYA88oT1PIG6u1Q+XcAUEemh7gW9hnLSw3yKfzcGh+j8yRLWSJfwi1GgnPTsffF7Af
NMvTvDYdVHwNG8si2rD6MwQAeeXo/pZpA/Uc0XUrOJxz2wSXMasV5oSRjNMjsvZ622au2MxuDfwa
mXdFAtpHLaT6YenWB0OiNBNag9hY3QU6xXDS+kli0dWFrMJW7alLcaK0Ftr0yIUtNIOLPdgASI51
VBxxddLa04JjOTV3NhW9IaJVKwCLhccxtk9d6hUIsLB9qlPEKcO4KU3jxFBAqLsHeMgJj8V6GD71
2tnnibs0BW8Y/ovP+wW62+TDJuzrbczX0lo0/P1DqQ0rK3nh4N9MZb6PXWcTtGua40gerIcAzU5V
Mdsb1Upbal4Atjs7vYcMexcFz0HD6chCQVwTxfNdFVqrDnbbHEegWPFQERFXDkylsc82Um/s1lDP
qlfPnyZKrS6Q27p4cZnFRPzDrXIa0MYVH658UsyrdD7QgUXxa6hCpKBjk36svA7kdJu2y6OCaDSM
jkgnf6h6TGQJ6nE4NyD+1DwbyXMwnClPyw4Mq2IXI7pQnJXaKVe9bDZuZKwa4uO96cbFGGO4pUtf
GwIF/FRueuVpqNO1TZKtG+/18bHCjKT3zHUzVU/E7Y3msLWs8bJeAYy8bfqBgz0hsEW+u9YQbUw9
2KaW8xIx37avs/XomIwVx/BWYLzJEeTpqY3KDGGCre1j6iAT82bQhoe2vw5DvK4mrH92tTOwEGAK
XBKoePPBS5NfSukhO5FdOeaCHrnHPl+CltEmhda4S1F7WKB0eXRt7Dclvqq2j78I+drzpL/p1bsD
L6/VpLrK57KY8YAmw/s0lnjrq+JZK5NzFRNi2xrdWRudh2hWyS/IZ69yp72S7SuXiLmW6XZiq4GK
JXSVt98hjPiaDhbEhveEoUUNow9ESdzHe7Bj9hanZ+mk67BEfp5CZR5kdY6CK81MVEIK7/PwZptc
1TJZdlbybgGcDtdJeaDej+vg3FtQVyMBAGo4ILYOOvoNIHn6/12XogO3huGiIkmdUdq6U7/paE6E
iLOFLoqjXk/+bOW7KbL0e+ZloYk1OjyTcTcuhUSBq2khZ3emrStreteF81bor052noX0skZB4KK3
SLJyNzwKa3xFwV6m7rIPEJEHowqqXN6qozLIH7QGNJ8W2A+TTrIuihsTfkt3oLIZq4lel9gNo4DK
muiJq9DZqGKlNQxZjFGXFkfm5aw6vfEcdjPZ+KYw9mkOudyJYDemxtVMolVqGX7ojhgx1lWy1hSU
pUjbpenrzbpIjooI7jFDdPH7MDiXcPpthR9YfaHy6UJtS/H16F6zLolinFtw9sapjsqoerYpVqWt
2vfOmKKEihxjRRNHgFM+rLAivsQDrquBhLZcJOarE6SkzfY1w0Cz4f/LdSVDVKqltCeiViDOaqzA
UvKerHE1R2iOMEyOxZMQryj/ZuO9giwwkDz0/qhQw3CgVI/Cnn/RM21tbp1CgxtxQ/XYY4JSurdx
To9Otp9qmI6w9OMiw1rhIBqaNuk4rSMRHhW0BvWYHKyk2umhhUdmtFay0nUf/88ys2pQJ3VXB6AG
cRU9Nqm6NFG04bBlbDyK4bJddflwDNvAC6FXynlClz8nviEcPysHNHRtrb1Ws2tHQCtEvCpPrdN4
0uVE3TDBAeB6qyNuG5gGYONW87MQkPZkDM8cvFJ7EtPWDHhpHjZLiv37OSK+BdX6PQV2FV5ZH6Z7
Qc8t2q1LyxyIX1Vhw8ZcZ3s1lncdlYRWAxqY3XoQwZX9VajE6SmfJSJ5Y0y9xpTskqxCmOhWSKWS
SvE1Q3ReHLb8wFqR77J2IIsOkDdJ/IbOPYz9Gr6mHoadU9n3DN+q/NYqL217naK1YfhmbOwrEGLN
eOjqkhI6pBFYlllgLOoaS1q5UmFdDTF62S19iW7FKE7JKDGOP2Fp27pqsQ61VF/P2vw+2vcDtVk1
n13lIx+foMNp0W+OUIbiEMxridkLymQFXZtNFrpNsatRPoh2o0baW99WiIzz3QgQoxc70X+Exoz8
PH539AwsXOHuc8kFe+zK+DASAs5AOvEWzTRrgTHvTRj8mVpCjif8LqAo03LiIp9OChu7Vy2sCNoi
luNvLEOd+xEbfzR7M7ftObdOMJnQxBN+Y6U+Rk3hGzjyE6s5ZPO5MbM1M1+XDdyRkV+a4tlJHqeG
exCvudhnA1r2Brm4cWzIpkobAUh54ytWpYN1KvazmwoRftaiaEWF1s7OoVH+GETmZviG7QYbzE2k
JOMKb75Y4iCKyKVruw1zhrw8jpZQvBMTE3UctyvEz7otvLDv/XI+mnbBH4aRCyBEYu5WpQZaRIiK
JbHINlN1l+t3OvWNuu7mHZmxAPuLmRwkZ8TQOj/eiK9wWVZbHLoxqKS1BTAyzXXXn2rp5cBc4dUM
l3VBkY062/ysb7OxAEZE+qCg7kAngVIpukNMvkiNN0H/DJuAvkrpIV4bHLrKUUZIURh/myLGc2nK
dYN3BDsQn2A0FYvrFWVFHeRe3BarYRruqhZy4xDLfTs9T6af2Janp/suubTjwUYwqsenSlVYmlH6
XOXm1hGCX+/drc6NUuxsB5a3cVFlYo1U3ig7trTlwH0YtcGRlm0W+XMndqXrMhYQ4xYtbtnBa4/W
o2r+sfICXZe9i8P5IalfXU3m+FawOtSD5uNO9Se9Q/6QrpUEgazYh7cnkm+06bx59FKg01j/pBks
i656UHt5F0PHSIfg6Gav9CE2MWUZNeGvMLmtivhiufGu5pfWA20F6+IZjdx2xkGok0UiKiVsErZM
+0s3atceMRtT3P0SYfkbowYCAAiBFWPYlom+DVKCknsLUck0F/7Uv1mWAVwkgQfCak0uFnhqQ+c/
SJLKHU93p62mTpNfDyaRnMVdmWQks0RUYUXfga7YfTiuAtExa62m7a1HuZ6ZEGakDe5OkCc5tg9x
U7Lb21Blwp1FxorZ6fo5VDT74Zbbp/o2/b0f9pbcuhrAQeiCJZguuk0xIhPFAoUlRZme6vmEtDPV
fqdN6c0tSQXo4Wu452eHq30MrzUkkIVxwm1WQdK8mt25sTFLTPjBhjH/LFrMzlMbUKNKlP1a/egw
crjJJeXX0L1Hhn7X1NpO3LIgqvxckV1klyLelP2lATiGU5u1dBECggmIY0fjWsQyM1rWqrY/GG5E
zlEyboPhM8Si7EY0cFFwcXvKpEJM1aloEKnhr+/pPJk/a+HtG7RTcOseK6gQQ33ONOs30UdKKbd5
ljwbIX7cIp/uHWYJXEFNN5SenQnm1Z+HDOGThqth2bLXGnkviOtBth9H71O31WNlqepL4cgt7Mq6
IuipyvJrRF4WddOMVI1sQUp0JjOg7pvMlzA95bkfIs9GFRpPqBumc0yq+YI6m/wApL+R4pzzefaM
IfCSdhm17bveVWv2kt+30V7SORmp4lmwj04GdV0Hax1kKBqv5kRhZl8FqKvfBtPsOXlGiU06lpL3
f/LbgotXjC1bG/Ydgp06uA4mQxlFva5u5QWoW129YPmVw0rEuNmYT2WDkfOsWA9qfYWISJSw1OQZ
lc5JRcOX0F9oKWHONv7joBlHSgksb/gXozjz56LgHp/bozMoN0/kBXSnTH7V9QrjLV78cwwZOtG9
PaAXJT9A5anHUMc3BsiwCvNfQi6D6V4jk0XZsi2xtFbuqlFehg5hTbKSljc2L+i+Q+b7qvdtsIuG
X5O27YNNGir+GJ+D5C5De+r6o37N6tU0fBT50i1eY1h5+yW2IKceO1jU+DnirBge1WzpMIRqOOgA
nEpBPE1BPzu39Pf5ecxBzIV2E3nGd6FDYXNKOTTc/mJbfjEe9f6xMK+it09KaL1U3J2ZOFID+2p/
hJpsVflQRzvpPhkUyxU4eNYH5bJ17eAk5ODpLS8txuMhdUxgNCuM/DMH6ZzcmrDDFpV9mTnm3riZ
autaEPkJLe41ZJznWksl2h4Z2uiPc8IRNedgjLlx6hrUWEY5baQiYKLKdhc4JceCnPR1jwDLq7Fd
aflTrb5nybSu8ZJMFVN6m3kmAKeP+UPWfjKCrZY026aqN5mCWypT1homAEEiTH4X3ebBjMto/oiE
J4LkpJadC8Rs7ypNpfPQUE+Dam5dSP8WWK8anqOUQfaFTgFjw21oa8N1rn1JFY8ceN9YFEQTdrw6
fyF37i5SaaJLPMFJdOmdguN3WgsycsZ83dknQz/pxlYACcFAqs5dRqveTgdhaQurrpud6USBn0TW
b7gJAkeguZuICCmIxYg33mvme6iLTYLHK51htFMU+LAcUW+wxY2FrePJIiBLTd5ygeo1gpqZdHMN
fFuZFLVi3jVGesiN9hqbSH6V7EEJ432ANsNSwqPVxsZCVJjQumTjimijzxgiSFgby8knaqOHACwu
ZP8sjOaxSvAzDMtSuQskkdFTbnnVzX6UwhJfJEu153A1bk5lO+Wgq2sbdbdtGDxndw+6DTVfLgK6
xUgfMQvEbb6QtfpbqYNnJYEWhpmybdIOIuvD5rJusqWGMN9tt2O8smPKlWj6EybJvnBRsGNUoIKy
SkC66absLNbSlUsHGVukFcvAvkRhfOjQ5lgqKMWtPs9w4Ba2u9MaQp1+6Q4xcg5aoBRgF2atq/0E
TzwzzC3cha3yGOqN78IMdFmEYOMS8o2QdSdW7c8z3G4xfdQuMhAFSobQl37CECXyOwfUsEFgKmMk
RagCFwZ8YJ4Vy9as74OyONlZdGb883bMxbmSh2QgVEnKT4Q0ibIRyilMLZ/Ijd9aEO2D3Fa9NMKc
QJUPDekuwLAOaYDGKRkRFP87jkq7ZV39LYzqS+BdGhZz7rgDdpuF6r3NTxieF7fIxMuwwDP4Q2Ti
N3HUX2cEV2nSW6puoeAzV5Hyq+ruu+Dxhwe4fdG/PID1JUe9NiN1ygxd26vqUN0EonpzmPQoQYpo
wQ5pU1U/y3TAGms1FhV9BOf6KUMBrWTOEeqDH77HN7GXX6cJp51eNL2LOmcej7f43Aw/OxTgavbR
d+FT0pd15jEvHc4zUA4JeIP6w0c73/0EXyKQm86wZ9vhZhhNgnXJ7rLDQMWQNy7B8lBLX1PGc8Ld
YK/NZbbvje2gbW35OnYEHbQsMKVedy5eRdwgcfe7zvRlorgf3GJttGH/AswV/Jr2ogZ7MNuLbk2e
PlGpuTxUfR9NTwXHcPtq1NomRv+hupjMk9B+jYYH7lDMT1gyPYHDLKhGRk/ITWIpu8xskdeT/D5L
KlqM8yxsAy9+vrDDX0wkcRoSzmp29qvaY6ssNrVsNlra7YpIQYtkMqSVqvAjoz/Q653OPxsznHcG
LO6/X6lx+/3+trRur/q/oqX7Ks3KvFBnBjFGdyc/3wXnch0v3vzHdpN2C3WNtERdPCke1jq0sovd
sLhKXywAp71w/Sf03vEgHVS00Mt/fyPd/m6V3XbYf32lSCh6qzihcRfq/YaMKhWNh1L/JmL+d+Po
i8o1gCfDJdDdjQRD1YpqNE4GHEoGdTnxjbAXWUd1tpPQVT2l56Ym8P4taZ9iavOcRFPrXEdnV8s2
DkpvGZK6PsEyDQSYqpZ+ROZ6Ht7V6iGz9uMfa7p9gENg17zJi/vEeFRISayWqFnCkxqRWnWTBxz1
QWBweurR5xX2Dr+rKZfIHS9MnF46V1DpOXqYrJVKPEZKXOhBoaCRvkMJCAPNktqFz52GIhw5EObE
5WziuV4VA5D3moDC+5udEpz2z+CgdcF66DHZRT0Y70TQVedBvhqcy9xdLI483WcQPnN1gnMdK3z+
yg5BZiPGxUCIWb8IyIIqwD9AlYZH5wn61jLuDK4x6kXZb6AuMLy1w9YmN0imx1tKV278GgnTRUam
f7QVm4AeOEBOwNyxGb3E8GaZ6JEjuYrz+YhFkRsmivSFqtos9PCcNSGeIPMx081znBzCEk2Me8qR
HxJIkAARtctu2ra6iY7zKvSjDD4ZZtONJ2Osl1b9Nhd7LEUw1Y8NHiybwR4VG5QgJVwxGkiWfk3Z
Ulp9bcxYkrwtrnrVnxtZvOmp47v0PBpXfl7Q45FTRzbEtE8t16OTiJvlSFIAzSYV3EIkb3rARPSx
WkVwrMy6rsJNHry26rGgkKZtr0xBdi3RVzppJsiaNmnGqWMcucNm0HkD6W3Bt0qHNepSZHlzQo5J
RZFoMCTNeJowA+DYStqHZtrJYq+jMGjQOqOhqxNs33HC+WnJP4LQtkDF7mgOHiOp7Rk0gEF5eBic
8SzNQ55fSIHRwq1rE5ETLykVBya6t/jQUpxx4XOrx79FFD2mxaZQPbd6SLtLVei+1of3CnVf3vdY
nhkFVggvkjhLWiNaj2W6QPxcIYGUeXn9937+Tyby306YL1G8LJFeuFOFpJM0FmwqJDcq/WvcUuei
VuwRstowfhEF25xpF8U85Rqub5Ij4cGHqFkgchkNnIcpmEcWHIba+aOY6Jvz7mbGeK2AuFTaSur4
nrj16ILwmICEfYSgGW9FKhEw2o2HjrN2qGbYHulWa1vomsOg7LrsoIhdn+9cW0Ne8SuDccsQx2Tt
pZo2U9KeewChzAWqr2S3zgBuF1YUXazYfS8DyyvFRxvsA+Q+KvL+vLuCCS+rbryk4/BmBP3GHCfP
wD8/ZsQF6+HRnF/GYmt0B2eef6pvvrkb1S8Zn4U9BJY0tfwwXRJ4KSIZP/NqpVPP3QQWHiA4GMK/
3+Y3VY765WU6QVTJQuGjyiTStqJoMMeTJzTeSMX/7RO+FGtTUYkqGvBvWLfhpPN7C6Pf/XDbfROk
rX6JJC6UZkioh9JDovsoFFU0g5h9bkCyX+OA+imA3fzrnep8HXtjZtVUCGdODyWOGkU/Gdn237/N
329Gwp+/3IxaYTZ2LFNY4ByUszUWjumuZtp7q9Af//0Z37xh6/ZQ/3X7StJSMyYt6XdBys6KFW5c
DnkUNyUhfP/+CPH3H0hYXxes6qLKzpTxDvoFFxABew3Ba0hOiYG1wmQhUILmYbZCRXIo0EZU6Z0S
vwekjivBjExr9PP+OKMAVj7TGnw5TrdhC6nTKCtR7KKUI1kD9a3QlregeXnvW7nrG4hi45uKvy7W
AdQe/RX5eWkr7qPsXdOuUdL74GEeF3CjHVpiwIwWEDSNn2VxLJFmk5PhZtwv2kvD/Es5rlzlsYre
tVS9NDOUXpL7fYT2TiNl2U2A4hXJjLrH2rz0TNLu8iNCirFiwMH4UsVEkjPrQEKLTO5O4S0CXjKk
p3gf5we9gY6J8mMzYk6hw4MBTSCj4qxyftjH2jdnhvVlm6kdjbZlt1AH3TpSCK7Da/tbMcMHM8Sg
sgtycmQxuff/286zvu68ohgmJBPqvgsr++o0aXuCf8ImkJelS7p6URANkjk+oqqUWDThWOd/r7Xv
grfNL72TqsyqURWTsVfaBu5uDopVOtlXRVLjFGjBCoczAPzcUjuQr8+8Vpe90qLiHGiWJdhmCWTm
qrH4YfF/M59emF828RDlbR9GtbGPhlbBe5l1gUGGfKE8x6VKhlMM1/cx6Oizzd6B2LF1FXWDRfCl
2WVEejjm+N6k2U0uk1Vbm5x1UjGLtth3A0a4OtWby+hQ5ehl0P4aXDtB8zposOa3TYf5P0aCl80k
ukjRBj8c2sbtPf7lkje/tGdS05NEJW/0YEubDD4HnKVclUQpYo7yZOBAukHNqNWLgqLVEuVhiknu
mU6hEd84GLQabfxZyPxaZdPaRIacI3iLmDApmBMYoiVtGrkZGiga3KdDUwHIE9joxMs8tH8aSf/d
M3xphUbTDVQ9dUsCnwaoKXQ0nvoavJIynQD9E30iDBx/YmMZgEU+UsgKffanda0ucf86PCj0G3B4
b8ORbUVIz3reK0iUeHz05DwQo0YIx3mzG6I2Nk7yCkZJqKy+cJ+6P2l2h6icdfiZMZAdMIV746lh
dIe5VN6pTxVUFmRHfiIjUtplumsJDsDRzAy6NcrxriAYbVG/YGRu1EV+JptSmMu0vRBOMkchusA9
EHrxw/yA/yTr/+1df+nP9Emry5kwpztC2lfGJt1BS9yhpFxETI9WFr8Eo79Mz94xQ9WLVi4iyIXC
7LFqZTOGyaZ3TP1gQfW6AVe7/Vd+7mF69IlH8UyQmVdjialtnXm4C0/YGI7ZmoL6jrRjxLFryMBt
tpYbuY+WYoWV6n9dwV/uPVuEQWOXPBVTlD0s92t9rV6wopL3zLTvwSc2aWlv+ZkX48L0ySr1Pp8f
Qj9dgXbucXnXPwXhf9ORm18ux3iW6ciprzOwDdbRxz3i3X4ie0Ex52HsX8Sr6OGHw/FWtv3tVd7+
+X9d9g3HQ5rePis4KNdiy1iC8/ROwLZXLP9HXMz8ctG4HUKQRp+cu8BFJF6nR6GjxitGyq5/P8Tf
iyJhfrlaOrWvxZgOzp2m3KyPkkk3dVKSj66s3Kz+ceTLN6eD8eUeKQy3IW59BiiB7awG6ZvTA70E
sgNnNdhMLWj3Yn7L3J+KpG9qVePLNSHLoa+DDNF7L4mQJ5lSqXc5wCuhcoSnDH6lM3Gk+GEhfFP0
/Qcd+q91YMCsmlkGY8bFsZ7VVwOft/3TT/dNtWd8OVdD066m1DQYlhM6l77Gkkc44r/f/XfwlfHl
LHKcXJR2JEEkm5LEorSBUU8j1+48/BPEXI/2bC1VB7tshbrmpI0wvbFFyBTh/dEytyJqTua5EnJt
kBkg6w50pHTDxTirEn2wTijIhBiSWTVEo6tKvLdbXd1mIlL3ksQIf+ywr/Q4uQmbKsSzqZPRyKTd
AJFZPLvOncg18j2DgAisTHU/JCGzXlaNSPczsyS3gCi6f/8S34DczteZk4bGNhNJnB6GMCGfzS76
6aQphYRQ5dbXIq6QmbGUG0JskyX0xrB058LYKNr4lnZC2WhhP/ww/+GbHWl8OUphYpsZrSMzJ1ri
eMj55jzzSDRY6NYPd9A3TyuMr4dkY9mYfPiIyEjjdYNab1HwMpe9g/jN0hx1OYxOe9D7KjjFUSN3
WY7LjZDXBHtVNfsJh+wPdcN3e+fLGRpNOdS3Y4+soRrEIN4JRFVTXP9QqX/3Y345PxXbsBN1DKc7
pT4wUUEfV8IlPeaHV/Xdl/9yeLZ9YJajwXCAOGtArcmDbQ+9ri7/vSi/+e76lzNT7eI8q9HF3tmC
FBlTdV9aIlL1dnjL+uSnhf/Nwax/OSixm/4fd1eznDiypV+F6M29N2KIQkIgMXG7IwzGdpWNy2Ww
q6s2RAIyShBK0A8YbkzEbOYhZj2rXsxulrOrN5knmS8FqlImEqqy8lbdW9EdHY2NT2aezDx5fr/j
7PRdDYNs4YKJZsgaX7D1m9nCgHbpXFut3dtdfWu2gXp+rhtISDm9thyppksa7wroMqvVUH9G9dtD
tPjAZgWdpvm0M57k2GxIiWLLRPTVX4HuVHsz9ziMHrKyNVRZOt3m7vxlc5ekZpOG0cpjfO5VxKat
Czr3Ch7jPK5IV98HFoXpL0CZ46SF8/6mVtBNKu8oSRc+Qv/QxRDC6ga5/YAY3mrnyCwGat5phuRc
A126w36wmU6rOqg3TKeNdhdDHcDwl6dp522odIGRlPM8nfGZt1DjWUOlEK9K9+4tYGbUCqafxxzp
FjuL4XS3dpHKYugo9K4jbNwE1MIYPs/TS8jRReLmQqkzSb3NbgrIW9ZrIjV8WtsN25pp6q+NNeD0
0AvPwkGF7G25iKYzHbifp0fNUYTj9oapUR0XiVY7w2O9iEYjNq834MmvLy7nLuAU2DxCjQMwdE8P
ldftUpNuczOKGJ7E3ayHupv5be1ht0Apcqf67vmh3t4WHIScXYo9FKn1LCm1lug6OuuFdQaDwVtR
YMaurNHMRO7nEtXyRR13c06cJl1v95m2tPowAOwqkthRV+PSR/P5urpFEVrw+9pZFvh0cu66Jt31
1aLqGgbyO3vrmkUfVtj462GLDa9Ob0nOlYxf/hS3nOls2pou/VnPmF6s6WC2flsraiSfR1q67Ygc
h9Wh4c56VWByLsxn4ON2V37Bi5p3V6TrvjGhXWprcGXxCFR0DxVUQDbTACHY2QGYtUjO5o0i3fhG
fbZGOibnPcJy60t/gpjNDN0Zhu1ngGrYp7cg71bUpPd7a2nheutilBkwrfzz2RotEICW0EblW1R9
M0SpwKpAguWsp8aPcmq35zScow0xRkIiLzLh4TxFtawVdIHx7qMlQ8GCcja+Jt3yFrrMDucMOI7b
1vu1+8F1A8BdjE8zK482v/WpFYSLRmv4TBcLQBXcrVHdChxsJ6QF7Mm50TU+aIo4Cq6Cuo408p7R
Ayh7hIIyeL3vaquuwQokYM5lrkmX2Qij9XrtYYQofATuGOrxCqaeTdiU+8+3GkMn8ppLtxc8v60a
N+giU0A4x4VttiSmBM7WtVbuwu0tUajfQtgOudcoT25H4+HvAaoU0fqpKCkhbxESd5Y7LXKsxcrt
zZDWuzIfw6Dg1GS/CUCEEDc20rzdzmm25j1rV700AMLhw+1MAaNuFsnR7FfUbOnSCK7hV5ceRoiq
wGQPgW5xN6w+hT7wLOuz89NnP28VkszbTik8zA0K9qDANTL68yHC2ojIs11R4+u8DZDk3bzJtk3t
2UG0Vl88ukGIHM3qh9OTz2GQ3CnemdWrLX83d3u78XqgjZZPw99RcHiads605d7wYT1cu6iidXvh
ttkAypb+3jeqBXZn3rwlYRYChGNqUjA9ejK6aLr32Lxw3p2edh5pSZY915DotZpNcbPQNADxKaSU
6QawQHazJppqAV926LZeyCHpEpvLRTOahuAQ6hvQEilCSf7pNWSLTDOOPaZF5grdroAzhhMTIunj
2ruo3bW86yUpiiXn0ZdubisKGp41BfvRNVEboM8Xb2Pso6azjWyD00uINaljW9C0pLu7XjLq1OIt
brQXtwFZ3lXvEVuof6x3ph+sq86wiyTM02NlP8CmJV3hsJqcphpOU/W2CcjGZQ/wcJenyeddBOn+
GsDBmWooYEPcRwc+w8gNHk8TzvEEmXJf92ErYE03YG6vobfZLVKQkQmOngQREnuftgMDqceN8+H7
aYF1nsMmubd7laHPIN1iHXO4/R/9QfUetaII1lyyFw4g3epny98gyI8BgEWyA3LPbfODPgBC3o40
CuRdLsek2z1fVTWrPsMQU/I89sbzJ+MpeFe9R35zqF1a47CnFY3Ez2nG+Y1TglJ3EIk8po7gq9vb
PM13HaTyobAYaGb3uoFG4R3/jWNHV6ePQc75MvnPUyPNqrVmzRrW5r2qh8w7s9uqVwsuRt4lNKWL
7myG+tbl2RxOFQg4bIpObUEDhiiQ5RCTDWqo3aboTeEt4GneoHbuvBqay67VDKLbMGDGJXND9gbv
/LB7eqk5gseUhILRDFhYX2rz3gp9ZJF09/v0ocEz4tqoMzg9Qo7eb8ZJuCluBrUNKtfRzLDnjVHr
jRRK12q77/Wx+W74O6yY06PkbZkkElorZtbQUsHtmQ48w3CbM98vWEAOabknuLOsbZDzjvnX4NVf
mGhpOhsWzJq/SxlHWu7jXVvUtz7qfyD2dzhmXhWV/fX18hlIkZvV+WnG5A0hiQBWMwEPsVvPe2ug
eaFOHpAeTYQQikzHPPLS9V9E3hb9dKE2LxaIx11v6eXGKfAT5egNckPtRa0eoqUkSG/eAbIbDXX8
82ey6J9mS56+35Tu+POKNqrWBilB6Nn4PFjfITeHd4N+G34M3q4/BqOCYfj5y9ph6b67Kwr4izkW
gf5u6B2z5b0j2oAx0y4pom9o2lwvOKU5F7mpizLrmQ5bQ4pk3B6yUIDB1QgBNni5GbbpeFmkf+bd
5Kb0rPPm1QbQ7qDcOmhvi4YrqPiBptI1/QskfwDj3yqKV+bdOek6r6JFgLbLYNsKzQiH1asoahTw
KefAytUPs5r2vBuuEKNYVwHlhrbK1Q8MQFmntztn2nJJQ31TjXYtVEDfhEB+q0GBG2r3MeVX4+d/
ndrsbn9kgt/+is9jBlg1OnVC6eNvA7bAv3/lf/P5O+Jf/NajY58F7CmUvyX8EQgfBj4nIRE+oHqW
htt3ke1v7+0gcsPTv91PESvoQMZO4j+mdpD688IvxAvIJFCx47m8nvz6i1ar1VuWVftF+PZgu7T3
9Pff5J9/G7PIQzXcvT2lzIuXmfplsux4toc/P3DieAHCWF0+Fywt+eEVtX3ijx30nuUMO8z1lizs
X38586MR+SU9/eQDH/LXX4Qppg7YSZoYBlBHFeJNKm3ij6KJMAJu/ZdlvnSEKV4cVyDLnb5l6fLZ
kgkLEkrxfkJ6laU7cGxwwiELIpDmUZeypDtkuyBeBYBEYLdAnaeklaYunY4G3s6yNM8ZcHjoWNi8
Jt4cVXS9yr29jEYuHSc0+Tbyp7nsCJe+7RHxMLc0BWQjMkGaW7S0E1p8wtxvWHbCVwSCICGzF04K
GP0G51jaP03H81J2tj3ihzgZq0jgg8ZTZ0uTZl4Y2L5PwoRWzI2GgkNxh/cnZJV7OmZp2jqvFCg7
7T6hXli5pmEYxNL01l5T4Y7r3KOvZpSbaEyFO6nz+GNZ2gMfOzohk3j6AzYiU5FLuoIdGKC96J4/
HZxLFmQJQ52nYpRdzH47Hqk3BqV4RSEE+14qUM8Wd4anOZcdEADHIQ2cyiP1pzRTyOsqbsdD/+QI
Cg4yvICE+sK91rkdX5ZBncgnYyIeKe6vKEu3T0StSOf+ldJE+WXuRkFIQhqJh4U7ikqTj4UFVJjQ
+fSHay+2CUku6hrcQCo9Al9Aj2AE20uoceL1GgA8kh+8XG/cX6/9K1D584VPcM/+kpCNx0EaW+Gr
mKUjfzYMjjXnxHLYGzff/vsDU/n0TL3RaDUsvdGsIRukDshS7TsbAVlrTxk4iUFQapXNuoUSDt0y
GkbdRCVTE4mXAuGDrQKGfjlvBabOie8GP8guWtg+dByv0icLJjyLKi5S2wbukKhI6iruJ0PpOst8
J+oKyHcYf1z/fG3bLvWmf8l6ZlU8ercMEsz2PUganxKPZI3TUPF2MDbPpK3g4b6gM0Hv5mGTL7fh
ZUbvhT2BHR/ak0ofL4gdVNhTJfahQPMQNTc4H8qPBltn7FS4t+eYvgLuX+zp91m032zuLDjzQvgp
gFpZuZGNWUvBA3kZkUXCGC6vecZ42U25sok/OZyiWCPsjc+h67jJz4RnXuNpLGVHvKY+HUGDSCjx
lWg8Hbws4Y7jU3TdI4n+nFDcD6Bg5rf2ptIhrj1hnnhe8awng71ce7ilkt3IgzhlefJIvIiEUUIo
ZoUKVfCWRL5IVcWd5Qz+aBPuCRJmbCk4HXc0HEOFz3xcNKtQK9urV6e8hncE7V0rfAmXEYwp8c1t
KVC/78AYkec8garsCcEjFTjEdbNeEo0XwpcdYK8VX9kufE//UjkLYHsGcBfvDWp+Y6GkTEgFuJWO
wDOdh5HKDj5gc1vimq5ClRgwbyrOtq5ithH68ghbrPPaq7JMeI/tpXsHw0UURp44cRUu0SMlU+cx
n7Lz7rh0ueTOqeTSJiS5GOMlQcgdseqNFnoDNo2GqeA1fPBoSj/pUY/5FbR3c7fQF7MuCAbFyLWa
0bAsC0iBMCaSOeY9BFkmzvcx75oAODZ0q6UbGu6W1QQgb2nDJ72ag92U/lH3EMmJbTjByEp+k/zw
lGS9tBncR8Kp5Xl5ZY/XfRRIeqfOgVjKkh18+l9/Trd2QokfVp2XOZ4mnMW273MutCbEfLIPsWn9
c1jAiTIuHJzGP7QDpl43+T+WCadEy9T02s/ogDEN/Wc8bu4UHhfhrCnQ+c68KRPDxIUPTLGmCijw
YAPHRCKSYqtABV3bo4JflVd2npZ6XzFZGBrehCaE+Fx5ZX1Zsh2HCDYGRzkoSzMJ23LHBg+soM2h
GC3iyBBlBzm3F2wMNwqcDMXjKTiBHaRZ+IwJ+8ohecquA53WGNJnEkKxSqfAiu5gXj5xK2dPe/dn
wiNhnMLHuPhYdsjSrjza/kR45xsKdNDzGR3BqSSceJ5pVpbh3el2GSZkOLtVhDy6K7gXGOSem2H1
FivDxXzuIoLoi8a0Cr8IQAwoW4riWkXcbcDjqWQxEimrcC9cErR5SG+fpeCsXTrSM8BracoetAz3
B8ftK0u28+l/Qrsy+dPrNZMisRovby5L/tr2tuKLqCLifkNHslagQf0pPdsbGznjjhA31gwFrgLM
V+KCiohID0lHUxKMiZ+sPFY5VDwjPbJlYSgIYY2jE5Y9Dj042zaCDNZUOEpAViKq4Bb38JCOxewd
TYX/pQcnL/I3xFC/xnHSy3OXU0YTMvHGqXjmemzH5a+chMXT/svO+pZCxU/IxCdYxZMRU5UYoSKd
Yi+Gq20aBLLbWIGguP/0R+TBjSuwg8OblmXyPSwTObKsQI3t29uxY7uuLWicOi9bLzvjOAR4UDgT
avx06Lz6vjRx27OnxE0IxXRVRPD7yKn2SeXGZp4gPHVedFZ60mwBOSfcbWBJKKCLnAPhxOkqXv4B
KsCSucX8rSt4oPuf/otVUEHw6Y840HHnf/pvb0zFDFldRdRzgGsouzE5flfZPRwQbycLaJ1j6JUl
/DA9uuAcAbAs2TaSKCmSLS5IIO6mocDaQ60BlXR6neMsl510F34YnjKcUIqPn4oH9uORDaKrSFH/
SBcjMtqIEoOXdZVlxF6G9o/ut6lAaqAjXGUAZU4Qosj7Kj/rs9HWFvbO1HVLQzahYQE2A1GWWrE9
9eP8/rrJp/cTOv6RoQoXkPj+aApkOhK7npib5Fwlx4ff2WZD01Ez1Wo2W5qBJnmNYuP8x+27YTYR
Wi+77+n5/90if6g58pEVnGY1B/oqK20626UvWjUqzKVLsiNIbfPpMpkhPxqaijqK18glFoiq0KbQ
O57YglDUVDAXc10Jc9W15GNeTLzYDfiG+ZLqp3GcxbIH4TraoMIooRNvl4p34cYeEU+yjVSoTm9R
KSdMVsXT+w5lqaJVqyKvsE+iCa2c+URWm1SkEPZRsytaFyoqEQ/JH3zOle6C8lRV0VhUUSP23g5C
lFJ68/Q+Iu8++fjyK/LBRo/YhMxekVRw8W5ZBYfuT0FFTspDa7xksJfPGVAaPEU9Gk2QB4aAjXAV
Db2mQizDQBpl5e4gaQjyTkX949koqvSiQDiRB+oKePS3+26/e//YPf+3Cj88PLH86PyjcgM5SHWo
nJbebFmGUexaTb/f3c8F11k/VV2AgWQYBYUleDO+SH+xPOMHlVx0EEsRPVcqZD6q82xPvnwcde7L
6l+Wjt+zn6WST4039CtLdp/uecfdS/Y+oZz7Yl3xNdSLs3CKdYKDvN4XEyQTjwWfocAi/RxI3hfS
CPRhOJ262Hg1XiXq9am8tg7qQ0YjW3rTE/iF/J3Y08+6qt8nYayu1VHcnazwJ8oY86f89EuJMQoe
0TZz6VrSWBRctbZPdqJXQ4Xnku+n4OBREVfs8MouSRVsKOBsdwzsASaoryqE2KG4ByEUKT6uwh91
QVzeqzuzwoaD4ZWVwJfRVpq1hjzC0mT7CNl5SAZKKMXWEkcdLDvfO+ITwK1sE0p7wgo04jtbrlFR
4Dt48CN5srqKG/KIQM8ODyVJs0H/R9bjmkh9bxjQ5gy9aZlIx0f2U9lHIf2oFXuV0t/uplPNFRZF
WwbQkOrYCHTrNmsIOCG74OdbpVmrIw3cAso89hSLbcEi/flWWW/VUKn3NeviagDk2lHttmh1sDGU
t4LvCABUP8gy2SdDpgULz8GWBPdhyV+pu34udRXkVVxKUI6uHMuEY73cTLuRz8S4K8pYj9N9v235
cY135SzDNoiN23IsyIpf7IM1pege8hSO57zX50vRfstvgqjhZuEslBrjDo7KqVx6m/UISaNEXzDq
vtYyw5kh0kHMqp4qP1CbuDyT+9iGzRLI5YfrIW1wyUJEs4VrmwX8oWAwMnV8e5TcXq7WmRkFLuUH
+mxHo/qWF+Nz5Ro7vddL+bBZb3jRsFm6xfcxr/lVL18hk55/sSa197YIuCrJM3nKg9EGksZOsAhU
+Mg7DEXBHJBMOKRK8i1c4KG4a9lkVIHkBHCG0EbakzBnFfXTV8ybcHGUPtDwLicfX+58vwWDY8sr
IbU3vI4Ug5T8/Erl4A7250JghMa7WOwvZN6E0we2e1Dmv9OF4zpGctx/InfW0xTp/XGBfcJ7vsP1
5EPeRhR7Xs92NnBG6Uz0XCqw2M98xLCkt6n8dBFum7qAqAychBbng66AET14WhZi9JS3FTx90Iv5
23YiJEcndOJNU+DRbqOQTkxX4k1Zy84V9WEjNhH3TEU+X9+nlRvESQUxcmy1RF+Uu68UTrjgoodX
RYIghPS0cs3/0z+7T5gay1Pel6ksj197gJyRQZI0FfgYoCxunaYi//cNWYrHV1MRn7/e+tPtjuOF
JByNGawCzmNvzl0zqdJMUwHqsTe7MmgrOBjXSDmaO8csUXCvb4hYnKmpqLrtcbDLoyuiIhDQ47W2
cs6fCpURFTsTuhYzQTQVYMwgTLaSkampqMm8tZdiwYCmAr2Ne+nHdjZMkAo0jjsyP1JVtJaCxPA7
xLOAI3OEb6skJgJcGLKE2EhLJF0FkvvAIVSO+usqdIsBQUvxI04jbzlZwsvVwgGhKN5J6Ox1LAWS
iMMjc7VQFnO6Con0sBvZGexQgT3/SO0QdpDADxWi7i1Spdi68joEMsKy8qrSRQE2C6NDjlN6OK2h
BF/7MOA1kKMCB8n0ryrJ/9KsQU1DRalBf4kEPHeblbmFUIUK3adHJxPXrnRJEKaZtk+PztfZYIh/
VXbHgWt9h87hcfPAtc//u292kB4UEDxA3D3ydH+7dhu/KgQb5FP3//79P4M52RIgfG+RmYQZXKGI
HNj3WUyF0wmdZRS4FQYUwA5VFCiLVbmm3mrVVeAr9W0YBfPkuAevzilhW9hLtPIOQCFEKP5pmQ1T
NxUYeudsPmFg4IDMYUZS0bnR4iBgKlIVr0kEcEwhNRSh+1rTVAMfWHVpdexQUg2CKH34DmMo2Ps+
LO0MygoegRuyDAFTmEG88OH6cY6lfaDpJ/QsuchvF+1GBYfnDFYualLTW1y4t8W+lDMeTRPnyhsF
ljXJ4fme0kh83DUFZFkAxsZ5k1e2v7OnbC15K1Q0nMDkiVQAcxxl/fa3px25Uw55nbAhdlwp8Aqe
29zJJohF3hat7Ba+9sEGEWlWBUpANwBgpcgEFfDAnZ3NZXeybM5bFSgBF2jhKjFBBZDmBfGZnaVm
qEgY23dWSHOC9wouexwu6QhVg1ItjAoD9BINdrzAFvLbisMhxZLtEiD8xBPJquADEs7HgkGrAtah
4zNUOgvHF9Wx5XftKoIF7gtM0FTgLryGr0O6F5oK3IXXIXHF2aroUvTG9qUDpqkIb7yB2QKAHbGs
SFPxAt2QUEqI1lQEDW5o6ESyaqIdJ/t8+9vWd9kaHirxAKvA87uhkOvoRwNzSSp0VRGXuImebcRn
Il9Uy1W4N3rMnYAnyRWOffEq2lrAk0tkMCMFggKGcShOVoWXIifhRFORJ46gxEbKilbxNKMjhizY
VBTB3aHrSSQh1Wgq6pTu4bGQ9CldBZ4cv9FysFlXARMAIzhu/eIJrghdhdXRX0rV8MhJTi7gy/22
faDOj9AGJKEUe26V9PPZoOWL6BBWUQze39AQGQjyMdZVPHkPcw44IKg/wEtPOPNyHh+K1a4RMJgw
0WxUEdR+5ICwOHcd9MdNJhtvoxIsPDSf5DBUvnigVVg1fSSSiI+qrgLeEw5WO24vJIYjNMB0KHBU
7KPFiGVmdIIB7IuCx+oafaXXArfR5MBoFqPJFFsNn/6D35ss08w06ppVb7WAYGOhurtuFA/3Qtda
1p+lqow/N35GzBFWXfeQDPZN30icbhkkDpZirLDsM8E/+/PjocQG02L6eCIAjrPFUwMlBPgI+5ID
HjE4LDr1PbF794kZi+UsGRRSS9pXV38JUWQsKTN5/Z9gZVxQntqqbBmbLCzKzBRKMTO9bYcSge+4
bbxm+SsW149bpyUi/kVr+3JCvtOR5HGtU0sTC+f/WdbES4lOLkvcpCXErh3Gf/Gd2M6dYqfYLrrR
XsT2735NeCDs1JrO7SgMxk5aNfy7L6xoO/Gc8a+MXbTa++3/AQAA//8=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clusteredColumn" uniqueId="{2F81D788-4E98-4901-BA3A-2BF9343EFB28}">
          <cx:dataId val="0"/>
          <cx:layoutPr>
            <cx:binning intervalClosed="r">
              <cx:binSize val="2"/>
            </cx:binning>
          </cx:layoutPr>
        </cx:series>
      </cx:plotAreaRegion>
      <cx:axis id="0">
        <cx:catScaling gapWidth="0"/>
        <cx:tick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3.png"/><Relationship Id="rId6" Type="http://schemas.openxmlformats.org/officeDocument/2006/relationships/image" Target="../media/image4.pn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45</xdr:row>
      <xdr:rowOff>85725</xdr:rowOff>
    </xdr:from>
    <xdr:to>
      <xdr:col>5</xdr:col>
      <xdr:colOff>38402</xdr:colOff>
      <xdr:row>56</xdr:row>
      <xdr:rowOff>59851</xdr:rowOff>
    </xdr:to>
    <xdr:graphicFrame macro="">
      <xdr:nvGraphicFramePr>
        <xdr:cNvPr id="10" name="Chart 9">
          <a:extLst>
            <a:ext uri="{FF2B5EF4-FFF2-40B4-BE49-F238E27FC236}">
              <a16:creationId xmlns:a16="http://schemas.microsoft.com/office/drawing/2014/main" id="{F4642457-7651-4A77-B2D6-7C3D2C57EB49}"/>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45</xdr:row>
      <xdr:rowOff>66675</xdr:rowOff>
    </xdr:from>
    <xdr:to>
      <xdr:col>8</xdr:col>
      <xdr:colOff>668618</xdr:colOff>
      <xdr:row>56</xdr:row>
      <xdr:rowOff>109042</xdr:rowOff>
    </xdr:to>
    <xdr:graphicFrame macro="">
      <xdr:nvGraphicFramePr>
        <xdr:cNvPr id="11" name="Chart 10">
          <a:extLst>
            <a:ext uri="{FF2B5EF4-FFF2-40B4-BE49-F238E27FC236}">
              <a16:creationId xmlns:a16="http://schemas.microsoft.com/office/drawing/2014/main" id="{5FD0E85C-31FF-44A0-AE27-6F64F0D40182}"/>
            </a:ext>
            <a:ext uri="{147F2762-F138-4A5C-976F-8EAC2B608ADB}">
              <a16:predDERef xmlns:a16="http://schemas.microsoft.com/office/drawing/2014/main" pred="{F4642457-7651-4A77-B2D6-7C3D2C57E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9525</xdr:colOff>
      <xdr:row>58</xdr:row>
      <xdr:rowOff>0</xdr:rowOff>
    </xdr:from>
    <xdr:to>
      <xdr:col>18</xdr:col>
      <xdr:colOff>4483</xdr:colOff>
      <xdr:row>77</xdr:row>
      <xdr:rowOff>3362</xdr:rowOff>
    </xdr:to>
    <xdr:pic>
      <xdr:nvPicPr>
        <xdr:cNvPr id="4" name="Picture 7">
          <a:extLst>
            <a:ext uri="{FF2B5EF4-FFF2-40B4-BE49-F238E27FC236}">
              <a16:creationId xmlns:a16="http://schemas.microsoft.com/office/drawing/2014/main" id="{97E51D6E-9C0E-D7B4-67C6-04481E6AF048}"/>
            </a:ext>
            <a:ext uri="{147F2762-F138-4A5C-976F-8EAC2B608ADB}">
              <a16:predDERef xmlns:a16="http://schemas.microsoft.com/office/drawing/2014/main" pred="{E2648650-E041-65B8-CC5E-6A96729148DA}"/>
            </a:ext>
          </a:extLst>
        </xdr:cNvPr>
        <xdr:cNvPicPr>
          <a:picLocks noChangeAspect="1"/>
        </xdr:cNvPicPr>
      </xdr:nvPicPr>
      <xdr:blipFill>
        <a:blip xmlns:r="http://schemas.openxmlformats.org/officeDocument/2006/relationships" r:embed="rId5"/>
        <a:stretch>
          <a:fillRect/>
        </a:stretch>
      </xdr:blipFill>
      <xdr:spPr>
        <a:xfrm>
          <a:off x="7219950" y="10601325"/>
          <a:ext cx="6991350" cy="3324225"/>
        </a:xfrm>
        <a:prstGeom prst="rect">
          <a:avLst/>
        </a:prstGeom>
      </xdr:spPr>
    </xdr:pic>
    <xdr:clientData/>
  </xdr:twoCellAnchor>
  <xdr:twoCellAnchor>
    <xdr:from>
      <xdr:col>2</xdr:col>
      <xdr:colOff>179293</xdr:colOff>
      <xdr:row>58</xdr:row>
      <xdr:rowOff>33617</xdr:rowOff>
    </xdr:from>
    <xdr:to>
      <xdr:col>9</xdr:col>
      <xdr:colOff>11205</xdr:colOff>
      <xdr:row>76</xdr:row>
      <xdr:rowOff>168088</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97E51D6E-9C0E-D7B4-67C6-04481E6AF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30</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30</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11942</xdr:colOff>
      <xdr:row>3</xdr:row>
      <xdr:rowOff>11516</xdr:rowOff>
    </xdr:from>
    <xdr:to>
      <xdr:col>21</xdr:col>
      <xdr:colOff>862693</xdr:colOff>
      <xdr:row>31</xdr:row>
      <xdr:rowOff>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F00C8F1-C250-85E1-C086-1D729CDCF8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581892" y="621116"/>
              <a:ext cx="7562701" cy="5220884"/>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208189</xdr:colOff>
      <xdr:row>43</xdr:row>
      <xdr:rowOff>126546</xdr:rowOff>
    </xdr:from>
    <xdr:to>
      <xdr:col>10</xdr:col>
      <xdr:colOff>884464</xdr:colOff>
      <xdr:row>73</xdr:row>
      <xdr:rowOff>40821</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27</xdr:row>
      <xdr:rowOff>11794</xdr:rowOff>
    </xdr:from>
    <xdr:to>
      <xdr:col>15</xdr:col>
      <xdr:colOff>54429</xdr:colOff>
      <xdr:row>39</xdr:row>
      <xdr:rowOff>81644</xdr:rowOff>
    </xdr:to>
    <xdr:graphicFrame macro="">
      <xdr:nvGraphicFramePr>
        <xdr:cNvPr id="3"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18</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18</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18</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0</xdr:row>
      <xdr:rowOff>0</xdr:rowOff>
    </xdr:from>
    <xdr:to>
      <xdr:col>1</xdr:col>
      <xdr:colOff>304800</xdr:colOff>
      <xdr:row>1</xdr:row>
      <xdr:rowOff>152400</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304800</xdr:colOff>
      <xdr:row>1</xdr:row>
      <xdr:rowOff>152400</xdr:rowOff>
    </xdr:to>
    <xdr:sp macro="" textlink="">
      <xdr:nvSpPr>
        <xdr:cNvPr id="11" name="AutoShape 1" descr="Pilgrim's Pride Logo Vector Logo - Download Free SVG Icon | Worldvectorlogo">
          <a:extLst>
            <a:ext uri="{FF2B5EF4-FFF2-40B4-BE49-F238E27FC236}">
              <a16:creationId xmlns:a16="http://schemas.microsoft.com/office/drawing/2014/main" id="{767F86A5-0936-4013-AEE3-9110DC0FC3C6}"/>
            </a:ext>
            <a:ext uri="{147F2762-F138-4A5C-976F-8EAC2B608ADB}">
              <a16:predDERef xmlns:a16="http://schemas.microsoft.com/office/drawing/2014/main" pred="{1DBF6760-6CA6-42F1-A073-22F220F23BDF}"/>
            </a:ext>
          </a:extLst>
        </xdr:cNvPr>
        <xdr:cNvSpPr>
          <a:spLocks noChangeAspect="1" noChangeArrowheads="1"/>
        </xdr:cNvSpPr>
      </xdr:nvSpPr>
      <xdr:spPr bwMode="auto">
        <a:xfrm>
          <a:off x="2857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18</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18</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18</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18</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18</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18</xdr:row>
      <xdr:rowOff>0</xdr:rowOff>
    </xdr:from>
    <xdr:ext cx="304800" cy="309071"/>
    <xdr:sp macro="" textlink="">
      <xdr:nvSpPr>
        <xdr:cNvPr id="58" name="AutoShape 232" descr="Resultado de imagen para beer consumption trend">
          <a:extLst>
            <a:ext uri="{FF2B5EF4-FFF2-40B4-BE49-F238E27FC236}">
              <a16:creationId xmlns:a16="http://schemas.microsoft.com/office/drawing/2014/main" id="{73A174AE-F196-43B6-B33F-AE251C210FFE}"/>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18</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18</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624117</xdr:colOff>
      <xdr:row>101</xdr:row>
      <xdr:rowOff>117205</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4</xdr:col>
      <xdr:colOff>95250</xdr:colOff>
      <xdr:row>16</xdr:row>
      <xdr:rowOff>27214</xdr:rowOff>
    </xdr:from>
    <xdr:to>
      <xdr:col>11</xdr:col>
      <xdr:colOff>854981</xdr:colOff>
      <xdr:row>30</xdr:row>
      <xdr:rowOff>95892</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370415</xdr:colOff>
      <xdr:row>47</xdr:row>
      <xdr:rowOff>176390</xdr:rowOff>
    </xdr:from>
    <xdr:to>
      <xdr:col>27</xdr:col>
      <xdr:colOff>70555</xdr:colOff>
      <xdr:row>57</xdr:row>
      <xdr:rowOff>11611</xdr:rowOff>
    </xdr:to>
    <xdr:pic>
      <xdr:nvPicPr>
        <xdr:cNvPr id="4" name="Picture 3">
          <a:extLst>
            <a:ext uri="{FF2B5EF4-FFF2-40B4-BE49-F238E27FC236}">
              <a16:creationId xmlns:a16="http://schemas.microsoft.com/office/drawing/2014/main" id="{D073A5E7-232A-0AEF-8B3F-7BFE63E9A885}"/>
            </a:ext>
          </a:extLst>
        </xdr:cNvPr>
        <xdr:cNvPicPr>
          <a:picLocks noChangeAspect="1"/>
        </xdr:cNvPicPr>
      </xdr:nvPicPr>
      <xdr:blipFill>
        <a:blip xmlns:r="http://schemas.openxmlformats.org/officeDocument/2006/relationships" r:embed="rId6"/>
        <a:stretch>
          <a:fillRect/>
        </a:stretch>
      </xdr:blipFill>
      <xdr:spPr>
        <a:xfrm>
          <a:off x="21501804" y="8837084"/>
          <a:ext cx="4056945" cy="25163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23073" y="1158230"/>
              <a:ext cx="7032425" cy="4281709"/>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485775</xdr:colOff>
      <xdr:row>29</xdr:row>
      <xdr:rowOff>114300</xdr:rowOff>
    </xdr:to>
    <xdr:pic>
      <xdr:nvPicPr>
        <xdr:cNvPr id="2" name="Imagem 1">
          <a:extLst>
            <a:ext uri="{FF2B5EF4-FFF2-40B4-BE49-F238E27FC236}">
              <a16:creationId xmlns:a16="http://schemas.microsoft.com/office/drawing/2014/main" id="{5AF64A98-90E7-965A-E964-4B36EDA074C1}"/>
            </a:ext>
          </a:extLst>
        </xdr:cNvPr>
        <xdr:cNvPicPr>
          <a:picLocks noChangeAspect="1"/>
        </xdr:cNvPicPr>
      </xdr:nvPicPr>
      <xdr:blipFill>
        <a:blip xmlns:r="http://schemas.openxmlformats.org/officeDocument/2006/relationships" r:embed="rId1"/>
        <a:stretch>
          <a:fillRect/>
        </a:stretch>
      </xdr:blipFill>
      <xdr:spPr>
        <a:xfrm>
          <a:off x="0" y="0"/>
          <a:ext cx="8029575" cy="53625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666750</xdr:colOff>
      <xdr:row>30</xdr:row>
      <xdr:rowOff>47625</xdr:rowOff>
    </xdr:to>
    <xdr:pic>
      <xdr:nvPicPr>
        <xdr:cNvPr id="3" name="Imagem 1">
          <a:extLst>
            <a:ext uri="{FF2B5EF4-FFF2-40B4-BE49-F238E27FC236}">
              <a16:creationId xmlns:a16="http://schemas.microsoft.com/office/drawing/2014/main" id="{6400C865-79A2-5B66-9DE0-A6C1AEED897D}"/>
            </a:ext>
          </a:extLst>
        </xdr:cNvPr>
        <xdr:cNvPicPr>
          <a:picLocks noChangeAspect="1"/>
        </xdr:cNvPicPr>
      </xdr:nvPicPr>
      <xdr:blipFill>
        <a:blip xmlns:r="http://schemas.openxmlformats.org/officeDocument/2006/relationships" r:embed="rId1"/>
        <a:stretch>
          <a:fillRect/>
        </a:stretch>
      </xdr:blipFill>
      <xdr:spPr>
        <a:xfrm>
          <a:off x="0" y="0"/>
          <a:ext cx="8210550" cy="54768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266700</xdr:colOff>
      <xdr:row>31</xdr:row>
      <xdr:rowOff>57150</xdr:rowOff>
    </xdr:to>
    <xdr:pic>
      <xdr:nvPicPr>
        <xdr:cNvPr id="3" name="Imagem 1">
          <a:extLst>
            <a:ext uri="{FF2B5EF4-FFF2-40B4-BE49-F238E27FC236}">
              <a16:creationId xmlns:a16="http://schemas.microsoft.com/office/drawing/2014/main" id="{71794E3F-6C2F-DE2E-FFE6-A459FD09D4C3}"/>
            </a:ext>
          </a:extLst>
        </xdr:cNvPr>
        <xdr:cNvPicPr>
          <a:picLocks noChangeAspect="1"/>
        </xdr:cNvPicPr>
      </xdr:nvPicPr>
      <xdr:blipFill>
        <a:blip xmlns:r="http://schemas.openxmlformats.org/officeDocument/2006/relationships" r:embed="rId1"/>
        <a:stretch>
          <a:fillRect/>
        </a:stretch>
      </xdr:blipFill>
      <xdr:spPr>
        <a:xfrm>
          <a:off x="0" y="0"/>
          <a:ext cx="8496300" cy="5667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48">
  <a r="1">
    <v t="i">0</v>
  </a>
  <a r="1">
    <v>113.56</v>
  </a>
  <a r="1">
    <v>74.23</v>
  </a>
  <a r="1">
    <v>71.209999999999994</v>
  </a>
  <a r="1">
    <v>88.45</v>
  </a>
  <a r="1">
    <v>74.52</v>
  </a>
  <a r="1">
    <v>77.03</v>
  </a>
  <a r="1">
    <v>594.22</v>
  </a>
  <a r="1">
    <v>820.74</v>
  </a>
  <a r="1">
    <v>20.22</v>
  </a>
  <a r="1">
    <v>23.5</v>
  </a>
  <a r="1">
    <v>30.57</v>
  </a>
  <a r="1">
    <v>56.88</v>
  </a>
  <a r="1">
    <v>66.099999999999994</v>
  </a>
  <a r="1">
    <v>66.260000000000005</v>
  </a>
  <a r="1">
    <v>118.84</v>
  </a>
  <a r="1">
    <v>212.46</v>
  </a>
  <a r="1">
    <v>55.52</v>
  </a>
  <a r="1">
    <v>147.72999999999999</v>
  </a>
  <a r="1">
    <v>55.32</v>
  </a>
  <a r="1">
    <v>85.83</v>
  </a>
  <a r="1">
    <v>175.77</v>
  </a>
  <a r="1">
    <v>56.08</v>
  </a>
  <a r="1">
    <v>143.66</v>
  </a>
  <a r="1">
    <v>57.31</v>
  </a>
  <a r="1">
    <v>175.52</v>
  </a>
  <a r="1">
    <v>198.56</v>
  </a>
  <a r="1">
    <v>89.03</v>
  </a>
  <a r="1">
    <v>163.98</v>
  </a>
  <a r="1">
    <v>73.58</v>
  </a>
  <a r="1">
    <v>211.35</v>
  </a>
  <a r="1">
    <v>246.95</v>
  </a>
  <a r="1">
    <v>249.05</v>
  </a>
  <a r="1">
    <v>186.95</v>
  </a>
  <a r="1">
    <v>200.71</v>
  </a>
  <a r="1">
    <v>181.62</v>
  </a>
  <a r="1">
    <v>129.43</v>
  </a>
  <a r="1">
    <v>123.58</v>
  </a>
  <a r="1">
    <v>129.72999999999999</v>
  </a>
  <a r="1">
    <v>87.33</v>
  </a>
  <a r="1">
    <v>168.89</v>
  </a>
  <a r="1">
    <v>115.79</v>
  </a>
  <a r="1">
    <v>186.47</v>
  </a>
  <a r="1">
    <v>192</v>
  </a>
  <a r="1">
    <v>209.63</v>
  </a>
  <a r="1">
    <v>5.52</v>
  </a>
  <a r="1">
    <v>4.97</v>
  </a>
  <a r="1">
    <v>5.0999999999999996</v>
  </a>
</arrayData>
</file>

<file path=xl/richData/rdrichvalue.xml><?xml version="1.0" encoding="utf-8"?>
<rvData xmlns="http://schemas.microsoft.com/office/spreadsheetml/2017/richdata" count="81">
  <rv s="0">
    <v>12</v>
    <v>Name</v>
    <v>0</v>
  </rv>
  <rv s="1">
    <v>https://www.bing.com/financeapi/forcetrigger?t=a1mvjc&amp;q=XNAS%3aADI&amp;form=skydnc</v>
    <v>Learn more on Bing</v>
  </rv>
  <rv s="2">
    <v>en-US</v>
    <v>a1mvjc</v>
    <v>268435456</v>
    <v>1</v>
    <v>Powered by Refinitiv</v>
    <v>0</v>
    <v>1</v>
    <v>ANALOG DEVICES, INC. (XNAS:ADI)</v>
    <v>3</v>
    <v>4</v>
    <v>Finance</v>
    <v>5</v>
    <v>258.13</v>
    <v>158.65</v>
    <v>1.0961000000000001</v>
    <v>-3.49</v>
    <v>-1.4012999999999999E-2</v>
    <v>USD</v>
    <v>Analog Devices, Inc. is a global semiconductor company. The Company designs, manufactures, tests, and markets a portfolio of solutions, including integrated circuits (ICs), software and subsystems that leverage high-performance analog, mixed-signal and digital signal processing technologies. Its comprehensive product portfolio, domain specialization and manufacturing capabilities extend across high-performance precision and high-speed mixed-signal, power management and processing technologies, including data converters, amplifiers, power management, radio frequency (RF) ICs, edge processors and other sensors. The Company's IC product portfolio includes both general-purpose products used by a range of customers and applications, as well as application-specific products designed for specific target markets. Its analog ICs monitor, condition, amplify or transform continuous analog signals associated with physical properties, such as temperature, pressure, weight, light, sound or motion.</v>
    <v>24000</v>
    <v>Nasdaq Stock Market</v>
    <v>XNAS</v>
    <v>XNAS</v>
    <v>One Analog Way, WILMINGTON, MA, 01887 US</v>
    <v>249.95</v>
    <v>Semiconductors &amp; Semiconductor Equipment</v>
    <v>Stock</v>
    <v>45919.760568738282</v>
    <v>1</v>
    <v>243.58</v>
    <v>120804568024</v>
    <v>ANALOG DEVICES, INC.</v>
    <v>ANALOG DEVICES, INC.</v>
    <v>249.95</v>
    <v>62.596499999999999</v>
    <v>249.05</v>
    <v>245.56</v>
    <v>491955400</v>
    <v>ADI</v>
    <v>ANALOG DEVICES, INC. (XNAS:ADI)</v>
    <v>1427065</v>
    <v>3470647</v>
    <v>1965</v>
  </rv>
  <rv s="3">
    <v>2</v>
  </rv>
  <rv s="1">
    <v>https://www.bing.com/financeapi/forcetrigger?t=a24p1h&amp;q=XNAS%3aTXN&amp;form=skydnc</v>
    <v>Learn more on Bing</v>
  </rv>
  <rv s="2">
    <v>en-US</v>
    <v>a24p1h</v>
    <v>268435456</v>
    <v>1</v>
    <v>Powered by Refinitiv</v>
    <v>0</v>
    <v>1</v>
    <v>TEXAS INSTRUMENTS INCORPORATED (XNAS:TXN)</v>
    <v>3</v>
    <v>4</v>
    <v>Finance</v>
    <v>5</v>
    <v>221.69</v>
    <v>139.94999999999999</v>
    <v>1.0105999999999999</v>
    <v>-2.29</v>
    <v>-1.2608999999999999E-2</v>
    <v>USD</v>
    <v>Texas Instruments Incorporated is a global semiconductor company that designs, manufactures, tests, and sells analog and embedded processing chips for markets, such as industrial, automotive, personal electronics, communications equipment, and enterprise systems. Its Analog segment includes product lines, such as Power and Signal Chain. Power includes products that help customers manage power in electronic systems. Its portfolio is designed to manage power requirements across different voltage levels, including battery-management solutions, DC/DC switching regulators, AC/DC and isolated DC/DC switching regulators, power switches, linear and low-dropout regulators, voltage references, and others. Signal Chain includes products that sense, condition, and measure real-world signals to allow information to be transferred or converted for further processing and control. The Embedded Processing segment includes microcontrollers, digital signal processors (DSPs) and applications processors.</v>
    <v>34000</v>
    <v>Nasdaq Stock Market</v>
    <v>XNAS</v>
    <v>XNAS</v>
    <v>12500 T I Blvd, DALLAS, TX, 75243-0592 US</v>
    <v>183.25</v>
    <v>Semiconductors &amp; Semiconductor Equipment</v>
    <v>Stock</v>
    <v>45919.760563066404</v>
    <v>4</v>
    <v>178.16499999999999</v>
    <v>163035556143</v>
    <v>TEXAS INSTRUMENTS INCORPORATED</v>
    <v>TEXAS INSTRUMENTS INCORPORATED</v>
    <v>182.59</v>
    <v>33.977499999999999</v>
    <v>181.62</v>
    <v>179.33</v>
    <v>909137100</v>
    <v>TXN</v>
    <v>TEXAS INSTRUMENTS INCORPORATED (XNAS:TXN)</v>
    <v>6453894</v>
    <v>6593881</v>
    <v>1938</v>
  </rv>
  <rv s="3">
    <v>5</v>
  </rv>
  <rv s="1">
    <v>https://www.bing.com/financeapi/forcetrigger?t=a1xdvh&amp;q=XNAS%3aMCHP&amp;form=skydnc</v>
    <v>Learn more on Bing</v>
  </rv>
  <rv s="2">
    <v>en-US</v>
    <v>a1xdvh</v>
    <v>268435456</v>
    <v>1</v>
    <v>Powered by Refinitiv</v>
    <v>0</v>
    <v>1</v>
    <v>MICROCHIP TECHNOLOGY INCORPORATED (XNAS:MCHP)</v>
    <v>3</v>
    <v>4</v>
    <v>Finance</v>
    <v>5</v>
    <v>81.64</v>
    <v>34.125</v>
    <v>1.5443</v>
    <v>-1.63</v>
    <v>-2.46E-2</v>
    <v>USD</v>
    <v>Microchip Technology Incorporated is a provider of smart, connected, and secure embedded control solutions. The Company’s semiconductor products segment designs, develops, manufactures and markets mixed-signal microcontrollers, development tools and analog, interface, mixed-signal, timing, wired and wireless connectivity devices, and memory products. The Company's technology licensing segment includes sales and licensing of the Company's intellectual property. Its products include PIC64 Microprocessors, FPGAs, myMicrochip, MPLAB X IDE, Analog, and Microcontrollers. Its development tools include Atmel START and MPLAB Discover. Its manufacturing operations include wafer fabrication, wafer probe, assembly, and test. The Company’s solutions serve customers across the industrial, automotive, consumer, aerospace and defense, communications and computing markets. The Company markets and sells its products worldwide primarily through a network of direct sales personnel and distributors.</v>
    <v>19400</v>
    <v>Nasdaq Stock Market</v>
    <v>XNAS</v>
    <v>XNAS</v>
    <v>2355 W CHANDLER BLVD, CHANDLER, AZ, 85224-6199 US</v>
    <v>66.5</v>
    <v>Semiconductors &amp; Semiconductor Equipment</v>
    <v>Stock</v>
    <v>45919.760555948436</v>
    <v>7</v>
    <v>63.875</v>
    <v>34879499011</v>
    <v>MICROCHIP TECHNOLOGY INCORPORATED</v>
    <v>MICROCHIP TECHNOLOGY INCORPORATED</v>
    <v>66.31</v>
    <v>0</v>
    <v>66.260000000000005</v>
    <v>64.63</v>
    <v>539679700</v>
    <v>MCHP</v>
    <v>MICROCHIP TECHNOLOGY INCORPORATED (XNAS:MCHP)</v>
    <v>3310900</v>
    <v>7627228</v>
    <v>1989</v>
  </rv>
  <rv s="3">
    <v>8</v>
  </rv>
  <rv s="1">
    <v>https://www.bing.com/financeapi/forcetrigger?t=a1xwnm&amp;q=XNAS%3aMPWR&amp;form=skydnc</v>
    <v>Learn more on Bing</v>
  </rv>
  <rv s="2">
    <v>en-US</v>
    <v>a1xwnm</v>
    <v>268435456</v>
    <v>1</v>
    <v>Powered by Refinitiv</v>
    <v>0</v>
    <v>1</v>
    <v>MONOLITHIC POWER SYSTEMS, INC. (XNAS:MPWR)</v>
    <v>3</v>
    <v>4</v>
    <v>Finance</v>
    <v>5</v>
    <v>954</v>
    <v>438.86</v>
    <v>1.2726</v>
    <v>-4.1900000000000004</v>
    <v>-4.5650000000000005E-3</v>
    <v>USD</v>
    <v>Monolithic Power Systems, Inc. is a fabless company, which provides semiconductor-based power electronic solutions. The Company design and develop its products for the enterprise data, storage and computing, automotive, communications, consumer, and industrial end markets. Direct Current (DC) to DC, Alternating Current (AC) to DC, driver metal-oxide-semiconductor field-effect transistor, power management integrated circuit (IC), current limit switch and lighting control products. Its DC to DC ICs are used to convert and control voltages within a range of electronic systems, such as cloud-based central processing unit (CPU) servers, server artificial intelligence (AI) applications, storage applications, commercial notebooks, digital cockpit, power sources, home appliances, fourth generation (4G) and fifth generation (5G) infrastructure and satellite communications applications. The Company have sales offices in various locations in Asia, Europe and the United States.</v>
    <v>4017</v>
    <v>Nasdaq Stock Market</v>
    <v>XNAS</v>
    <v>XNAS</v>
    <v>5808 Lake Washington Blvd. Ne, KIRKLAND, WA, 98033 US</v>
    <v>923.37</v>
    <v>Semiconductors &amp; Semiconductor Equipment</v>
    <v>Stock</v>
    <v>45919.760498390628</v>
    <v>10</v>
    <v>893.06500000000005</v>
    <v>43753652280</v>
    <v>MONOLITHIC POWER SYSTEMS, INC.</v>
    <v>MONOLITHIC POWER SYSTEMS, INC.</v>
    <v>923.37</v>
    <v>23.79</v>
    <v>917.78</v>
    <v>913.59</v>
    <v>47892000</v>
    <v>MPWR</v>
    <v>MONOLITHIC POWER SYSTEMS, INC. (XNAS:MPWR)</v>
    <v>218003</v>
    <v>495584</v>
    <v>2004</v>
  </rv>
  <rv s="3">
    <v>11</v>
  </rv>
  <rv s="1">
    <v>https://www.bing.com/financeapi/forcetrigger?t=a23tz2&amp;q=XNAS%3aSWKS&amp;form=skydnc</v>
    <v>Learn more on Bing</v>
  </rv>
  <rv s="2">
    <v>en-US</v>
    <v>a23tz2</v>
    <v>268435456</v>
    <v>1</v>
    <v>Powered by Refinitiv</v>
    <v>0</v>
    <v>1</v>
    <v>SKYWORKS SOLUTIONS, INC. (XNAS:SWKS)</v>
    <v>3</v>
    <v>4</v>
    <v>Finance</v>
    <v>5</v>
    <v>101.5</v>
    <v>47.93</v>
    <v>1.1957</v>
    <v>0.38</v>
    <v>4.9329999999999999E-3</v>
    <v>USD</v>
    <v>Skyworks Solutions, Inc. provides wireless networking services. The Company’s analog and mixed-signal semiconductors are connecting people, places, and things, spanning a number of new applications within the aerospace, automotive, broadband, cellular infrastructure, connected home, defense, entertainment and gaming, industrial, medical, smartphone, tablet, and wearable markets. It operates engineering, manufacturing, sales, and service facilities throughout Asia, Europe, and North America. The Company offers a range of products, such as Amplifiers, Attenuators, Diodes, Audio And Radio, Clocks And Timing, Front-End Modules, Isolation, Modems And DAAs, Optocouplers, Power Management, Power Over Ethernet, RF Passives, Television (TV) And Video, Switches, and Voice. Its engineering, marketing, operations, sales, and support facilities are located throughout Asia, Europe, and North America.</v>
    <v>10100</v>
    <v>Nasdaq Stock Market</v>
    <v>XNAS</v>
    <v>XNAS</v>
    <v>5260 California Avenue, IRVINE, CA, 92617 US</v>
    <v>78.249899999999997</v>
    <v>Semiconductors &amp; Semiconductor Equipment</v>
    <v>Stock</v>
    <v>45919.760538378905</v>
    <v>13</v>
    <v>75.727500000000006</v>
    <v>11489780516</v>
    <v>SKYWORKS SOLUTIONS, INC.</v>
    <v>SKYWORKS SOLUTIONS, INC.</v>
    <v>78</v>
    <v>30.854199999999999</v>
    <v>77.03</v>
    <v>77.41</v>
    <v>148427600</v>
    <v>SWKS</v>
    <v>SKYWORKS SOLUTIONS, INC. (XNAS:SWKS)</v>
    <v>1121173</v>
    <v>2310252</v>
    <v>2002</v>
  </rv>
  <rv s="3">
    <v>14</v>
  </rv>
  <rv s="1">
    <v>https://www.bing.com/financeapi/forcetrigger?t=a1y41h&amp;q=XNAS%3aMTSI&amp;form=skydnc</v>
    <v>Learn more on Bing</v>
  </rv>
  <rv s="2">
    <v>en-US</v>
    <v>a1y41h</v>
    <v>268435456</v>
    <v>1</v>
    <v>Powered by Refinitiv</v>
    <v>0</v>
    <v>1</v>
    <v>MACOM TECHNOLOGY SOLUTIONS HOLDINGS, INC. (XNAS:MTSI)</v>
    <v>3</v>
    <v>4</v>
    <v>Finance</v>
    <v>5</v>
    <v>152.5</v>
    <v>84</v>
    <v>1.4885999999999999</v>
    <v>-0.63500000000000001</v>
    <v>-4.895E-3</v>
    <v>USD</v>
    <v>MACOM Technology Solutions Holdings, Inc. designs and manufactures high-performance semiconductor products for the industrial and defense, data center and telecommunications industries. It services over 6,000 customers annually with a product portfolio that incorporates radio frequency (RF), microwave, analog and mixed signal and optical semiconductor technologies. The Company is specialized in application, analog and mixed signal circuit design, compound semiconductor fabrication (including gallium arsenide (GaAs), gallium nitride (GaN), indium phosphide (InP) and specialized silicon), advanced packaging and back-end assembly and test. It offers a broad portfolio of standard and custom devices, which include integrated circuits (IC), multi-chip modules (MCM), diodes, amplifiers, switches and switch limiters, passive and active components and RF and optical subsystems. Its products are electronic components that its customers generally incorporate into larger electronic systems.</v>
    <v>1700</v>
    <v>Nasdaq Stock Market</v>
    <v>XNAS</v>
    <v>XNAS</v>
    <v>100 Chelmsford St, LOWELL, MA, 01851-2620 US</v>
    <v>130.06</v>
    <v>Semiconductors &amp; Semiconductor Equipment</v>
    <v>Stock</v>
    <v>45919.760570810155</v>
    <v>16</v>
    <v>127.52</v>
    <v>9613869891</v>
    <v>MACOM TECHNOLOGY SOLUTIONS HOLDINGS, INC.</v>
    <v>MACOM TECHNOLOGY SOLUTIONS HOLDINGS, INC.</v>
    <v>129.88</v>
    <v>0</v>
    <v>129.72999999999999</v>
    <v>129.095</v>
    <v>74471280</v>
    <v>MTSI</v>
    <v>MACOM TECHNOLOGY SOLUTIONS HOLDINGS, INC. (XNAS:MTSI)</v>
    <v>581778</v>
    <v>750792</v>
    <v>2009</v>
  </rv>
  <rv s="3">
    <v>17</v>
  </rv>
  <rv s="1">
    <v>https://www.bing.com/financeapi/forcetrigger?t=a1xygh&amp;q=XNAS%3aMRVL&amp;form=skydnc</v>
    <v>Learn more on Bing</v>
  </rv>
  <rv s="2">
    <v>en-US</v>
    <v>a1xygh</v>
    <v>268435456</v>
    <v>1</v>
    <v>Powered by Refinitiv</v>
    <v>0</v>
    <v>1</v>
    <v>MARVELL TECHNOLOGY, INC. (XNAS:MRVL)</v>
    <v>3</v>
    <v>4</v>
    <v>Finance</v>
    <v>5</v>
    <v>127.48</v>
    <v>47.085000000000001</v>
    <v>1.9052</v>
    <v>-0.2631</v>
    <v>-3.5439999999999998E-3</v>
    <v>USD</v>
    <v>Marvell Technology, Inc., together with its subsidiaries, is a supplier of data infrastructure semiconductor solutions, spanning the data center core to network edge. The Company is engaged in the design, development, and sale of integrated circuits. Its product solutions serve various end markets: data center, enterprise networking, carrier infrastructure, consumer, and industrial. Its product offerings include CXL, Data Processing Units, Security Solutions, Coherent DSPs, Coherent-lite DSPs, Data Center Switches, DCI Optical Modules, Enterprise Switches, Ethernet Controllers, Ethernet PHYs, PCIe Retimers, Linear Drivers, PAM DSPs, Transimpedance Amplifiers, Fiber Channel, HDD, Storage Accelerators, and SSD Controllers. The Company develops semiconductor solutions tailored to individual customer specifications that deliver system-level differentiation for artificial intelligence, data center, compute, networking, carrier, storage, aerospace, and defense applications.</v>
    <v>7042</v>
    <v>Nasdaq Stock Market</v>
    <v>XNAS</v>
    <v>XNAS</v>
    <v>1000 N. West Street, Suite 1200, WILMINGTON, DE, 19801 US</v>
    <v>75.37</v>
    <v>Semiconductors &amp; Semiconductor Equipment</v>
    <v>Stock</v>
    <v>45919.76059766172</v>
    <v>19</v>
    <v>73.7</v>
    <v>63766864489</v>
    <v>MARVELL TECHNOLOGY, INC.</v>
    <v>MARVELL TECHNOLOGY, INC.</v>
    <v>74.69</v>
    <v>0</v>
    <v>74.23</v>
    <v>73.966899999999995</v>
    <v>862100000</v>
    <v>MRVL</v>
    <v>MARVELL TECHNOLOGY, INC. (XNAS:MRVL)</v>
    <v>13948717</v>
    <v>22888739</v>
    <v>2020</v>
  </rv>
  <rv s="3">
    <v>20</v>
  </rv>
  <rv s="1">
    <v>https://www.bing.com/financeapi/forcetrigger?t=a1vmf2&amp;q=XNAS%3aINTC&amp;form=skydnc</v>
    <v>Learn more on Bing</v>
  </rv>
  <rv s="4">
    <v>pt-BR</v>
    <v>a1vmf2</v>
    <v>268435456</v>
    <v>1</v>
    <v>Da plataforma Refinitiv</v>
    <v>6</v>
    <v>7</v>
    <v>INTEL CORPORATION (XNAS:INTC)</v>
    <v>3</v>
    <v>8</v>
    <v>Finance</v>
    <v>9</v>
    <v>32.377099999999999</v>
    <v>17.664999999999999</v>
    <v>XNAS</v>
    <v>4670262000</v>
    <v>30.62</v>
    <v>1989</v>
    <v>29.33</v>
    <v>1.2928999999999999</v>
    <v>Nasdaq Stock Market</v>
    <v>138263106510</v>
    <v>A Intel Corporation é uma designer e fabricante global de produtos semicondutores. A empresa opera através de três segmentos: Produtos Intel, Intel Foundry e todos os outros. Seu segmento de produtos Intel inclui o Client Computing Group (CCG), Data Center e AI (DCAI), Network and Edge (NEX). O CCG está reunindo o sistema operacional, a arquitetura do sistema, o hardware e a integração de aplicativos de software para permitir experiências de PC. A DCAI oferece soluções otimizadas para cargas de trabalho para provedores e empresas de serviços em nuvem, juntamente com dispositivos de silício para provedores de serviços de comunicação, rede e borda e clientes de HPC. O NEX ajuda redes e sistemas de computação de borda, desde hardware de função fixa até dispositivos de computação, aceleração e rede de uso geral que executam software nativo em nuvem em hardware programável. O segmento Intel Foundry compreende o desenvolvimento de tecnologia, fabricação e serviços de fundição. Todos os outros segmentos incluem Altera, Mobileye, outros.</v>
    <v>XNAS</v>
    <v>30.57</v>
    <v>108900</v>
    <v>45919.760578055466</v>
    <v>22</v>
    <v>125299828</v>
    <v>USD</v>
    <v>INTEL CORPORATION</v>
    <v>INTEL CORPORATION</v>
    <v>0</v>
    <v>30.45</v>
    <v>29.605</v>
    <v>2200 Mission College Blvd, Rnb-4-151, SANTA CLARA, CA, 95054 US</v>
    <v>Semiconductors &amp; Semiconductor Equipment</v>
    <v>INTC</v>
    <v>Ações</v>
    <v>INTEL CORPORATION (XNAS:INTC)</v>
    <v>-0.96499999999999997</v>
    <v>-3.1566999999999998E-2</v>
    <v>157754169</v>
  </rv>
  <rv s="3">
    <v>23</v>
  </rv>
  <rv s="1">
    <v>https://www.bing.com/financeapi/forcetrigger?t=a1y4oc&amp;q=XNAS%3aMU&amp;form=skydnc</v>
    <v>Learn more on Bing</v>
  </rv>
  <rv s="4">
    <v>pt-BR</v>
    <v>a1y4oc</v>
    <v>268435456</v>
    <v>1</v>
    <v>Da plataforma Refinitiv</v>
    <v>6</v>
    <v>7</v>
    <v>MICRON TECHNOLOGY, INC. (XNAS:MU)</v>
    <v>3</v>
    <v>8</v>
    <v>Finance</v>
    <v>9</v>
    <v>170.45</v>
    <v>61.54</v>
    <v>XNAS</v>
    <v>1119125000</v>
    <v>163.69999999999999</v>
    <v>1984</v>
    <v>159.38</v>
    <v>1.5456000000000001</v>
    <v>Nasdaq Stock Market</v>
    <v>182473331250</v>
    <v>A Micron Technology, Inc. Fornece soluções de memória e armazenamento. A empresa oferece um portfólio de produtos de memória dinâmica de acesso aleatório (DRAM) de alto desempenho, NAND E NEM memória e armazenamento por meio de suas marcas mícron e cruciais. Os produtos da empresa permitem o avanço em inteligência artificial (IA) e aplicativos com uso intensivo de computação. Seus segmentos incluem Unidade de Negócios de Computação e Rede (CNBU), Unidade de Negócios Móveis (MBU), Unidade de Negócios Incorporada (EBU) e Unidade de Negócios de Armazenamento (SBU). O segmento CNBU inclui produtos e soluções de memória vendidos nos mercados de data center, PC, gráficos e redes. O segmento MBU inclui produtos de memória e armazenamento vendidos no smartphone e em outros mercados de dispositivos móveis. O segmento EBU inclui produtos e soluções de memória e armazenamento vendidos na borda inteligente através dos mercados automotivo, industrial e incorporado ao consumidor. O segmento SBU inclui SSDs e soluções de armazenamento em nível de componente vendidas nos mercados de data center, PC e consumidor.</v>
    <v>XNAS</v>
    <v>168.89</v>
    <v>48000</v>
    <v>45919.76059413125</v>
    <v>25</v>
    <v>19651201</v>
    <v>USD</v>
    <v>MICRON TECHNOLOGY, INC.</v>
    <v>MICRON TECHNOLOGY, INC.</v>
    <v>29.556799999999999</v>
    <v>162.94</v>
    <v>163.05000000000001</v>
    <v>8000 S Federal Way, Po Box 6, BOISE, ID, 83716-9632 US</v>
    <v>Semiconductors &amp; Semiconductor Equipment</v>
    <v>MU</v>
    <v>Ações</v>
    <v>MICRON TECHNOLOGY, INC. (XNAS:MU)</v>
    <v>-5.84</v>
    <v>-3.4578999999999999E-2</v>
    <v>23896009</v>
  </rv>
  <rv s="3">
    <v>26</v>
  </rv>
  <rv s="1">
    <v>https://www.bing.com/financeapi/forcetrigger?t=b11hf2&amp;q=XWBO%3aFSLR&amp;form=skydnc</v>
    <v>Learn more on Bing</v>
  </rv>
  <rv s="5">
    <v>pt-BR</v>
    <v>b11hf2</v>
    <v>268435456</v>
    <v>1</v>
    <v>Da plataforma Refinitiv</v>
    <v>10</v>
    <v>11</v>
    <v>FIRST SOLAR, INC. (XWBO:FSLR)</v>
    <v>3</v>
    <v>12</v>
    <v>Finance</v>
    <v>13</v>
    <v>XWBO</v>
    <v>107247700</v>
    <v>186.08</v>
    <v>2003</v>
    <v>172.28</v>
    <v>1.3689</v>
    <v>Wiener Boerse</v>
    <v>21444170000</v>
    <v>A First Solar, Inc. É uma empresa de tecnologia solar e fornecedora global de soluções de energia solar de células fotovoltaicas (PV). A empresa fabrica e vende módulos solares fotovoltaicos com uma tecnologia de semicondutores, que fornece uma alternativa aos módulos solares fotovoltaicos de silício cristalino convencionais. A Empresa atua através de dois segmentos: Módulos Negócios e outros. Seu segmento de negócios de módulos está envolvido na conceção, fabricação e venda de módulos solares CdTe, que convertem luz solar em eletricidade. Clientes de terceiros do segmento de negócios de módulos incluem desenvolvedores e operadores de sistemas, utilidades, produtores independentes de energia, empresas comerciais e industriais e outros proprietários de sistemas. Os produtos da empresa incluem o módulo Série 7 e o módulo Série 6 Plus. A empresa tem suas instalações de fabricação na Malásia, nos Estados Unidos e no Vietnã. Suas subsidiárias incluem First Solar Development, LLC, First Solar FE Holdings Pte. Ltd., e primeiro Solar Malásia Sdn. BHD</v>
    <v>XWBO</v>
    <v>157.26</v>
    <v>8100</v>
    <v>45887</v>
    <v>28</v>
    <v>2070870</v>
    <v>EUR</v>
    <v>FIRST SOLAR, INC.</v>
    <v>FIRST SOLAR, INC.</v>
    <v>17.850000000000001</v>
    <v>172.5</v>
    <v>184.26</v>
    <v>350 West Washington Street, Suite 600, TEMPE, AZ, 85288 US</v>
    <v>Renewable Energy</v>
    <v>FSLR</v>
    <v>Ações</v>
    <v>FIRST SOLAR, INC. (XWBO:FSLR)</v>
    <v>27</v>
    <v>0.17169000000000001</v>
    <v>224</v>
  </rv>
  <rv s="3">
    <v>29</v>
  </rv>
  <rv s="1">
    <v>https://www.bing.com/financeapi/forcetrigger?t=alwjz2&amp;q=XLIS%3aALTR&amp;form=skydnc</v>
    <v>Learn more on Bing</v>
  </rv>
  <rv s="4">
    <v>pt-BR</v>
    <v>alwjz2</v>
    <v>268435456</v>
    <v>1</v>
    <v>Da plataforma Refinitiv</v>
    <v>6</v>
    <v>7</v>
    <v>ALTRI, S.G.P.S., S.A. (XLIS:ALTR)</v>
    <v>3</v>
    <v>14</v>
    <v>Finance</v>
    <v>13</v>
    <v>6.56</v>
    <v>4.7300000000000004</v>
    <v>XLIS</v>
    <v>205131700</v>
    <v>5.0199999999999996</v>
    <v>2005</v>
    <v>4.8250000000000002</v>
    <v>0.54690000000000005</v>
    <v>Euronext Lisbon</v>
    <v>1019504000</v>
    <v>A Altri, SGPS, S.A. é uma holding sediada em Portugal com atividade principalmente na produção de pasta de papel branqueada de eucalipto. A Empresa tem presença igualmente na área da energia elétrica a partir de fontes florestais renováveis, nomeadamente a partir de cogeração industrial de licor negro e biomassa. Além disso, ocupa-se da atividade de gestão de investimentos. A Empresa opera através de várias subsidiárias, com atividade na produção e venda de pasta de papel, tais como Caima - Indústria de Celulose, S.A., Celbi - Celulose da Beira Industrial, S.A. e Celtejo - Empresa de Celulose do Tejo, S.A., assim como de várias subsidiárias ocupadas com a gestão de recursos florestais, incluindo a Altri Florestal, S.A., bem como a empresa comum da EDP Bioeléctrica, entre outras.</v>
    <v>XLIS</v>
    <v>4.97</v>
    <v>810</v>
    <v>45919.666666666664</v>
    <v>31</v>
    <v>267320</v>
    <v>EUR</v>
    <v>ALTRI, S.G.P.S., S.A.</v>
    <v>ALTRI, S.G.P.S., S.A.</v>
    <v>10.6797</v>
    <v>4.99</v>
    <v>4.8550000000000004</v>
    <v>Rua Manuel Pinto de Azevedo, 818, PORTO, 4100-320 PT</v>
    <v>Paper &amp; Forest Products</v>
    <v>ALTR</v>
    <v>Ações</v>
    <v>ALTRI, S.G.P.S., S.A. (XLIS:ALTR)</v>
    <v>-0.115</v>
    <v>-2.3139E-2</v>
    <v>1337821</v>
  </rv>
  <rv s="3">
    <v>32</v>
  </rv>
  <rv s="6">
    <v>15</v>
    <v>MRVL</v>
    <v>Daily</v>
    <v>45659</v>
    <v>45659</v>
    <v>0</v>
    <v>1</v>
    <v>638713728000000000,638805137310068108,0</v>
    <v>0</v>
    <v>a1xygh</v>
    <v>XNAS:MRVL</v>
    <v>1</v>
  </rv>
  <rv s="6">
    <v>15</v>
    <v>MRVL</v>
    <v>Daily</v>
    <v>45918</v>
    <v>45918</v>
    <v>0</v>
    <v>1</v>
    <v>638937504000000000,638939025099251685,0</v>
    <v>0</v>
    <v>a1xygh</v>
    <v>XNAS:MRVL</v>
    <v>2</v>
  </rv>
  <rv s="6">
    <v>15</v>
    <v>MRVL</v>
    <v>Daily</v>
    <v>45890</v>
    <v>45890</v>
    <v>0</v>
    <v>1</v>
    <v>638913312000000000,638939025099664879,0</v>
    <v>0</v>
    <v>a1xygh</v>
    <v>XNAS:MRVL</v>
    <v>3</v>
  </rv>
  <rv s="6">
    <v>15</v>
    <v>SWKS</v>
    <v>Daily</v>
    <v>45659</v>
    <v>45659</v>
    <v>0</v>
    <v>1</v>
    <v>638713728000000000,638805137419033261,0</v>
    <v>0</v>
    <v>a23tz2</v>
    <v>XNAS:SWKS</v>
    <v>4</v>
  </rv>
  <rv s="6">
    <v>15</v>
    <v>SWKS</v>
    <v>Daily</v>
    <v>45890</v>
    <v>45890</v>
    <v>0</v>
    <v>1</v>
    <v>638913312000000000,638939025099362018,0</v>
    <v>0</v>
    <v>a23tz2</v>
    <v>XNAS:SWKS</v>
    <v>5</v>
  </rv>
  <rv s="6">
    <v>15</v>
    <v>SWKS</v>
    <v>Daily</v>
    <v>45918</v>
    <v>45918</v>
    <v>0</v>
    <v>1</v>
    <v>638937504000000000,638939025099606900,0</v>
    <v>0</v>
    <v>a23tz2</v>
    <v>XNAS:SWKS</v>
    <v>6</v>
  </rv>
  <rv s="6">
    <v>15</v>
    <v>MPWR</v>
    <v>Daily</v>
    <v>45659</v>
    <v>45659</v>
    <v>0</v>
    <v>1</v>
    <v>638713728000000000,638805137330734838,0</v>
    <v>0</v>
    <v>a1xwnm</v>
    <v>XNAS:MPWR</v>
    <v>7</v>
  </rv>
  <rv s="6">
    <v>15</v>
    <v>MPWR</v>
    <v>Daily</v>
    <v>45890</v>
    <v>45890</v>
    <v>0</v>
    <v>1</v>
    <v>638913312000000000,638939025099727024,0</v>
    <v>0</v>
    <v>a1xwnm</v>
    <v>XNAS:MPWR</v>
    <v>8</v>
  </rv>
  <rv s="6">
    <v>15</v>
    <v>INTC</v>
    <v>Daily</v>
    <v>45659</v>
    <v>45659</v>
    <v>0</v>
    <v>1</v>
    <v>638713728000000000,638812932432509201,0</v>
    <v>0</v>
    <v>a1vmf2</v>
    <v>XNAS:INTC</v>
    <v>9</v>
  </rv>
  <rv s="6">
    <v>15</v>
    <v>INTC</v>
    <v>Daily</v>
    <v>45890</v>
    <v>45890</v>
    <v>0</v>
    <v>1</v>
    <v>638913312000000000,638939025100044331,0</v>
    <v>0</v>
    <v>a1vmf2</v>
    <v>XNAS:INTC</v>
    <v>10</v>
  </rv>
  <rv s="6">
    <v>15</v>
    <v>INTC</v>
    <v>Daily</v>
    <v>45918</v>
    <v>45918</v>
    <v>0</v>
    <v>1</v>
    <v>638937504000000000,638939025100372893,0</v>
    <v>0</v>
    <v>a1vmf2</v>
    <v>XNAS:INTC</v>
    <v>11</v>
  </rv>
  <rv s="6">
    <v>15</v>
    <v>MCHP</v>
    <v>Daily</v>
    <v>45659</v>
    <v>45659</v>
    <v>0</v>
    <v>1</v>
    <v>638713728000000000,638805137357121853,0</v>
    <v>0</v>
    <v>a1xdvh</v>
    <v>XNAS:MCHP</v>
    <v>12</v>
  </rv>
  <rv s="6">
    <v>15</v>
    <v>MCHP</v>
    <v>Daily</v>
    <v>45890</v>
    <v>45890</v>
    <v>0</v>
    <v>1</v>
    <v>638913312000000000,638939025098623174,0</v>
    <v>0</v>
    <v>a1xdvh</v>
    <v>XNAS:MCHP</v>
    <v>13</v>
  </rv>
  <rv s="6">
    <v>15</v>
    <v>MCHP</v>
    <v>Daily</v>
    <v>45918</v>
    <v>45918</v>
    <v>0</v>
    <v>1</v>
    <v>638937504000000000,638939025100242381,0</v>
    <v>0</v>
    <v>a1xdvh</v>
    <v>XNAS:MCHP</v>
    <v>14</v>
  </rv>
  <rv s="6">
    <v>15</v>
    <v>a1mvjc</v>
    <v>Daily</v>
    <v>43830</v>
    <v>43830</v>
    <v>0</v>
    <v>1</v>
    <v>637133472000000000,638804185908495968,0</v>
    <v>0</v>
    <v>a1mvjc</v>
    <v>XNAS:ADI</v>
    <v>15</v>
  </rv>
  <rv s="6">
    <v>15</v>
    <v>a1mvjc</v>
    <v>Daily</v>
    <v>45657</v>
    <v>45657</v>
    <v>0</v>
    <v>1</v>
    <v>638712000000000000,638804185908366546,0</v>
    <v>0</v>
    <v>a1mvjc</v>
    <v>XNAS:ADI</v>
    <v>16</v>
  </rv>
  <rv s="6">
    <v>15</v>
    <v>a1mvjc</v>
    <v>Daily</v>
    <v>42004</v>
    <v>42004</v>
    <v>0</v>
    <v>1</v>
    <v>635555808000000000,638804185913427229,0</v>
    <v>0</v>
    <v>a1mvjc</v>
    <v>XNAS:ADI</v>
    <v>17</v>
  </rv>
  <rv s="6">
    <v>15</v>
    <v>a1mvjc</v>
    <v>Daily</v>
    <v>44196</v>
    <v>44196</v>
    <v>0</v>
    <v>1</v>
    <v>637449696000000000,638804185908476055,0</v>
    <v>0</v>
    <v>a1mvjc</v>
    <v>XNAS:ADI</v>
    <v>18</v>
  </rv>
  <rv s="6">
    <v>15</v>
    <v>a1mvjc</v>
    <v>Daily</v>
    <v>42369</v>
    <v>42369</v>
    <v>0</v>
    <v>1</v>
    <v>635871168000000000,638804185908594437,0</v>
    <v>0</v>
    <v>a1mvjc</v>
    <v>XNAS:ADI</v>
    <v>19</v>
  </rv>
  <rv s="6">
    <v>15</v>
    <v>a1mvjc</v>
    <v>Daily</v>
    <v>43465</v>
    <v>43465</v>
    <v>0</v>
    <v>1</v>
    <v>636818112000000000,638804185908525837,0</v>
    <v>0</v>
    <v>a1mvjc</v>
    <v>XNAS:ADI</v>
    <v>20</v>
  </rv>
  <rv s="6">
    <v>15</v>
    <v>a1mvjc</v>
    <v>Daily</v>
    <v>44561</v>
    <v>44561</v>
    <v>0</v>
    <v>1</v>
    <v>637765056000000000,638804185908446185,0</v>
    <v>0</v>
    <v>a1mvjc</v>
    <v>XNAS:ADI</v>
    <v>21</v>
  </rv>
  <rv s="6">
    <v>15</v>
    <v>a1mvjc</v>
    <v>Daily</v>
    <v>42002</v>
    <v>42002</v>
    <v>0</v>
    <v>1</v>
    <v>635554080000000000,638804185932735835,0</v>
    <v>0</v>
    <v>a1mvjc</v>
    <v>XNAS:ADI</v>
    <v>22</v>
  </rv>
  <rv s="6">
    <v>15</v>
    <v>a1mvjc</v>
    <v>Daily</v>
    <v>44194</v>
    <v>44194</v>
    <v>0</v>
    <v>1</v>
    <v>637447968000000000,638804185924504208,0</v>
    <v>0</v>
    <v>a1mvjc</v>
    <v>XNAS:ADI</v>
    <v>23</v>
  </rv>
  <rv s="6">
    <v>15</v>
    <v>a1mvjc</v>
    <v>Daily</v>
    <v>42367</v>
    <v>42367</v>
    <v>0</v>
    <v>1</v>
    <v>635869440000000000,638804185926324616,0</v>
    <v>0</v>
    <v>a1mvjc</v>
    <v>XNAS:ADI</v>
    <v>24</v>
  </rv>
  <rv s="6">
    <v>15</v>
    <v>a1mvjc</v>
    <v>Daily</v>
    <v>44559</v>
    <v>44559</v>
    <v>0</v>
    <v>1</v>
    <v>637763328000000000,638804185924149511,0</v>
    <v>0</v>
    <v>a1mvjc</v>
    <v>XNAS:ADI</v>
    <v>25</v>
  </rv>
  <rv s="6">
    <v>15</v>
    <v>a1mvjc</v>
    <v>Daily</v>
    <v>45289</v>
    <v>45289</v>
    <v>0</v>
    <v>1</v>
    <v>638394048000000000,638804185923403969,0</v>
    <v>0</v>
    <v>a1mvjc</v>
    <v>XNAS:ADI</v>
    <v>26</v>
  </rv>
  <rv s="6">
    <v>15</v>
    <v>a1mvjc</v>
    <v>Daily</v>
    <v>43098</v>
    <v>43098</v>
    <v>0</v>
    <v>1</v>
    <v>636501024000000000,638804185925604455,0</v>
    <v>0</v>
    <v>a1mvjc</v>
    <v>XNAS:ADI</v>
    <v>27</v>
  </rv>
  <rv s="6">
    <v>15</v>
    <v>a1mvjc</v>
    <v>Daily</v>
    <v>44924</v>
    <v>44924</v>
    <v>0</v>
    <v>1</v>
    <v>638078688000000000,638804185923774049,0</v>
    <v>0</v>
    <v>a1mvjc</v>
    <v>XNAS:ADI</v>
    <v>28</v>
  </rv>
  <rv s="6">
    <v>15</v>
    <v>a1mvjc</v>
    <v>Daily</v>
    <v>42733</v>
    <v>42733</v>
    <v>0</v>
    <v>1</v>
    <v>636185664000000000,638804185925964532,0</v>
    <v>0</v>
    <v>a1mvjc</v>
    <v>XNAS:ADI</v>
    <v>29</v>
  </rv>
  <rv s="6">
    <v>15</v>
    <v>ADI</v>
    <v>Daily</v>
    <v>45659</v>
    <v>45659</v>
    <v>0</v>
    <v>1</v>
    <v>638713728000000000,638781223312403372,0</v>
    <v>0</v>
    <v>a1mvjc</v>
    <v>XNAS:ADI</v>
    <v>30</v>
  </rv>
  <rv s="6">
    <v>15</v>
    <v>ADI</v>
    <v>Daily</v>
    <v>45890</v>
    <v>45890</v>
    <v>0</v>
    <v>1</v>
    <v>638913312000000000,638939025100752815,0</v>
    <v>0</v>
    <v>a1mvjc</v>
    <v>XNAS:ADI</v>
    <v>31</v>
  </rv>
  <rv s="6">
    <v>15</v>
    <v>ADI</v>
    <v>Daily</v>
    <v>45918</v>
    <v>45918</v>
    <v>0</v>
    <v>1</v>
    <v>638937504000000000,638939025099924340,0</v>
    <v>0</v>
    <v>a1mvjc</v>
    <v>XNAS:ADI</v>
    <v>32</v>
  </rv>
  <rv s="6">
    <v>15</v>
    <v>TXN</v>
    <v>Daily</v>
    <v>45659</v>
    <v>45659</v>
    <v>0</v>
    <v>1</v>
    <v>638713728000000000,638805137233818156,0</v>
    <v>0</v>
    <v>a24p1h</v>
    <v>XNAS:TXN</v>
    <v>33</v>
  </rv>
  <rv s="6">
    <v>15</v>
    <v>TXN</v>
    <v>Daily</v>
    <v>45890</v>
    <v>45890</v>
    <v>0</v>
    <v>1</v>
    <v>638913312000000000,638939025099042334,0</v>
    <v>0</v>
    <v>a24p1h</v>
    <v>XNAS:TXN</v>
    <v>34</v>
  </rv>
  <rv s="6">
    <v>15</v>
    <v>TXN</v>
    <v>Daily</v>
    <v>45918</v>
    <v>45918</v>
    <v>0</v>
    <v>1</v>
    <v>638937504000000000,638939025100503907,0</v>
    <v>0</v>
    <v>a24p1h</v>
    <v>XNAS:TXN</v>
    <v>35</v>
  </rv>
  <rv s="6">
    <v>15</v>
    <v>MTSI</v>
    <v>Daily</v>
    <v>45659</v>
    <v>45659</v>
    <v>0</v>
    <v>1</v>
    <v>638713728000000000,638805137523851122,0</v>
    <v>0</v>
    <v>a1y41h</v>
    <v>XNAS:MTSI</v>
    <v>36</v>
  </rv>
  <rv s="6">
    <v>15</v>
    <v>MTSI</v>
    <v>Daily</v>
    <v>45890</v>
    <v>45890</v>
    <v>0</v>
    <v>1</v>
    <v>638913312000000000,638939025098775611,0</v>
    <v>0</v>
    <v>a1y41h</v>
    <v>XNAS:MTSI</v>
    <v>37</v>
  </rv>
  <rv s="6">
    <v>15</v>
    <v>MTSI</v>
    <v>Daily</v>
    <v>45918</v>
    <v>45918</v>
    <v>0</v>
    <v>1</v>
    <v>638937504000000000,638939025098727310,0</v>
    <v>0</v>
    <v>a1y41h</v>
    <v>XNAS:MTSI</v>
    <v>38</v>
  </rv>
  <rv s="6">
    <v>15</v>
    <v>MU</v>
    <v>Daily</v>
    <v>45659</v>
    <v>45659</v>
    <v>0</v>
    <v>1</v>
    <v>638713728000000000,638812932481939406,0</v>
    <v>0</v>
    <v>a1y4oc</v>
    <v>XNAS:MU</v>
    <v>39</v>
  </rv>
  <rv s="6">
    <v>15</v>
    <v>MU</v>
    <v>Daily</v>
    <v>45918</v>
    <v>45918</v>
    <v>0</v>
    <v>1</v>
    <v>638937504000000000,638939025099201245,0</v>
    <v>0</v>
    <v>a1y4oc</v>
    <v>XNAS:MU</v>
    <v>40</v>
  </rv>
  <rv s="6">
    <v>15</v>
    <v>MU</v>
    <v>Daily</v>
    <v>45890</v>
    <v>45890</v>
    <v>0</v>
    <v>1</v>
    <v>638913312000000000,638939025099992846,0</v>
    <v>0</v>
    <v>a1y4oc</v>
    <v>XNAS:MU</v>
    <v>41</v>
  </rv>
  <rv s="6">
    <v>15</v>
    <v>FSLR</v>
    <v>Daily</v>
    <v>45659</v>
    <v>45659</v>
    <v>0</v>
    <v>1</v>
    <v>638713728000000000,638812932519332864,0</v>
    <v>0</v>
    <v>a1tdvh</v>
    <v>XNAS:FSLR</v>
    <v>42</v>
  </rv>
  <rv s="6">
    <v>15</v>
    <v>FSLR</v>
    <v>Daily</v>
    <v>45890</v>
    <v>45890</v>
    <v>0</v>
    <v>1</v>
    <v>638913312000000000,638939025099090117,0</v>
    <v>0</v>
    <v>a1tdvh</v>
    <v>XNAS:FSLR</v>
    <v>43</v>
  </rv>
  <rv s="6">
    <v>15</v>
    <v>FSLR</v>
    <v>Daily</v>
    <v>45918</v>
    <v>45918</v>
    <v>0</v>
    <v>1</v>
    <v>638937504000000000,638939025099727307,0</v>
    <v>0</v>
    <v>a1tdvh</v>
    <v>XNAS:FSLR</v>
    <v>44</v>
  </rv>
  <rv s="6">
    <v>16</v>
    <v>ALTR</v>
    <v>Daily</v>
    <v>45659</v>
    <v>45659</v>
    <v>0</v>
    <v>1</v>
    <v>638713728000000000,638812932600714122,0</v>
    <v>0</v>
    <v>alwjz2</v>
    <v>XLIS:ALTR</v>
    <v>45</v>
  </rv>
  <rv s="6">
    <v>16</v>
    <v>ALTR</v>
    <v>Daily</v>
    <v>45918</v>
    <v>45918</v>
    <v>0</v>
    <v>1</v>
    <v>638937504000000000,638939025099557203,0</v>
    <v>0</v>
    <v>alwjz2</v>
    <v>XLIS:ALTR</v>
    <v>46</v>
  </rv>
  <rv s="6">
    <v>16</v>
    <v>ALTR</v>
    <v>Daily</v>
    <v>45890</v>
    <v>45890</v>
    <v>0</v>
    <v>1</v>
    <v>638913312000000000,638939025099867702,0</v>
    <v>0</v>
    <v>alwjz2</v>
    <v>XLIS:ALTR</v>
    <v>47</v>
  </rv>
</rvData>
</file>

<file path=xl/richData/rdrichvaluestructure.xml><?xml version="1.0" encoding="utf-8"?>
<rvStructures xmlns="http://schemas.microsoft.com/office/spreadsheetml/2017/richdata" count="7">
  <s t="_error">
    <k n="errorType" t="i"/>
    <k n="field" t="s"/>
    <k n="subType" t="i"/>
  </s>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3">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spbArrays>
  <spbData count="17">
    <spb s="0">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0</v>
      <v>Name</v>
      <v>LearnMoreOnLink</v>
    </spb>
    <spb s="2">
      <v>0</v>
      <v>0</v>
      <v>0</v>
    </spb>
    <spb s="3">
      <v>2</v>
      <v>2</v>
      <v>2</v>
      <v>2</v>
    </spb>
    <spb s="4">
      <v>1</v>
      <v>2</v>
      <v>2</v>
      <v>1</v>
      <v>3</v>
      <v>1</v>
      <v>1</v>
      <v>1</v>
      <v>4</v>
      <v>4</v>
      <v>5</v>
      <v>6</v>
      <v>1</v>
      <v>1</v>
      <v>1</v>
      <v>4</v>
      <v>7</v>
      <v>8</v>
      <v>9</v>
      <v>4</v>
    </spb>
    <spb s="5">
      <v>Real-Time Nasdaq Last Sale</v>
      <v>from previous close</v>
      <v>from previous close</v>
      <v>Source: Nasdaq Last Sale</v>
      <v>GMT</v>
    </spb>
    <spb s="6">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7">
      <v>2</v>
      <v>1</v>
      <v>2</v>
      <v>3</v>
      <v>1</v>
      <v>1</v>
      <v>4</v>
      <v>1</v>
      <v>1</v>
      <v>4</v>
      <v>5</v>
      <v>4</v>
      <v>9</v>
      <v>1</v>
      <v>1</v>
      <v>8</v>
      <v>4</v>
      <v>1</v>
      <v>6</v>
      <v>7</v>
    </spb>
    <spb s="8">
      <v>Tempo Real Nasdaq Última venda</v>
      <v xml:space="preserve">do fechamento anterior </v>
      <v>Origem : Nasdaq Última venda</v>
      <v xml:space="preserve">do fechamento anterior </v>
      <v>GMT</v>
    </spb>
    <spb s="9">
      <v>P/E</v>
      <v>High</v>
      <v>Beta</v>
      <v>Name</v>
      <v>Headquarters</v>
      <v>Low</v>
      <v>Exchange</v>
      <v>Currency</v>
      <v>Price</v>
      <v>Industry</v>
      <v>Volume</v>
      <v>Change</v>
      <v>Description</v>
      <v>Open</v>
      <v>ExchangeID</v>
      <v>UniqueName</v>
      <v>Employees</v>
      <v>Official name</v>
      <v>Change (%)</v>
      <v>%ProviderInfo</v>
      <v>LearnMoreOnLink</v>
      <v>Volume average</v>
      <v>Ticker symbol</v>
      <v>Year incorporated</v>
      <v>Shares outstanding</v>
      <v>Previous close</v>
      <v>Instrument type</v>
      <v>Exchange abbreviation</v>
      <v>Market cap</v>
      <v>Last trade time</v>
    </spb>
    <spb s="1">
      <v>2</v>
      <v>Name</v>
      <v>LearnMoreOnLink</v>
    </spb>
    <spb s="10">
      <v>2</v>
      <v>10</v>
      <v>2</v>
      <v>3</v>
      <v>10</v>
      <v>10</v>
      <v>4</v>
      <v>10</v>
      <v>10</v>
      <v>4</v>
      <v>5</v>
      <v>4</v>
      <v>9</v>
      <v>8</v>
      <v>4</v>
      <v>10</v>
      <v>6</v>
      <v>11</v>
    </spb>
    <spb s="11">
      <v>Atraso de 15 minutos</v>
      <v xml:space="preserve">do fechamento anterior </v>
      <v xml:space="preserve">do fechamento anterior </v>
      <v>GMT</v>
    </spb>
    <spb s="7">
      <v>2</v>
      <v>10</v>
      <v>2</v>
      <v>3</v>
      <v>10</v>
      <v>10</v>
      <v>4</v>
      <v>10</v>
      <v>10</v>
      <v>4</v>
      <v>5</v>
      <v>4</v>
      <v>9</v>
      <v>10</v>
      <v>10</v>
      <v>8</v>
      <v>4</v>
      <v>10</v>
      <v>12</v>
      <v>7</v>
    </spb>
    <spb s="12">
      <v>11</v>
      <v>1</v>
    </spb>
    <spb s="12">
      <v>11</v>
      <v>10</v>
    </spb>
  </spbData>
</supportingPropertyBags>
</file>

<file path=xl/richData/rdsupportingpropertybagstructure.xml><?xml version="1.0" encoding="utf-8"?>
<spbStructures xmlns="http://schemas.microsoft.com/office/spreadsheetml/2017/richdata2" count="13">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Ano de incorporação" t="i"/>
    <k n="Ações em circulação" t="i"/>
    <k n="Fechamento anterior" t="i"/>
    <k n="Capitalização de mercado" t="i"/>
    <k n="Hora da última transação" t="i"/>
  </s>
  <s>
    <k n="Preço" t="s"/>
    <k n="Variação" t="s"/>
    <k n="Variação (%)" t="s"/>
    <k n="Hora da última transação"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dd/mm/yyyy"/>
    </x:dxf>
    <x:dxf>
      <x:numFmt numFmtId="2" formatCode="0.00"/>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0">
      <rpv i="0">_([$$-en-US]* #,##0.00_);_([$$-en-US]* (#,##0.00);_([$$-en-US]* "-"??_);_(@_)</rpv>
    </rSty>
    <rSty dxfid="6">
      <rpv i="0">#,##0.00</rpv>
    </rSty>
    <rSty>
      <rpv i="1">1</rpv>
    </rSty>
    <rSty dxfid="5">
      <rpv i="0">#,##0</rpv>
    </rSty>
    <rSty dxfid="4"/>
    <rSty dxfid="0">
      <rpv i="0">_([$$-en-US]* #,##0_);_([$$-en-US]* (#,##0);_([$$-en-US]* "-"_);_(@_)</rpv>
    </rSty>
    <rSty dxfid="3"/>
    <rSty dxfid="7">
      <rpv i="0">0</rpv>
    </rSty>
    <rSty dxfid="2">
      <rpv i="0">0.00</rpv>
    </rSty>
    <rSty dxfid="0">
      <rpv i="0">_([$€-x-euro2] * #,##0.00_);_([$€-x-euro2] * (#,##0.00);_([$€-x-euro2] * "-"??_);_(@_)</rpv>
    </rSty>
    <rSty dxfid="1"/>
    <rSty dxfid="0">
      <rpv i="0">_([$€-x-euro2] * #,##0_);_([$€-x-euro2] * (#,##0);_([$€-x-euro2] * "-"_);_(@_)</rpv>
    </rSty>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3" dT="2025-02-26T18:55:21.53" personId="{8FC7388A-B149-40B4-B48E-70DCA56CA41C}" id="{CB5C8E83-E3D0-4441-B6E0-D862C650B5F5}">
    <text>Chipotle does not have any Intangibles in its Balance Sheet, except for Goodwill. Hence Depreciation and Amortization are forecasted only as % of PP&amp;E.</text>
  </threadedComment>
  <threadedComment ref="B136" dT="2025-02-26T18:54:39.98" personId="{8FC7388A-B149-40B4-B48E-70DCA56CA41C}" id="{CE396053-595E-4126-9C71-0875E5897884}">
    <text xml:space="preserve">Forecasted based on net number of stores opening </text>
  </threadedComment>
  <threadedComment ref="B153" dT="2025-02-26T17:14:37.81" personId="{8FC7388A-B149-40B4-B48E-70DCA56CA41C}" id="{E2CDF95A-7B2F-4661-BCB3-C007122C6CFD}">
    <text>Payment for Right of Use Assets are recognized as occupancy costs under SG&amp;A expenses.</text>
  </threadedComment>
  <threadedComment ref="B156" dT="2025-02-26T17:14:37.81" personId="{8FC7388A-B149-40B4-B48E-70DCA56CA41C}" id="{CD092673-94DE-4108-B6AF-FC73424C056A}">
    <text>Payment for Right of Use Assets are recognized as occupancy costs under SG&amp;A expenses.</text>
  </threadedComment>
  <threadedComment ref="B158" dT="2025-02-26T17:14:37.81" personId="{8FC7388A-B149-40B4-B48E-70DCA56CA41C}" id="{62E50C66-BA1C-4031-B660-F25771E0B7AB}">
    <text>Payment for Right of Use Assets are recognized as occupancy costs under SG&amp;A expenses.</text>
  </threadedComment>
  <threadedComment ref="B165" dT="2025-02-26T17:14:37.81" personId="{8FC7388A-B149-40B4-B48E-70DCA56CA41C}" id="{9EF6C6D7-5E70-49FE-A672-ED08A0372EC5}">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hyperlink" Target="https://investor.analog.com/static-files/cc2bbf08-9ebc-490b-8be3-e396d9ef5934" TargetMode="External"/><Relationship Id="rId7" Type="http://schemas.openxmlformats.org/officeDocument/2006/relationships/comments" Target="../comments4.xml"/><Relationship Id="rId2" Type="http://schemas.openxmlformats.org/officeDocument/2006/relationships/hyperlink" Target="https://www.analog.com/media/en/company-csr/2023-esg-report.pdf" TargetMode="External"/><Relationship Id="rId1" Type="http://schemas.openxmlformats.org/officeDocument/2006/relationships/hyperlink" Target="https://investor.analog.com/static-files/8d9dcc9b-f9e5-492e-8a73-0b5ffc6a6c23" TargetMode="External"/><Relationship Id="rId6" Type="http://schemas.openxmlformats.org/officeDocument/2006/relationships/vmlDrawing" Target="../drawings/vmlDrawing4.vml"/><Relationship Id="rId5" Type="http://schemas.openxmlformats.org/officeDocument/2006/relationships/drawing" Target="../drawings/drawing5.xm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B1314"/>
  </sheetPr>
  <dimension ref="A1:AI1048576"/>
  <sheetViews>
    <sheetView showGridLines="0" topLeftCell="A6" zoomScale="55" zoomScaleNormal="85" workbookViewId="0">
      <selection activeCell="V10" sqref="V10"/>
    </sheetView>
  </sheetViews>
  <sheetFormatPr defaultColWidth="15.58203125" defaultRowHeight="14" x14ac:dyDescent="0.3"/>
  <cols>
    <col min="1" max="1" width="11.58203125" style="574" customWidth="1"/>
    <col min="2" max="2" width="0.58203125" style="572" customWidth="1"/>
    <col min="3" max="3" width="2.5" style="570" customWidth="1"/>
    <col min="4" max="4" width="11.83203125" style="570" customWidth="1"/>
    <col min="5" max="5" width="13.33203125" style="570" customWidth="1"/>
    <col min="6" max="9" width="12.58203125" style="570" customWidth="1"/>
    <col min="10" max="10" width="4" style="570" customWidth="1"/>
    <col min="11" max="12" width="12.58203125" style="570" customWidth="1"/>
    <col min="13" max="13" width="3.58203125" style="570" customWidth="1"/>
    <col min="14" max="18" width="12.58203125" style="570" customWidth="1"/>
    <col min="19" max="19" width="3.83203125" style="629" customWidth="1"/>
    <col min="20" max="20" width="4" style="570" customWidth="1"/>
    <col min="21" max="21" width="27.08203125" style="570" customWidth="1"/>
    <col min="22" max="22" width="9.83203125" style="570" customWidth="1"/>
    <col min="23" max="16384" width="15.58203125" style="570"/>
  </cols>
  <sheetData>
    <row r="1" spans="1:22" ht="24.75" customHeight="1" x14ac:dyDescent="0.3">
      <c r="A1" s="710"/>
      <c r="B1" s="711"/>
      <c r="C1" s="448"/>
      <c r="D1" s="448"/>
      <c r="E1" s="448"/>
      <c r="F1" s="448"/>
      <c r="G1" s="448"/>
      <c r="H1" s="448"/>
      <c r="I1" s="448"/>
      <c r="J1" s="448"/>
      <c r="K1" s="448"/>
      <c r="L1" s="448"/>
      <c r="M1" s="448"/>
      <c r="N1" s="448"/>
      <c r="O1" s="448"/>
      <c r="P1" s="448"/>
      <c r="Q1" s="448"/>
      <c r="R1" s="448"/>
      <c r="S1" s="448"/>
      <c r="T1" s="448"/>
      <c r="U1" s="448"/>
      <c r="V1" s="448"/>
    </row>
    <row r="2" spans="1:22" ht="24" customHeight="1" x14ac:dyDescent="0.4">
      <c r="A2" s="710"/>
      <c r="B2" s="711"/>
      <c r="C2" s="448"/>
      <c r="D2" s="448"/>
      <c r="E2" s="744" t="s">
        <v>0</v>
      </c>
      <c r="F2" s="448"/>
      <c r="G2" s="448"/>
      <c r="H2" s="448"/>
      <c r="I2" s="448"/>
      <c r="J2" s="448"/>
      <c r="K2" s="448"/>
      <c r="L2" s="448"/>
      <c r="M2" s="448"/>
      <c r="N2" s="448"/>
      <c r="O2" s="448"/>
      <c r="P2" s="448"/>
      <c r="Q2" s="448"/>
      <c r="R2" s="448"/>
      <c r="S2" s="448"/>
      <c r="T2" s="448"/>
      <c r="U2" s="649" t="s">
        <v>1</v>
      </c>
      <c r="V2" s="448"/>
    </row>
    <row r="3" spans="1:22" x14ac:dyDescent="0.3">
      <c r="A3" s="710"/>
      <c r="B3" s="711"/>
      <c r="C3" s="448"/>
      <c r="D3" s="448"/>
      <c r="E3" s="448"/>
      <c r="F3" s="448"/>
      <c r="G3" s="448"/>
      <c r="H3" s="448"/>
      <c r="I3" s="448"/>
      <c r="J3" s="448"/>
      <c r="K3" s="448"/>
      <c r="L3" s="448"/>
      <c r="M3" s="448"/>
      <c r="N3" s="448"/>
      <c r="O3" s="448"/>
      <c r="P3" s="448"/>
      <c r="Q3" s="448"/>
      <c r="R3" s="448"/>
      <c r="S3" s="448"/>
      <c r="T3" s="448"/>
      <c r="U3" s="635" t="s">
        <v>2</v>
      </c>
      <c r="V3" s="448"/>
    </row>
    <row r="4" spans="1:22" x14ac:dyDescent="0.3">
      <c r="A4" s="710"/>
      <c r="B4" s="711"/>
      <c r="C4" s="448"/>
      <c r="D4" s="448"/>
      <c r="E4" s="448"/>
      <c r="F4" s="448"/>
      <c r="G4" s="448"/>
      <c r="H4" s="448"/>
      <c r="I4" s="448"/>
      <c r="J4" s="448"/>
      <c r="K4" s="448"/>
      <c r="L4" s="448"/>
      <c r="M4" s="448"/>
      <c r="N4" s="448"/>
      <c r="O4" s="448"/>
      <c r="P4" s="448"/>
      <c r="Q4" s="448"/>
      <c r="R4" s="448"/>
      <c r="S4" s="448"/>
      <c r="T4" s="448"/>
      <c r="U4" s="635"/>
      <c r="V4" s="448"/>
    </row>
    <row r="5" spans="1:22" x14ac:dyDescent="0.3">
      <c r="A5" s="710"/>
      <c r="B5" s="711"/>
      <c r="C5" s="448"/>
      <c r="D5" s="448"/>
      <c r="E5" s="448"/>
      <c r="F5" s="448"/>
      <c r="G5" s="448"/>
      <c r="H5" s="448"/>
      <c r="I5"/>
      <c r="J5" s="448"/>
      <c r="K5" s="448"/>
      <c r="L5" s="448"/>
      <c r="M5" s="448"/>
      <c r="N5" s="448"/>
      <c r="O5" s="448"/>
      <c r="P5" s="448"/>
      <c r="Q5" s="448"/>
      <c r="R5" s="448"/>
      <c r="S5" s="448"/>
      <c r="T5" s="448"/>
      <c r="U5" s="448"/>
      <c r="V5" s="448"/>
    </row>
    <row r="6" spans="1:22" s="571" customFormat="1" ht="16" customHeight="1" x14ac:dyDescent="0.4">
      <c r="A6" s="575"/>
      <c r="B6" s="576"/>
      <c r="D6" s="578" t="str" cm="1">
        <f t="array" aca="1" ref="D6" ca="1">+_FV(DCF!R4,"Name")</f>
        <v>ANALOG DEVICES, INC.</v>
      </c>
      <c r="S6" s="712"/>
      <c r="U6" s="634" t="s">
        <v>3</v>
      </c>
    </row>
    <row r="7" spans="1:22" ht="3.75" customHeight="1" x14ac:dyDescent="0.35">
      <c r="A7" s="710"/>
      <c r="B7" s="711"/>
      <c r="C7" s="448"/>
      <c r="D7" s="448"/>
      <c r="E7" s="448"/>
      <c r="F7" s="448"/>
      <c r="G7" s="448"/>
      <c r="H7" s="448"/>
      <c r="I7" s="448"/>
      <c r="J7" s="448"/>
      <c r="K7" s="448"/>
      <c r="L7" s="448"/>
      <c r="M7" s="448"/>
      <c r="N7" s="448"/>
      <c r="O7" s="448"/>
      <c r="P7" s="448"/>
      <c r="Q7" s="448"/>
      <c r="R7" s="448"/>
      <c r="S7" s="712"/>
      <c r="T7" s="448"/>
      <c r="U7" s="571"/>
      <c r="V7" s="448"/>
    </row>
    <row r="8" spans="1:22" ht="14.25" customHeight="1" x14ac:dyDescent="0.3">
      <c r="A8" s="710"/>
      <c r="B8" s="711"/>
      <c r="C8" s="448"/>
      <c r="D8" s="905"/>
      <c r="E8" s="905"/>
      <c r="F8" s="905"/>
      <c r="G8" s="905"/>
      <c r="H8" s="905"/>
      <c r="I8" s="905"/>
      <c r="J8" s="905"/>
      <c r="K8" s="905"/>
      <c r="L8" s="905"/>
      <c r="M8" s="905"/>
      <c r="N8" s="905"/>
      <c r="O8" s="905"/>
      <c r="P8" s="905"/>
      <c r="Q8" s="905"/>
      <c r="R8" s="905"/>
      <c r="S8" s="713"/>
      <c r="T8" s="448"/>
      <c r="U8" s="714" t="s">
        <v>4</v>
      </c>
      <c r="V8" s="448"/>
    </row>
    <row r="9" spans="1:22" ht="14.25" customHeight="1" x14ac:dyDescent="0.3">
      <c r="A9" s="710"/>
      <c r="B9" s="711"/>
      <c r="C9" s="448"/>
      <c r="D9" s="905"/>
      <c r="E9" s="905"/>
      <c r="F9" s="905"/>
      <c r="G9" s="905"/>
      <c r="H9" s="905"/>
      <c r="I9" s="905"/>
      <c r="J9" s="905"/>
      <c r="K9" s="905"/>
      <c r="L9" s="905"/>
      <c r="M9" s="905"/>
      <c r="N9" s="905"/>
      <c r="O9" s="905"/>
      <c r="P9" s="905"/>
      <c r="Q9" s="905"/>
      <c r="R9" s="905"/>
      <c r="S9" s="713"/>
      <c r="T9" s="448"/>
      <c r="U9" s="577" t="str" cm="1">
        <f t="array" aca="1" ref="U9" ca="1">+"Price (7 Mar 25): $"&amp;_FV(DCF!$R$4,"Price")</f>
        <v>Price (7 Mar 25): $245,56</v>
      </c>
      <c r="V9" s="448"/>
    </row>
    <row r="10" spans="1:22" ht="20.149999999999999" customHeight="1" x14ac:dyDescent="0.4">
      <c r="A10" s="710"/>
      <c r="B10" s="711"/>
      <c r="C10" s="448"/>
      <c r="D10" s="578" t="s">
        <v>5</v>
      </c>
      <c r="E10" s="715"/>
      <c r="F10" s="715"/>
      <c r="G10" s="715"/>
      <c r="H10" s="715"/>
      <c r="I10" s="715"/>
      <c r="J10" s="715"/>
      <c r="K10" s="715"/>
      <c r="L10" s="715"/>
      <c r="M10" s="715"/>
      <c r="N10" s="715"/>
      <c r="O10" s="715"/>
      <c r="P10" s="715"/>
      <c r="Q10" s="715"/>
      <c r="R10" s="715"/>
      <c r="S10" s="716"/>
      <c r="T10" s="448"/>
      <c r="U10" s="1" t="str">
        <f ca="1">"Price Target: $" &amp; ROUND(IF(Summary!G25="FCFF",DCF!Q208,IF(Summary!G25="FCFE",DCF!Q251,IF(Summary!G25="Tax Shield",DCF!Q224,DCF!Q267))),2) &amp;" "&amp;IF(Summary!G25="FCFF","(FCFF)",IF(Summary!G25="FCFE","(FCFE)",IF(Summary!G25="Tax Shield","(APV)","(DDM)")))</f>
        <v>Price Target: $127,94 (FCFF)</v>
      </c>
      <c r="V10" s="448"/>
    </row>
    <row r="11" spans="1:22" ht="14.25" customHeight="1" x14ac:dyDescent="0.3">
      <c r="A11" s="710"/>
      <c r="B11" s="711"/>
      <c r="C11" s="448"/>
      <c r="D11" s="905"/>
      <c r="E11" s="905"/>
      <c r="F11" s="905"/>
      <c r="G11" s="905"/>
      <c r="H11" s="905"/>
      <c r="I11" s="905"/>
      <c r="J11" s="905"/>
      <c r="K11" s="905"/>
      <c r="L11" s="905"/>
      <c r="M11" s="905"/>
      <c r="N11" s="905"/>
      <c r="O11" s="905"/>
      <c r="P11" s="905"/>
      <c r="Q11" s="905"/>
      <c r="R11" s="905"/>
      <c r="S11" s="713"/>
      <c r="T11" s="448"/>
      <c r="U11" s="577" t="str">
        <f ca="1">+"Upside (Downside): "&amp;ROUND((DCF!$Q$211*100),2)&amp;"%"</f>
        <v>Upside (Downside): -47,9%</v>
      </c>
      <c r="V11" s="448"/>
    </row>
    <row r="12" spans="1:22" ht="3.75" customHeight="1" x14ac:dyDescent="0.3">
      <c r="A12" s="710"/>
      <c r="B12" s="711"/>
      <c r="C12" s="448"/>
      <c r="D12" s="905"/>
      <c r="E12" s="905"/>
      <c r="F12" s="905"/>
      <c r="G12" s="905"/>
      <c r="H12" s="905"/>
      <c r="I12" s="905"/>
      <c r="J12" s="905"/>
      <c r="K12" s="905"/>
      <c r="L12" s="905"/>
      <c r="M12" s="905"/>
      <c r="N12" s="905"/>
      <c r="O12" s="905"/>
      <c r="P12" s="905"/>
      <c r="Q12" s="905"/>
      <c r="R12" s="905"/>
      <c r="S12" s="713"/>
      <c r="T12" s="448"/>
      <c r="U12" s="448"/>
      <c r="V12" s="448"/>
    </row>
    <row r="13" spans="1:22" ht="17.25" customHeight="1" x14ac:dyDescent="0.3">
      <c r="A13" s="710"/>
      <c r="B13" s="711"/>
      <c r="C13" s="448"/>
      <c r="D13" s="905"/>
      <c r="E13" s="905"/>
      <c r="F13" s="905"/>
      <c r="G13" s="905"/>
      <c r="H13" s="905"/>
      <c r="I13" s="905"/>
      <c r="J13" s="905"/>
      <c r="K13" s="905"/>
      <c r="L13" s="905"/>
      <c r="M13" s="905"/>
      <c r="N13" s="905"/>
      <c r="O13" s="905"/>
      <c r="P13" s="905"/>
      <c r="Q13" s="905"/>
      <c r="R13" s="905"/>
      <c r="S13" s="713"/>
      <c r="T13" s="448"/>
      <c r="U13" s="448"/>
      <c r="V13" s="448"/>
    </row>
    <row r="14" spans="1:22" ht="15" customHeight="1" x14ac:dyDescent="0.3">
      <c r="A14" s="710"/>
      <c r="B14" s="711"/>
      <c r="C14" s="448"/>
      <c r="D14" s="905"/>
      <c r="E14" s="905"/>
      <c r="F14" s="905"/>
      <c r="G14" s="905"/>
      <c r="H14" s="905"/>
      <c r="I14" s="905"/>
      <c r="J14" s="905"/>
      <c r="K14" s="905"/>
      <c r="L14" s="905"/>
      <c r="M14" s="905"/>
      <c r="N14" s="905"/>
      <c r="O14" s="905"/>
      <c r="P14" s="905"/>
      <c r="Q14" s="905"/>
      <c r="R14" s="905"/>
      <c r="S14" s="713"/>
      <c r="T14" s="448"/>
      <c r="U14" s="717" t="str">
        <f>+Industry!E28&amp;", "&amp;ESG!C9</f>
        <v>, Semiconductor &amp; Semiconductor components</v>
      </c>
      <c r="V14" s="711"/>
    </row>
    <row r="15" spans="1:22" ht="15" customHeight="1" x14ac:dyDescent="0.3">
      <c r="A15" s="710"/>
      <c r="B15" s="711"/>
      <c r="C15" s="448"/>
      <c r="D15" s="905"/>
      <c r="E15" s="905"/>
      <c r="F15" s="905"/>
      <c r="G15" s="905"/>
      <c r="H15" s="905"/>
      <c r="I15" s="905"/>
      <c r="J15" s="905"/>
      <c r="K15" s="905"/>
      <c r="L15" s="905"/>
      <c r="M15" s="905"/>
      <c r="N15" s="905"/>
      <c r="O15" s="905"/>
      <c r="P15" s="905"/>
      <c r="Q15" s="905"/>
      <c r="R15" s="905"/>
      <c r="S15" s="713"/>
      <c r="T15" s="448"/>
      <c r="U15" s="717" t="str">
        <f>+ESG!C10</f>
        <v>Information technology</v>
      </c>
      <c r="V15" s="711"/>
    </row>
    <row r="16" spans="1:22" ht="3.75" customHeight="1" x14ac:dyDescent="0.3">
      <c r="A16" s="710"/>
      <c r="B16" s="711"/>
      <c r="C16" s="448"/>
      <c r="D16" s="448"/>
      <c r="E16" s="1"/>
      <c r="F16" s="448"/>
      <c r="G16" s="448"/>
      <c r="H16" s="448"/>
      <c r="I16" s="448"/>
      <c r="J16" s="448"/>
      <c r="K16" s="448"/>
      <c r="L16" s="448"/>
      <c r="M16" s="448"/>
      <c r="N16" s="448"/>
      <c r="O16" s="448"/>
      <c r="P16" s="448"/>
      <c r="Q16" s="448"/>
      <c r="R16" s="448"/>
      <c r="S16" s="712"/>
      <c r="T16" s="448"/>
      <c r="U16" s="718"/>
      <c r="V16" s="448"/>
    </row>
    <row r="17" spans="4:22" ht="14.25" customHeight="1" x14ac:dyDescent="0.35">
      <c r="D17" s="2" t="s">
        <v>6</v>
      </c>
      <c r="E17" s="3"/>
      <c r="F17" s="4">
        <v>2023</v>
      </c>
      <c r="G17" s="9">
        <f>+F17+1</f>
        <v>2024</v>
      </c>
      <c r="H17" s="5">
        <f>+G17+1</f>
        <v>2025</v>
      </c>
      <c r="I17" s="5">
        <f>+H17+1</f>
        <v>2026</v>
      </c>
      <c r="J17" s="448"/>
      <c r="K17" s="7" t="s">
        <v>7</v>
      </c>
      <c r="L17" s="4"/>
      <c r="M17" s="4"/>
      <c r="N17" s="4">
        <v>2022</v>
      </c>
      <c r="O17" s="4">
        <f>+N17+1</f>
        <v>2023</v>
      </c>
      <c r="P17" s="351">
        <f>+O17+1</f>
        <v>2024</v>
      </c>
      <c r="Q17" s="5">
        <f>+P17+1</f>
        <v>2025</v>
      </c>
      <c r="R17" s="5">
        <f>+Q17+1</f>
        <v>2026</v>
      </c>
      <c r="S17" s="630"/>
      <c r="T17" s="448"/>
      <c r="U17" s="719" t="s">
        <v>8</v>
      </c>
      <c r="V17" s="448"/>
    </row>
    <row r="18" spans="4:22" ht="15.5" x14ac:dyDescent="0.35">
      <c r="D18" s="10"/>
      <c r="E18" s="11"/>
      <c r="F18" s="12"/>
      <c r="G18" s="13"/>
      <c r="H18" s="14"/>
      <c r="I18" s="14"/>
      <c r="J18" s="448"/>
      <c r="K18" s="15" t="s">
        <v>9</v>
      </c>
      <c r="L18"/>
      <c r="M18"/>
      <c r="N18" s="376">
        <f ca="1">IFERROR(_xlfn.XLOOKUP($K18,Multiples!$B:$B,Multiples!N:N),"")</f>
        <v>7.5092738471782914</v>
      </c>
      <c r="O18" s="376">
        <f ca="1">IFERROR(_xlfn.XLOOKUP($K18,Multiples!$B:$B,Multiples!O:O),"")</f>
        <v>8.5902671163300948</v>
      </c>
      <c r="P18" s="352">
        <f ca="1">IFERROR(_xlfn.XLOOKUP($K18,Multiples!$B:$B,Multiples!P:P),"")</f>
        <v>11.736374745417514</v>
      </c>
      <c r="Q18" s="359">
        <f ca="1">IFERROR(_xlfn.XLOOKUP($K18,Multiples!$B:$B,Multiples!Q:Q),"")</f>
        <v>6.2024186888291251</v>
      </c>
      <c r="R18" s="359">
        <f ca="1">IFERROR(_xlfn.XLOOKUP($K18,Multiples!$B:$B,Multiples!R:R),"")</f>
        <v>5.6253760172518774</v>
      </c>
      <c r="S18" s="631"/>
      <c r="T18" s="448"/>
      <c r="U18" s="767" t="s">
        <v>10</v>
      </c>
      <c r="V18" s="448"/>
    </row>
    <row r="19" spans="4:22" ht="15.5" x14ac:dyDescent="0.35">
      <c r="D19" s="10"/>
      <c r="E19" s="11"/>
      <c r="F19" s="12"/>
      <c r="G19" s="13"/>
      <c r="H19" s="14"/>
      <c r="I19" s="14"/>
      <c r="J19" s="448"/>
      <c r="K19" s="18" t="s">
        <v>11</v>
      </c>
      <c r="L19"/>
      <c r="M19"/>
      <c r="N19" s="376">
        <f ca="1">IFERROR(_xlfn.XLOOKUP($K19,Multiples!$B:$B,Multiples!N:N),"")</f>
        <v>7.0866002996504074</v>
      </c>
      <c r="O19" s="376">
        <f ca="1">IFERROR(_xlfn.XLOOKUP($K19,Multiples!$B:$B,Multiples!O:O),"")</f>
        <v>8.1034360245418711</v>
      </c>
      <c r="P19" s="352">
        <f ca="1">IFERROR(_xlfn.XLOOKUP($K19,Multiples!$B:$B,Multiples!P:P),"")</f>
        <v>11.182816955193482</v>
      </c>
      <c r="Q19" s="359" t="str">
        <f ca="1">IFERROR(_xlfn.XLOOKUP($K19,Multiples!$B:$B,Multiples!Q:Q),"")</f>
        <v/>
      </c>
      <c r="R19" s="359" t="str">
        <f ca="1">IFERROR(_xlfn.XLOOKUP($K19,Multiples!$B:$B,Multiples!R:R),"")</f>
        <v/>
      </c>
      <c r="S19" s="631"/>
      <c r="T19" s="448"/>
      <c r="U19" s="617" t="s">
        <v>12</v>
      </c>
      <c r="V19" s="448"/>
    </row>
    <row r="20" spans="4:22" ht="14.25" customHeight="1" x14ac:dyDescent="0.35">
      <c r="D20" s="10"/>
      <c r="E20" s="11"/>
      <c r="F20" s="19"/>
      <c r="G20" s="20"/>
      <c r="H20" s="21"/>
      <c r="I20" s="21"/>
      <c r="J20" s="448"/>
      <c r="K20" s="22" t="s">
        <v>13</v>
      </c>
      <c r="L20"/>
      <c r="M20"/>
      <c r="N20" s="376">
        <f ca="1">IFERROR(_xlfn.XLOOKUP($K20,Multiples!$B:$B,Multiples!N:N),"")</f>
        <v>19.759169477419071</v>
      </c>
      <c r="O20" s="376">
        <f ca="1">IFERROR(_xlfn.XLOOKUP($K20,Multiples!$B:$B,Multiples!O:O),"")</f>
        <v>21.383568394222596</v>
      </c>
      <c r="P20" s="352">
        <f ca="1">IFERROR(_xlfn.XLOOKUP($K20,Multiples!$B:$B,Multiples!P:P),"")</f>
        <v>39.166395978618702</v>
      </c>
      <c r="Q20" s="359">
        <f ca="1">IFERROR(_xlfn.XLOOKUP($K20,Multiples!$B:$B,Multiples!Q:Q),"")</f>
        <v>17.892589615040755</v>
      </c>
      <c r="R20" s="359">
        <f ca="1">IFERROR(_xlfn.XLOOKUP($K20,Multiples!$B:$B,Multiples!R:R),"")</f>
        <v>15.997208834415128</v>
      </c>
      <c r="S20" s="631"/>
      <c r="T20" s="448"/>
      <c r="U20" s="23" t="s">
        <v>14</v>
      </c>
      <c r="V20" s="448"/>
    </row>
    <row r="21" spans="4:22" ht="15.5" x14ac:dyDescent="0.35">
      <c r="D21" s="10"/>
      <c r="E21" s="11"/>
      <c r="F21" s="569"/>
      <c r="G21" s="568"/>
      <c r="H21" s="567"/>
      <c r="I21" s="567"/>
      <c r="J21" s="448"/>
      <c r="K21" s="22" t="s">
        <v>15</v>
      </c>
      <c r="L21"/>
      <c r="M21"/>
      <c r="N21" s="376">
        <f ca="1">IFERROR(_xlfn.XLOOKUP($K21,Multiples!$B:$B,Multiples!N:N),"")</f>
        <v>39.772700260106681</v>
      </c>
      <c r="O21" s="376">
        <f ca="1">IFERROR(_xlfn.XLOOKUP($K21,Multiples!$B:$B,Multiples!O:O),"")</f>
        <v>39.885119420442955</v>
      </c>
      <c r="P21" s="352">
        <f ca="1">IFERROR(_xlfn.XLOOKUP($K21,Multiples!$B:$B,Multiples!P:P),"")</f>
        <v>153.54031640299732</v>
      </c>
      <c r="Q21" s="359">
        <f ca="1">IFERROR(_xlfn.XLOOKUP($K21,Multiples!$B:$B,Multiples!Q:Q),"")</f>
        <v>40.042323987424709</v>
      </c>
      <c r="R21" s="359">
        <f ca="1">IFERROR(_xlfn.XLOOKUP($K21,Multiples!$B:$B,Multiples!R:R),"")</f>
        <v>31.014882182428494</v>
      </c>
      <c r="S21" s="631"/>
      <c r="T21" s="448"/>
      <c r="U21" s="767" t="s">
        <v>10</v>
      </c>
      <c r="V21" s="448"/>
    </row>
    <row r="22" spans="4:22" ht="15.5" x14ac:dyDescent="0.35">
      <c r="D22" s="10"/>
      <c r="E22" s="11"/>
      <c r="F22" s="12"/>
      <c r="G22" s="13"/>
      <c r="H22" s="14"/>
      <c r="I22" s="14"/>
      <c r="J22" s="448"/>
      <c r="K22" s="18" t="s">
        <v>16</v>
      </c>
      <c r="L22"/>
      <c r="M22"/>
      <c r="N22" s="376">
        <f ca="1">IFERROR(_xlfn.XLOOKUP($K22,Multiples!$B:$B,Multiples!N:N),"")</f>
        <v>42.893050531512912</v>
      </c>
      <c r="O22" s="376">
        <f ca="1">IFERROR(_xlfn.XLOOKUP($K22,Multiples!$B:$B,Multiples!O:O),"")</f>
        <v>41.43129134119993</v>
      </c>
      <c r="P22" s="352">
        <f ca="1">IFERROR(_xlfn.XLOOKUP($K22,Multiples!$B:$B,Multiples!P:P),"")</f>
        <v>163.6235480366287</v>
      </c>
      <c r="Q22" s="359" t="str">
        <f ca="1">IFERROR(_xlfn.XLOOKUP($K22,Multiples!$B:$B,Multiples!Q:Q),"")</f>
        <v/>
      </c>
      <c r="R22" s="359" t="str">
        <f ca="1">IFERROR(_xlfn.XLOOKUP($K22,Multiples!$B:$B,Multiples!R:R),"")</f>
        <v/>
      </c>
      <c r="S22" s="631"/>
      <c r="T22" s="448"/>
      <c r="U22" s="617" t="s">
        <v>12</v>
      </c>
      <c r="V22" s="448"/>
    </row>
    <row r="23" spans="4:22" ht="14.25" customHeight="1" x14ac:dyDescent="0.35">
      <c r="D23" s="10"/>
      <c r="E23" s="11"/>
      <c r="F23" s="12"/>
      <c r="G23" s="13"/>
      <c r="H23" s="14"/>
      <c r="I23" s="14"/>
      <c r="J23" s="448"/>
      <c r="K23" s="22" t="s">
        <v>17</v>
      </c>
      <c r="L23"/>
      <c r="M23"/>
      <c r="N23" s="376">
        <f ca="1">IFERROR(_xlfn.XLOOKUP($K23,Multiples!$B:$B,Multiples!N:N),"")</f>
        <v>2.3347789816620184</v>
      </c>
      <c r="O23" s="376">
        <f ca="1">IFERROR(_xlfn.XLOOKUP($K23,Multiples!$B:$B,Multiples!O:O),"")</f>
        <v>2.8037832594312966</v>
      </c>
      <c r="P23" s="352">
        <f ca="1">IFERROR(_xlfn.XLOOKUP($K23,Multiples!$B:$B,Multiples!P:P),"")</f>
        <v>2.9969795572587228</v>
      </c>
      <c r="Q23" s="359" t="str">
        <f ca="1">IFERROR(_xlfn.XLOOKUP($K23,Multiples!$B:$B,Multiples!Q:Q),"")</f>
        <v/>
      </c>
      <c r="R23" s="359" t="str">
        <f ca="1">IFERROR(_xlfn.XLOOKUP($K23,Multiples!$B:$B,Multiples!R:R),"")</f>
        <v/>
      </c>
      <c r="S23" s="631"/>
      <c r="T23" s="448"/>
      <c r="U23" s="23" t="s">
        <v>18</v>
      </c>
      <c r="V23" s="448"/>
    </row>
    <row r="24" spans="4:22" ht="15.5" x14ac:dyDescent="0.35">
      <c r="D24"/>
      <c r="E24"/>
      <c r="F24"/>
      <c r="G24"/>
      <c r="H24"/>
      <c r="I24"/>
      <c r="J24"/>
      <c r="K24" s="22"/>
      <c r="L24"/>
      <c r="M24"/>
      <c r="N24"/>
      <c r="O24"/>
      <c r="P24"/>
      <c r="Q24"/>
      <c r="R24"/>
      <c r="S24" s="632"/>
      <c r="T24" s="448"/>
      <c r="U24" s="767" t="s">
        <v>10</v>
      </c>
      <c r="V24" s="448"/>
    </row>
    <row r="25" spans="4:22" ht="14.25" customHeight="1" x14ac:dyDescent="0.35">
      <c r="D25" s="28" t="s">
        <v>19</v>
      </c>
      <c r="E25" s="579" t="s">
        <v>20</v>
      </c>
      <c r="F25" s="580" t="s">
        <v>21</v>
      </c>
      <c r="G25" s="580" t="s">
        <v>22</v>
      </c>
      <c r="H25" s="580" t="str">
        <f>+IF(Summary!$G$25="FCFF",DCF!AB6,IF(Summary!$G$25="FCFE",DCF!AC6,DCF!AD6))</f>
        <v>NOPAT</v>
      </c>
      <c r="I25" s="581" t="s">
        <v>23</v>
      </c>
      <c r="J25" s="448"/>
      <c r="K25" s="7" t="s">
        <v>24</v>
      </c>
      <c r="L25" s="4"/>
      <c r="M25" s="4"/>
      <c r="N25" s="4">
        <v>2022</v>
      </c>
      <c r="O25" s="4">
        <f>+N25+1</f>
        <v>2023</v>
      </c>
      <c r="P25" s="351">
        <f>+O25+1</f>
        <v>2024</v>
      </c>
      <c r="Q25" s="5">
        <f>+P25+1</f>
        <v>2025</v>
      </c>
      <c r="R25" s="5">
        <f>+Q25+1</f>
        <v>2026</v>
      </c>
      <c r="S25" s="630"/>
      <c r="T25" s="448"/>
      <c r="U25" s="617" t="s">
        <v>12</v>
      </c>
      <c r="V25" s="448"/>
    </row>
    <row r="26" spans="4:22" ht="15.5" x14ac:dyDescent="0.35">
      <c r="D26" s="29">
        <v>2022</v>
      </c>
      <c r="E26" s="582">
        <f>+DCF!E30</f>
        <v>12014</v>
      </c>
      <c r="F26" s="583">
        <f>+DCF!E60</f>
        <v>0.1888047278175462</v>
      </c>
      <c r="G26" s="584">
        <f>+INDEX(DCF!X7:AA7,MATCH(Summary!$G$25,{"FCFF","FCFE","Tax Shield","Total Payout"},0))</f>
        <v>3743.8181405507257</v>
      </c>
      <c r="H26" s="584">
        <f>+IF(Summary!$G$25="FCFF",DCF!AB7,IF(Summary!$G$25="FCFE",DCF!AC7,DCF!AD7))</f>
        <v>1928.1181405507259</v>
      </c>
      <c r="I26" s="585">
        <f>+DCF!E134</f>
        <v>-699</v>
      </c>
      <c r="J26" s="448"/>
      <c r="K26" s="22" t="s">
        <v>25</v>
      </c>
      <c r="L26"/>
      <c r="M26"/>
      <c r="N26" s="376">
        <f>IFERROR(_xlfn.XLOOKUP($K26,Multiples!$B:$B,Multiples!N:N),"")</f>
        <v>3.9459349852094538E-2</v>
      </c>
      <c r="O26" s="376">
        <f>IFERROR(_xlfn.XLOOKUP($K26,Multiples!$B:$B,Multiples!O:O),"")</f>
        <v>4.9325231327301239E-2</v>
      </c>
      <c r="P26" s="352">
        <f>IFERROR(_xlfn.XLOOKUP($K26,Multiples!$B:$B,Multiples!P:P),"")</f>
        <v>1.3359376133929681E-2</v>
      </c>
      <c r="Q26" s="359">
        <f>IFERROR(_xlfn.XLOOKUP($K26,Multiples!$B:$B,Multiples!Q:Q),"")</f>
        <v>2.6078651753356344E-2</v>
      </c>
      <c r="R26" s="359">
        <f>IFERROR(_xlfn.XLOOKUP($K26,Multiples!$B:$B,Multiples!R:R),"")</f>
        <v>3.4349512380577547E-2</v>
      </c>
      <c r="S26" s="631"/>
      <c r="T26" s="448"/>
      <c r="U26" s="23" t="s">
        <v>26</v>
      </c>
      <c r="V26" s="448"/>
    </row>
    <row r="27" spans="4:22" ht="14.25" customHeight="1" x14ac:dyDescent="0.35">
      <c r="D27" s="29">
        <f t="shared" ref="D27:D33" si="0">+D26+1</f>
        <v>2023</v>
      </c>
      <c r="E27" s="586">
        <f>+DCF!F30</f>
        <v>12305.5</v>
      </c>
      <c r="F27" s="587">
        <f>+DCF!F60</f>
        <v>0.21537523871439607</v>
      </c>
      <c r="G27" s="588">
        <f>+INDEX(DCF!X8:AA8,MATCH(Summary!$G$25,{"FCFF","FCFE","Tax Shield","Total Payout"},0))</f>
        <v>3404.7220650322206</v>
      </c>
      <c r="H27" s="589">
        <f>+IF(Summary!$G$25="FCFF",DCF!AB8,IF(Summary!$G$25="FCFE",DCF!AC8,DCF!AD8))</f>
        <v>2362.3220650322205</v>
      </c>
      <c r="I27" s="585">
        <f>+DCF!F134</f>
        <v>-1261</v>
      </c>
      <c r="J27" s="448"/>
      <c r="K27" s="22" t="s">
        <v>27</v>
      </c>
      <c r="L27"/>
      <c r="M27"/>
      <c r="N27" s="376">
        <f>IFERROR(_xlfn.XLOOKUP($K27,Multiples!$B:$B,Multiples!N:N),"")</f>
        <v>5.443257014202544E-2</v>
      </c>
      <c r="O27" s="376">
        <f>IFERROR(_xlfn.XLOOKUP($K27,Multiples!$B:$B,Multiples!O:O),"")</f>
        <v>6.7673084006512008E-2</v>
      </c>
      <c r="P27" s="352">
        <f>IFERROR(_xlfn.XLOOKUP($K27,Multiples!$B:$B,Multiples!P:P),"")</f>
        <v>1.8316309560698563E-2</v>
      </c>
      <c r="Q27" s="359" t="str">
        <f>IFERROR(_xlfn.XLOOKUP($K27,Multiples!$B:$B,Multiples!Q:Q),"")</f>
        <v/>
      </c>
      <c r="R27" s="359" t="str">
        <f>IFERROR(_xlfn.XLOOKUP($K27,Multiples!$B:$B,Multiples!R:R),"")</f>
        <v/>
      </c>
      <c r="S27" s="631"/>
      <c r="T27" s="448"/>
      <c r="U27" s="767" t="s">
        <v>10</v>
      </c>
      <c r="V27" s="448"/>
    </row>
    <row r="28" spans="4:22" ht="15.5" x14ac:dyDescent="0.35">
      <c r="D28" s="400">
        <f t="shared" si="0"/>
        <v>2024</v>
      </c>
      <c r="E28" s="590">
        <f>+DCF!G30</f>
        <v>9427.2000000000007</v>
      </c>
      <c r="F28" s="591">
        <f>+DCF!G60</f>
        <v>7.6438391038696624E-2</v>
      </c>
      <c r="G28" s="592">
        <f>+INDEX(DCF!X9:AA9,MATCH(Summary!$G$25,{"FCFF","FCFE","Tax Shield","Total Payout"},0))</f>
        <v>2284.489852492371</v>
      </c>
      <c r="H28" s="593">
        <f>+IF(Summary!$G$25="FCFF",DCF!AB9,IF(Summary!$G$25="FCFE",DCF!AC9,DCF!AD9))</f>
        <v>590.38985249237112</v>
      </c>
      <c r="I28" s="619">
        <f>+DCF!G134</f>
        <v>-730</v>
      </c>
      <c r="J28" s="448"/>
      <c r="K28" s="120" t="s">
        <v>28</v>
      </c>
      <c r="L28"/>
      <c r="M28"/>
      <c r="N28" s="376">
        <f>IFERROR(_xlfn.XLOOKUP($K28,Multiples!$B:$B,Multiples!N:N),"")</f>
        <v>4.4825466664281215E-2</v>
      </c>
      <c r="O28" s="376">
        <f>IFERROR(_xlfn.XLOOKUP($K28,Multiples!$B:$B,Multiples!O:O),"")</f>
        <v>5.5565875279196229E-2</v>
      </c>
      <c r="P28" s="352">
        <f>IFERROR(_xlfn.XLOOKUP($K28,Multiples!$B:$B,Multiples!P:P),"")</f>
        <v>1.3807737341926783E-2</v>
      </c>
      <c r="Q28" s="359" t="str">
        <f ca="1">IFERROR(_xlfn.XLOOKUP($K28,Multiples!$B:$B,Multiples!Q:Q),"")</f>
        <v/>
      </c>
      <c r="R28" s="359" t="str">
        <f ca="1">IFERROR(_xlfn.XLOOKUP($K28,Multiples!$B:$B,Multiples!R:R),"")</f>
        <v/>
      </c>
      <c r="S28" s="631"/>
      <c r="T28" s="448"/>
      <c r="U28" s="768" t="s">
        <v>12</v>
      </c>
      <c r="V28" s="720"/>
    </row>
    <row r="29" spans="4:22" ht="15.5" x14ac:dyDescent="0.35">
      <c r="D29" s="30">
        <f t="shared" si="0"/>
        <v>2025</v>
      </c>
      <c r="E29" s="594">
        <f>+DCF!H30</f>
        <v>10336</v>
      </c>
      <c r="F29" s="595">
        <f>+DCF!H60</f>
        <v>0.15489657120743028</v>
      </c>
      <c r="G29" s="596">
        <f ca="1">+INDEX(DCF!X10:AA10,MATCH(Summary!$G$25,{"FCFF","FCFE","Tax Shield","Total Payout"},0))</f>
        <v>3929.6086255742139</v>
      </c>
      <c r="H29" s="594">
        <f ca="1">+IF(Summary!$G$25="FCFF",DCF!AB10,IF(Summary!$G$25="FCFE",DCF!AC10,DCF!AD10))</f>
        <v>1366.5524748135394</v>
      </c>
      <c r="I29" s="751">
        <f>+DCF!H134</f>
        <v>0</v>
      </c>
      <c r="J29" s="448"/>
      <c r="K29" s="31" t="s">
        <v>29</v>
      </c>
      <c r="L29"/>
      <c r="M29"/>
      <c r="N29" s="376">
        <f>IFERROR(_xlfn.XLOOKUP($K29,Multiples!$B:$B,Multiples!N:N),"")</f>
        <v>0.38003995338771435</v>
      </c>
      <c r="O29" s="376">
        <f>IFERROR(_xlfn.XLOOKUP($K29,Multiples!$B:$B,Multiples!O:O),"")</f>
        <v>0.40172280687497464</v>
      </c>
      <c r="P29" s="352">
        <f>IFERROR(_xlfn.XLOOKUP($K29,Multiples!$B:$B,Multiples!P:P),"")</f>
        <v>0.29965419212491523</v>
      </c>
      <c r="Q29" s="359">
        <f>IFERROR(_xlfn.XLOOKUP($K29,Multiples!$B:$B,Multiples!Q:Q),"")</f>
        <v>0.3466473452012383</v>
      </c>
      <c r="R29" s="359">
        <f>IFERROR(_xlfn.XLOOKUP($K29,Multiples!$B:$B,Multiples!R:R),"")</f>
        <v>0.35164734520123841</v>
      </c>
      <c r="S29" s="631"/>
      <c r="T29" s="448"/>
      <c r="U29" s="448"/>
      <c r="V29" s="448"/>
    </row>
    <row r="30" spans="4:22" ht="15.5" x14ac:dyDescent="0.35">
      <c r="D30" s="30">
        <f t="shared" si="0"/>
        <v>2026</v>
      </c>
      <c r="E30" s="594">
        <f>+DCF!I30</f>
        <v>11641.436800000001</v>
      </c>
      <c r="F30" s="595">
        <f>+DCF!I60</f>
        <v>0.18137666892182938</v>
      </c>
      <c r="G30" s="596">
        <f ca="1">+INDEX(DCF!X11:AA11,MATCH(Summary!$G$25,{"FCFF","FCFE","Tax Shield","Total Payout"},0))</f>
        <v>3827.6096567595682</v>
      </c>
      <c r="H30" s="594">
        <f ca="1">+IF(Summary!$G$25="FCFF",DCF!AB11,IF(Summary!$G$25="FCFE",DCF!AC11,DCF!AD11))</f>
        <v>1804.7549102135683</v>
      </c>
      <c r="I30" s="751">
        <f>+DCF!I134</f>
        <v>0</v>
      </c>
      <c r="J30" s="448"/>
      <c r="K30" s="18" t="s">
        <v>21</v>
      </c>
      <c r="L30"/>
      <c r="M30"/>
      <c r="N30" s="376">
        <f>IFERROR(_xlfn.XLOOKUP($K30,Multiples!$B:$B,Multiples!N:N),"")</f>
        <v>0.1888047278175462</v>
      </c>
      <c r="O30" s="376">
        <f>IFERROR(_xlfn.XLOOKUP($K30,Multiples!$B:$B,Multiples!O:O),"")</f>
        <v>0.21537523871439607</v>
      </c>
      <c r="P30" s="352">
        <f>IFERROR(_xlfn.XLOOKUP($K30,Multiples!$B:$B,Multiples!P:P),"")</f>
        <v>7.6438391038696624E-2</v>
      </c>
      <c r="Q30" s="359">
        <f>IFERROR(_xlfn.XLOOKUP($K30,Multiples!$B:$B,Multiples!Q:Q),"")</f>
        <v>0.15489657120743028</v>
      </c>
      <c r="R30" s="359">
        <f>IFERROR(_xlfn.XLOOKUP($K30,Multiples!$B:$B,Multiples!R:R),"")</f>
        <v>0.18137666892182938</v>
      </c>
      <c r="S30" s="631"/>
      <c r="T30" s="448"/>
      <c r="U30" s="743" t="s">
        <v>30</v>
      </c>
      <c r="V30" s="711"/>
    </row>
    <row r="31" spans="4:22" ht="14.25" customHeight="1" x14ac:dyDescent="0.35">
      <c r="D31" s="30">
        <f t="shared" si="0"/>
        <v>2027</v>
      </c>
      <c r="E31" s="594">
        <f>+DCF!J30</f>
        <v>12772.984456960001</v>
      </c>
      <c r="F31" s="595">
        <f>+DCF!J60</f>
        <v>0.19836328023541105</v>
      </c>
      <c r="G31" s="596">
        <f ca="1">+INDEX(DCF!X12:AA12,MATCH(Summary!$G$25,{"FCFF","FCFE","Tax Shield","Total Payout"},0))</f>
        <v>4273.3142223758014</v>
      </c>
      <c r="H31" s="594">
        <f ca="1">+IF(Summary!$G$25="FCFF",DCF!AB12,IF(Summary!$G$25="FCFE",DCF!AC12,DCF!AD12))</f>
        <v>2134.7109496600547</v>
      </c>
      <c r="I31" s="751">
        <f>+DCF!J134</f>
        <v>0</v>
      </c>
      <c r="J31" s="448"/>
      <c r="K31" s="18" t="s">
        <v>31</v>
      </c>
      <c r="L31"/>
      <c r="M31"/>
      <c r="N31" s="376">
        <f>IFERROR(_xlfn.XLOOKUP($K31,Multiples!$B:$B,Multiples!N:N),"")</f>
        <v>0.62697686032961542</v>
      </c>
      <c r="O31" s="376">
        <f>IFERROR(_xlfn.XLOOKUP($K31,Multiples!$B:$B,Multiples!O:O),"")</f>
        <v>0.64013652431839418</v>
      </c>
      <c r="P31" s="352">
        <f>IFERROR(_xlfn.XLOOKUP($K31,Multiples!$B:$B,Multiples!P:P),"")</f>
        <v>0.57083757637474541</v>
      </c>
      <c r="Q31" s="359">
        <f>IFERROR(_xlfn.XLOOKUP($K31,Multiples!$B:$B,Multiples!Q:Q),"")</f>
        <v>0.62</v>
      </c>
      <c r="R31" s="359">
        <f>IFERROR(_xlfn.XLOOKUP($K31,Multiples!$B:$B,Multiples!R:R),"")</f>
        <v>0.625</v>
      </c>
      <c r="S31" s="631"/>
      <c r="T31" s="448"/>
      <c r="U31" s="25" t="s">
        <v>32</v>
      </c>
      <c r="V31" s="34">
        <f ca="1">Peers!D74</f>
        <v>1.0961000000000001</v>
      </c>
    </row>
    <row r="32" spans="4:22" ht="14.25" customHeight="1" x14ac:dyDescent="0.35">
      <c r="D32" s="30">
        <f t="shared" si="0"/>
        <v>2028</v>
      </c>
      <c r="E32" s="594">
        <f>+DCF!K30</f>
        <v>13232.811897410562</v>
      </c>
      <c r="F32" s="595">
        <f>+DCF!K60</f>
        <v>0.21058883266874454</v>
      </c>
      <c r="G32" s="596">
        <f ca="1">+INDEX(DCF!X13:AA13,MATCH(Summary!$G$25,{"FCFF","FCFE","Tax Shield","Total Payout"},0))</f>
        <v>4670.9362433876649</v>
      </c>
      <c r="H32" s="594">
        <f ca="1">+IF(Summary!$G$25="FCFF",DCF!AB13,IF(Summary!$G$25="FCFE",DCF!AC13,DCF!AD13))</f>
        <v>2369.440412444812</v>
      </c>
      <c r="I32" s="751">
        <f>+DCF!K134</f>
        <v>0</v>
      </c>
      <c r="J32" s="448"/>
      <c r="K32" s="18" t="s">
        <v>33</v>
      </c>
      <c r="L32"/>
      <c r="M32"/>
      <c r="N32" s="376">
        <f>IFERROR(_xlfn.XLOOKUP($K32,Multiples!$B:$B,Multiples!N:N),"")</f>
        <v>0.10539370734143499</v>
      </c>
      <c r="O32" s="376">
        <f>IFERROR(_xlfn.XLOOKUP($K32,Multiples!$B:$B,Multiples!O:O),"")</f>
        <v>0.10349843565885172</v>
      </c>
      <c r="P32" s="352">
        <f>IFERROR(_xlfn.XLOOKUP($K32,Multiples!$B:$B,Multiples!P:P),"")</f>
        <v>0.1133528513238289</v>
      </c>
      <c r="Q32" s="359">
        <f>IFERROR(_xlfn.XLOOKUP($K32,Multiples!$B:$B,Multiples!Q:Q),"")</f>
        <v>0.10741499810803855</v>
      </c>
      <c r="R32" s="359">
        <f>IFERROR(_xlfn.XLOOKUP($K32,Multiples!$B:$B,Multiples!R:R),"")</f>
        <v>0.1080887616969064</v>
      </c>
      <c r="S32" s="631"/>
      <c r="T32" s="448"/>
      <c r="U32" s="35" t="s">
        <v>34</v>
      </c>
      <c r="V32" s="32">
        <f>+Peers!D73</f>
        <v>0</v>
      </c>
    </row>
    <row r="33" spans="4:30" ht="14.25" customHeight="1" x14ac:dyDescent="0.35">
      <c r="D33" s="30">
        <f t="shared" si="0"/>
        <v>2029</v>
      </c>
      <c r="E33" s="594">
        <f>+DCF!L30</f>
        <v>13709.193125717342</v>
      </c>
      <c r="F33" s="595">
        <f>+DCF!L60</f>
        <v>0.24093973533936844</v>
      </c>
      <c r="G33" s="596">
        <f ca="1">+INDEX(DCF!X14:AA14,MATCH(Summary!$G$25,{"FCFF","FCFE","Tax Shield","Total Payout"},0))</f>
        <v>4757.8869393150217</v>
      </c>
      <c r="H33" s="594">
        <f ca="1">+IF(Summary!$G$25="FCFF",DCF!AB14,IF(Summary!$G$25="FCFE",DCF!AC14,DCF!AD14))</f>
        <v>2804.9124131199255</v>
      </c>
      <c r="I33" s="751">
        <f>+DCF!L134</f>
        <v>0</v>
      </c>
      <c r="J33" s="448"/>
      <c r="K33" s="18" t="s">
        <v>35</v>
      </c>
      <c r="L33"/>
      <c r="M33"/>
      <c r="N33" s="376">
        <f>IFERROR(_xlfn.XLOOKUP($K33,Multiples!$B:$B,Multiples!N:N),"")</f>
        <v>0.16521558182120863</v>
      </c>
      <c r="O33" s="376">
        <f>IFERROR(_xlfn.XLOOKUP($K33,Multiples!$B:$B,Multiples!O:O),"")</f>
        <v>0.19558733899475847</v>
      </c>
      <c r="P33" s="352">
        <f>IFERROR(_xlfn.XLOOKUP($K33,Multiples!$B:$B,Multiples!P:P),"")</f>
        <v>6.8344789545146029E-2</v>
      </c>
      <c r="Q33" s="359">
        <f>IFERROR(_xlfn.XLOOKUP($K33,Multiples!$B:$B,Multiples!Q:Q),"")</f>
        <v>0.13255963790693162</v>
      </c>
      <c r="R33" s="359">
        <f>IFERROR(_xlfn.XLOOKUP($K33,Multiples!$B:$B,Multiples!R:R),"")</f>
        <v>0.15502176110720958</v>
      </c>
      <c r="S33" s="631"/>
      <c r="T33" s="448"/>
      <c r="U33" s="25" t="s">
        <v>36</v>
      </c>
      <c r="V33" s="32">
        <f>+Peers!D76</f>
        <v>0</v>
      </c>
      <c r="W33" s="448"/>
      <c r="X33" s="448"/>
      <c r="Y33" s="448"/>
      <c r="Z33" s="448"/>
      <c r="AA33" s="448"/>
      <c r="AB33" s="448"/>
      <c r="AC33" s="448"/>
      <c r="AD33" s="448"/>
    </row>
    <row r="34" spans="4:30" ht="14.25" customHeight="1" x14ac:dyDescent="0.3">
      <c r="D34" s="448"/>
      <c r="E34" s="448"/>
      <c r="F34" s="448"/>
      <c r="G34" s="448"/>
      <c r="H34" s="448"/>
      <c r="I34" s="448"/>
      <c r="J34" s="448"/>
      <c r="K34" s="448"/>
      <c r="L34" s="448"/>
      <c r="M34" s="448"/>
      <c r="N34" s="448"/>
      <c r="O34" s="448"/>
      <c r="P34" s="448"/>
      <c r="Q34" s="448"/>
      <c r="R34" s="448"/>
      <c r="S34" s="712"/>
      <c r="T34" s="448"/>
      <c r="U34" s="25" t="s">
        <v>37</v>
      </c>
      <c r="V34" s="32">
        <f>+Peers!D77</f>
        <v>0</v>
      </c>
      <c r="W34" s="448"/>
      <c r="X34" s="448"/>
      <c r="Y34" s="448"/>
      <c r="Z34" s="448"/>
      <c r="AA34" s="448"/>
      <c r="AB34" s="448"/>
      <c r="AC34" s="448"/>
      <c r="AD34" s="448"/>
    </row>
    <row r="35" spans="4:30" ht="14.25" customHeight="1" x14ac:dyDescent="0.35">
      <c r="D35" s="7" t="s">
        <v>38</v>
      </c>
      <c r="E35" s="4"/>
      <c r="F35" s="4"/>
      <c r="G35" s="4"/>
      <c r="H35" s="4"/>
      <c r="I35" s="4"/>
      <c r="J35" s="448"/>
      <c r="K35" s="7" t="s">
        <v>39</v>
      </c>
      <c r="L35" s="4"/>
      <c r="M35" s="4"/>
      <c r="N35" s="4">
        <v>2022</v>
      </c>
      <c r="O35" s="4">
        <f>+N35+1</f>
        <v>2023</v>
      </c>
      <c r="P35" s="351">
        <f>+O35+1</f>
        <v>2024</v>
      </c>
      <c r="Q35" s="5">
        <f>+P35+1</f>
        <v>2025</v>
      </c>
      <c r="R35" s="5">
        <f>+Q35+1</f>
        <v>2026</v>
      </c>
      <c r="S35" s="630"/>
      <c r="T35" s="448"/>
      <c r="U35" s="36" t="s">
        <v>40</v>
      </c>
      <c r="V35" s="602">
        <f>+Peers!D78</f>
        <v>0</v>
      </c>
      <c r="W35" s="448"/>
      <c r="X35" s="448"/>
      <c r="Y35" s="448"/>
      <c r="Z35" s="448"/>
      <c r="AA35" s="448"/>
      <c r="AB35" s="448"/>
      <c r="AC35" s="448"/>
      <c r="AD35" s="448"/>
    </row>
    <row r="36" spans="4:30" ht="14.25" customHeight="1" x14ac:dyDescent="0.35">
      <c r="D36" s="598" t="s">
        <v>41</v>
      </c>
      <c r="E36" s="598"/>
      <c r="F36" s="599"/>
      <c r="G36" s="598" t="s">
        <v>42</v>
      </c>
      <c r="H36" s="598"/>
      <c r="I36" s="598"/>
      <c r="J36" s="448"/>
      <c r="K36" s="33" t="s">
        <v>43</v>
      </c>
      <c r="L36"/>
      <c r="M36"/>
      <c r="N36" s="376">
        <f>IFERROR(_xlfn.XLOOKUP($K36,Multiples!$B:$B,Multiples!N:N),"")</f>
        <v>0.60203872763745037</v>
      </c>
      <c r="O36" s="376">
        <f>IFERROR(_xlfn.XLOOKUP($K36,Multiples!$B:$B,Multiples!O:O),"")</f>
        <v>0.29931271477663229</v>
      </c>
      <c r="P36" s="352">
        <f>IFERROR(_xlfn.XLOOKUP($K36,Multiples!$B:$B,Multiples!P:P),"")</f>
        <v>0.6663654920858012</v>
      </c>
      <c r="Q36" s="359">
        <f>IFERROR(_xlfn.XLOOKUP($K36,Multiples!$B:$B,Multiples!Q:Q),"")</f>
        <v>2.0464792154175071</v>
      </c>
      <c r="R36" s="359">
        <f>IFERROR(_xlfn.XLOOKUP($K36,Multiples!$B:$B,Multiples!R:R),"")</f>
        <v>3.5662339929441003</v>
      </c>
      <c r="S36" s="631"/>
      <c r="T36" s="448"/>
      <c r="U36" s="448"/>
      <c r="V36" s="448"/>
      <c r="W36" s="603">
        <v>120.87</v>
      </c>
      <c r="X36" s="448"/>
      <c r="Y36" s="448"/>
      <c r="Z36" s="448"/>
      <c r="AA36" s="448"/>
      <c r="AB36" s="448"/>
      <c r="AC36" s="448"/>
      <c r="AD36" s="448"/>
    </row>
    <row r="37" spans="4:30" ht="15.75" customHeight="1" x14ac:dyDescent="0.35">
      <c r="D37" s="899"/>
      <c r="E37" s="899"/>
      <c r="F37" s="900"/>
      <c r="G37" s="903"/>
      <c r="H37" s="899"/>
      <c r="I37" s="899"/>
      <c r="J37" s="448"/>
      <c r="K37" s="18" t="s">
        <v>44</v>
      </c>
      <c r="L37"/>
      <c r="M37"/>
      <c r="N37" s="376">
        <f>IFERROR(_xlfn.XLOOKUP($K37,Multiples!$B:$B,Multiples!N:N),"")</f>
        <v>1.339132926679494</v>
      </c>
      <c r="O37" s="376">
        <f>IFERROR(_xlfn.XLOOKUP($K37,Multiples!$B:$B,Multiples!O:O),"")</f>
        <v>0.75845048422368011</v>
      </c>
      <c r="P37" s="352">
        <f>IFERROR(_xlfn.XLOOKUP($K37,Multiples!$B:$B,Multiples!P:P),"")</f>
        <v>1.2379613827259643</v>
      </c>
      <c r="Q37" s="359">
        <f>IFERROR(_xlfn.XLOOKUP($K37,Multiples!$B:$B,Multiples!Q:Q),"")</f>
        <v>2.5926227104587896</v>
      </c>
      <c r="R37" s="359">
        <f>IFERROR(_xlfn.XLOOKUP($K37,Multiples!$B:$B,Multiples!R:R),"")</f>
        <v>4.1519566472111231</v>
      </c>
      <c r="S37" s="631"/>
      <c r="T37" s="448"/>
      <c r="U37" s="743" t="s">
        <v>45</v>
      </c>
      <c r="V37" s="711"/>
      <c r="W37" s="603">
        <v>113.63</v>
      </c>
      <c r="X37" s="448"/>
      <c r="Y37" s="448"/>
      <c r="Z37" s="448"/>
      <c r="AA37" s="448"/>
      <c r="AB37" s="448"/>
      <c r="AC37" s="448"/>
      <c r="AD37" s="448"/>
    </row>
    <row r="38" spans="4:30" ht="15.75" customHeight="1" x14ac:dyDescent="0.35">
      <c r="D38" s="901"/>
      <c r="E38" s="901"/>
      <c r="F38" s="902"/>
      <c r="G38" s="904"/>
      <c r="H38" s="901"/>
      <c r="I38" s="901"/>
      <c r="J38" s="448"/>
      <c r="K38" s="18" t="s">
        <v>46</v>
      </c>
      <c r="L38"/>
      <c r="M38"/>
      <c r="N38" s="376">
        <f>IFERROR(_xlfn.XLOOKUP($K38,Multiples!$B:$B,Multiples!N:N),"")</f>
        <v>2.0215335489417448</v>
      </c>
      <c r="O38" s="376">
        <f>IFERROR(_xlfn.XLOOKUP($K38,Multiples!$B:$B,Multiples!O:O),"")</f>
        <v>1.3695720087472665</v>
      </c>
      <c r="P38" s="352">
        <f>IFERROR(_xlfn.XLOOKUP($K38,Multiples!$B:$B,Multiples!P:P),"")</f>
        <v>1.8353913596359133</v>
      </c>
      <c r="Q38" s="359">
        <f>IFERROR(_xlfn.XLOOKUP($K38,Multiples!$B:$B,Multiples!Q:Q),"")</f>
        <v>3.1110933095094802</v>
      </c>
      <c r="R38" s="359">
        <f>IFERROR(_xlfn.XLOOKUP($K38,Multiples!$B:$B,Multiples!R:R),"")</f>
        <v>3.1110933095094802</v>
      </c>
      <c r="S38" s="631"/>
      <c r="T38" s="448"/>
      <c r="U38" s="25"/>
      <c r="V38" s="17"/>
      <c r="W38" s="603"/>
      <c r="X38" s="448"/>
      <c r="Y38" s="448"/>
      <c r="Z38" s="448"/>
      <c r="AA38" s="448"/>
      <c r="AB38" s="448"/>
      <c r="AC38" s="448"/>
      <c r="AD38" s="448"/>
    </row>
    <row r="39" spans="4:30" ht="15.75" customHeight="1" x14ac:dyDescent="0.3">
      <c r="D39" s="901"/>
      <c r="E39" s="901"/>
      <c r="F39" s="902"/>
      <c r="G39" s="904"/>
      <c r="H39" s="901"/>
      <c r="I39" s="901"/>
      <c r="J39" s="448"/>
      <c r="K39"/>
      <c r="L39"/>
      <c r="M39"/>
      <c r="N39"/>
      <c r="O39"/>
      <c r="P39"/>
      <c r="Q39"/>
      <c r="R39"/>
      <c r="S39" s="632"/>
      <c r="T39" s="448"/>
      <c r="U39" s="25"/>
      <c r="V39" s="17"/>
      <c r="W39" s="603"/>
      <c r="X39" s="448"/>
      <c r="Y39" s="448"/>
      <c r="Z39" s="448"/>
      <c r="AA39" s="448"/>
      <c r="AB39" s="448"/>
      <c r="AC39" s="448"/>
      <c r="AD39" s="448"/>
    </row>
    <row r="40" spans="4:30" ht="14.25" customHeight="1" x14ac:dyDescent="0.35">
      <c r="D40" s="598" t="s">
        <v>47</v>
      </c>
      <c r="E40" s="598"/>
      <c r="F40" s="599"/>
      <c r="G40" s="598" t="s">
        <v>48</v>
      </c>
      <c r="H40" s="598"/>
      <c r="I40" s="598"/>
      <c r="J40" s="448"/>
      <c r="K40" s="7" t="s">
        <v>49</v>
      </c>
      <c r="L40" s="4"/>
      <c r="M40" s="4"/>
      <c r="N40" s="4">
        <v>2022</v>
      </c>
      <c r="O40" s="4">
        <f>+N40+1</f>
        <v>2023</v>
      </c>
      <c r="P40" s="351">
        <f>+O40+1</f>
        <v>2024</v>
      </c>
      <c r="Q40" s="5">
        <f>+P40+1</f>
        <v>2025</v>
      </c>
      <c r="R40" s="5">
        <f>+Q40+1</f>
        <v>2026</v>
      </c>
      <c r="S40" s="630"/>
      <c r="T40" s="448"/>
      <c r="U40" s="25"/>
      <c r="V40" s="17"/>
      <c r="W40" s="603"/>
      <c r="X40" s="448"/>
      <c r="Y40" s="448"/>
      <c r="Z40" s="448"/>
      <c r="AA40" s="448"/>
      <c r="AB40" s="448"/>
      <c r="AC40" s="448"/>
      <c r="AD40" s="448"/>
    </row>
    <row r="41" spans="4:30" ht="14.25" customHeight="1" x14ac:dyDescent="0.35">
      <c r="D41" s="899"/>
      <c r="E41" s="899"/>
      <c r="F41" s="900"/>
      <c r="G41" s="903"/>
      <c r="H41" s="899"/>
      <c r="I41" s="899"/>
      <c r="J41" s="448"/>
      <c r="K41" s="22" t="s">
        <v>50</v>
      </c>
      <c r="L41"/>
      <c r="M41"/>
      <c r="N41" s="376">
        <f>IFERROR(_xlfn.XLOOKUP($K41,Multiples!$B:$B,Multiples!N:N),"")</f>
        <v>151.02962026934213</v>
      </c>
      <c r="O41" s="376">
        <f>IFERROR(_xlfn.XLOOKUP($K41,Multiples!$B:$B,Multiples!O:O),"")</f>
        <v>164.32778034343923</v>
      </c>
      <c r="P41" s="352">
        <f>IFERROR(_xlfn.XLOOKUP($K41,Multiples!$B:$B,Multiples!P:P),"")</f>
        <v>163.47080151964687</v>
      </c>
      <c r="Q41" s="359">
        <f>IFERROR(_xlfn.XLOOKUP($K41,Multiples!$B:$B,Multiples!Q:Q),"")</f>
        <v>132.66719596664549</v>
      </c>
      <c r="R41" s="359">
        <f>IFERROR(_xlfn.XLOOKUP($K41,Multiples!$B:$B,Multiples!R:R),"")</f>
        <v>136.45634835149349</v>
      </c>
      <c r="S41" s="631"/>
      <c r="T41" s="448"/>
      <c r="U41" s="25"/>
      <c r="V41" s="17"/>
      <c r="W41" s="603"/>
      <c r="X41" s="448"/>
      <c r="Y41" s="448"/>
      <c r="Z41" s="448"/>
      <c r="AA41" s="448"/>
      <c r="AB41" s="448"/>
      <c r="AC41" s="448"/>
      <c r="AD41" s="448"/>
    </row>
    <row r="42" spans="4:30" ht="15.75" customHeight="1" x14ac:dyDescent="0.35">
      <c r="D42" s="901"/>
      <c r="E42" s="901"/>
      <c r="F42" s="902"/>
      <c r="G42" s="904"/>
      <c r="H42" s="901"/>
      <c r="I42" s="901"/>
      <c r="J42" s="448"/>
      <c r="K42" s="18" t="s">
        <v>51</v>
      </c>
      <c r="L42"/>
      <c r="M42"/>
      <c r="N42" s="376">
        <f>IFERROR(_xlfn.XLOOKUP($K42,Multiples!$B:$B,Multiples!N:N),"")</f>
        <v>0.44351342896724327</v>
      </c>
      <c r="O42" s="376">
        <f>IFERROR(_xlfn.XLOOKUP($K42,Multiples!$B:$B,Multiples!O:O),"")</f>
        <v>0.49958485552972437</v>
      </c>
      <c r="P42" s="352">
        <f>IFERROR(_xlfn.XLOOKUP($K42,Multiples!$B:$B,Multiples!P:P),"")</f>
        <v>0.16724205061648301</v>
      </c>
      <c r="Q42" s="359">
        <f>IFERROR(_xlfn.XLOOKUP($K42,Multiples!$B:$B,Multiples!Q:Q),"")</f>
        <v>0.32237276584936536</v>
      </c>
      <c r="R42" s="359">
        <f>IFERROR(_xlfn.XLOOKUP($K42,Multiples!$B:$B,Multiples!R:R),"")</f>
        <v>0.4215320968864017</v>
      </c>
      <c r="S42" s="631"/>
      <c r="T42" s="448"/>
      <c r="U42" s="25"/>
      <c r="V42" s="17"/>
      <c r="W42" s="603"/>
      <c r="X42" s="721"/>
      <c r="Y42" s="448"/>
      <c r="Z42" s="448"/>
      <c r="AA42" s="448"/>
      <c r="AB42" s="448"/>
      <c r="AC42" s="448"/>
      <c r="AD42" s="448"/>
    </row>
    <row r="43" spans="4:30" ht="15.75" customHeight="1" x14ac:dyDescent="0.35">
      <c r="D43" s="901"/>
      <c r="E43" s="901"/>
      <c r="F43" s="902"/>
      <c r="G43" s="904"/>
      <c r="H43" s="901"/>
      <c r="I43" s="901"/>
      <c r="J43" s="448"/>
      <c r="K43" s="33" t="s">
        <v>52</v>
      </c>
      <c r="L43"/>
      <c r="M43"/>
      <c r="N43" s="376">
        <f>IFERROR(_xlfn.XLOOKUP($K43,Multiples!$B:$B,Multiples!N:N),"")</f>
        <v>-0.11337534075166467</v>
      </c>
      <c r="O43" s="376">
        <f>IFERROR(_xlfn.XLOOKUP($K43,Multiples!$B:$B,Multiples!O:O),"")</f>
        <v>-0.10638077050813682</v>
      </c>
      <c r="P43" s="352">
        <f>IFERROR(_xlfn.XLOOKUP($K43,Multiples!$B:$B,Multiples!P:P),"")</f>
        <v>0.26821544451654766</v>
      </c>
      <c r="Q43" s="359">
        <f>IFERROR(_xlfn.XLOOKUP($K43,Multiples!$B:$B,Multiples!Q:Q),"")</f>
        <v>1.1090481778621779</v>
      </c>
      <c r="R43" s="359">
        <f>IFERROR(_xlfn.XLOOKUP($K43,Multiples!$B:$B,Multiples!R:R),"")</f>
        <v>1.1630331608209674</v>
      </c>
      <c r="S43" s="631"/>
      <c r="T43" s="448"/>
      <c r="U43" s="25"/>
      <c r="V43" s="17"/>
      <c r="W43" s="603"/>
      <c r="X43" s="448"/>
      <c r="Y43" s="448"/>
      <c r="Z43" s="448"/>
      <c r="AA43" s="448"/>
      <c r="AB43" s="448"/>
      <c r="AC43" s="448"/>
      <c r="AD43" s="448"/>
    </row>
    <row r="44" spans="4:30" ht="15.75" customHeight="1" x14ac:dyDescent="0.3">
      <c r="D44" s="448"/>
      <c r="E44" s="722"/>
      <c r="F44" s="448"/>
      <c r="G44" s="723"/>
      <c r="H44" s="448"/>
      <c r="I44" s="448"/>
      <c r="J44" s="448"/>
      <c r="K44"/>
      <c r="L44"/>
      <c r="M44"/>
      <c r="N44"/>
      <c r="O44"/>
      <c r="P44"/>
      <c r="Q44"/>
      <c r="R44"/>
      <c r="S44" s="632"/>
      <c r="T44" s="448"/>
      <c r="U44" s="25"/>
      <c r="V44" s="17"/>
      <c r="W44" s="603"/>
      <c r="X44" s="448"/>
      <c r="Y44" s="448"/>
      <c r="Z44" s="448"/>
      <c r="AA44" s="448"/>
      <c r="AB44" s="448"/>
      <c r="AC44" s="448"/>
      <c r="AD44" s="448"/>
    </row>
    <row r="45" spans="4:30" ht="14.25" customHeight="1" x14ac:dyDescent="0.35">
      <c r="D45" s="600" t="s">
        <v>53</v>
      </c>
      <c r="E45" s="4"/>
      <c r="F45" s="4"/>
      <c r="G45" s="4" t="s">
        <v>54</v>
      </c>
      <c r="H45" s="4"/>
      <c r="I45" s="4"/>
      <c r="J45" s="448"/>
      <c r="K45" s="7" t="s">
        <v>55</v>
      </c>
      <c r="L45" s="4"/>
      <c r="M45" s="4"/>
      <c r="N45" s="4">
        <v>2022</v>
      </c>
      <c r="O45" s="4">
        <f>+N45+1</f>
        <v>2023</v>
      </c>
      <c r="P45" s="351">
        <f>+O45+1</f>
        <v>2024</v>
      </c>
      <c r="Q45" s="5">
        <f>+P45+1</f>
        <v>2025</v>
      </c>
      <c r="R45" s="5">
        <f>+Q45+1</f>
        <v>2026</v>
      </c>
      <c r="S45" s="630"/>
      <c r="T45" s="448"/>
      <c r="U45" s="25"/>
      <c r="V45" s="17"/>
      <c r="W45" s="603"/>
      <c r="X45" s="448"/>
      <c r="Y45" s="448"/>
      <c r="Z45" s="448"/>
      <c r="AA45" s="448"/>
      <c r="AB45" s="448"/>
      <c r="AC45" s="448"/>
      <c r="AD45" s="448"/>
    </row>
    <row r="46" spans="4:30" ht="14.25" customHeight="1" x14ac:dyDescent="0.35">
      <c r="D46" s="448"/>
      <c r="E46" s="724"/>
      <c r="F46" s="448"/>
      <c r="G46" s="723"/>
      <c r="H46" s="448"/>
      <c r="I46" s="448"/>
      <c r="J46" s="448"/>
      <c r="K46" s="18" t="s">
        <v>56</v>
      </c>
      <c r="L46"/>
      <c r="M46"/>
      <c r="N46" s="376">
        <f>IFERROR(_xlfn.XLOOKUP($K46,Multiples!$B:$B,Multiples!N:N),"")</f>
        <v>179.58442683866579</v>
      </c>
      <c r="O46" s="376">
        <f>IFERROR(_xlfn.XLOOKUP($K46,Multiples!$B:$B,Multiples!O:O),"")</f>
        <v>195.38255199619852</v>
      </c>
      <c r="P46" s="352">
        <f>IFERROR(_xlfn.XLOOKUP($K46,Multiples!$B:$B,Multiples!P:P),"")</f>
        <v>215.53148000216058</v>
      </c>
      <c r="Q46" s="359" t="str">
        <f>IFERROR(_xlfn.XLOOKUP($K46,Multiples!$B:$B,Multiples!Q:Q),"")</f>
        <v/>
      </c>
      <c r="R46" s="359" t="str">
        <f>IFERROR(_xlfn.XLOOKUP($K46,Multiples!$B:$B,Multiples!R:R),"")</f>
        <v/>
      </c>
      <c r="S46" s="631"/>
      <c r="T46" s="448"/>
      <c r="U46" s="25"/>
      <c r="V46" s="17"/>
      <c r="W46" s="448"/>
      <c r="X46" s="448"/>
      <c r="Y46"/>
      <c r="Z46" s="448"/>
      <c r="AA46" s="448"/>
      <c r="AB46" s="448"/>
      <c r="AC46" s="448"/>
      <c r="AD46"/>
    </row>
    <row r="47" spans="4:30" ht="15" customHeight="1" x14ac:dyDescent="0.35">
      <c r="D47" s="448"/>
      <c r="E47" s="724"/>
      <c r="F47" s="448"/>
      <c r="G47" s="723"/>
      <c r="H47" s="448"/>
      <c r="I47" s="448"/>
      <c r="J47" s="448"/>
      <c r="K47" s="248" t="s">
        <v>57</v>
      </c>
      <c r="L47" s="448"/>
      <c r="M47" s="448"/>
      <c r="N47" s="376">
        <f>IFERROR(_xlfn.XLOOKUP($K47,Multiples!$B:$B,Multiples!N:N),"")</f>
        <v>0.99446242393374595</v>
      </c>
      <c r="O47" s="376">
        <f>IFERROR(_xlfn.XLOOKUP($K47,Multiples!$B:$B,Multiples!O:O),"")</f>
        <v>0.99490789792761558</v>
      </c>
      <c r="P47" s="352">
        <f>IFERROR(_xlfn.XLOOKUP($K47,Multiples!$B:$B,Multiples!P:P),"")</f>
        <v>0.99538173387079787</v>
      </c>
      <c r="Q47" s="359" t="str">
        <f>IFERROR(_xlfn.XLOOKUP($K47,Multiples!$B:$B,Multiples!Q:Q),"")</f>
        <v/>
      </c>
      <c r="R47" s="359" t="str">
        <f>IFERROR(_xlfn.XLOOKUP($K47,Multiples!$B:$B,Multiples!R:R),"")</f>
        <v/>
      </c>
      <c r="S47" s="631"/>
      <c r="T47" s="448"/>
      <c r="U47" s="36"/>
      <c r="V47" s="616"/>
      <c r="W47" s="601"/>
      <c r="X47" s="601"/>
      <c r="Y47" s="601"/>
      <c r="Z47" s="601"/>
      <c r="AA47" s="601"/>
      <c r="AB47" s="601"/>
      <c r="AC47" s="448"/>
      <c r="AD47"/>
    </row>
    <row r="48" spans="4:30" ht="14.25" customHeight="1" x14ac:dyDescent="0.35">
      <c r="D48" s="448"/>
      <c r="E48" s="724"/>
      <c r="F48" s="448"/>
      <c r="G48" s="723"/>
      <c r="H48" s="448"/>
      <c r="I48" s="448"/>
      <c r="J48" s="448"/>
      <c r="K48" s="22" t="s">
        <v>58</v>
      </c>
      <c r="L48"/>
      <c r="M48"/>
      <c r="N48" s="376">
        <f>IFERROR(_xlfn.XLOOKUP($K48,Multiples!$B:$B,Multiples!N:N),"")</f>
        <v>0.27507832628264256</v>
      </c>
      <c r="O48" s="376">
        <f>IFERROR(_xlfn.XLOOKUP($K48,Multiples!$B:$B,Multiples!O:O),"")</f>
        <v>0.2711248193956286</v>
      </c>
      <c r="P48" s="352">
        <f>IFERROR(_xlfn.XLOOKUP($K48,Multiples!$B:$B,Multiples!P:P),"")</f>
        <v>0.27062948517778984</v>
      </c>
      <c r="Q48" s="359" t="str">
        <f>IFERROR(_xlfn.XLOOKUP($K48,Multiples!$B:$B,Multiples!Q:Q),"")</f>
        <v/>
      </c>
      <c r="R48" s="359" t="str">
        <f>IFERROR(_xlfn.XLOOKUP($K48,Multiples!$B:$B,Multiples!R:R),"")</f>
        <v/>
      </c>
      <c r="S48" s="631"/>
      <c r="T48" s="448"/>
      <c r="U48" s="448"/>
      <c r="V48" s="448"/>
      <c r="W48" s="601"/>
      <c r="X48" s="601"/>
      <c r="Y48" s="601"/>
      <c r="Z48" s="601"/>
      <c r="AA48" s="601"/>
      <c r="AB48" s="601"/>
      <c r="AC48" s="448"/>
      <c r="AD48"/>
    </row>
    <row r="49" spans="4:35" ht="14.25" customHeight="1" x14ac:dyDescent="0.35">
      <c r="D49" s="448"/>
      <c r="E49" s="448"/>
      <c r="F49" s="448"/>
      <c r="G49" s="448"/>
      <c r="H49" s="448"/>
      <c r="I49" s="448"/>
      <c r="J49" s="448"/>
      <c r="K49" s="18" t="s">
        <v>59</v>
      </c>
      <c r="L49"/>
      <c r="M49"/>
      <c r="N49" s="376">
        <f>IFERROR(_xlfn.XLOOKUP($K49,Multiples!$B:$B,Multiples!N:N),"")</f>
        <v>1.4342721976433483</v>
      </c>
      <c r="O49" s="376">
        <f>IFERROR(_xlfn.XLOOKUP($K49,Multiples!$B:$B,Multiples!O:O),"")</f>
        <v>1.405672209410527</v>
      </c>
      <c r="P49" s="352">
        <f>IFERROR(_xlfn.XLOOKUP($K49,Multiples!$B:$B,Multiples!P:P),"")</f>
        <v>2.6838472158306481</v>
      </c>
      <c r="Q49" s="359" t="str">
        <f>IFERROR(_xlfn.XLOOKUP($K49,Multiples!$B:$B,Multiples!Q:Q),"")</f>
        <v/>
      </c>
      <c r="R49" s="359" t="str">
        <f>IFERROR(_xlfn.XLOOKUP($K49,Multiples!$B:$B,Multiples!R:R),"")</f>
        <v/>
      </c>
      <c r="S49" s="631"/>
      <c r="T49" s="448"/>
      <c r="U49" s="743" t="s">
        <v>60</v>
      </c>
      <c r="V49" s="711"/>
      <c r="W49" s="601"/>
      <c r="X49" s="601"/>
      <c r="Y49" s="601"/>
      <c r="Z49" s="601"/>
      <c r="AA49" s="601"/>
      <c r="AB49" s="601"/>
      <c r="AC49" s="448"/>
      <c r="AD49"/>
      <c r="AE49" s="448"/>
      <c r="AF49" s="448"/>
      <c r="AG49" s="448"/>
      <c r="AH49" s="448"/>
      <c r="AI49" s="448"/>
    </row>
    <row r="50" spans="4:35" ht="14.25" customHeight="1" x14ac:dyDescent="0.35">
      <c r="D50" s="448"/>
      <c r="E50" s="448"/>
      <c r="F50" s="448"/>
      <c r="G50" s="448"/>
      <c r="H50" s="448"/>
      <c r="I50" s="448"/>
      <c r="J50" s="448"/>
      <c r="K50" s="18" t="s">
        <v>61</v>
      </c>
      <c r="L50" s="448"/>
      <c r="M50" s="448"/>
      <c r="N50" s="376">
        <f>IFERROR(_xlfn.XLOOKUP($K50,Multiples!$B:$B,Multiples!N:N),"")</f>
        <v>1.6935450501706837</v>
      </c>
      <c r="O50" s="376">
        <f>IFERROR(_xlfn.XLOOKUP($K50,Multiples!$B:$B,Multiples!O:O),"")</f>
        <v>1.8870301976971537</v>
      </c>
      <c r="P50" s="352">
        <f>IFERROR(_xlfn.XLOOKUP($K50,Multiples!$B:$B,Multiples!P:P),"")</f>
        <v>3.6190748961764267</v>
      </c>
      <c r="Q50" s="359" t="str">
        <f>IFERROR(_xlfn.XLOOKUP($K50,Multiples!$B:$B,Multiples!Q:Q),"")</f>
        <v/>
      </c>
      <c r="R50" s="359" t="str">
        <f>IFERROR(_xlfn.XLOOKUP($K50,Multiples!$B:$B,Multiples!R:R),"")</f>
        <v/>
      </c>
      <c r="S50" s="631"/>
      <c r="T50" s="448"/>
      <c r="U50" s="897"/>
      <c r="V50" s="897"/>
      <c r="W50" s="601"/>
      <c r="X50" s="601"/>
      <c r="Y50" s="601"/>
      <c r="Z50" s="601"/>
      <c r="AA50" s="601"/>
      <c r="AB50" s="601"/>
      <c r="AC50" s="448"/>
      <c r="AD50"/>
      <c r="AE50" s="448"/>
      <c r="AF50" s="448"/>
      <c r="AG50" s="448"/>
      <c r="AH50" s="448"/>
      <c r="AI50" s="448"/>
    </row>
    <row r="51" spans="4:35" ht="14.25" customHeight="1" x14ac:dyDescent="0.3">
      <c r="D51" s="448"/>
      <c r="E51" s="448"/>
      <c r="F51" s="448"/>
      <c r="G51" s="448"/>
      <c r="H51" s="448"/>
      <c r="I51" s="573"/>
      <c r="J51" s="448"/>
      <c r="K51" t="s">
        <v>62</v>
      </c>
      <c r="L51"/>
      <c r="M51"/>
      <c r="N51" s="376">
        <f>IFERROR(_xlfn.XLOOKUP($K50,Multiples!$B:$B,Multiples!N:N),"")</f>
        <v>1.6935450501706837</v>
      </c>
      <c r="O51" s="376">
        <f>IFERROR(_xlfn.XLOOKUP($K50,Multiples!$B:$B,Multiples!O:O),"")</f>
        <v>1.8870301976971537</v>
      </c>
      <c r="P51" s="352">
        <f>IFERROR(_xlfn.XLOOKUP($K50,Multiples!$B:$B,Multiples!P:P),"")</f>
        <v>3.6190748961764267</v>
      </c>
      <c r="Q51" s="359" t="str">
        <f>IFERROR(_xlfn.XLOOKUP($K50,Multiples!$B:$B,Multiples!Q:Q),"")</f>
        <v/>
      </c>
      <c r="R51" s="359" t="str">
        <f>IFERROR(_xlfn.XLOOKUP($K50,Multiples!$B:$B,Multiples!R:R),"")</f>
        <v/>
      </c>
      <c r="S51" s="631"/>
      <c r="T51" s="448"/>
      <c r="U51" s="897"/>
      <c r="V51" s="897"/>
      <c r="W51" s="601"/>
      <c r="X51" s="601"/>
      <c r="Y51" s="601"/>
      <c r="Z51" s="601"/>
      <c r="AA51" s="601"/>
      <c r="AB51" s="601"/>
      <c r="AC51" s="448"/>
      <c r="AD51"/>
      <c r="AE51" s="448"/>
      <c r="AF51" s="448"/>
      <c r="AG51" s="448"/>
      <c r="AH51" s="448"/>
      <c r="AI51" s="448"/>
    </row>
    <row r="52" spans="4:35" x14ac:dyDescent="0.3">
      <c r="D52" s="448"/>
      <c r="E52" s="448"/>
      <c r="F52" s="448"/>
      <c r="G52" s="448"/>
      <c r="H52" s="448"/>
      <c r="I52" s="1"/>
      <c r="J52" s="448"/>
      <c r="K52" s="448"/>
      <c r="L52" s="448"/>
      <c r="M52" s="448"/>
      <c r="N52" s="448"/>
      <c r="O52" s="448"/>
      <c r="P52" s="448"/>
      <c r="Q52" s="448"/>
      <c r="R52" s="448"/>
      <c r="S52" s="712"/>
      <c r="T52" s="448"/>
      <c r="U52" s="897"/>
      <c r="V52" s="897"/>
      <c r="W52" s="601"/>
      <c r="X52" s="601"/>
      <c r="Y52" s="601"/>
      <c r="Z52" s="601"/>
      <c r="AA52" s="601"/>
      <c r="AB52" s="601"/>
      <c r="AC52" s="448"/>
      <c r="AD52"/>
      <c r="AE52" s="448"/>
      <c r="AF52" s="448"/>
      <c r="AG52" s="448"/>
      <c r="AH52" s="448"/>
      <c r="AI52" s="448"/>
    </row>
    <row r="53" spans="4:35" ht="15.5" x14ac:dyDescent="0.35">
      <c r="D53" s="448"/>
      <c r="E53" s="448"/>
      <c r="F53" s="448"/>
      <c r="G53" s="448"/>
      <c r="H53" s="448"/>
      <c r="I53" s="724"/>
      <c r="J53" s="448"/>
      <c r="K53" s="7" t="s">
        <v>63</v>
      </c>
      <c r="L53" s="4"/>
      <c r="M53" s="4"/>
      <c r="N53" s="4">
        <v>2022</v>
      </c>
      <c r="O53" s="4">
        <f>+N53+1</f>
        <v>2023</v>
      </c>
      <c r="P53" s="351">
        <f>+O53+1</f>
        <v>2024</v>
      </c>
      <c r="Q53" s="5">
        <f>+P53+1</f>
        <v>2025</v>
      </c>
      <c r="R53" s="5">
        <f>+Q53+1</f>
        <v>2026</v>
      </c>
      <c r="S53" s="630"/>
      <c r="T53" s="725"/>
      <c r="U53" s="897"/>
      <c r="V53" s="897"/>
      <c r="W53" s="448"/>
      <c r="X53" s="448"/>
      <c r="Y53"/>
      <c r="Z53" s="448"/>
      <c r="AA53" s="448"/>
      <c r="AB53" s="448"/>
      <c r="AC53" s="448"/>
      <c r="AD53"/>
      <c r="AE53" s="448"/>
      <c r="AF53" s="448"/>
      <c r="AG53" s="448"/>
      <c r="AH53" s="448"/>
      <c r="AI53" s="448"/>
    </row>
    <row r="54" spans="4:35" ht="15.5" x14ac:dyDescent="0.35">
      <c r="D54" s="448"/>
      <c r="E54" s="448"/>
      <c r="F54" s="448"/>
      <c r="G54" s="448"/>
      <c r="H54" s="448"/>
      <c r="I54" s="726"/>
      <c r="J54" s="727"/>
      <c r="K54" s="22" t="s">
        <v>64</v>
      </c>
      <c r="L54"/>
      <c r="M54"/>
      <c r="N54" s="376">
        <f>IFERROR(_xlfn.XLOOKUP($K54,Multiples!$B:$B,Multiples!N:N),"")</f>
        <v>11.318862275449103</v>
      </c>
      <c r="O54" s="376">
        <f>IFERROR(_xlfn.XLOOKUP($K54,Multiples!$B:$B,Multiples!O:O),"")</f>
        <v>10.016250944822374</v>
      </c>
      <c r="P54" s="352">
        <f>IFERROR(_xlfn.XLOOKUP($K54,Multiples!$B:$B,Multiples!P:P),"")</f>
        <v>2.2364990689013062</v>
      </c>
      <c r="Q54" s="359" t="str">
        <f>IFERROR(_xlfn.XLOOKUP($K54,Multiples!$B:$B,Multiples!Q:Q),"")</f>
        <v>N/A</v>
      </c>
      <c r="R54" s="359" t="str">
        <f>IFERROR(_xlfn.XLOOKUP($K54,Multiples!$B:$B,Multiples!R:R),"")</f>
        <v>N/A</v>
      </c>
      <c r="S54" s="631"/>
      <c r="T54" s="728"/>
      <c r="U54" s="897"/>
      <c r="V54" s="897"/>
      <c r="W54" s="448"/>
      <c r="X54" s="448"/>
      <c r="Y54"/>
      <c r="Z54" s="448"/>
      <c r="AA54" s="448"/>
      <c r="AB54" s="448"/>
      <c r="AC54" s="448"/>
      <c r="AD54"/>
      <c r="AE54" s="448"/>
      <c r="AF54" s="448"/>
      <c r="AG54" s="448"/>
      <c r="AH54" s="448"/>
      <c r="AI54" s="448"/>
    </row>
    <row r="55" spans="4:35" ht="15.5" x14ac:dyDescent="0.35">
      <c r="D55" s="448"/>
      <c r="E55" s="448"/>
      <c r="F55" s="448"/>
      <c r="G55" s="448"/>
      <c r="H55" s="448"/>
      <c r="I55" s="729"/>
      <c r="J55" s="448"/>
      <c r="K55" s="18" t="s">
        <v>65</v>
      </c>
      <c r="L55" s="448"/>
      <c r="M55" s="448"/>
      <c r="N55" s="376">
        <f>IFERROR(_xlfn.XLOOKUP($K55,Multiples!$B:$B,Multiples!N:N),"")</f>
        <v>22.783433133732537</v>
      </c>
      <c r="O55" s="376">
        <f>IFERROR(_xlfn.XLOOKUP($K55,Multiples!$B:$B,Multiples!O:O),"")</f>
        <v>18.682539682539684</v>
      </c>
      <c r="P55" s="352">
        <f>IFERROR(_xlfn.XLOOKUP($K55,Multiples!$B:$B,Multiples!P:P),"")</f>
        <v>8.7675356921167005</v>
      </c>
      <c r="Q55" s="359" t="str">
        <f>IFERROR(_xlfn.XLOOKUP($K55,Multiples!$B:$B,Multiples!Q:Q),"")</f>
        <v>N/A</v>
      </c>
      <c r="R55" s="359" t="str">
        <f>IFERROR(_xlfn.XLOOKUP($K55,Multiples!$B:$B,Multiples!R:R),"")</f>
        <v>N/A</v>
      </c>
      <c r="S55" s="631"/>
      <c r="T55" s="448"/>
      <c r="U55" s="897"/>
      <c r="V55" s="897"/>
      <c r="W55" s="448"/>
      <c r="X55" s="448"/>
      <c r="Y55"/>
      <c r="Z55" s="448"/>
      <c r="AA55" s="448"/>
      <c r="AB55" s="448"/>
      <c r="AC55" s="448"/>
      <c r="AD55"/>
      <c r="AE55" s="448"/>
      <c r="AF55" s="448"/>
      <c r="AG55" s="448"/>
      <c r="AH55" s="448"/>
      <c r="AI55" s="146"/>
    </row>
    <row r="56" spans="4:35" ht="15" customHeight="1" x14ac:dyDescent="0.35">
      <c r="D56" s="448"/>
      <c r="E56" s="448"/>
      <c r="F56" s="448"/>
      <c r="G56" s="448"/>
      <c r="H56" s="448"/>
      <c r="I56" s="729"/>
      <c r="J56" s="448"/>
      <c r="K56" s="18" t="s">
        <v>66</v>
      </c>
      <c r="L56"/>
      <c r="M56"/>
      <c r="N56" s="376">
        <f>IFERROR(_xlfn.XLOOKUP($K56,Multiples!$B:$B,Multiples!N:N),"")</f>
        <v>26.271457085828345</v>
      </c>
      <c r="O56" s="376">
        <f>IFERROR(_xlfn.XLOOKUP($K56,Multiples!$B:$B,Multiples!O:O),"")</f>
        <v>23.448223733938018</v>
      </c>
      <c r="P56" s="352">
        <f>IFERROR(_xlfn.XLOOKUP($K56,Multiples!$B:$B,Multiples!P:P),"")</f>
        <v>11.033209186840475</v>
      </c>
      <c r="Q56" s="359" t="str">
        <f>IFERROR(_xlfn.XLOOKUP($K56,Multiples!$B:$B,Multiples!Q:Q),"")</f>
        <v>N/A</v>
      </c>
      <c r="R56" s="359" t="str">
        <f>IFERROR(_xlfn.XLOOKUP($K56,Multiples!$B:$B,Multiples!R:R),"")</f>
        <v>N/A</v>
      </c>
      <c r="S56" s="631"/>
      <c r="T56" s="448"/>
      <c r="U56" s="897"/>
      <c r="V56" s="897"/>
      <c r="W56" s="448"/>
      <c r="X56" s="448"/>
      <c r="Y56" s="448"/>
      <c r="Z56" s="448"/>
      <c r="AA56" s="448"/>
      <c r="AB56" s="448"/>
      <c r="AC56" s="448"/>
      <c r="AD56" s="448"/>
      <c r="AE56" s="448"/>
      <c r="AF56" s="448"/>
      <c r="AG56" s="448"/>
      <c r="AH56" s="448"/>
      <c r="AI56" s="730"/>
    </row>
    <row r="57" spans="4:35" ht="14.25" customHeight="1" x14ac:dyDescent="0.3">
      <c r="D57" s="448"/>
      <c r="E57" s="448"/>
      <c r="F57" s="448"/>
      <c r="G57" s="448"/>
      <c r="H57" s="448"/>
      <c r="I57" s="729"/>
      <c r="J57" s="448"/>
      <c r="K57" s="448"/>
      <c r="L57" s="448"/>
      <c r="M57" s="448"/>
      <c r="N57" s="448"/>
      <c r="O57" s="448"/>
      <c r="P57" s="448"/>
      <c r="Q57" s="448"/>
      <c r="R57" s="448"/>
      <c r="S57" s="712"/>
      <c r="T57" s="448"/>
      <c r="U57" s="897"/>
      <c r="V57" s="897"/>
      <c r="W57" s="448"/>
      <c r="X57" s="448"/>
      <c r="Y57" s="448"/>
      <c r="Z57" s="448"/>
      <c r="AA57" s="448"/>
      <c r="AB57" s="448"/>
      <c r="AC57" s="448"/>
      <c r="AD57" s="448"/>
      <c r="AE57" s="448"/>
      <c r="AF57" s="448"/>
      <c r="AG57" s="448"/>
      <c r="AH57" s="448"/>
      <c r="AI57" s="448"/>
    </row>
    <row r="58" spans="4:35" ht="14.25" customHeight="1" x14ac:dyDescent="0.3">
      <c r="D58" s="600" t="s">
        <v>67</v>
      </c>
      <c r="E58" s="4"/>
      <c r="F58" s="4"/>
      <c r="G58" s="4"/>
      <c r="H58" s="4"/>
      <c r="I58" s="4"/>
      <c r="J58" s="448"/>
      <c r="K58" s="600" t="s">
        <v>68</v>
      </c>
      <c r="L58" s="4"/>
      <c r="M58" s="4"/>
      <c r="N58" s="4"/>
      <c r="O58" s="4"/>
      <c r="P58" s="4"/>
      <c r="Q58" s="4"/>
      <c r="R58" s="4"/>
      <c r="S58" s="633"/>
      <c r="T58" s="448"/>
      <c r="U58" s="898"/>
      <c r="V58" s="898"/>
      <c r="W58" s="448"/>
      <c r="X58" s="448"/>
      <c r="Y58" s="448"/>
      <c r="Z58" s="448"/>
      <c r="AA58" s="448"/>
      <c r="AB58" s="448"/>
      <c r="AC58" s="448"/>
      <c r="AD58" s="448"/>
      <c r="AE58" s="448"/>
      <c r="AF58" s="448"/>
      <c r="AG58" s="448"/>
      <c r="AH58" s="448"/>
      <c r="AI58" s="448"/>
    </row>
    <row r="59" spans="4:35" ht="14.25" customHeight="1" x14ac:dyDescent="0.3">
      <c r="D59" s="448"/>
      <c r="E59" s="448"/>
      <c r="F59" s="448"/>
      <c r="G59" s="448"/>
      <c r="H59" s="448"/>
      <c r="I59" s="729"/>
      <c r="J59" s="448"/>
      <c r="K59" s="448"/>
      <c r="L59" s="448"/>
      <c r="M59" s="448"/>
      <c r="N59" s="448"/>
      <c r="O59" s="448"/>
      <c r="P59" s="448"/>
      <c r="Q59" s="448"/>
      <c r="R59" s="448"/>
      <c r="S59" s="712"/>
      <c r="T59" s="448"/>
      <c r="U59" s="448"/>
      <c r="V59" s="448"/>
      <c r="W59" s="448"/>
      <c r="X59" s="448"/>
      <c r="Y59" s="448"/>
      <c r="Z59" s="448"/>
      <c r="AA59" s="448"/>
      <c r="AB59" s="448"/>
      <c r="AC59" s="448"/>
      <c r="AD59" s="448"/>
      <c r="AE59" s="448"/>
      <c r="AF59" s="448"/>
      <c r="AG59" s="448"/>
      <c r="AH59" s="448"/>
      <c r="AI59" s="448"/>
    </row>
    <row r="60" spans="4:35" ht="14.25" customHeight="1" thickBot="1" x14ac:dyDescent="0.35">
      <c r="D60" s="448"/>
      <c r="E60" s="448"/>
      <c r="F60" s="448"/>
      <c r="G60" s="448"/>
      <c r="H60" s="448"/>
      <c r="I60" s="729"/>
      <c r="J60" s="448"/>
      <c r="K60" s="448"/>
      <c r="L60" s="448"/>
      <c r="M60" s="448"/>
      <c r="N60" s="448"/>
      <c r="O60" s="448"/>
      <c r="P60" s="448"/>
      <c r="Q60" s="448"/>
      <c r="R60" s="448"/>
      <c r="S60" s="712"/>
      <c r="T60" s="448"/>
      <c r="U60" s="717" t="s">
        <v>69</v>
      </c>
      <c r="V60" s="711"/>
      <c r="W60" s="448"/>
      <c r="X60" s="448"/>
      <c r="Y60" s="448"/>
      <c r="Z60" s="448"/>
      <c r="AA60" s="448"/>
      <c r="AB60" s="448"/>
      <c r="AC60" s="448"/>
      <c r="AD60" s="448"/>
      <c r="AE60" s="448"/>
      <c r="AF60" s="448"/>
      <c r="AG60" s="448"/>
      <c r="AH60" s="448"/>
      <c r="AI60" s="448"/>
    </row>
    <row r="61" spans="4:35" ht="14.25" customHeight="1" thickTop="1" x14ac:dyDescent="0.3">
      <c r="D61" s="448"/>
      <c r="E61" s="448"/>
      <c r="F61" s="448"/>
      <c r="G61" s="448"/>
      <c r="H61" s="448"/>
      <c r="I61" s="729"/>
      <c r="J61" s="448"/>
      <c r="K61" s="448"/>
      <c r="L61" s="448"/>
      <c r="M61" s="448"/>
      <c r="N61" s="448"/>
      <c r="O61" s="448"/>
      <c r="P61" s="448"/>
      <c r="Q61" s="448"/>
      <c r="R61" s="448"/>
      <c r="S61" s="712"/>
      <c r="T61" s="448"/>
      <c r="U61" s="47" t="s">
        <v>70</v>
      </c>
      <c r="V61" s="733">
        <f>ESG!C14</f>
        <v>70</v>
      </c>
      <c r="W61" s="448"/>
      <c r="X61" s="448"/>
      <c r="Y61" s="448"/>
      <c r="Z61" s="448"/>
      <c r="AA61" s="448"/>
      <c r="AB61" s="448"/>
      <c r="AC61" s="448"/>
      <c r="AD61" s="448"/>
      <c r="AE61" s="448"/>
      <c r="AF61" s="448"/>
      <c r="AG61" s="448"/>
      <c r="AH61" s="448"/>
      <c r="AI61" s="448"/>
    </row>
    <row r="62" spans="4:35" ht="14.25" customHeight="1" x14ac:dyDescent="0.3">
      <c r="D62" s="448"/>
      <c r="E62" s="448"/>
      <c r="F62" s="448"/>
      <c r="G62" s="448"/>
      <c r="H62" s="448"/>
      <c r="I62" s="729"/>
      <c r="J62" s="448"/>
      <c r="K62" s="448"/>
      <c r="L62" s="448"/>
      <c r="M62" s="448"/>
      <c r="N62" s="448"/>
      <c r="O62" s="448"/>
      <c r="P62" s="448"/>
      <c r="Q62" s="448"/>
      <c r="R62" s="448"/>
      <c r="S62" s="712"/>
      <c r="T62" s="448"/>
      <c r="U62" s="25" t="s">
        <v>71</v>
      </c>
      <c r="V62" s="732">
        <f>ESG!C15</f>
        <v>61</v>
      </c>
      <c r="W62" s="448"/>
      <c r="X62" s="448"/>
      <c r="Y62" s="448"/>
      <c r="Z62" s="448"/>
      <c r="AA62" s="448"/>
      <c r="AB62" s="448"/>
      <c r="AC62" s="448"/>
      <c r="AD62" s="448"/>
      <c r="AE62" s="448"/>
      <c r="AF62" s="448"/>
      <c r="AG62" s="448"/>
      <c r="AH62" s="448"/>
      <c r="AI62" s="448"/>
    </row>
    <row r="63" spans="4:35" x14ac:dyDescent="0.3">
      <c r="D63" s="448"/>
      <c r="E63" s="448"/>
      <c r="F63" s="448"/>
      <c r="G63" s="448"/>
      <c r="H63" s="448"/>
      <c r="I63" s="448"/>
      <c r="J63" s="448"/>
      <c r="K63" s="448"/>
      <c r="L63" s="448"/>
      <c r="M63" s="448"/>
      <c r="N63" s="448"/>
      <c r="O63" s="448"/>
      <c r="P63" s="448"/>
      <c r="Q63" s="448"/>
      <c r="R63" s="448"/>
      <c r="S63" s="712"/>
      <c r="T63" s="448"/>
      <c r="U63" s="25" t="s">
        <v>72</v>
      </c>
      <c r="V63" s="732">
        <f>ESG!C16</f>
        <v>71</v>
      </c>
      <c r="W63" s="448"/>
      <c r="X63" s="448"/>
      <c r="Y63" s="448"/>
      <c r="Z63" s="448"/>
      <c r="AA63" s="448"/>
      <c r="AB63" s="448"/>
      <c r="AC63" s="448"/>
      <c r="AD63" s="448"/>
      <c r="AE63" s="448"/>
      <c r="AF63" s="448"/>
      <c r="AG63" s="448"/>
      <c r="AH63" s="448"/>
      <c r="AI63" s="448"/>
    </row>
    <row r="64" spans="4:35" x14ac:dyDescent="0.3">
      <c r="D64" s="448"/>
      <c r="E64" s="448"/>
      <c r="F64" s="448"/>
      <c r="G64" s="448"/>
      <c r="H64" s="448"/>
      <c r="I64" s="448"/>
      <c r="J64" s="448"/>
      <c r="K64" s="448"/>
      <c r="L64" s="448"/>
      <c r="M64" s="448"/>
      <c r="N64" s="448"/>
      <c r="O64" s="448"/>
      <c r="P64" s="448"/>
      <c r="Q64" s="448"/>
      <c r="R64" s="448"/>
      <c r="S64" s="712"/>
      <c r="T64" s="448"/>
      <c r="U64" s="25" t="s">
        <v>73</v>
      </c>
      <c r="V64" s="732">
        <f>ESG!C17</f>
        <v>80</v>
      </c>
      <c r="W64" s="448"/>
      <c r="X64" s="448"/>
      <c r="Y64" s="448"/>
      <c r="Z64" s="448"/>
      <c r="AA64" s="448"/>
      <c r="AB64" s="448"/>
      <c r="AC64" s="448"/>
      <c r="AD64" s="448"/>
      <c r="AE64" s="448"/>
      <c r="AF64" s="448"/>
      <c r="AG64" s="448"/>
      <c r="AH64" s="448"/>
      <c r="AI64" s="448"/>
    </row>
    <row r="65" spans="4:22" x14ac:dyDescent="0.3">
      <c r="D65" s="448"/>
      <c r="E65" s="448"/>
      <c r="F65" s="448"/>
      <c r="G65" s="448"/>
      <c r="H65" s="448"/>
      <c r="I65" s="448"/>
      <c r="J65" s="448"/>
      <c r="K65" s="448"/>
      <c r="L65" s="448"/>
      <c r="M65" s="448"/>
      <c r="N65" s="448"/>
      <c r="O65" s="448"/>
      <c r="P65" s="448"/>
      <c r="Q65" s="448"/>
      <c r="R65" s="448"/>
      <c r="S65" s="712"/>
      <c r="T65" s="448"/>
      <c r="U65" s="23" t="s">
        <v>74</v>
      </c>
      <c r="V65" s="734">
        <f>ESG!C18</f>
        <v>50</v>
      </c>
    </row>
    <row r="66" spans="4:22" x14ac:dyDescent="0.3">
      <c r="D66" s="448"/>
      <c r="E66" s="448"/>
      <c r="F66" s="448"/>
      <c r="G66" s="448"/>
      <c r="H66" s="448"/>
      <c r="I66" s="448"/>
      <c r="J66" s="448"/>
      <c r="K66" s="448"/>
      <c r="L66" s="448"/>
      <c r="M66" s="448"/>
      <c r="N66" s="448"/>
      <c r="O66" s="448"/>
      <c r="P66" s="448"/>
      <c r="Q66" s="448"/>
      <c r="R66" s="448"/>
      <c r="S66" s="712"/>
      <c r="T66" s="448"/>
      <c r="U66" s="25" t="s">
        <v>75</v>
      </c>
      <c r="V66" s="44">
        <f>ESG!C19</f>
        <v>54</v>
      </c>
    </row>
    <row r="67" spans="4:22" x14ac:dyDescent="0.3">
      <c r="D67" s="448"/>
      <c r="E67" s="448"/>
      <c r="F67" s="448"/>
      <c r="G67" s="448"/>
      <c r="H67" s="448"/>
      <c r="I67" s="448"/>
      <c r="J67" s="448"/>
      <c r="K67" s="448"/>
      <c r="L67" s="448"/>
      <c r="M67" s="448"/>
      <c r="N67" s="448"/>
      <c r="O67" s="448"/>
      <c r="P67" s="448"/>
      <c r="Q67" s="448"/>
      <c r="R67" s="448"/>
      <c r="S67" s="712"/>
      <c r="T67" s="448"/>
      <c r="U67" s="25" t="s">
        <v>76</v>
      </c>
      <c r="V67" s="44">
        <f>ESG!C20</f>
        <v>47</v>
      </c>
    </row>
    <row r="68" spans="4:22" x14ac:dyDescent="0.3">
      <c r="D68" s="448"/>
      <c r="E68" s="448"/>
      <c r="F68" s="448"/>
      <c r="G68" s="448"/>
      <c r="H68" s="448"/>
      <c r="I68" s="448"/>
      <c r="J68" s="448"/>
      <c r="K68" s="448"/>
      <c r="L68" s="448"/>
      <c r="M68" s="448"/>
      <c r="N68" s="448"/>
      <c r="O68" s="448"/>
      <c r="P68" s="448"/>
      <c r="Q68" s="448"/>
      <c r="R68" s="448"/>
      <c r="S68" s="712"/>
      <c r="T68" s="448"/>
      <c r="U68" s="25" t="s">
        <v>77</v>
      </c>
      <c r="V68" s="44">
        <f>ESG!C21</f>
        <v>47</v>
      </c>
    </row>
    <row r="69" spans="4:22" x14ac:dyDescent="0.3">
      <c r="D69" s="448"/>
      <c r="E69" s="448"/>
      <c r="F69" s="448"/>
      <c r="G69" s="448"/>
      <c r="H69" s="448"/>
      <c r="I69" s="448"/>
      <c r="J69" s="448"/>
      <c r="K69" s="448"/>
      <c r="L69" s="448"/>
      <c r="M69" s="448"/>
      <c r="N69" s="448"/>
      <c r="O69" s="448"/>
      <c r="P69" s="448"/>
      <c r="Q69" s="448"/>
      <c r="R69" s="448"/>
      <c r="S69" s="712"/>
      <c r="T69" s="448"/>
      <c r="U69" s="23" t="s">
        <v>78</v>
      </c>
      <c r="V69" s="49">
        <f>ESG!C22</f>
        <v>16.7</v>
      </c>
    </row>
    <row r="70" spans="4:22" x14ac:dyDescent="0.3">
      <c r="D70" s="448"/>
      <c r="E70" s="448"/>
      <c r="F70" s="448"/>
      <c r="G70" s="448"/>
      <c r="H70" s="448"/>
      <c r="I70" s="448"/>
      <c r="J70" s="448"/>
      <c r="K70" s="448"/>
      <c r="L70" s="448"/>
      <c r="M70" s="448"/>
      <c r="N70" s="448"/>
      <c r="O70" s="448"/>
      <c r="P70" s="448"/>
      <c r="Q70" s="448"/>
      <c r="R70" s="448"/>
      <c r="S70" s="712"/>
      <c r="T70" s="448"/>
      <c r="U70" s="23" t="s">
        <v>79</v>
      </c>
      <c r="V70" s="50" t="str">
        <f>ESG!C23</f>
        <v>C+</v>
      </c>
    </row>
    <row r="71" spans="4:22" x14ac:dyDescent="0.3">
      <c r="D71" s="448"/>
      <c r="E71" s="448"/>
      <c r="F71" s="448"/>
      <c r="G71" s="448"/>
      <c r="H71" s="448"/>
      <c r="I71" s="448"/>
      <c r="J71" s="448"/>
      <c r="K71" s="448"/>
      <c r="L71" s="448"/>
      <c r="M71" s="448"/>
      <c r="N71" s="448"/>
      <c r="O71" s="448"/>
      <c r="P71" s="448"/>
      <c r="Q71" s="448"/>
      <c r="R71" s="448"/>
      <c r="S71" s="712"/>
      <c r="T71" s="448"/>
      <c r="U71" s="25" t="s">
        <v>80</v>
      </c>
      <c r="V71" s="44">
        <f>ESG!C24</f>
        <v>2.5</v>
      </c>
    </row>
    <row r="72" spans="4:22" x14ac:dyDescent="0.3">
      <c r="D72" s="448"/>
      <c r="E72" s="448"/>
      <c r="F72" s="448"/>
      <c r="G72" s="448"/>
      <c r="H72" s="448"/>
      <c r="I72" s="448"/>
      <c r="J72" s="448"/>
      <c r="K72" s="448"/>
      <c r="L72" s="448"/>
      <c r="M72" s="448"/>
      <c r="N72" s="448"/>
      <c r="O72" s="448"/>
      <c r="P72" s="448"/>
      <c r="Q72" s="448"/>
      <c r="R72" s="448"/>
      <c r="S72" s="712"/>
      <c r="T72" s="448"/>
      <c r="U72" s="25" t="s">
        <v>81</v>
      </c>
      <c r="V72" s="43">
        <f>ESG!C25</f>
        <v>9</v>
      </c>
    </row>
    <row r="73" spans="4:22" x14ac:dyDescent="0.3">
      <c r="D73" s="448"/>
      <c r="E73" s="448"/>
      <c r="F73" s="448"/>
      <c r="G73" s="448"/>
      <c r="H73" s="448"/>
      <c r="I73" s="448"/>
      <c r="J73" s="448"/>
      <c r="K73" s="448"/>
      <c r="L73" s="448"/>
      <c r="M73" s="448"/>
      <c r="N73" s="448"/>
      <c r="O73" s="448"/>
      <c r="P73" s="448"/>
      <c r="Q73" s="448"/>
      <c r="R73" s="448"/>
      <c r="S73" s="712"/>
      <c r="T73" s="448"/>
      <c r="U73" s="23" t="s">
        <v>82</v>
      </c>
      <c r="V73" s="51" t="str">
        <f>ESG!C26</f>
        <v>A</v>
      </c>
    </row>
    <row r="80" spans="4:22" ht="14.25" customHeight="1" x14ac:dyDescent="0.35">
      <c r="D80" s="746" t="s">
        <v>83</v>
      </c>
      <c r="E80" s="70"/>
      <c r="F80" s="69"/>
      <c r="G80" s="69"/>
      <c r="H80" s="69"/>
      <c r="I80" s="69"/>
      <c r="J80" s="69"/>
      <c r="K80" s="69"/>
      <c r="L80" s="69"/>
      <c r="M80" s="69"/>
      <c r="N80" s="69"/>
      <c r="O80" s="69"/>
      <c r="P80" s="69"/>
      <c r="Q80" s="69"/>
      <c r="R80" s="69"/>
      <c r="S80" s="712"/>
      <c r="T80" s="448"/>
      <c r="U80" s="448"/>
      <c r="V80" s="448"/>
    </row>
    <row r="81" spans="4:18" ht="4" customHeight="1" x14ac:dyDescent="0.35">
      <c r="D81" s="71"/>
      <c r="E81" s="71"/>
      <c r="F81" s="71"/>
      <c r="G81" s="71"/>
      <c r="H81" s="71"/>
      <c r="I81" s="71"/>
      <c r="J81" s="71"/>
      <c r="K81" s="71"/>
      <c r="L81" s="71"/>
      <c r="M81" s="71"/>
      <c r="N81" s="71"/>
      <c r="O81" s="71"/>
      <c r="P81" s="71"/>
      <c r="Q81" s="71"/>
      <c r="R81" s="71"/>
    </row>
    <row r="82" spans="4:18" x14ac:dyDescent="0.3">
      <c r="D82" s="895"/>
      <c r="E82" s="895"/>
      <c r="F82" s="895"/>
      <c r="G82" s="895"/>
      <c r="H82" s="895"/>
      <c r="I82" s="895"/>
      <c r="J82" s="895"/>
      <c r="K82" s="895"/>
      <c r="L82" s="895"/>
      <c r="M82" s="895"/>
      <c r="N82" s="895"/>
      <c r="O82" s="895"/>
      <c r="P82" s="895"/>
      <c r="Q82" s="895"/>
      <c r="R82" s="895"/>
    </row>
    <row r="83" spans="4:18" x14ac:dyDescent="0.3">
      <c r="D83" s="895"/>
      <c r="E83" s="895"/>
      <c r="F83" s="895"/>
      <c r="G83" s="895"/>
      <c r="H83" s="895"/>
      <c r="I83" s="895"/>
      <c r="J83" s="895"/>
      <c r="K83" s="895"/>
      <c r="L83" s="895"/>
      <c r="M83" s="895"/>
      <c r="N83" s="895"/>
      <c r="O83" s="895"/>
      <c r="P83" s="895"/>
      <c r="Q83" s="895"/>
      <c r="R83" s="895"/>
    </row>
    <row r="84" spans="4:18" x14ac:dyDescent="0.3">
      <c r="D84" s="895"/>
      <c r="E84" s="895"/>
      <c r="F84" s="895"/>
      <c r="G84" s="895"/>
      <c r="H84" s="895"/>
      <c r="I84" s="895"/>
      <c r="J84" s="895"/>
      <c r="K84" s="895"/>
      <c r="L84" s="895"/>
      <c r="M84" s="895"/>
      <c r="N84" s="895"/>
      <c r="O84" s="895"/>
      <c r="P84" s="895"/>
      <c r="Q84" s="895"/>
      <c r="R84" s="895"/>
    </row>
    <row r="85" spans="4:18" x14ac:dyDescent="0.3">
      <c r="D85" s="895"/>
      <c r="E85" s="895"/>
      <c r="F85" s="895"/>
      <c r="G85" s="895"/>
      <c r="H85" s="895"/>
      <c r="I85" s="895"/>
      <c r="J85" s="895"/>
      <c r="K85" s="895"/>
      <c r="L85" s="895"/>
      <c r="M85" s="895"/>
      <c r="N85" s="895"/>
      <c r="O85" s="895"/>
      <c r="P85" s="895"/>
      <c r="Q85" s="895"/>
      <c r="R85" s="895"/>
    </row>
    <row r="86" spans="4:18" x14ac:dyDescent="0.3">
      <c r="D86" s="895"/>
      <c r="E86" s="895"/>
      <c r="F86" s="895"/>
      <c r="G86" s="895"/>
      <c r="H86" s="895"/>
      <c r="I86" s="895"/>
      <c r="J86" s="895"/>
      <c r="K86" s="895"/>
      <c r="L86" s="895"/>
      <c r="M86" s="895"/>
      <c r="N86" s="895"/>
      <c r="O86" s="895"/>
      <c r="P86" s="895"/>
      <c r="Q86" s="895"/>
      <c r="R86" s="895"/>
    </row>
    <row r="87" spans="4:18" x14ac:dyDescent="0.3">
      <c r="D87" s="896"/>
      <c r="E87" s="896"/>
      <c r="F87" s="896"/>
      <c r="G87" s="896"/>
      <c r="H87" s="896"/>
      <c r="I87" s="896"/>
      <c r="J87" s="896"/>
      <c r="K87" s="896"/>
      <c r="L87" s="896"/>
      <c r="M87" s="896"/>
      <c r="N87" s="896"/>
      <c r="O87" s="896"/>
      <c r="P87" s="896"/>
      <c r="Q87" s="896"/>
      <c r="R87" s="896"/>
    </row>
    <row r="88" spans="4:18" x14ac:dyDescent="0.3">
      <c r="D88" s="896"/>
      <c r="E88" s="896"/>
      <c r="F88" s="896"/>
      <c r="G88" s="896"/>
      <c r="H88" s="896"/>
      <c r="I88" s="896"/>
      <c r="J88" s="896"/>
      <c r="K88" s="896"/>
      <c r="L88" s="896"/>
      <c r="M88" s="896"/>
      <c r="N88" s="896"/>
      <c r="O88" s="896"/>
      <c r="P88" s="896"/>
      <c r="Q88" s="896"/>
      <c r="R88" s="896"/>
    </row>
    <row r="1048576" spans="4:18" x14ac:dyDescent="0.3">
      <c r="D1048576" s="756"/>
      <c r="E1048576" s="756"/>
      <c r="F1048576" s="756"/>
      <c r="G1048576" s="756"/>
      <c r="H1048576" s="756"/>
      <c r="I1048576" s="756"/>
      <c r="J1048576" s="756"/>
      <c r="K1048576" s="756"/>
      <c r="L1048576" s="756"/>
      <c r="M1048576" s="756"/>
      <c r="N1048576" s="756"/>
      <c r="O1048576" s="756"/>
      <c r="P1048576" s="756"/>
      <c r="Q1048576" s="756"/>
      <c r="R1048576" s="756"/>
    </row>
  </sheetData>
  <dataConsolidate/>
  <mergeCells count="14">
    <mergeCell ref="U50:V58"/>
    <mergeCell ref="D41:F43"/>
    <mergeCell ref="G41:I43"/>
    <mergeCell ref="D8:R9"/>
    <mergeCell ref="D11:R15"/>
    <mergeCell ref="D37:F39"/>
    <mergeCell ref="G37:I39"/>
    <mergeCell ref="D86:R86"/>
    <mergeCell ref="D87:R87"/>
    <mergeCell ref="D88:R88"/>
    <mergeCell ref="D82:R82"/>
    <mergeCell ref="D83:R83"/>
    <mergeCell ref="D84:R84"/>
    <mergeCell ref="D85:R85"/>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disablePrompts="1"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tint="-0.249977111117893"/>
  </sheetPr>
  <dimension ref="B2:R37"/>
  <sheetViews>
    <sheetView showGridLines="0" topLeftCell="J19" zoomScale="70" zoomScaleNormal="70" workbookViewId="0">
      <selection activeCell="B32" sqref="B32"/>
    </sheetView>
  </sheetViews>
  <sheetFormatPr defaultColWidth="8.83203125" defaultRowHeight="14" x14ac:dyDescent="0.3"/>
  <cols>
    <col min="1" max="1" width="2.33203125" customWidth="1"/>
    <col min="2" max="2" width="22" customWidth="1"/>
    <col min="4" max="4" width="13.08203125" customWidth="1"/>
    <col min="5" max="9" width="12.58203125" customWidth="1"/>
    <col min="10" max="10" width="18.58203125" style="6" customWidth="1"/>
    <col min="11" max="25" width="12.58203125" customWidth="1"/>
  </cols>
  <sheetData>
    <row r="2" spans="2:18" s="41" customFormat="1" ht="20.149999999999999" customHeight="1" x14ac:dyDescent="0.4">
      <c r="B2" s="40" t="s">
        <v>84</v>
      </c>
      <c r="J2" s="42"/>
    </row>
    <row r="4" spans="2:18" ht="15.5" x14ac:dyDescent="0.35">
      <c r="B4" s="52" t="s">
        <v>85</v>
      </c>
      <c r="C4" s="56"/>
      <c r="D4" s="52" t="s">
        <v>86</v>
      </c>
      <c r="E4" s="57">
        <v>2020</v>
      </c>
      <c r="F4" s="57">
        <f>+E4+1</f>
        <v>2021</v>
      </c>
      <c r="G4" s="57">
        <f>+F4+1</f>
        <v>2022</v>
      </c>
      <c r="H4" s="57">
        <f t="shared" ref="H4:I4" si="0">+G4+1</f>
        <v>2023</v>
      </c>
      <c r="I4" s="57">
        <f t="shared" si="0"/>
        <v>2024</v>
      </c>
      <c r="J4" s="58" t="str">
        <f>"CAGR "&amp;$G$4&amp;" - "&amp;$I$4</f>
        <v>CAGR 2022 - 2024</v>
      </c>
      <c r="K4" s="57">
        <v>2021</v>
      </c>
      <c r="L4" s="57">
        <f>+K4+1</f>
        <v>2022</v>
      </c>
      <c r="M4" s="57">
        <f>+L4+1</f>
        <v>2023</v>
      </c>
      <c r="N4" s="57">
        <f t="shared" ref="N4" si="1">+M4+1</f>
        <v>2024</v>
      </c>
    </row>
    <row r="5" spans="2:18" ht="4" customHeight="1" x14ac:dyDescent="0.35">
      <c r="B5" s="53"/>
      <c r="C5" s="53"/>
      <c r="D5" s="53"/>
      <c r="E5" s="53"/>
      <c r="F5" s="53"/>
      <c r="G5" s="53"/>
      <c r="H5" s="53"/>
      <c r="I5" s="53"/>
      <c r="J5" s="60"/>
      <c r="K5" s="60"/>
      <c r="L5" s="60"/>
      <c r="M5" s="60"/>
      <c r="N5" s="60"/>
    </row>
    <row r="6" spans="2:18" x14ac:dyDescent="0.3">
      <c r="B6" t="s">
        <v>87</v>
      </c>
      <c r="D6" s="65">
        <f>IFERROR(I6/SUM($I$6:$I$12),"")</f>
        <v>0.22581945475761109</v>
      </c>
      <c r="E6" s="823">
        <v>1348</v>
      </c>
      <c r="F6" s="823">
        <v>1614.4</v>
      </c>
      <c r="G6" s="823">
        <v>2563.5</v>
      </c>
      <c r="H6" s="823">
        <v>2229.6</v>
      </c>
      <c r="I6" s="823">
        <v>2128.8000000000002</v>
      </c>
      <c r="J6" s="64">
        <f>IFERROR((I6/G6)^(1/COUNT($G$4:$I$4))-1,"")</f>
        <v>-6.0059174397914528E-2</v>
      </c>
      <c r="K6" s="65">
        <f>IFERROR(F6-E6/E6,"")</f>
        <v>1613.4</v>
      </c>
      <c r="L6" s="65">
        <f>IFERROR(G6-F6/F6,"")</f>
        <v>2562.5</v>
      </c>
      <c r="M6" s="92">
        <f>IFERROR((H6-G6)/G6,"")</f>
        <v>-0.13025160912814515</v>
      </c>
      <c r="N6" s="92">
        <f t="shared" ref="N6:N13" si="2">IFERROR((I6-H6)/H6,"")</f>
        <v>-4.5209903121636044E-2</v>
      </c>
    </row>
    <row r="7" spans="2:18" x14ac:dyDescent="0.3">
      <c r="B7" t="s">
        <v>88</v>
      </c>
      <c r="D7" s="65">
        <f>IFERROR(I7/SUM($I$6:$I$12),"")</f>
        <v>0.22377214384215546</v>
      </c>
      <c r="E7" s="823">
        <v>1245.7</v>
      </c>
      <c r="F7" s="823">
        <v>1593</v>
      </c>
      <c r="G7" s="823">
        <v>2534.4</v>
      </c>
      <c r="H7" s="823">
        <v>3001.9</v>
      </c>
      <c r="I7" s="823">
        <v>2109.5</v>
      </c>
      <c r="J7" s="64">
        <f>IFERROR((I7/G7)^(1/COUNT($G$4:$I$4))-1,"")</f>
        <v>-5.9335422972862761E-2</v>
      </c>
      <c r="K7" s="65">
        <f t="shared" ref="K7:M13" si="3">IFERROR(F7-E7/E7,"")</f>
        <v>1592</v>
      </c>
      <c r="L7" s="65">
        <f t="shared" si="3"/>
        <v>2533.4</v>
      </c>
      <c r="M7" s="92">
        <f>IFERROR((H7-G7)/G7,"")</f>
        <v>0.18446180555555555</v>
      </c>
      <c r="N7" s="92">
        <f t="shared" si="2"/>
        <v>-0.29727839035277659</v>
      </c>
    </row>
    <row r="8" spans="2:18" x14ac:dyDescent="0.3">
      <c r="B8" s="87" t="s">
        <v>89</v>
      </c>
      <c r="D8" s="65">
        <f t="shared" ref="D8:D12" si="4">IFERROR(I8/SUM($I$6:$I$12),"")</f>
        <v>0.1273363742441922</v>
      </c>
      <c r="E8" s="822">
        <v>558.9</v>
      </c>
      <c r="F8" s="822">
        <v>890.7</v>
      </c>
      <c r="G8" s="823">
        <v>1596.6</v>
      </c>
      <c r="H8" s="823">
        <v>1423</v>
      </c>
      <c r="I8" s="823">
        <v>1200.4000000000001</v>
      </c>
      <c r="J8" s="64">
        <f t="shared" ref="J8:J10" si="5">IFERROR((I8/E8)^(1/COUNT($E$4:$I$4))-1,"")</f>
        <v>0.16519436435483925</v>
      </c>
      <c r="K8" s="65">
        <f t="shared" si="3"/>
        <v>889.7</v>
      </c>
      <c r="L8" s="65">
        <f t="shared" si="3"/>
        <v>1595.6</v>
      </c>
      <c r="M8" s="65">
        <f t="shared" si="3"/>
        <v>1422</v>
      </c>
      <c r="N8" s="92">
        <f t="shared" si="2"/>
        <v>-0.15643007730147568</v>
      </c>
    </row>
    <row r="9" spans="2:18" x14ac:dyDescent="0.3">
      <c r="B9" s="87" t="s">
        <v>90</v>
      </c>
      <c r="D9" s="65">
        <f t="shared" si="4"/>
        <v>0.11515858703723345</v>
      </c>
      <c r="E9" s="822">
        <v>521.70000000000005</v>
      </c>
      <c r="F9" s="822">
        <v>788</v>
      </c>
      <c r="G9" s="823">
        <v>1221.5</v>
      </c>
      <c r="H9" s="823">
        <v>1397.1</v>
      </c>
      <c r="I9" s="823">
        <v>1085.5999999999999</v>
      </c>
      <c r="J9" s="64">
        <f t="shared" si="5"/>
        <v>0.15784333383285132</v>
      </c>
      <c r="K9" s="65">
        <f t="shared" si="3"/>
        <v>787</v>
      </c>
      <c r="L9" s="65">
        <f t="shared" si="3"/>
        <v>1220.5</v>
      </c>
      <c r="M9" s="65">
        <f t="shared" si="3"/>
        <v>1396.1</v>
      </c>
      <c r="N9" s="92">
        <f t="shared" si="2"/>
        <v>-0.22296184954548709</v>
      </c>
    </row>
    <row r="10" spans="2:18" ht="28" x14ac:dyDescent="0.3">
      <c r="B10" s="841" t="s">
        <v>91</v>
      </c>
      <c r="D10" s="65">
        <f t="shared" si="4"/>
        <v>6.6086772037763858E-3</v>
      </c>
      <c r="E10" s="822">
        <v>41.3</v>
      </c>
      <c r="F10" s="822">
        <v>42.8</v>
      </c>
      <c r="G10" s="822">
        <v>72.5</v>
      </c>
      <c r="H10" s="822">
        <v>88.6</v>
      </c>
      <c r="I10" s="822">
        <v>62.3</v>
      </c>
      <c r="J10" s="64">
        <f t="shared" si="5"/>
        <v>8.5694403132794861E-2</v>
      </c>
      <c r="K10" s="65">
        <f t="shared" si="3"/>
        <v>41.8</v>
      </c>
      <c r="L10" s="65">
        <f t="shared" si="3"/>
        <v>71.5</v>
      </c>
      <c r="M10" s="65">
        <f t="shared" si="3"/>
        <v>87.6</v>
      </c>
      <c r="N10" s="92">
        <f t="shared" si="2"/>
        <v>-0.2968397291196388</v>
      </c>
    </row>
    <row r="11" spans="2:18" x14ac:dyDescent="0.3">
      <c r="B11" s="87" t="s">
        <v>92</v>
      </c>
      <c r="D11" s="65">
        <f t="shared" si="4"/>
        <v>0.30130476291503122</v>
      </c>
      <c r="E11" s="823">
        <v>1887.4</v>
      </c>
      <c r="F11" s="823">
        <v>2389.4</v>
      </c>
      <c r="G11" s="823">
        <v>4025.4</v>
      </c>
      <c r="H11" s="823">
        <v>4165.3</v>
      </c>
      <c r="I11" s="823">
        <v>2840.4</v>
      </c>
      <c r="J11" s="64">
        <f>IFERROR((I11/E11)^(1/COUNT($E$4:$I$4))-1,"")</f>
        <v>8.5183322276993323E-2</v>
      </c>
      <c r="K11" s="65">
        <f>IFERROR(F11-E11/E11,"")</f>
        <v>2388.4</v>
      </c>
      <c r="L11" s="65">
        <f>IFERROR(G11-F11/F11,"")</f>
        <v>4024.4</v>
      </c>
      <c r="M11" s="65">
        <f>IFERROR(H11-G11/G11,"")</f>
        <v>4164.3</v>
      </c>
      <c r="N11" s="92">
        <f>IFERROR((I11-H11)/H11,"")</f>
        <v>-0.31808033034835426</v>
      </c>
    </row>
    <row r="12" spans="2:18" x14ac:dyDescent="0.3">
      <c r="B12" s="87"/>
      <c r="D12" s="65">
        <f t="shared" si="4"/>
        <v>0</v>
      </c>
      <c r="E12" s="93"/>
      <c r="F12" s="93"/>
      <c r="G12" s="93"/>
      <c r="H12" s="93"/>
      <c r="I12" s="93"/>
      <c r="J12" s="64"/>
      <c r="K12" s="65"/>
      <c r="L12" s="65"/>
      <c r="M12" s="65"/>
      <c r="N12" s="92"/>
    </row>
    <row r="13" spans="2:18" x14ac:dyDescent="0.3">
      <c r="B13" s="1" t="s">
        <v>93</v>
      </c>
      <c r="D13" s="94">
        <f>SUM(D6:D12)</f>
        <v>0.99999999999999978</v>
      </c>
      <c r="E13" s="95">
        <f>SUM(E6:E10)</f>
        <v>3715.6000000000004</v>
      </c>
      <c r="F13" s="95">
        <f t="shared" ref="F13:I13" si="6">SUM(F6:F10)</f>
        <v>4928.9000000000005</v>
      </c>
      <c r="G13" s="95">
        <f t="shared" si="6"/>
        <v>7988.5</v>
      </c>
      <c r="H13" s="95">
        <f t="shared" si="6"/>
        <v>8140.2000000000007</v>
      </c>
      <c r="I13" s="95">
        <f t="shared" si="6"/>
        <v>6586.6000000000013</v>
      </c>
      <c r="J13" s="67">
        <f>IFERROR((I13/G13)^(1/COUNT($G$4:$I$4))-1,"")</f>
        <v>-6.2296903607252263E-2</v>
      </c>
      <c r="K13" s="68">
        <f t="shared" si="3"/>
        <v>4927.9000000000005</v>
      </c>
      <c r="L13" s="68">
        <f t="shared" si="3"/>
        <v>7987.5</v>
      </c>
      <c r="M13" s="92">
        <f>IFERROR((H13-G13)/G13,"")</f>
        <v>1.8989797834387024E-2</v>
      </c>
      <c r="N13" s="92">
        <f t="shared" si="2"/>
        <v>-0.19085526154148538</v>
      </c>
    </row>
    <row r="14" spans="2:18" ht="8.15" customHeight="1" x14ac:dyDescent="0.3">
      <c r="R14" s="96"/>
    </row>
    <row r="15" spans="2:18" ht="15.5" x14ac:dyDescent="0.35">
      <c r="B15" s="52" t="s">
        <v>84</v>
      </c>
      <c r="C15" s="56"/>
      <c r="D15" s="52" t="s">
        <v>86</v>
      </c>
      <c r="E15" s="57">
        <v>2020</v>
      </c>
      <c r="F15" s="57">
        <f>+E15+1</f>
        <v>2021</v>
      </c>
      <c r="G15" s="57">
        <f>+F15+1</f>
        <v>2022</v>
      </c>
      <c r="H15" s="57">
        <f t="shared" ref="H15:I15" si="7">+G15+1</f>
        <v>2023</v>
      </c>
      <c r="I15" s="57">
        <f t="shared" si="7"/>
        <v>2024</v>
      </c>
      <c r="J15" s="58" t="str">
        <f>"CAGR "&amp;$E$4&amp;" - "&amp;$I$4</f>
        <v>CAGR 2020 - 2024</v>
      </c>
      <c r="K15" s="57">
        <v>2021</v>
      </c>
      <c r="L15" s="57">
        <f>+K15+1</f>
        <v>2022</v>
      </c>
      <c r="M15" s="57">
        <f>+L15+1</f>
        <v>2023</v>
      </c>
      <c r="N15" s="57">
        <f t="shared" ref="N15" si="8">+M15+1</f>
        <v>2024</v>
      </c>
    </row>
    <row r="16" spans="2:18" s="92" customFormat="1" ht="4" customHeight="1" x14ac:dyDescent="0.35">
      <c r="B16" s="53"/>
      <c r="C16" s="53"/>
      <c r="D16" s="53"/>
      <c r="E16" s="53"/>
      <c r="F16" s="53"/>
      <c r="G16" s="53"/>
      <c r="H16" s="53"/>
      <c r="I16" s="53"/>
      <c r="J16" s="60"/>
      <c r="K16" s="60"/>
      <c r="L16" s="60"/>
      <c r="M16" s="60"/>
      <c r="N16" s="60"/>
      <c r="O16" s="97"/>
    </row>
    <row r="17" spans="2:15" x14ac:dyDescent="0.3">
      <c r="B17" t="s">
        <v>94</v>
      </c>
      <c r="D17" s="65">
        <f>IFERROR(I17/SUM($I$17:$I$21),"")</f>
        <v>0.45764869365976812</v>
      </c>
      <c r="E17" s="787">
        <v>2998.3</v>
      </c>
      <c r="F17" s="787">
        <v>4026.9</v>
      </c>
      <c r="G17" s="787">
        <v>6069.3</v>
      </c>
      <c r="H17" s="787">
        <v>6555.2</v>
      </c>
      <c r="I17" s="787">
        <v>4314.3</v>
      </c>
      <c r="J17" s="64">
        <f>IFERROR((I17/E17)^(1/COUNT($E$4:$I$4))-1,"")</f>
        <v>7.5491670621355755E-2</v>
      </c>
      <c r="K17" s="96">
        <f t="shared" ref="K17:N22" si="9">IFERROR((F17-E17)/E17,"")</f>
        <v>0.34306106793849844</v>
      </c>
      <c r="L17" s="96">
        <f t="shared" si="9"/>
        <v>0.50718915294643518</v>
      </c>
      <c r="M17" s="96">
        <f t="shared" si="9"/>
        <v>8.0058655858171388E-2</v>
      </c>
      <c r="N17" s="96">
        <f t="shared" si="9"/>
        <v>-0.34185074444715641</v>
      </c>
    </row>
    <row r="18" spans="2:15" x14ac:dyDescent="0.3">
      <c r="B18" t="s">
        <v>95</v>
      </c>
      <c r="D18" s="65">
        <f>IFERROR(I18/SUM($I$17:$I$21),"")</f>
        <v>0.11461637194895567</v>
      </c>
      <c r="E18" s="787">
        <v>1191.2</v>
      </c>
      <c r="F18" s="787">
        <v>1206.9000000000001</v>
      </c>
      <c r="G18" s="787">
        <v>1880.7</v>
      </c>
      <c r="H18" s="787">
        <v>1619.5</v>
      </c>
      <c r="I18" s="787">
        <v>1080.5</v>
      </c>
      <c r="J18" s="64">
        <f>IFERROR((I18/E18)^(1/COUNT($E$4:$I$4))-1,"")</f>
        <v>-1.9318421786823081E-2</v>
      </c>
      <c r="K18" s="96">
        <f t="shared" ref="K18:N19" si="10">IFERROR((F18-E18)/E18,"")</f>
        <v>1.3179986568166593E-2</v>
      </c>
      <c r="L18" s="96">
        <f t="shared" si="10"/>
        <v>0.55828983345761862</v>
      </c>
      <c r="M18" s="96">
        <f t="shared" si="10"/>
        <v>-0.1388844579146063</v>
      </c>
      <c r="N18" s="96">
        <f t="shared" si="10"/>
        <v>-0.33281877122568693</v>
      </c>
    </row>
    <row r="19" spans="2:15" x14ac:dyDescent="0.3">
      <c r="B19" t="s">
        <v>96</v>
      </c>
      <c r="D19" s="65">
        <f>IFERROR(I19/SUM($I$17:$I$21),"")</f>
        <v>0.12781237071846061</v>
      </c>
      <c r="E19" s="785">
        <v>635.29999999999995</v>
      </c>
      <c r="F19" s="785">
        <v>836.3</v>
      </c>
      <c r="G19" s="787">
        <v>1548.4</v>
      </c>
      <c r="H19" s="787">
        <v>1215.5999999999999</v>
      </c>
      <c r="I19" s="787">
        <v>1204.9000000000001</v>
      </c>
      <c r="J19" s="64">
        <f>IFERROR((I19/E19)^(1/COUNT($E$4:$I$4))-1,"")</f>
        <v>0.13656539725173333</v>
      </c>
      <c r="K19" s="96">
        <f t="shared" si="10"/>
        <v>0.31638595938926495</v>
      </c>
      <c r="L19" s="96">
        <f t="shared" si="10"/>
        <v>0.85148870022719136</v>
      </c>
      <c r="M19" s="96">
        <f t="shared" si="10"/>
        <v>-0.21493154223714814</v>
      </c>
      <c r="N19" s="96">
        <f t="shared" si="10"/>
        <v>-8.8022375781505579E-3</v>
      </c>
    </row>
    <row r="20" spans="2:15" x14ac:dyDescent="0.3">
      <c r="B20" s="87" t="s">
        <v>97</v>
      </c>
      <c r="D20" s="65">
        <f t="shared" ref="D20:D21" si="11">IFERROR(I20/SUM($I$17:$I$21),"")</f>
        <v>0.29992256367281561</v>
      </c>
      <c r="E20" s="785">
        <v>778.3</v>
      </c>
      <c r="F20" s="787">
        <v>1248.2</v>
      </c>
      <c r="G20" s="787">
        <v>2515.5</v>
      </c>
      <c r="H20" s="787">
        <v>2915.2</v>
      </c>
      <c r="I20" s="787">
        <v>2827.4</v>
      </c>
      <c r="J20" s="64">
        <f t="shared" ref="J20:J22" si="12">IFERROR((I20/E20)^(1/COUNT($E$4:$I$4))-1,"")</f>
        <v>0.2943390222153599</v>
      </c>
      <c r="K20" s="96">
        <f t="shared" si="9"/>
        <v>0.60375176667094965</v>
      </c>
      <c r="L20" s="96">
        <f t="shared" si="9"/>
        <v>1.0153020349302995</v>
      </c>
      <c r="M20" s="96">
        <f t="shared" si="9"/>
        <v>0.15889485191810765</v>
      </c>
      <c r="N20" s="96">
        <f t="shared" si="9"/>
        <v>-3.0118002195389591E-2</v>
      </c>
    </row>
    <row r="21" spans="2:15" x14ac:dyDescent="0.3">
      <c r="B21" s="87"/>
      <c r="D21" s="65">
        <f t="shared" si="11"/>
        <v>0</v>
      </c>
      <c r="E21" s="93"/>
      <c r="F21" s="93"/>
      <c r="G21" s="93"/>
      <c r="H21" s="93"/>
      <c r="I21" s="93"/>
      <c r="J21" s="64" t="str">
        <f t="shared" si="12"/>
        <v/>
      </c>
      <c r="K21" s="96" t="str">
        <f t="shared" si="9"/>
        <v/>
      </c>
      <c r="L21" s="96" t="str">
        <f t="shared" si="9"/>
        <v/>
      </c>
      <c r="M21" s="96" t="str">
        <f t="shared" si="9"/>
        <v/>
      </c>
      <c r="N21" s="96" t="str">
        <f t="shared" si="9"/>
        <v/>
      </c>
    </row>
    <row r="22" spans="2:15" x14ac:dyDescent="0.3">
      <c r="B22" s="1" t="s">
        <v>93</v>
      </c>
      <c r="D22" s="94">
        <f>SUM(D17:D21)</f>
        <v>1</v>
      </c>
      <c r="E22" s="95">
        <f>SUM(E17:E21)</f>
        <v>5603.1</v>
      </c>
      <c r="F22" s="95">
        <f>SUM(F17:F21)</f>
        <v>7318.3</v>
      </c>
      <c r="G22" s="95">
        <f t="shared" ref="G22:I22" si="13">SUM(G17:G21)</f>
        <v>12013.9</v>
      </c>
      <c r="H22" s="95">
        <f t="shared" si="13"/>
        <v>12305.5</v>
      </c>
      <c r="I22" s="95">
        <f t="shared" si="13"/>
        <v>9427.1</v>
      </c>
      <c r="J22" s="67">
        <f t="shared" si="12"/>
        <v>0.10966004298776411</v>
      </c>
      <c r="K22" s="96">
        <f t="shared" si="9"/>
        <v>0.30611625707197798</v>
      </c>
      <c r="L22" s="96">
        <f t="shared" si="9"/>
        <v>0.64162442097208361</v>
      </c>
      <c r="M22" s="96">
        <f t="shared" si="9"/>
        <v>2.4271885066464709E-2</v>
      </c>
      <c r="N22" s="96">
        <f t="shared" si="9"/>
        <v>-0.23391166551541989</v>
      </c>
    </row>
    <row r="23" spans="2:15" ht="8.15" customHeight="1" x14ac:dyDescent="0.3">
      <c r="B23" s="1"/>
      <c r="D23" s="1"/>
      <c r="E23" s="95"/>
      <c r="F23" s="95"/>
      <c r="G23" s="95"/>
      <c r="H23" s="95"/>
      <c r="I23" s="95"/>
      <c r="J23" s="67"/>
      <c r="K23" s="1"/>
      <c r="L23" s="1"/>
      <c r="M23" s="1"/>
      <c r="N23" s="1"/>
    </row>
    <row r="24" spans="2:15" ht="15" customHeight="1" x14ac:dyDescent="0.35">
      <c r="B24" s="69" t="s">
        <v>98</v>
      </c>
      <c r="C24" s="70"/>
      <c r="D24" s="69" t="s">
        <v>99</v>
      </c>
      <c r="E24" s="70"/>
      <c r="F24" s="70"/>
      <c r="G24" s="70"/>
      <c r="H24" s="70"/>
      <c r="I24" s="70"/>
      <c r="J24" s="98" t="s">
        <v>100</v>
      </c>
      <c r="K24" s="99"/>
      <c r="L24" s="99"/>
      <c r="M24" s="99"/>
      <c r="N24" s="99"/>
    </row>
    <row r="25" spans="2:15" ht="4" customHeight="1" x14ac:dyDescent="0.35">
      <c r="B25" s="71"/>
      <c r="C25" s="71"/>
      <c r="D25" s="71"/>
      <c r="E25" s="71"/>
      <c r="F25" s="71"/>
      <c r="G25" s="71"/>
      <c r="H25" s="71"/>
      <c r="I25" s="71"/>
      <c r="J25" s="100"/>
      <c r="K25" s="100"/>
      <c r="L25" s="100"/>
      <c r="M25" s="100"/>
      <c r="N25" s="100"/>
    </row>
    <row r="26" spans="2:15" ht="40" customHeight="1" x14ac:dyDescent="0.3">
      <c r="B26" s="906" t="s">
        <v>94</v>
      </c>
      <c r="C26" s="906"/>
      <c r="D26" s="908" t="s">
        <v>101</v>
      </c>
      <c r="E26" s="908"/>
      <c r="F26" s="908"/>
      <c r="G26" s="908"/>
      <c r="H26" s="908"/>
      <c r="I26" s="908"/>
      <c r="J26" s="67"/>
      <c r="K26" s="1"/>
      <c r="L26" s="1"/>
      <c r="M26" s="1"/>
      <c r="N26" s="1"/>
    </row>
    <row r="27" spans="2:15" ht="40" customHeight="1" x14ac:dyDescent="0.3">
      <c r="B27" s="906" t="s">
        <v>97</v>
      </c>
      <c r="C27" s="906"/>
      <c r="D27" s="908" t="s">
        <v>102</v>
      </c>
      <c r="E27" s="908"/>
      <c r="F27" s="908"/>
      <c r="G27" s="908"/>
      <c r="H27" s="908"/>
      <c r="I27" s="908"/>
      <c r="J27" s="67"/>
      <c r="K27" s="1"/>
      <c r="L27" s="1"/>
      <c r="M27" s="1"/>
      <c r="N27" s="1"/>
    </row>
    <row r="28" spans="2:15" ht="40" customHeight="1" x14ac:dyDescent="0.3">
      <c r="B28" s="906" t="s">
        <v>96</v>
      </c>
      <c r="C28" s="906"/>
      <c r="D28" s="908" t="s">
        <v>103</v>
      </c>
      <c r="E28" s="908"/>
      <c r="F28" s="908"/>
      <c r="G28" s="908"/>
      <c r="H28" s="908"/>
      <c r="I28" s="908"/>
      <c r="J28" s="67"/>
      <c r="K28" s="1"/>
      <c r="L28" s="1"/>
      <c r="M28" s="1"/>
      <c r="N28" s="1"/>
    </row>
    <row r="29" spans="2:15" ht="40" hidden="1" customHeight="1" x14ac:dyDescent="0.3">
      <c r="B29" s="906" t="str">
        <f>IF(B20=0,"",B20)</f>
        <v>Automotive</v>
      </c>
      <c r="C29" s="906"/>
      <c r="D29" s="908"/>
      <c r="E29" s="908"/>
      <c r="F29" s="908"/>
      <c r="G29" s="908"/>
      <c r="H29" s="908"/>
      <c r="I29" s="908"/>
      <c r="J29" s="67"/>
      <c r="K29" s="1"/>
      <c r="L29" s="1"/>
      <c r="M29" s="1"/>
      <c r="N29" s="1"/>
    </row>
    <row r="30" spans="2:15" ht="40" hidden="1" customHeight="1" x14ac:dyDescent="0.3">
      <c r="B30" s="906" t="str">
        <f>IF(B21=0,"",B21)</f>
        <v/>
      </c>
      <c r="C30" s="906"/>
      <c r="D30" s="908"/>
      <c r="E30" s="908"/>
      <c r="F30" s="908"/>
      <c r="G30" s="908"/>
      <c r="H30" s="908"/>
      <c r="I30" s="908"/>
      <c r="J30" s="67"/>
      <c r="K30" s="1"/>
      <c r="L30" s="1"/>
      <c r="M30" s="1"/>
      <c r="N30" s="1"/>
    </row>
    <row r="31" spans="2:15" ht="8.15" customHeight="1" x14ac:dyDescent="0.3">
      <c r="E31" s="73"/>
      <c r="F31" s="73"/>
      <c r="G31" s="73"/>
      <c r="H31" s="73"/>
      <c r="I31" s="73"/>
      <c r="J31" s="101"/>
    </row>
    <row r="32" spans="2:15" ht="4" customHeight="1" x14ac:dyDescent="0.35">
      <c r="B32" s="71"/>
      <c r="C32" s="71"/>
      <c r="D32" s="71"/>
      <c r="E32" s="71"/>
      <c r="F32" s="71"/>
      <c r="G32" s="71"/>
      <c r="H32" s="71"/>
      <c r="I32" s="71"/>
      <c r="J32" s="100"/>
      <c r="K32" s="100"/>
      <c r="L32" s="100"/>
      <c r="M32" s="100"/>
      <c r="N32" s="100"/>
      <c r="O32" s="100"/>
    </row>
    <row r="33" spans="2:15" ht="40" customHeight="1" x14ac:dyDescent="0.3">
      <c r="B33" s="104"/>
      <c r="D33" s="909"/>
      <c r="E33" s="909"/>
      <c r="F33" s="909"/>
      <c r="G33" s="909"/>
      <c r="H33" s="909"/>
      <c r="I33" s="909"/>
      <c r="J33" s="909"/>
      <c r="K33" s="909"/>
      <c r="L33" s="909"/>
      <c r="M33" s="909"/>
      <c r="N33" s="909"/>
      <c r="O33" s="909"/>
    </row>
    <row r="34" spans="2:15" ht="40" customHeight="1" x14ac:dyDescent="0.3">
      <c r="B34" s="906"/>
      <c r="C34" s="906"/>
      <c r="D34" s="907"/>
      <c r="E34" s="907"/>
      <c r="F34" s="907"/>
      <c r="G34" s="907"/>
      <c r="H34" s="907"/>
      <c r="I34" s="907"/>
      <c r="J34" s="907"/>
      <c r="K34" s="907"/>
      <c r="L34" s="907"/>
      <c r="M34" s="907"/>
      <c r="N34" s="907"/>
    </row>
    <row r="35" spans="2:15" ht="40" customHeight="1" x14ac:dyDescent="0.3">
      <c r="B35" s="906"/>
      <c r="C35" s="906"/>
      <c r="D35" s="907"/>
      <c r="E35" s="907"/>
      <c r="F35" s="907"/>
      <c r="G35" s="907"/>
      <c r="H35" s="907"/>
      <c r="I35" s="907"/>
      <c r="J35" s="907"/>
      <c r="K35" s="907"/>
      <c r="L35" s="907"/>
      <c r="M35" s="907"/>
      <c r="N35" s="907"/>
    </row>
    <row r="36" spans="2:15" ht="40" customHeight="1" x14ac:dyDescent="0.3">
      <c r="B36" s="906"/>
      <c r="C36" s="906"/>
      <c r="D36" s="907"/>
      <c r="E36" s="907"/>
      <c r="F36" s="907"/>
      <c r="G36" s="907"/>
      <c r="H36" s="907"/>
      <c r="I36" s="907"/>
      <c r="J36" s="907"/>
      <c r="K36" s="907"/>
      <c r="L36" s="907"/>
      <c r="M36" s="907"/>
      <c r="N36" s="907"/>
    </row>
    <row r="37" spans="2:15" ht="40" customHeight="1" x14ac:dyDescent="0.3">
      <c r="B37" s="906"/>
      <c r="C37" s="906"/>
      <c r="D37" s="668"/>
    </row>
  </sheetData>
  <mergeCells count="18">
    <mergeCell ref="B34:C34"/>
    <mergeCell ref="D34:N34"/>
    <mergeCell ref="B26:C26"/>
    <mergeCell ref="D26:I26"/>
    <mergeCell ref="B27:C27"/>
    <mergeCell ref="D27:I27"/>
    <mergeCell ref="B28:C28"/>
    <mergeCell ref="D28:I28"/>
    <mergeCell ref="B29:C29"/>
    <mergeCell ref="D29:I29"/>
    <mergeCell ref="B30:C30"/>
    <mergeCell ref="D30:I30"/>
    <mergeCell ref="D33:O33"/>
    <mergeCell ref="B35:C35"/>
    <mergeCell ref="D35:N35"/>
    <mergeCell ref="B36:C36"/>
    <mergeCell ref="D36:N36"/>
    <mergeCell ref="B37:C37"/>
  </mergeCells>
  <conditionalFormatting sqref="D6:D12">
    <cfRule type="dataBar" priority="4">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3">
      <dataBar>
        <cfvo type="min"/>
        <cfvo type="max"/>
        <color rgb="FF63C384"/>
      </dataBar>
      <extLst>
        <ext xmlns:x14="http://schemas.microsoft.com/office/spreadsheetml/2009/9/main" uri="{B025F937-C7B1-47D3-B67F-A62EFF666E3E}">
          <x14:id>{04B6A2F1-BC24-4574-A417-F3A10D0855AC}</x14:id>
        </ext>
      </extLst>
    </cfRule>
  </conditionalFormatting>
  <conditionalFormatting sqref="K6:K12">
    <cfRule type="dataBar" priority="11">
      <dataBar>
        <cfvo type="min"/>
        <cfvo type="max"/>
        <color rgb="FF63C384"/>
      </dataBar>
      <extLst>
        <ext xmlns:x14="http://schemas.microsoft.com/office/spreadsheetml/2009/9/main" uri="{B025F937-C7B1-47D3-B67F-A62EFF666E3E}">
          <x14:id>{CE64AA8B-8C2B-4BA4-B159-A0DEB993C03C}</x14:id>
        </ext>
      </extLst>
    </cfRule>
  </conditionalFormatting>
  <conditionalFormatting sqref="K17:K22">
    <cfRule type="dataBar" priority="8">
      <dataBar>
        <cfvo type="min"/>
        <cfvo type="max"/>
        <color rgb="FF63C384"/>
      </dataBar>
      <extLst>
        <ext xmlns:x14="http://schemas.microsoft.com/office/spreadsheetml/2009/9/main" uri="{B025F937-C7B1-47D3-B67F-A62EFF666E3E}">
          <x14:id>{EBD56D69-4BB4-43B8-8D45-285F41F83244}</x14:id>
        </ext>
      </extLst>
    </cfRule>
  </conditionalFormatting>
  <conditionalFormatting sqref="L6:L12">
    <cfRule type="dataBar" priority="10">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7:L22">
    <cfRule type="dataBar" priority="7">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13">
    <cfRule type="dataBar" priority="9">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6">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3">
    <cfRule type="dataBar" priority="1">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5">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K6:K12</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L6:L12</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M6:M13</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B2:R73"/>
  <sheetViews>
    <sheetView showGridLines="0" topLeftCell="A23" zoomScale="90" zoomScaleNormal="78" workbookViewId="0">
      <selection activeCell="J76" sqref="J76"/>
    </sheetView>
  </sheetViews>
  <sheetFormatPr defaultColWidth="8.83203125" defaultRowHeight="14" x14ac:dyDescent="0.3"/>
  <cols>
    <col min="1" max="1" width="2.33203125" customWidth="1"/>
    <col min="2" max="2" width="22" customWidth="1"/>
    <col min="4" max="4" width="11" customWidth="1"/>
    <col min="5" max="5" width="13.08203125" customWidth="1"/>
    <col min="6" max="16" width="12.58203125" customWidth="1"/>
    <col min="17" max="17" width="21.58203125" style="6" customWidth="1"/>
    <col min="18" max="32" width="12.58203125" customWidth="1"/>
  </cols>
  <sheetData>
    <row r="2" spans="2:18" s="41" customFormat="1" ht="20.149999999999999" customHeight="1" x14ac:dyDescent="0.4">
      <c r="B2" s="40" t="s">
        <v>104</v>
      </c>
      <c r="Q2" s="42"/>
    </row>
    <row r="4" spans="2:18" ht="15.5" x14ac:dyDescent="0.35">
      <c r="B4" s="52" t="s">
        <v>105</v>
      </c>
      <c r="C4" s="56"/>
      <c r="D4" s="56"/>
      <c r="E4" s="52" t="s">
        <v>86</v>
      </c>
      <c r="F4" s="57">
        <v>2025</v>
      </c>
      <c r="G4" s="57">
        <f>+F4+1</f>
        <v>2026</v>
      </c>
      <c r="H4" s="57">
        <f>+G4+1</f>
        <v>2027</v>
      </c>
      <c r="I4" s="57">
        <f t="shared" ref="I4:P4" si="0">+H4+1</f>
        <v>2028</v>
      </c>
      <c r="J4" s="57">
        <f t="shared" si="0"/>
        <v>2029</v>
      </c>
      <c r="K4" s="57">
        <f t="shared" si="0"/>
        <v>2030</v>
      </c>
      <c r="L4" s="57">
        <f t="shared" si="0"/>
        <v>2031</v>
      </c>
      <c r="M4" s="57">
        <f t="shared" si="0"/>
        <v>2032</v>
      </c>
      <c r="N4" s="57">
        <f t="shared" si="0"/>
        <v>2033</v>
      </c>
      <c r="O4" s="57">
        <f t="shared" si="0"/>
        <v>2034</v>
      </c>
      <c r="P4" s="57">
        <f t="shared" si="0"/>
        <v>2035</v>
      </c>
      <c r="Q4" s="58" t="str">
        <f>"CAGR "&amp;$F$4&amp;" - "&amp;$P$4</f>
        <v>CAGR 2025 - 2035</v>
      </c>
      <c r="R4" s="59" t="s">
        <v>106</v>
      </c>
    </row>
    <row r="5" spans="2:18" ht="4" customHeight="1" x14ac:dyDescent="0.35">
      <c r="B5" s="53"/>
      <c r="C5" s="53"/>
      <c r="D5" s="53"/>
      <c r="E5" s="53"/>
      <c r="F5" s="53"/>
      <c r="G5" s="53"/>
      <c r="H5" s="53"/>
      <c r="I5" s="53"/>
      <c r="J5" s="53"/>
      <c r="K5" s="53"/>
      <c r="L5" s="53"/>
      <c r="M5" s="53"/>
      <c r="N5" s="53"/>
      <c r="O5" s="53"/>
      <c r="P5" s="53"/>
      <c r="Q5" s="60"/>
      <c r="R5" s="60"/>
    </row>
    <row r="6" spans="2:18" x14ac:dyDescent="0.3">
      <c r="D6" s="61"/>
      <c r="E6" s="62"/>
      <c r="F6" s="667"/>
      <c r="G6" s="667"/>
      <c r="H6" s="667"/>
      <c r="I6" s="667"/>
      <c r="J6" s="667"/>
      <c r="K6" s="667"/>
      <c r="L6" s="667"/>
      <c r="M6" s="667"/>
      <c r="N6" s="667"/>
      <c r="O6" s="667"/>
      <c r="P6" s="667"/>
      <c r="Q6" s="64"/>
      <c r="R6" s="65"/>
    </row>
    <row r="7" spans="2:18" x14ac:dyDescent="0.3">
      <c r="D7" s="61"/>
      <c r="E7" s="62"/>
      <c r="F7" s="667"/>
      <c r="G7" s="667"/>
      <c r="H7" s="667"/>
      <c r="I7" s="667"/>
      <c r="J7" s="667"/>
      <c r="K7" s="667"/>
      <c r="L7" s="667"/>
      <c r="M7" s="667"/>
      <c r="N7" s="667"/>
      <c r="O7" s="667"/>
      <c r="P7" s="667"/>
      <c r="Q7" s="64"/>
      <c r="R7" s="65"/>
    </row>
    <row r="8" spans="2:18" x14ac:dyDescent="0.3">
      <c r="D8" s="61"/>
      <c r="E8" s="62"/>
      <c r="F8" s="63"/>
      <c r="G8" s="63"/>
      <c r="H8" s="63"/>
      <c r="I8" s="63"/>
      <c r="J8" s="63"/>
      <c r="K8" s="63"/>
      <c r="L8" s="63"/>
      <c r="M8" s="63"/>
      <c r="N8" s="63"/>
      <c r="O8" s="63"/>
      <c r="P8" s="63"/>
      <c r="Q8" s="64"/>
      <c r="R8" s="65"/>
    </row>
    <row r="9" spans="2:18" x14ac:dyDescent="0.3">
      <c r="D9" s="61"/>
      <c r="E9" s="62"/>
      <c r="F9" s="62"/>
      <c r="G9" s="62"/>
      <c r="H9" s="62"/>
      <c r="I9" s="62"/>
      <c r="J9" s="62"/>
      <c r="K9" s="62"/>
      <c r="L9" s="62"/>
      <c r="M9" s="62"/>
      <c r="N9" s="62"/>
      <c r="O9" s="62"/>
      <c r="P9" s="62"/>
      <c r="Q9" s="64"/>
      <c r="R9" s="65"/>
    </row>
    <row r="10" spans="2:18" x14ac:dyDescent="0.3">
      <c r="D10" s="61"/>
      <c r="E10" s="62"/>
      <c r="F10" s="62"/>
      <c r="G10" s="62"/>
      <c r="H10" s="62"/>
      <c r="I10" s="62"/>
      <c r="J10" s="62"/>
      <c r="K10" s="62"/>
      <c r="L10" s="62"/>
      <c r="M10" s="62"/>
      <c r="N10" s="62"/>
      <c r="O10" s="62"/>
      <c r="P10" s="62"/>
      <c r="Q10" s="64"/>
      <c r="R10" s="65"/>
    </row>
    <row r="11" spans="2:18" x14ac:dyDescent="0.3">
      <c r="B11" s="1" t="s">
        <v>107</v>
      </c>
      <c r="E11" s="66">
        <f>SUM(E6:E10)</f>
        <v>0</v>
      </c>
      <c r="F11" s="66">
        <f t="shared" ref="F11:P11" si="1">SUMPRODUCT(F6:F10,$E$6:$E$10)</f>
        <v>0</v>
      </c>
      <c r="G11" s="66">
        <f t="shared" si="1"/>
        <v>0</v>
      </c>
      <c r="H11" s="66">
        <f t="shared" si="1"/>
        <v>0</v>
      </c>
      <c r="I11" s="66">
        <f t="shared" si="1"/>
        <v>0</v>
      </c>
      <c r="J11" s="66">
        <f t="shared" si="1"/>
        <v>0</v>
      </c>
      <c r="K11" s="66">
        <f t="shared" si="1"/>
        <v>0</v>
      </c>
      <c r="L11" s="66">
        <f t="shared" si="1"/>
        <v>0</v>
      </c>
      <c r="M11" s="66">
        <f t="shared" si="1"/>
        <v>0</v>
      </c>
      <c r="N11" s="66">
        <f t="shared" si="1"/>
        <v>0</v>
      </c>
      <c r="O11" s="66">
        <f t="shared" si="1"/>
        <v>0</v>
      </c>
      <c r="P11" s="66">
        <f t="shared" si="1"/>
        <v>0</v>
      </c>
      <c r="Q11" s="67">
        <f t="shared" ref="Q11" si="2">IFERROR(((1+F11)*(1+G11)*(1+H11)*(1+I11)*(1+J11)*(1+K11)*(1+L11)*(1+M11)*(1+N11)*(1+O11)*(1+P11))^(1/COUNT($F$4:$P$4))-1,"")</f>
        <v>0</v>
      </c>
      <c r="R11" s="68"/>
    </row>
    <row r="12" spans="2:18" ht="8.15" customHeight="1" x14ac:dyDescent="0.3"/>
    <row r="13" spans="2:18" ht="15" customHeight="1" x14ac:dyDescent="0.35">
      <c r="B13" s="69" t="s">
        <v>108</v>
      </c>
      <c r="C13" s="70"/>
      <c r="D13" s="70"/>
      <c r="E13" s="69" t="s">
        <v>99</v>
      </c>
      <c r="F13" s="70"/>
      <c r="G13" s="70"/>
      <c r="H13" s="70"/>
      <c r="I13" s="70"/>
      <c r="J13" s="70"/>
      <c r="K13" s="70"/>
      <c r="L13" s="70"/>
      <c r="M13" s="70"/>
      <c r="N13" s="70"/>
      <c r="O13" s="70"/>
      <c r="P13" s="70"/>
      <c r="Q13"/>
      <c r="R13" s="67"/>
    </row>
    <row r="14" spans="2:18" ht="4" customHeight="1" x14ac:dyDescent="0.35">
      <c r="B14" s="71"/>
      <c r="C14" s="71"/>
      <c r="D14" s="71"/>
      <c r="E14" s="71"/>
      <c r="F14" s="71"/>
      <c r="G14" s="71"/>
      <c r="H14" s="71"/>
      <c r="I14" s="71"/>
      <c r="J14" s="71"/>
      <c r="K14" s="71"/>
      <c r="L14" s="71"/>
      <c r="M14" s="71"/>
      <c r="N14" s="71"/>
      <c r="O14" s="71"/>
      <c r="P14" s="71"/>
      <c r="Q14" s="67"/>
      <c r="R14" s="67"/>
    </row>
    <row r="15" spans="2:18" ht="40" customHeight="1" x14ac:dyDescent="0.3">
      <c r="B15" s="906" t="s">
        <v>109</v>
      </c>
      <c r="C15" s="906"/>
      <c r="D15" s="72"/>
      <c r="E15" s="908" t="s">
        <v>110</v>
      </c>
      <c r="F15" s="908"/>
      <c r="G15" s="908"/>
      <c r="H15" s="908"/>
      <c r="I15" s="908"/>
      <c r="J15" s="908"/>
      <c r="K15" s="908"/>
      <c r="L15" s="908"/>
      <c r="M15" s="908"/>
      <c r="N15" s="908"/>
      <c r="O15" s="908"/>
      <c r="P15" s="908"/>
      <c r="Q15" s="67"/>
      <c r="R15" s="1"/>
    </row>
    <row r="16" spans="2:18" ht="40" customHeight="1" x14ac:dyDescent="0.3">
      <c r="B16" s="906" t="s">
        <v>111</v>
      </c>
      <c r="C16" s="906"/>
      <c r="D16" s="72"/>
      <c r="E16" s="908" t="s">
        <v>112</v>
      </c>
      <c r="F16" s="908"/>
      <c r="G16" s="908"/>
      <c r="H16" s="908"/>
      <c r="I16" s="908"/>
      <c r="J16" s="908"/>
      <c r="K16" s="908"/>
      <c r="L16" s="908"/>
      <c r="M16" s="908"/>
      <c r="N16" s="908"/>
      <c r="O16" s="908"/>
      <c r="P16" s="908"/>
    </row>
    <row r="17" spans="2:16" ht="40" customHeight="1" x14ac:dyDescent="0.3">
      <c r="B17" s="906" t="s">
        <v>113</v>
      </c>
      <c r="C17" s="906"/>
      <c r="D17" s="72"/>
      <c r="E17" s="908" t="s">
        <v>114</v>
      </c>
      <c r="F17" s="908"/>
      <c r="G17" s="908"/>
      <c r="H17" s="908"/>
      <c r="I17" s="908"/>
      <c r="J17" s="908"/>
      <c r="K17" s="908"/>
      <c r="L17" s="908"/>
      <c r="M17" s="908"/>
      <c r="N17" s="908"/>
      <c r="O17" s="908"/>
      <c r="P17" s="908"/>
    </row>
    <row r="18" spans="2:16" ht="40" customHeight="1" x14ac:dyDescent="0.3">
      <c r="B18" s="906" t="s">
        <v>115</v>
      </c>
      <c r="C18" s="906"/>
      <c r="D18" s="72"/>
      <c r="E18" s="908" t="s">
        <v>116</v>
      </c>
      <c r="F18" s="908"/>
      <c r="G18" s="908"/>
      <c r="H18" s="908"/>
      <c r="I18" s="908"/>
      <c r="J18" s="908"/>
      <c r="K18" s="908"/>
      <c r="L18" s="908"/>
      <c r="M18" s="908"/>
      <c r="N18" s="908"/>
      <c r="O18" s="908"/>
      <c r="P18" s="908"/>
    </row>
    <row r="19" spans="2:16" ht="8.15" customHeight="1" x14ac:dyDescent="0.3">
      <c r="F19" s="73"/>
      <c r="G19" s="73"/>
      <c r="H19" s="73"/>
      <c r="I19" s="73"/>
      <c r="J19" s="73"/>
      <c r="K19" s="73"/>
      <c r="L19" s="73"/>
      <c r="M19" s="73"/>
      <c r="N19" s="73"/>
      <c r="O19" s="73"/>
      <c r="P19" s="73"/>
    </row>
    <row r="20" spans="2:16" ht="15.5" x14ac:dyDescent="0.35">
      <c r="B20" s="69" t="s">
        <v>117</v>
      </c>
      <c r="C20" s="70"/>
      <c r="D20" s="70"/>
      <c r="E20" s="69" t="s">
        <v>99</v>
      </c>
      <c r="F20" s="70"/>
      <c r="G20" s="70"/>
      <c r="H20" s="70"/>
      <c r="I20" s="70"/>
      <c r="J20" s="70"/>
      <c r="K20" s="70"/>
      <c r="L20" s="70"/>
      <c r="M20" s="70"/>
      <c r="N20" s="70"/>
      <c r="O20" s="70"/>
      <c r="P20" s="70"/>
    </row>
    <row r="21" spans="2:16" ht="4" customHeight="1" x14ac:dyDescent="0.35">
      <c r="B21" s="71"/>
      <c r="C21" s="71"/>
      <c r="D21" s="71"/>
      <c r="E21" s="71"/>
      <c r="F21" s="71"/>
      <c r="G21" s="71"/>
      <c r="H21" s="71"/>
      <c r="I21" s="71"/>
      <c r="J21" s="71"/>
      <c r="K21" s="71"/>
      <c r="L21" s="71"/>
      <c r="M21" s="71"/>
      <c r="N21" s="71"/>
      <c r="O21" s="71"/>
      <c r="P21" s="71"/>
    </row>
    <row r="22" spans="2:16" ht="40" customHeight="1" x14ac:dyDescent="0.3">
      <c r="B22" s="906" t="s">
        <v>118</v>
      </c>
      <c r="C22" s="906"/>
      <c r="D22" s="72"/>
      <c r="E22" s="908" t="s">
        <v>119</v>
      </c>
      <c r="F22" s="908"/>
      <c r="G22" s="908"/>
      <c r="H22" s="908"/>
      <c r="I22" s="908"/>
      <c r="J22" s="908"/>
      <c r="K22" s="908"/>
      <c r="L22" s="908"/>
      <c r="M22" s="908"/>
      <c r="N22" s="908"/>
      <c r="O22" s="908"/>
      <c r="P22" s="908"/>
    </row>
    <row r="23" spans="2:16" ht="40" customHeight="1" x14ac:dyDescent="0.3">
      <c r="B23" s="906" t="s">
        <v>120</v>
      </c>
      <c r="C23" s="906"/>
      <c r="D23" s="72"/>
      <c r="E23" s="908" t="s">
        <v>121</v>
      </c>
      <c r="F23" s="908"/>
      <c r="G23" s="908"/>
      <c r="H23" s="908"/>
      <c r="I23" s="908"/>
      <c r="J23" s="908"/>
      <c r="K23" s="908"/>
      <c r="L23" s="908"/>
      <c r="M23" s="908"/>
      <c r="N23" s="908"/>
      <c r="O23" s="908"/>
      <c r="P23" s="908"/>
    </row>
    <row r="24" spans="2:16" ht="40" hidden="1" customHeight="1" x14ac:dyDescent="0.3">
      <c r="B24" s="906"/>
      <c r="C24" s="906"/>
      <c r="D24" s="72"/>
      <c r="E24" s="908"/>
      <c r="F24" s="908"/>
      <c r="G24" s="908"/>
      <c r="H24" s="908"/>
      <c r="I24" s="908"/>
      <c r="J24" s="908"/>
      <c r="K24" s="908"/>
      <c r="L24" s="908"/>
      <c r="M24" s="908"/>
      <c r="N24" s="908"/>
      <c r="O24" s="908"/>
      <c r="P24" s="908"/>
    </row>
    <row r="25" spans="2:16" ht="8.15" customHeight="1" x14ac:dyDescent="0.3">
      <c r="B25" s="906"/>
      <c r="C25" s="906"/>
      <c r="D25" s="72"/>
      <c r="E25" s="908"/>
      <c r="F25" s="908"/>
      <c r="G25" s="908"/>
      <c r="H25" s="908"/>
      <c r="I25" s="908"/>
      <c r="J25" s="908"/>
      <c r="K25" s="908"/>
      <c r="L25" s="908"/>
      <c r="M25" s="908"/>
      <c r="N25" s="908"/>
      <c r="O25" s="908"/>
      <c r="P25" s="908"/>
    </row>
    <row r="26" spans="2:16" ht="15.5" x14ac:dyDescent="0.35">
      <c r="B26" s="52" t="s">
        <v>122</v>
      </c>
      <c r="C26" s="56"/>
      <c r="D26" s="56"/>
      <c r="E26" s="52" t="s">
        <v>123</v>
      </c>
      <c r="F26" s="52"/>
      <c r="G26" s="74" t="s">
        <v>124</v>
      </c>
      <c r="H26" s="75" t="s">
        <v>125</v>
      </c>
      <c r="I26" s="57" t="s">
        <v>122</v>
      </c>
      <c r="J26" s="57"/>
      <c r="K26" s="57"/>
      <c r="L26" s="57"/>
      <c r="M26" s="57"/>
      <c r="N26" s="57"/>
      <c r="O26" s="57"/>
      <c r="P26" s="57"/>
    </row>
    <row r="27" spans="2:16" ht="4" customHeight="1" x14ac:dyDescent="0.35">
      <c r="B27" s="53"/>
      <c r="C27" s="53"/>
      <c r="D27" s="53"/>
      <c r="E27" s="53"/>
      <c r="F27" s="53"/>
      <c r="G27" s="53"/>
      <c r="H27" s="53"/>
      <c r="I27" s="53"/>
      <c r="J27" s="53"/>
      <c r="K27" s="53"/>
      <c r="L27" s="53"/>
      <c r="M27" s="53"/>
      <c r="N27" s="53"/>
      <c r="O27" s="53"/>
      <c r="P27" s="53"/>
    </row>
    <row r="28" spans="2:16" x14ac:dyDescent="0.3">
      <c r="B28" s="76" t="str" cm="1">
        <f t="array" aca="1" ref="B28" ca="1">+_FV(DCF!R4,"Name")</f>
        <v>ANALOG DEVICES, INC.</v>
      </c>
      <c r="C28" s="76"/>
      <c r="D28" s="76"/>
      <c r="E28" s="77"/>
      <c r="F28" s="77"/>
      <c r="G28" s="78" cm="1">
        <f t="array" ref="G28:G38">TRANSPOSE(Peers!D97:N97)</f>
        <v>9427.2000000000007</v>
      </c>
      <c r="H28" s="76"/>
      <c r="I28" s="79">
        <f t="shared" ref="I28:I35" si="3">IFERROR(G28/$G$40,"")</f>
        <v>0.10059972254828728</v>
      </c>
    </row>
    <row r="29" spans="2:16" x14ac:dyDescent="0.3">
      <c r="B29" t="str" cm="1">
        <f t="array" aca="1" ref="B29" ca="1">+_FV(Peers!A8,"Name")</f>
        <v>TEXAS INSTRUMENTS INCORPORATED</v>
      </c>
      <c r="E29" s="80"/>
      <c r="F29" s="80"/>
      <c r="G29" s="81">
        <v>15641</v>
      </c>
      <c r="I29" s="82">
        <f t="shared" si="3"/>
        <v>0.16690854764699606</v>
      </c>
    </row>
    <row r="30" spans="2:16" x14ac:dyDescent="0.3">
      <c r="B30" t="str" cm="1">
        <f t="array" aca="1" ref="B30" ca="1">+_FV(Peers!A9,"Name")</f>
        <v>MICROCHIP TECHNOLOGY INCORPORATED</v>
      </c>
      <c r="E30" s="80"/>
      <c r="F30" s="80"/>
      <c r="G30" s="81">
        <v>7634.4</v>
      </c>
      <c r="I30" s="82">
        <f t="shared" si="3"/>
        <v>8.1468359833528972E-2</v>
      </c>
    </row>
    <row r="31" spans="2:16" x14ac:dyDescent="0.3">
      <c r="B31" t="str" cm="1">
        <f t="array" aca="1" ref="B31" ca="1">+_FV(Peers!A10,"Name")</f>
        <v>MONOLITHIC POWER SYSTEMS, INC.</v>
      </c>
      <c r="E31" s="80"/>
      <c r="F31" s="80"/>
      <c r="G31" s="81">
        <v>2207.1</v>
      </c>
      <c r="I31" s="82">
        <f t="shared" si="3"/>
        <v>2.3552449044925833E-2</v>
      </c>
    </row>
    <row r="32" spans="2:16" x14ac:dyDescent="0.3">
      <c r="B32" t="str" cm="1">
        <f t="array" aca="1" ref="B32" ca="1">+_FV(Peers!A11,"Name")</f>
        <v>SKYWORKS SOLUTIONS, INC.</v>
      </c>
      <c r="E32" s="80"/>
      <c r="F32" s="80"/>
      <c r="G32" s="81">
        <v>4178</v>
      </c>
      <c r="I32" s="82">
        <f t="shared" si="3"/>
        <v>4.4584355991889875E-2</v>
      </c>
    </row>
    <row r="33" spans="2:16" x14ac:dyDescent="0.3">
      <c r="B33" t="str" cm="1">
        <f t="array" aca="1" ref="B33" ca="1">+_FV(Peers!A12,"Name")</f>
        <v>MACOM TECHNOLOGY SOLUTIONS HOLDINGS, INC.</v>
      </c>
      <c r="E33" s="80"/>
      <c r="F33" s="80"/>
      <c r="G33" s="81">
        <v>729.57799999999997</v>
      </c>
      <c r="I33" s="82">
        <f t="shared" si="3"/>
        <v>7.7854871411802366E-3</v>
      </c>
    </row>
    <row r="34" spans="2:16" x14ac:dyDescent="0.3">
      <c r="B34" t="str" cm="1">
        <f t="array" aca="1" ref="B34" ca="1">+_FV(Peers!A13,"Name")</f>
        <v>MARVELL TECHNOLOGY, INC.</v>
      </c>
      <c r="E34" s="80"/>
      <c r="F34" s="80"/>
      <c r="G34" s="81">
        <v>5508</v>
      </c>
      <c r="I34" s="82">
        <f t="shared" si="3"/>
        <v>5.8777078220040552E-2</v>
      </c>
    </row>
    <row r="35" spans="2:16" x14ac:dyDescent="0.3">
      <c r="B35" t="e" cm="1" vm="1">
        <f t="array" ref="B35">+_FV(Peers!A14,"Name")</f>
        <v>#VALUE!</v>
      </c>
      <c r="E35" s="80"/>
      <c r="F35" s="80"/>
      <c r="G35" s="81">
        <v>0</v>
      </c>
      <c r="I35" s="82">
        <f t="shared" si="3"/>
        <v>0</v>
      </c>
    </row>
    <row r="36" spans="2:16" x14ac:dyDescent="0.3">
      <c r="B36" t="e" cm="1" vm="1">
        <f t="array" ref="B36">+_FV(Peers!A15,"Name")</f>
        <v>#VALUE!</v>
      </c>
      <c r="E36" s="80"/>
      <c r="F36" s="80"/>
      <c r="G36" s="81">
        <v>0</v>
      </c>
      <c r="I36" s="82">
        <f>IFERROR(G36/$G$40,"")</f>
        <v>0</v>
      </c>
    </row>
    <row r="37" spans="2:16" x14ac:dyDescent="0.3">
      <c r="B37" t="e" cm="1" vm="1">
        <f t="array" ref="B37">+_FV(Peers!A16,"Name")</f>
        <v>#VALUE!</v>
      </c>
      <c r="E37" s="80"/>
      <c r="F37" s="80"/>
      <c r="G37" s="81">
        <v>0</v>
      </c>
      <c r="I37" s="83">
        <f>IFERROR(G37/$G$40,"")</f>
        <v>0</v>
      </c>
    </row>
    <row r="38" spans="2:16" x14ac:dyDescent="0.3">
      <c r="B38" t="e" cm="1" vm="1">
        <f t="array" ref="B38">+_FV(Peers!A17,"Name")</f>
        <v>#VALUE!</v>
      </c>
      <c r="E38" s="80"/>
      <c r="F38" s="80"/>
      <c r="G38" s="81">
        <v>0</v>
      </c>
      <c r="I38" s="83">
        <f>IFERROR(G38/$G$40,"")</f>
        <v>0</v>
      </c>
    </row>
    <row r="39" spans="2:16" x14ac:dyDescent="0.3">
      <c r="B39" s="38" t="s">
        <v>126</v>
      </c>
      <c r="C39" s="38"/>
      <c r="D39" s="38"/>
      <c r="E39" s="84" t="s">
        <v>127</v>
      </c>
      <c r="F39" s="38"/>
      <c r="G39" s="85">
        <f>G40-SUM(G28:G38)</f>
        <v>48384.722000000002</v>
      </c>
      <c r="H39" s="38"/>
      <c r="I39" s="86">
        <f t="shared" ref="I39" si="4">IFERROR(G39/$G$40,"")</f>
        <v>0.51632399957315123</v>
      </c>
    </row>
    <row r="40" spans="2:16" x14ac:dyDescent="0.3">
      <c r="B40" s="1" t="s">
        <v>128</v>
      </c>
      <c r="E40" s="87" t="s">
        <v>127</v>
      </c>
      <c r="G40" s="81">
        <v>93710</v>
      </c>
      <c r="H40" s="27"/>
      <c r="I40" s="88">
        <v>1</v>
      </c>
    </row>
    <row r="41" spans="2:16" ht="8.15" customHeight="1" x14ac:dyDescent="0.3"/>
    <row r="42" spans="2:16" ht="15.5" x14ac:dyDescent="0.35">
      <c r="B42" s="52" t="s">
        <v>129</v>
      </c>
      <c r="C42" s="56"/>
      <c r="D42" s="52"/>
      <c r="E42" s="52" t="s">
        <v>130</v>
      </c>
      <c r="F42" s="57"/>
      <c r="G42" s="57"/>
      <c r="H42" s="910" t="s">
        <v>131</v>
      </c>
      <c r="I42" s="910"/>
      <c r="J42" s="57"/>
      <c r="K42" s="57"/>
      <c r="P42" s="89"/>
    </row>
    <row r="43" spans="2:16" ht="4" customHeight="1" x14ac:dyDescent="0.35">
      <c r="B43" s="53"/>
      <c r="C43" s="53"/>
      <c r="D43" s="53"/>
      <c r="E43" s="53"/>
      <c r="F43" s="53"/>
      <c r="G43" s="53"/>
      <c r="H43" s="53"/>
      <c r="I43" s="53"/>
      <c r="J43" s="53"/>
      <c r="K43" s="53"/>
    </row>
    <row r="44" spans="2:16" x14ac:dyDescent="0.3">
      <c r="B44" s="1" t="s">
        <v>132</v>
      </c>
      <c r="E44" s="401">
        <f>IFERROR(AVERAGE(E45:E50),"")</f>
        <v>4</v>
      </c>
    </row>
    <row r="45" spans="2:16" x14ac:dyDescent="0.3">
      <c r="B45" s="25" t="s">
        <v>133</v>
      </c>
      <c r="E45" s="91">
        <v>5</v>
      </c>
    </row>
    <row r="46" spans="2:16" x14ac:dyDescent="0.3">
      <c r="B46" s="25" t="s">
        <v>134</v>
      </c>
      <c r="E46" s="91">
        <v>5</v>
      </c>
    </row>
    <row r="47" spans="2:16" x14ac:dyDescent="0.3">
      <c r="B47" s="25" t="s">
        <v>135</v>
      </c>
      <c r="E47" s="91">
        <v>5</v>
      </c>
    </row>
    <row r="48" spans="2:16" x14ac:dyDescent="0.3">
      <c r="B48" s="25" t="s">
        <v>136</v>
      </c>
      <c r="E48" s="91">
        <v>3</v>
      </c>
    </row>
    <row r="49" spans="2:5" x14ac:dyDescent="0.3">
      <c r="B49" s="25" t="s">
        <v>137</v>
      </c>
      <c r="E49" s="91">
        <v>3</v>
      </c>
    </row>
    <row r="50" spans="2:5" x14ac:dyDescent="0.3">
      <c r="B50" s="25" t="s">
        <v>138</v>
      </c>
      <c r="E50" s="91">
        <v>3</v>
      </c>
    </row>
    <row r="51" spans="2:5" x14ac:dyDescent="0.3">
      <c r="B51" s="1" t="s">
        <v>139</v>
      </c>
      <c r="E51" s="90">
        <f>IFERROR(AVERAGE(E52:E56),"")</f>
        <v>3</v>
      </c>
    </row>
    <row r="52" spans="2:5" x14ac:dyDescent="0.3">
      <c r="B52" s="25" t="s">
        <v>140</v>
      </c>
      <c r="E52" s="91">
        <v>3</v>
      </c>
    </row>
    <row r="53" spans="2:5" x14ac:dyDescent="0.3">
      <c r="B53" s="25" t="s">
        <v>141</v>
      </c>
      <c r="E53" s="91">
        <v>3</v>
      </c>
    </row>
    <row r="54" spans="2:5" x14ac:dyDescent="0.3">
      <c r="B54" s="25" t="s">
        <v>142</v>
      </c>
      <c r="E54" s="91">
        <v>3</v>
      </c>
    </row>
    <row r="55" spans="2:5" x14ac:dyDescent="0.3">
      <c r="B55" s="25" t="s">
        <v>143</v>
      </c>
      <c r="E55" s="91">
        <v>1</v>
      </c>
    </row>
    <row r="56" spans="2:5" x14ac:dyDescent="0.3">
      <c r="B56" s="25" t="s">
        <v>144</v>
      </c>
      <c r="E56" s="91">
        <v>5</v>
      </c>
    </row>
    <row r="57" spans="2:5" x14ac:dyDescent="0.3">
      <c r="B57" s="1" t="s">
        <v>145</v>
      </c>
      <c r="E57" s="90">
        <f>IFERROR(AVERAGE(E58:E62),"")</f>
        <v>3</v>
      </c>
    </row>
    <row r="58" spans="2:5" x14ac:dyDescent="0.3">
      <c r="B58" s="25" t="s">
        <v>146</v>
      </c>
      <c r="E58" s="91">
        <v>2</v>
      </c>
    </row>
    <row r="59" spans="2:5" x14ac:dyDescent="0.3">
      <c r="B59" s="25" t="s">
        <v>147</v>
      </c>
      <c r="E59" s="91">
        <v>3</v>
      </c>
    </row>
    <row r="60" spans="2:5" x14ac:dyDescent="0.3">
      <c r="B60" s="25" t="s">
        <v>138</v>
      </c>
      <c r="E60" s="91">
        <v>3</v>
      </c>
    </row>
    <row r="61" spans="2:5" x14ac:dyDescent="0.3">
      <c r="B61" s="25" t="s">
        <v>148</v>
      </c>
      <c r="E61" s="91">
        <v>3</v>
      </c>
    </row>
    <row r="62" spans="2:5" x14ac:dyDescent="0.3">
      <c r="B62" s="25" t="s">
        <v>149</v>
      </c>
      <c r="E62" s="91">
        <v>4</v>
      </c>
    </row>
    <row r="63" spans="2:5" x14ac:dyDescent="0.3">
      <c r="B63" s="1" t="s">
        <v>150</v>
      </c>
      <c r="E63" s="90">
        <f>IFERROR(AVERAGE(E64:E68),"")</f>
        <v>3.4</v>
      </c>
    </row>
    <row r="64" spans="2:5" x14ac:dyDescent="0.3">
      <c r="B64" s="25" t="s">
        <v>151</v>
      </c>
      <c r="E64" s="91">
        <v>4</v>
      </c>
    </row>
    <row r="65" spans="2:5" x14ac:dyDescent="0.3">
      <c r="B65" s="25" t="s">
        <v>152</v>
      </c>
      <c r="E65" s="91">
        <v>2</v>
      </c>
    </row>
    <row r="66" spans="2:5" x14ac:dyDescent="0.3">
      <c r="B66" s="25" t="s">
        <v>153</v>
      </c>
      <c r="E66" s="91">
        <v>4</v>
      </c>
    </row>
    <row r="67" spans="2:5" x14ac:dyDescent="0.3">
      <c r="B67" s="25" t="s">
        <v>154</v>
      </c>
      <c r="E67" s="91">
        <v>3</v>
      </c>
    </row>
    <row r="68" spans="2:5" x14ac:dyDescent="0.3">
      <c r="B68" s="25" t="s">
        <v>155</v>
      </c>
      <c r="E68" s="91">
        <v>4</v>
      </c>
    </row>
    <row r="69" spans="2:5" x14ac:dyDescent="0.3">
      <c r="B69" s="1" t="s">
        <v>156</v>
      </c>
      <c r="E69" s="90">
        <f>IFERROR(AVERAGE(E70:E74),"")</f>
        <v>2.25</v>
      </c>
    </row>
    <row r="70" spans="2:5" x14ac:dyDescent="0.3">
      <c r="B70" s="25" t="s">
        <v>157</v>
      </c>
      <c r="E70" s="91">
        <v>2</v>
      </c>
    </row>
    <row r="71" spans="2:5" x14ac:dyDescent="0.3">
      <c r="B71" s="25" t="s">
        <v>158</v>
      </c>
      <c r="E71" s="91">
        <v>2</v>
      </c>
    </row>
    <row r="72" spans="2:5" x14ac:dyDescent="0.3">
      <c r="B72" s="25" t="s">
        <v>159</v>
      </c>
      <c r="E72" s="91">
        <v>3</v>
      </c>
    </row>
    <row r="73" spans="2:5" x14ac:dyDescent="0.3">
      <c r="B73" s="25" t="s">
        <v>160</v>
      </c>
      <c r="E73" s="91">
        <v>2</v>
      </c>
    </row>
  </sheetData>
  <mergeCells count="17">
    <mergeCell ref="B22:C22"/>
    <mergeCell ref="E22:P22"/>
    <mergeCell ref="B23:C23"/>
    <mergeCell ref="E23:P23"/>
    <mergeCell ref="H42:I42"/>
    <mergeCell ref="B24:C24"/>
    <mergeCell ref="E24:P24"/>
    <mergeCell ref="B25:C25"/>
    <mergeCell ref="E25:P25"/>
    <mergeCell ref="B18:C18"/>
    <mergeCell ref="E18:P18"/>
    <mergeCell ref="B15:C15"/>
    <mergeCell ref="E15:P15"/>
    <mergeCell ref="B16:C16"/>
    <mergeCell ref="E16:P16"/>
    <mergeCell ref="B17:C17"/>
    <mergeCell ref="E17:P17"/>
  </mergeCells>
  <conditionalFormatting sqref="I28:I3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10">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6:R10">
    <cfRule type="dataBar" priority="88">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89">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0">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91">
      <dataBar>
        <cfvo type="min"/>
        <cfvo type="max"/>
        <color rgb="FF63C384"/>
      </dataBar>
      <extLst>
        <ext xmlns:x14="http://schemas.microsoft.com/office/spreadsheetml/2009/9/main" uri="{B025F937-C7B1-47D3-B67F-A62EFF666E3E}">
          <x14:id>{CCBBEFF5-0753-47A4-B215-F44790A6C2E6}</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tint="0.59999389629810485"/>
  </sheetPr>
  <dimension ref="A1:AZ143"/>
  <sheetViews>
    <sheetView showGridLines="0" topLeftCell="A107" zoomScale="91" zoomScaleNormal="68" workbookViewId="0">
      <selection activeCell="K91" sqref="K91"/>
    </sheetView>
  </sheetViews>
  <sheetFormatPr defaultColWidth="9" defaultRowHeight="14.25" customHeight="1" x14ac:dyDescent="0.3"/>
  <cols>
    <col min="1" max="1" width="1.83203125" style="378" customWidth="1"/>
    <col min="2" max="2" width="31" style="378" customWidth="1"/>
    <col min="3" max="3" width="6.33203125" style="378" customWidth="1"/>
    <col min="4" max="15" width="19.58203125" style="378" customWidth="1"/>
    <col min="16" max="16384" width="9" style="378"/>
  </cols>
  <sheetData>
    <row r="1" spans="1:52" s="377" customFormat="1" ht="12" customHeight="1" x14ac:dyDescent="0.3">
      <c r="A1" s="402"/>
      <c r="B1" s="402"/>
      <c r="C1" s="403"/>
      <c r="D1" s="402"/>
      <c r="E1" s="402"/>
      <c r="F1" s="402"/>
      <c r="G1" s="402"/>
      <c r="H1" s="402"/>
      <c r="I1" s="402"/>
      <c r="J1" s="402"/>
      <c r="K1" s="402"/>
      <c r="L1" s="402"/>
      <c r="M1" s="402"/>
      <c r="N1" s="402"/>
      <c r="O1" s="402"/>
      <c r="P1" s="402"/>
      <c r="Q1" s="402"/>
      <c r="R1" s="402"/>
      <c r="S1" s="402"/>
      <c r="T1" s="402"/>
      <c r="U1" s="402"/>
      <c r="V1" s="402"/>
      <c r="W1" s="402"/>
      <c r="X1" s="402"/>
      <c r="Y1" s="402"/>
      <c r="Z1" s="402"/>
      <c r="AA1" s="402"/>
      <c r="AB1" s="402"/>
      <c r="AC1" s="402"/>
      <c r="AD1" s="402"/>
      <c r="AE1" s="402"/>
      <c r="AF1" s="402"/>
      <c r="AG1" s="402"/>
      <c r="AH1" s="402"/>
      <c r="AI1" s="402"/>
      <c r="AJ1" s="402"/>
      <c r="AK1" s="402"/>
      <c r="AL1" s="402"/>
      <c r="AM1" s="402"/>
      <c r="AN1" s="402"/>
      <c r="AO1" s="402"/>
      <c r="AP1" s="402"/>
      <c r="AQ1" s="402"/>
      <c r="AR1" s="402"/>
      <c r="AS1" s="402"/>
      <c r="AT1" s="402"/>
      <c r="AU1" s="402"/>
      <c r="AV1" s="402"/>
      <c r="AW1" s="402"/>
      <c r="AX1" s="402"/>
      <c r="AY1" s="402"/>
      <c r="AZ1" s="402"/>
    </row>
    <row r="2" spans="1:52" s="377" customFormat="1" ht="14" x14ac:dyDescent="0.3">
      <c r="A2" s="402"/>
      <c r="B2" s="404"/>
      <c r="C2" s="404"/>
      <c r="D2" s="911"/>
      <c r="E2" s="912"/>
      <c r="F2" s="509"/>
      <c r="G2" s="498"/>
      <c r="H2" s="509"/>
      <c r="I2" s="498"/>
      <c r="J2" s="509"/>
      <c r="K2" s="524"/>
      <c r="L2" s="530"/>
      <c r="M2" s="524"/>
      <c r="N2" s="404"/>
      <c r="O2" s="404"/>
      <c r="P2" s="406"/>
      <c r="Q2" s="406"/>
      <c r="R2" s="406"/>
      <c r="S2" s="402"/>
      <c r="T2" s="406"/>
      <c r="U2" s="406"/>
      <c r="V2" s="402"/>
      <c r="W2" s="407"/>
      <c r="X2" s="407"/>
      <c r="Y2" s="407"/>
      <c r="Z2" s="407"/>
      <c r="AA2" s="407"/>
      <c r="AB2" s="407"/>
      <c r="AC2" s="402"/>
      <c r="AD2" s="407"/>
      <c r="AE2" s="407"/>
      <c r="AF2" s="407"/>
      <c r="AG2" s="407"/>
      <c r="AH2" s="407"/>
      <c r="AI2" s="402"/>
      <c r="AJ2" s="407"/>
      <c r="AK2" s="408"/>
      <c r="AL2" s="408"/>
      <c r="AM2" s="408"/>
      <c r="AN2" s="408"/>
      <c r="AO2" s="402"/>
      <c r="AP2" s="407"/>
      <c r="AQ2" s="402"/>
      <c r="AR2" s="402"/>
      <c r="AS2" s="402"/>
      <c r="AT2" s="402"/>
      <c r="AU2" s="402"/>
      <c r="AV2" s="402"/>
      <c r="AW2" s="402"/>
      <c r="AX2" s="402"/>
      <c r="AY2" s="402"/>
      <c r="AZ2" s="402"/>
    </row>
    <row r="3" spans="1:52" s="377" customFormat="1" ht="14" x14ac:dyDescent="0.3">
      <c r="A3" s="402"/>
      <c r="B3" s="404"/>
      <c r="C3" s="404"/>
      <c r="D3" s="915" t="s">
        <v>161</v>
      </c>
      <c r="E3" s="914"/>
      <c r="F3" s="913" t="s">
        <v>29</v>
      </c>
      <c r="G3" s="914"/>
      <c r="H3" s="913" t="s">
        <v>162</v>
      </c>
      <c r="I3" s="914"/>
      <c r="J3" s="913" t="s">
        <v>163</v>
      </c>
      <c r="K3" s="914"/>
      <c r="L3" s="913" t="s">
        <v>13</v>
      </c>
      <c r="M3" s="914"/>
      <c r="N3" s="915" t="s">
        <v>16</v>
      </c>
      <c r="O3" s="915"/>
      <c r="P3" s="406"/>
      <c r="Q3" s="618"/>
      <c r="R3" s="406"/>
      <c r="S3" s="406"/>
      <c r="T3" s="406"/>
      <c r="U3" s="406"/>
      <c r="V3" s="406"/>
      <c r="W3" s="406"/>
      <c r="X3" s="406"/>
      <c r="Y3" s="406"/>
      <c r="Z3" s="406"/>
      <c r="AA3" s="406"/>
      <c r="AB3" s="406"/>
      <c r="AC3" s="406"/>
      <c r="AD3" s="406"/>
      <c r="AE3" s="406"/>
      <c r="AF3" s="406"/>
      <c r="AG3" s="406"/>
      <c r="AH3" s="406"/>
      <c r="AI3" s="406"/>
      <c r="AJ3" s="406"/>
      <c r="AK3" s="406"/>
      <c r="AL3" s="406"/>
      <c r="AM3" s="406"/>
      <c r="AN3" s="406"/>
      <c r="AO3" s="402"/>
      <c r="AP3" s="406"/>
      <c r="AQ3" s="402"/>
      <c r="AR3" s="402"/>
      <c r="AS3" s="402"/>
      <c r="AT3" s="402"/>
      <c r="AU3" s="402"/>
      <c r="AV3" s="402"/>
      <c r="AW3" s="402"/>
      <c r="AX3" s="402"/>
      <c r="AY3" s="402"/>
      <c r="AZ3" s="402"/>
    </row>
    <row r="4" spans="1:52" s="377" customFormat="1" ht="14" x14ac:dyDescent="0.3">
      <c r="A4" s="402"/>
      <c r="B4" s="404" t="s">
        <v>164</v>
      </c>
      <c r="C4" s="404" t="s">
        <v>165</v>
      </c>
      <c r="D4" s="405" t="str">
        <f>+Inputs!O4&amp;"-"&amp;Inputs!P4</f>
        <v>2022-2023</v>
      </c>
      <c r="E4" s="498" t="str">
        <f>+Inputs!P4&amp;"-"&amp;Inputs!Q4</f>
        <v>2023-2024</v>
      </c>
      <c r="F4" s="509">
        <v>2023</v>
      </c>
      <c r="G4" s="498">
        <v>2024</v>
      </c>
      <c r="H4" s="509" t="str">
        <f>+Inputs!O4&amp;"-"&amp;Inputs!P4</f>
        <v>2022-2023</v>
      </c>
      <c r="I4" s="498" t="str">
        <f>+Inputs!P4&amp;"-"&amp;Inputs!Q4</f>
        <v>2023-2024</v>
      </c>
      <c r="J4" s="509">
        <v>2023</v>
      </c>
      <c r="K4" s="498">
        <v>2024</v>
      </c>
      <c r="L4" s="509">
        <v>2023</v>
      </c>
      <c r="M4" s="498">
        <v>2024</v>
      </c>
      <c r="N4" s="405">
        <v>2023</v>
      </c>
      <c r="O4" s="405">
        <v>2024</v>
      </c>
      <c r="P4" s="406"/>
      <c r="Q4" s="618"/>
      <c r="R4" s="406"/>
      <c r="S4" s="406"/>
      <c r="T4" s="406"/>
      <c r="U4" s="406"/>
      <c r="V4" s="406"/>
      <c r="W4" s="406"/>
      <c r="X4" s="406"/>
      <c r="Y4" s="406"/>
      <c r="Z4" s="406"/>
      <c r="AA4" s="406"/>
      <c r="AB4" s="406"/>
      <c r="AC4" s="406"/>
      <c r="AD4" s="406"/>
      <c r="AE4" s="406"/>
      <c r="AF4" s="406"/>
      <c r="AG4" s="406"/>
      <c r="AH4" s="406"/>
      <c r="AI4" s="406"/>
      <c r="AJ4" s="406"/>
      <c r="AK4" s="406"/>
      <c r="AL4" s="406"/>
      <c r="AM4" s="406"/>
      <c r="AN4" s="406"/>
      <c r="AO4" s="402"/>
      <c r="AP4" s="406"/>
      <c r="AQ4" s="402"/>
      <c r="AR4" s="402"/>
      <c r="AS4" s="402"/>
      <c r="AT4" s="402"/>
      <c r="AU4" s="402"/>
      <c r="AV4" s="402"/>
      <c r="AW4" s="402"/>
      <c r="AX4" s="402"/>
      <c r="AY4" s="402"/>
      <c r="AZ4" s="402"/>
    </row>
    <row r="5" spans="1:52" s="377" customFormat="1" ht="3.75" customHeight="1" x14ac:dyDescent="0.3">
      <c r="A5" s="402"/>
      <c r="B5" s="409"/>
      <c r="C5" s="409"/>
      <c r="D5" s="409"/>
      <c r="E5" s="499"/>
      <c r="F5" s="510"/>
      <c r="G5" s="499"/>
      <c r="H5" s="510"/>
      <c r="I5" s="499"/>
      <c r="J5" s="510"/>
      <c r="K5" s="499"/>
      <c r="L5" s="510"/>
      <c r="M5" s="499"/>
      <c r="N5" s="409"/>
      <c r="O5" s="409"/>
      <c r="P5" s="410"/>
      <c r="Q5" s="618"/>
      <c r="R5" s="410"/>
      <c r="S5" s="410"/>
      <c r="T5" s="410"/>
      <c r="U5" s="410"/>
      <c r="V5" s="410"/>
      <c r="W5" s="410"/>
      <c r="X5" s="410"/>
      <c r="Y5" s="410"/>
      <c r="Z5" s="410"/>
      <c r="AA5" s="410"/>
      <c r="AB5" s="410"/>
      <c r="AC5" s="410"/>
      <c r="AD5" s="410"/>
      <c r="AE5" s="410"/>
      <c r="AF5" s="410"/>
      <c r="AG5" s="410"/>
      <c r="AH5" s="410"/>
      <c r="AI5" s="410"/>
      <c r="AJ5" s="410"/>
      <c r="AK5" s="410"/>
      <c r="AL5" s="410"/>
      <c r="AM5" s="410"/>
      <c r="AN5" s="410"/>
      <c r="AO5" s="410"/>
      <c r="AP5" s="410"/>
      <c r="AQ5" s="410"/>
      <c r="AR5" s="410"/>
      <c r="AS5" s="410"/>
      <c r="AT5" s="410"/>
      <c r="AU5" s="410"/>
      <c r="AV5" s="410"/>
      <c r="AW5" s="410"/>
      <c r="AX5" s="410"/>
      <c r="AY5" s="410"/>
      <c r="AZ5" s="410"/>
    </row>
    <row r="6" spans="1:52" s="386" customFormat="1" ht="17.25" customHeight="1" x14ac:dyDescent="0.3">
      <c r="A6" s="891" t="e" vm="2">
        <f>+D91</f>
        <v>#VALUE!</v>
      </c>
      <c r="B6" s="412" t="str" cm="1">
        <f t="array" aca="1" ref="B6" ca="1">IFERROR(_FV(A6,"Name"),"")</f>
        <v>ANALOG DEVICES, INC.</v>
      </c>
      <c r="C6" s="413" t="str" cm="1">
        <f t="array" aca="1" ref="C6" ca="1">IFERROR(_FV(A6,"Ticker symbol",TRUE),"")</f>
        <v>ADI</v>
      </c>
      <c r="D6" s="500">
        <f>IFERROR(D94/D93-1,"")</f>
        <v>2.4263359414016916E-2</v>
      </c>
      <c r="E6" s="501">
        <f>IFERROR(D97/D94-1,"")</f>
        <v>-0.2339035390678964</v>
      </c>
      <c r="F6" s="511">
        <f>IFERROR(D95/D94,"")</f>
        <v>0.40172280687497464</v>
      </c>
      <c r="G6" s="512">
        <f>IFERROR(D100/D97,"")</f>
        <v>0.29965419212491523</v>
      </c>
      <c r="H6" s="518">
        <f>IFERROR(D96/D94,"")</f>
        <v>0.19558733899475847</v>
      </c>
      <c r="I6" s="501">
        <f>IFERROR(D105/D97,"")</f>
        <v>6.8344789545146029E-2</v>
      </c>
      <c r="J6" s="548" cm="1">
        <f t="array" aca="1" ref="J6" ca="1">IFERROR((_FV(A6,"Market cap",TRUE)/1000000+D$121-D$111)/D$94,"")</f>
        <v>10.271412622323352</v>
      </c>
      <c r="K6" s="549" cm="1">
        <f t="array" aca="1" ref="K6" ca="1">IFERROR((_FV(A6,"Market cap",TRUE)/1000000+D$121-D$111)/D$97,"")</f>
        <v>13.407466482518668</v>
      </c>
      <c r="L6" s="550" cm="1">
        <f t="array" aca="1" ref="L6" ca="1">+IFERROR((_FV(A6,"Market cap",TRUE)/1000000+D$121-D$111)/D$95,"")</f>
        <v>25.568407983169475</v>
      </c>
      <c r="M6" s="551" cm="1">
        <f t="array" aca="1" ref="M6" ca="1">IFERROR((_FV(A6,"Market cap",TRUE)/1000000+D$121-D$111)/D$100,"")</f>
        <v>44.743130030797531</v>
      </c>
      <c r="N6" s="552" cm="1">
        <f t="array" aca="1" ref="N6" ca="1">IFERROR((_FV(A6,"Market cap",TRUE)/1000000)/D$96,"")</f>
        <v>50.193023111184971</v>
      </c>
      <c r="O6" s="553" cm="1">
        <f t="array" aca="1" ref="O6" ca="1">IFERROR((_FV(A6,"Market cap",TRUE)/1000000)/D$105,"")</f>
        <v>187.49738945211834</v>
      </c>
      <c r="P6" s="415"/>
      <c r="Q6" s="618"/>
      <c r="R6" s="418"/>
      <c r="S6" s="419"/>
      <c r="T6" s="418"/>
      <c r="U6" s="418"/>
      <c r="V6" s="419"/>
      <c r="W6" s="418"/>
      <c r="X6" s="418"/>
      <c r="Y6" s="418"/>
      <c r="Z6" s="418"/>
      <c r="AA6" s="418"/>
      <c r="AB6" s="419"/>
      <c r="AC6" s="419"/>
      <c r="AD6" s="414"/>
      <c r="AE6" s="414"/>
      <c r="AF6" s="414"/>
      <c r="AG6" s="414"/>
      <c r="AH6" s="414"/>
      <c r="AI6" s="419"/>
      <c r="AJ6" s="419"/>
      <c r="AK6" s="419"/>
      <c r="AL6" s="420"/>
      <c r="AM6" s="421"/>
      <c r="AN6" s="422"/>
      <c r="AO6" s="419"/>
      <c r="AP6" s="419"/>
    </row>
    <row r="7" spans="1:52" ht="3.75" customHeight="1" x14ac:dyDescent="0.3">
      <c r="A7" s="891"/>
      <c r="B7" s="423"/>
      <c r="C7" s="424"/>
      <c r="E7" s="502"/>
      <c r="F7" s="513"/>
      <c r="G7" s="514"/>
      <c r="H7" s="519"/>
      <c r="I7" s="520"/>
      <c r="J7" s="519"/>
      <c r="K7" s="520"/>
      <c r="L7" s="533"/>
      <c r="M7" s="534"/>
      <c r="N7" s="428"/>
      <c r="O7" s="429"/>
      <c r="P7" s="426"/>
      <c r="Q7" s="426"/>
      <c r="R7" s="430"/>
      <c r="S7" s="429"/>
      <c r="T7" s="430"/>
      <c r="U7" s="430"/>
      <c r="V7" s="429"/>
      <c r="W7" s="430"/>
      <c r="X7" s="430"/>
      <c r="Y7" s="430"/>
      <c r="Z7" s="430"/>
      <c r="AA7" s="430"/>
      <c r="AB7" s="429"/>
      <c r="AC7" s="429"/>
      <c r="AD7" s="425"/>
      <c r="AE7" s="425"/>
      <c r="AF7" s="425"/>
      <c r="AG7" s="425"/>
      <c r="AH7" s="425"/>
      <c r="AI7" s="429"/>
      <c r="AJ7" s="429"/>
      <c r="AK7" s="429"/>
      <c r="AL7" s="431"/>
      <c r="AM7" s="432"/>
      <c r="AN7" s="433"/>
      <c r="AO7" s="429"/>
      <c r="AP7" s="429"/>
    </row>
    <row r="8" spans="1:52" s="380" customFormat="1" ht="17.25" customHeight="1" x14ac:dyDescent="0.3">
      <c r="A8" s="891" t="e" vm="3">
        <f>+E91</f>
        <v>#VALUE!</v>
      </c>
      <c r="B8" s="412" t="str" cm="1">
        <f t="array" aca="1" ref="B8" ca="1">IFERROR(_FV(A8,"Name"),"")</f>
        <v>TEXAS INSTRUMENTS INCORPORATED</v>
      </c>
      <c r="C8" s="413" t="str" cm="1">
        <f t="array" aca="1" ref="C8" ca="1">+IFERROR(_FV(A8,"Ticker symbol",TRUE),"")</f>
        <v>TXN</v>
      </c>
      <c r="D8" s="503">
        <f>+IFERROR(E94/E93-1,"")</f>
        <v>-0.12527461553824648</v>
      </c>
      <c r="E8" s="504">
        <f>IFERROR(E97/E94-1,"")</f>
        <v>-0.10719789942348312</v>
      </c>
      <c r="F8" s="515">
        <f>IFERROR(E95/E94,"")</f>
        <v>0.51424168046121355</v>
      </c>
      <c r="G8" s="504">
        <f>+IFERROR(E100/E97,"")</f>
        <v>0.48213029857425993</v>
      </c>
      <c r="H8" s="515">
        <f>IFERROR(E96/E94,"")</f>
        <v>0.37159655231462985</v>
      </c>
      <c r="I8" s="504">
        <f>+IFERROR(D105/D99,"")</f>
        <v>0.11972720853309561</v>
      </c>
      <c r="J8" s="525" cm="1">
        <f t="array" aca="1" ref="J8" ca="1">+IFERROR((_FV(A8,"Market cap",TRUE)/1000000+E$121-E$111)/E$94,"")</f>
        <v>9.8996264708602091</v>
      </c>
      <c r="K8" s="526" cm="1">
        <f t="array" aca="1" ref="K8" ca="1">IFERROR(+(_FV(A8,"Market cap",TRUE)/1000000+E$121-E$111)/E$97,"")</f>
        <v>11.088265209577392</v>
      </c>
      <c r="L8" s="531" cm="1">
        <f t="array" aca="1" ref="L8" ca="1">IFERROR(+(_FV(A8,"Market cap",TRUE)/1000000+E$121-E$111)/E$95,"")</f>
        <v>19.250921982794981</v>
      </c>
      <c r="M8" s="532" cm="1">
        <f t="array" aca="1" ref="M8" ca="1">IFERROR(+(_FV(A8,"Market cap",TRUE)/1000000+E$121-E$111)/E$100,"")</f>
        <v>22.998482448349023</v>
      </c>
      <c r="N8" s="417" cm="1">
        <f t="array" aca="1" ref="N8" ca="1">IFERROR(+(_FV(A8,"Market cap",TRUE)/1000000)/E$96,"")</f>
        <v>25.043864230875574</v>
      </c>
      <c r="O8" s="416" cm="1">
        <f t="array" aca="1" ref="O8" ca="1">IFERROR(+(_FV(A8,"Market cap",TRUE)/1000000)/E$105,"")</f>
        <v>33.972818533652841</v>
      </c>
      <c r="P8" s="415"/>
      <c r="Q8" s="415"/>
      <c r="R8" s="418"/>
      <c r="S8" s="419"/>
      <c r="T8" s="418"/>
      <c r="U8" s="418"/>
      <c r="V8" s="419"/>
      <c r="W8" s="418"/>
      <c r="X8" s="418"/>
      <c r="Y8" s="418"/>
      <c r="Z8" s="418"/>
      <c r="AA8" s="418"/>
      <c r="AB8" s="419"/>
      <c r="AC8" s="419"/>
      <c r="AD8" s="414"/>
      <c r="AE8" s="414"/>
      <c r="AF8" s="414"/>
      <c r="AG8" s="414"/>
      <c r="AH8" s="414"/>
      <c r="AI8" s="419"/>
      <c r="AJ8" s="419"/>
      <c r="AK8" s="419"/>
      <c r="AL8" s="420"/>
      <c r="AM8" s="421"/>
      <c r="AN8" s="422"/>
      <c r="AO8" s="419"/>
      <c r="AP8" s="419"/>
      <c r="AQ8" s="411"/>
      <c r="AR8" s="411"/>
      <c r="AS8" s="411"/>
      <c r="AT8" s="411"/>
      <c r="AU8" s="411"/>
      <c r="AV8" s="411"/>
      <c r="AW8" s="411"/>
      <c r="AX8" s="411"/>
      <c r="AY8" s="411"/>
      <c r="AZ8" s="411"/>
    </row>
    <row r="9" spans="1:52" s="380" customFormat="1" ht="17.25" customHeight="1" x14ac:dyDescent="0.3">
      <c r="A9" s="892" t="e" vm="4">
        <f>+F91</f>
        <v>#VALUE!</v>
      </c>
      <c r="B9" s="412" t="str" cm="1">
        <f t="array" aca="1" ref="B9" ca="1">IFERROR(_FV(A9,"Name"),"")</f>
        <v>MICROCHIP TECHNOLOGY INCORPORATED</v>
      </c>
      <c r="C9" s="413" t="str" cm="1">
        <f t="array" aca="1" ref="C9" ca="1">+IFERROR(_FV(A9,"Ticker symbol",TRUE),"")</f>
        <v>MCHP</v>
      </c>
      <c r="D9" s="503">
        <f>IFERROR(F94/F93-1,"")</f>
        <v>0.23718277646644892</v>
      </c>
      <c r="E9" s="504">
        <f>IFERROR(+F97/F94-1,"")</f>
        <v>-9.5310889117992237E-2</v>
      </c>
      <c r="F9" s="515">
        <f>IFERROR(F95/F94,"")</f>
        <v>0.49468520032706453</v>
      </c>
      <c r="G9" s="504">
        <f>IFERROR(F100/F97,"")</f>
        <v>0.45870009430996544</v>
      </c>
      <c r="H9" s="515">
        <f>IFERROR(F96/F94,"")</f>
        <v>0.26517117565501791</v>
      </c>
      <c r="I9" s="504">
        <f>+IFERROR(F105/F97,"")</f>
        <v>0.24977732369275912</v>
      </c>
      <c r="J9" s="525" cm="1">
        <f t="array" aca="1" ref="J9" ca="1">IFERROR(+(_FV(A9,"Market cap",TRUE)/1000000+F$122-F$112)/F$94,"")</f>
        <v>4.7879056028772204</v>
      </c>
      <c r="K9" s="526" cm="1">
        <f t="array" aca="1" ref="K9" ca="1">IFERROR(+(_FV(A9,"Market cap",TRUE)/1000000+F$122-F$112)/F$97,"")</f>
        <v>5.2923214674368655</v>
      </c>
      <c r="L9" s="531" cm="1">
        <f t="array" aca="1" ref="L9" ca="1">IFERROR(+(_FV(A9,"Market cap",TRUE)/1000000+F$122-F$112)/F$95,"")</f>
        <v>9.6786918220146134</v>
      </c>
      <c r="M9" s="532" cm="1">
        <f t="array" aca="1" ref="M9" ca="1">IFERROR(+(_FV(A9,"Market cap",TRUE)/1000000+F$122-F$112)/F$100,"")</f>
        <v>11.537650707044747</v>
      </c>
      <c r="N9" s="417" cm="1">
        <f t="array" aca="1" ref="N9" ca="1">IFERROR(+(_FV(A9,"Market cap",TRUE)/1000000)/F$96,"")</f>
        <v>15.587209639808734</v>
      </c>
      <c r="O9" s="416" cm="1">
        <f t="array" aca="1" ref="O9" ca="1">IFERROR(+(_FV(A9,"Market cap",TRUE)/1000000)/F$105,"")</f>
        <v>18.291205103046828</v>
      </c>
      <c r="P9" s="415"/>
      <c r="Q9" s="415"/>
      <c r="R9" s="418"/>
      <c r="S9" s="419"/>
      <c r="T9" s="418"/>
      <c r="U9" s="418"/>
      <c r="V9" s="419"/>
      <c r="W9" s="418"/>
      <c r="X9" s="418"/>
      <c r="Y9" s="418"/>
      <c r="Z9" s="418"/>
      <c r="AA9" s="418"/>
      <c r="AB9" s="419"/>
      <c r="AC9" s="419"/>
      <c r="AD9" s="414"/>
      <c r="AE9" s="414"/>
      <c r="AF9" s="414"/>
      <c r="AG9" s="414"/>
      <c r="AH9" s="414"/>
      <c r="AI9" s="419"/>
      <c r="AJ9" s="419"/>
      <c r="AK9" s="419"/>
      <c r="AL9" s="420"/>
      <c r="AM9" s="421"/>
      <c r="AN9" s="422"/>
      <c r="AO9" s="419"/>
      <c r="AP9" s="419"/>
      <c r="AQ9" s="411"/>
      <c r="AR9" s="411"/>
      <c r="AS9" s="411"/>
      <c r="AT9" s="411"/>
      <c r="AU9" s="411"/>
      <c r="AV9" s="411"/>
      <c r="AW9" s="411"/>
      <c r="AX9" s="411"/>
      <c r="AY9" s="411"/>
      <c r="AZ9" s="411"/>
    </row>
    <row r="10" spans="1:52" s="380" customFormat="1" ht="17.25" customHeight="1" x14ac:dyDescent="0.3">
      <c r="A10" s="892" t="e" vm="5">
        <f>+G91</f>
        <v>#VALUE!</v>
      </c>
      <c r="B10" s="412" t="str" cm="1">
        <f t="array" aca="1" ref="B10" ca="1">IFERROR(_FV(A10,"Name"),"")</f>
        <v>MONOLITHIC POWER SYSTEMS, INC.</v>
      </c>
      <c r="C10" s="413" t="str" cm="1">
        <f t="array" aca="1" ref="C10" ca="1">IFERROR(_FV(A10,"Ticker symbol",TRUE),"")</f>
        <v>MPWR</v>
      </c>
      <c r="D10" s="503">
        <f>+IFERROR(G94/G93-1,"")</f>
        <v>1.5006565790559145E-2</v>
      </c>
      <c r="E10" s="504">
        <f>IFERROR(G97/G94-1,"")</f>
        <v>0.21197843907324909</v>
      </c>
      <c r="F10" s="515">
        <f>IFERROR(G95/G94,"")</f>
        <v>0.28830106662449373</v>
      </c>
      <c r="G10" s="504">
        <f>IFERROR(G100/G97,"")</f>
        <v>0.26264827148747227</v>
      </c>
      <c r="H10" s="515">
        <f>IFERROR(G96/G94,"")</f>
        <v>0.23468264846200482</v>
      </c>
      <c r="I10" s="504">
        <f>+IFERROR(G105/G97,"")</f>
        <v>0.80952380952380953</v>
      </c>
      <c r="J10" s="525" cm="1">
        <f t="array" aca="1" ref="J10" ca="1">IFERROR(+(_FV(A10,"Market cap",TRUE)/1000000+G$122-G$112)/G$94,"")</f>
        <v>24.026316521257812</v>
      </c>
      <c r="K10" s="526" cm="1">
        <f t="array" aca="1" ref="K10" ca="1">IFERROR(+(_FV(A10,"Market cap",TRUE)/1000000+G$122-G$112)/G$97,"")</f>
        <v>19.824046160119615</v>
      </c>
      <c r="L10" s="531" cm="1">
        <f t="array" aca="1" ref="L10" ca="1">IFERROR(+(_FV(A10,"Market cap",TRUE)/1000000+G$122-G$112)/G$95,"")</f>
        <v>83.337591506560742</v>
      </c>
      <c r="M10" s="532" cm="1">
        <f t="array" aca="1" ref="M10" ca="1">IFERROR(+(_FV(A10,"Market cap",TRUE)/1000000+G$122-G$112)/G$100,"")</f>
        <v>75.477542828851924</v>
      </c>
      <c r="N10" s="417" cm="1">
        <f t="array" aca="1" ref="N10" ca="1">IFERROR(+(_FV(A10,"Market cap",TRUE)/1000000)/G$96,"")</f>
        <v>102.37789917028176</v>
      </c>
      <c r="O10" s="416" cm="1">
        <f t="array" aca="1" ref="O10" ca="1">IFERROR(+(_FV(A10,"Market cap",TRUE)/1000000)/G$105,"")</f>
        <v>24.488527609559522</v>
      </c>
      <c r="P10" s="415"/>
      <c r="Q10" s="415"/>
      <c r="R10" s="415"/>
      <c r="S10" s="419"/>
      <c r="T10" s="418"/>
      <c r="U10" s="418"/>
      <c r="V10" s="419"/>
      <c r="W10" s="418"/>
      <c r="X10" s="418"/>
      <c r="Y10" s="418"/>
      <c r="Z10" s="418"/>
      <c r="AA10" s="418"/>
      <c r="AB10" s="419"/>
      <c r="AC10" s="419"/>
      <c r="AD10" s="414"/>
      <c r="AE10" s="414"/>
      <c r="AF10" s="414"/>
      <c r="AG10" s="414"/>
      <c r="AH10" s="414"/>
      <c r="AI10" s="419"/>
      <c r="AJ10" s="419"/>
      <c r="AK10" s="419"/>
      <c r="AL10" s="420"/>
      <c r="AM10" s="421"/>
      <c r="AN10" s="422"/>
      <c r="AO10" s="419"/>
      <c r="AP10" s="419"/>
      <c r="AQ10" s="411"/>
      <c r="AR10" s="411"/>
      <c r="AS10" s="411"/>
      <c r="AT10" s="411"/>
      <c r="AU10" s="411"/>
      <c r="AV10" s="411"/>
      <c r="AW10" s="411"/>
      <c r="AX10" s="411"/>
      <c r="AY10" s="411"/>
      <c r="AZ10" s="411"/>
    </row>
    <row r="11" spans="1:52" s="380" customFormat="1" ht="17.25" customHeight="1" x14ac:dyDescent="0.3">
      <c r="A11" s="892" t="e" vm="6">
        <f>+H91</f>
        <v>#VALUE!</v>
      </c>
      <c r="B11" s="412" t="str" cm="1">
        <f t="array" aca="1" ref="B11" ca="1">IFERROR(_FV(A11,"Name"),"")</f>
        <v>SKYWORKS SOLUTIONS, INC.</v>
      </c>
      <c r="C11" s="413" t="str" cm="1">
        <f t="array" aca="1" ref="C11" ca="1">IFERROR(_FV(A11,"Ticker symbol",TRUE),"")</f>
        <v>SWKS</v>
      </c>
      <c r="D11" s="503">
        <f>IFERROR(H94/H93-1,"")</f>
        <v>-0.12999726551818436</v>
      </c>
      <c r="E11" s="504">
        <f>IFERROR(H97/H94-1,"")</f>
        <v>-0.12454949291760953</v>
      </c>
      <c r="F11" s="515">
        <f>IFERROR(H95/H94,"")</f>
        <v>0.39173162350180207</v>
      </c>
      <c r="G11" s="504">
        <f>IFERROR(H100/H97,"")</f>
        <v>0.34214935375777883</v>
      </c>
      <c r="H11" s="515">
        <f>IFERROR(H96/H94,"")</f>
        <v>0.20593412119688209</v>
      </c>
      <c r="I11" s="504">
        <f>+IFERROR(H105/H102,"")</f>
        <v>19.413680781758959</v>
      </c>
      <c r="J11" s="525" cm="1">
        <f t="array" aca="1" ref="J11" ca="1">IFERROR((_FV(A11,"Market cap",TRUE)/1000000+H$122-H$112)/H$94,"")</f>
        <v>2.4075476732880734</v>
      </c>
      <c r="K11" s="526" cm="1">
        <f t="array" aca="1" ref="K11" ca="1">IFERROR(+(_FV(A11,"Market cap",TRUE)/1000000+H$122-H$112)/H$97,"")</f>
        <v>2.7500671412158928</v>
      </c>
      <c r="L11" s="531" cm="1">
        <f t="array" aca="1" ref="L11" ca="1">IFERROR(+(_FV(A11,"Market cap",TRUE)/1000000+H$122-H$112)/H$95,"")</f>
        <v>6.1459109473121156</v>
      </c>
      <c r="M11" s="532" cm="1">
        <f t="array" aca="1" ref="M11" ca="1">IFERROR(+(_FV(A11,"Market cap",TRUE)/1000000+H$122-H$112)/H$100,"")</f>
        <v>8.0376219069604762</v>
      </c>
      <c r="N11" s="417" cm="1">
        <f t="array" aca="1" ref="N11" ca="1">IFERROR(+(_FV(A11,"Market cap",TRUE)/1000000)/H$96,"")</f>
        <v>11.690863365893367</v>
      </c>
      <c r="O11" s="416" cm="1">
        <f t="array" aca="1" ref="O11" ca="1">IFERROR(+(_FV(A11,"Market cap",TRUE)/1000000)/H$105,"")</f>
        <v>19.27815522818792</v>
      </c>
      <c r="P11" s="415"/>
      <c r="Q11" s="415"/>
      <c r="R11" s="415"/>
      <c r="S11" s="419"/>
      <c r="T11" s="418"/>
      <c r="U11" s="418"/>
      <c r="V11" s="419"/>
      <c r="W11" s="418"/>
      <c r="X11" s="418"/>
      <c r="Y11" s="418"/>
      <c r="Z11" s="418"/>
      <c r="AA11" s="418"/>
      <c r="AB11" s="419"/>
      <c r="AC11" s="419"/>
      <c r="AD11" s="414"/>
      <c r="AE11" s="414"/>
      <c r="AF11" s="414"/>
      <c r="AG11" s="414"/>
      <c r="AH11" s="414"/>
      <c r="AI11" s="419"/>
      <c r="AJ11" s="419"/>
      <c r="AK11" s="419"/>
      <c r="AL11" s="420"/>
      <c r="AM11" s="421"/>
      <c r="AN11" s="422"/>
      <c r="AO11" s="419"/>
      <c r="AP11" s="419"/>
      <c r="AQ11" s="411"/>
      <c r="AR11" s="411"/>
      <c r="AS11" s="411"/>
      <c r="AT11" s="411"/>
      <c r="AU11" s="411"/>
      <c r="AV11" s="411"/>
      <c r="AW11" s="411"/>
      <c r="AX11" s="411"/>
      <c r="AY11" s="411"/>
      <c r="AZ11" s="411"/>
    </row>
    <row r="12" spans="1:52" s="380" customFormat="1" ht="17.25" customHeight="1" x14ac:dyDescent="0.3">
      <c r="A12" s="892" t="e" vm="7">
        <f>+I91</f>
        <v>#VALUE!</v>
      </c>
      <c r="B12" s="412" t="str" cm="1">
        <f t="array" aca="1" ref="B12" ca="1">IFERROR(_FV(A12,"Name"),"")</f>
        <v>MACOM TECHNOLOGY SOLUTIONS HOLDINGS, INC.</v>
      </c>
      <c r="C12" s="413" t="str" cm="1">
        <f t="array" aca="1" ref="C12" ca="1">IFERROR(_FV(A12,"Ticker symbol",TRUE),"")</f>
        <v>MTSI</v>
      </c>
      <c r="D12" s="503">
        <f>+IFERROR(I94/I93-1,"")</f>
        <v>-3.9638905757068521E-2</v>
      </c>
      <c r="E12" s="504">
        <f>IFERROR(I97/I94-1,"")</f>
        <v>0.12518526172604538</v>
      </c>
      <c r="F12" s="515">
        <f>IFERROR(I95/I94,"")</f>
        <v>0.27309853224903496</v>
      </c>
      <c r="G12" s="504">
        <f>IFERROR(I100/I97,"")</f>
        <v>0.23116788061043508</v>
      </c>
      <c r="H12" s="515">
        <f>IFERROR(I96/I94,"")</f>
        <v>0.14123382381744798</v>
      </c>
      <c r="I12" s="504">
        <f>+IFERROR(I105/I97,"")</f>
        <v>0.10534720071054773</v>
      </c>
      <c r="J12" s="525" cm="1">
        <f t="array" aca="1" ref="J12" ca="1">IFERROR((_FV(A12,"Market cap",TRUE)/1000000+I$122-I$112)/I$94,"")</f>
        <v>14.826906389042684</v>
      </c>
      <c r="K12" s="526" cm="1">
        <f t="array" aca="1" ref="K12" ca="1">IFERROR(+(_FV(A12,"Market cap",TRUE)/1000000+I$122-I$112)/I$97,"")</f>
        <v>13.177302346013724</v>
      </c>
      <c r="L12" s="531" cm="1">
        <f t="array" aca="1" ref="L12" ca="1">IFERROR(+(_FV(A12,"Market cap",TRUE)/1000000+I$122-I$112)/I$95,"")</f>
        <v>54.29141733915371</v>
      </c>
      <c r="M12" s="532" cm="1">
        <f t="array" aca="1" ref="M12" ca="1">IFERROR(+(_FV(A12,"Market cap",TRUE)/1000000+I$122-I$112)/I$100,"")</f>
        <v>57.003171509887046</v>
      </c>
      <c r="N12" s="417" cm="1">
        <f t="array" aca="1" ref="N12" ca="1">IFERROR(+(_FV(A12,"Market cap",TRUE)/1000000)/I$96,"")</f>
        <v>104.98127140002403</v>
      </c>
      <c r="O12" s="416" cm="1">
        <f t="array" aca="1" ref="O12" ca="1">IFERROR(+(_FV(A12,"Market cap",TRUE)/1000000)/I$105,"")</f>
        <v>125.08450397481103</v>
      </c>
      <c r="P12" s="415"/>
      <c r="Q12" s="415"/>
      <c r="R12" s="415"/>
      <c r="S12" s="419"/>
      <c r="T12" s="418"/>
      <c r="U12" s="418"/>
      <c r="V12" s="419"/>
      <c r="W12" s="418"/>
      <c r="X12" s="418"/>
      <c r="Y12" s="418"/>
      <c r="Z12" s="418"/>
      <c r="AA12" s="418"/>
      <c r="AB12" s="419"/>
      <c r="AC12" s="419"/>
      <c r="AD12" s="414"/>
      <c r="AE12" s="414"/>
      <c r="AF12" s="414"/>
      <c r="AG12" s="414"/>
      <c r="AH12" s="414"/>
      <c r="AI12" s="419"/>
      <c r="AJ12" s="419"/>
      <c r="AK12" s="419"/>
      <c r="AL12" s="420"/>
      <c r="AM12" s="421"/>
      <c r="AN12" s="422"/>
      <c r="AO12" s="419"/>
      <c r="AP12" s="419"/>
      <c r="AQ12" s="411"/>
      <c r="AR12" s="411"/>
      <c r="AS12" s="411"/>
      <c r="AT12" s="411"/>
      <c r="AU12" s="411"/>
      <c r="AV12" s="411"/>
      <c r="AW12" s="411"/>
      <c r="AX12" s="411"/>
      <c r="AY12" s="411"/>
      <c r="AZ12" s="411"/>
    </row>
    <row r="13" spans="1:52" s="380" customFormat="1" ht="17.25" customHeight="1" x14ac:dyDescent="0.3">
      <c r="A13" s="893" t="e" vm="8">
        <f>+J91</f>
        <v>#VALUE!</v>
      </c>
      <c r="B13" s="858" t="str" cm="1">
        <f t="array" aca="1" ref="B13" ca="1">IFERROR(_FV(A13,"Name"),"")</f>
        <v>MARVELL TECHNOLOGY, INC.</v>
      </c>
      <c r="C13" s="859" t="str" cm="1">
        <f t="array" aca="1" ref="C13" ca="1">IFERROR(_FV(A13,"Ticker symbol",TRUE),"")</f>
        <v>MRVL</v>
      </c>
      <c r="D13" s="860">
        <f>IFERROR(J94/J93-1,"")</f>
        <v>0.32675930076199022</v>
      </c>
      <c r="E13" s="861">
        <f>IFERROR(J97/J94-1,"")</f>
        <v>-6.9594594594594605E-2</v>
      </c>
      <c r="F13" s="862">
        <f>IFERROR(J95/J94,"")</f>
        <v>0.27837837837837837</v>
      </c>
      <c r="G13" s="861">
        <f>IFERROR(J100/J97,"")</f>
        <v>0.15450254175744371</v>
      </c>
      <c r="H13" s="863">
        <f>IFERROR(J96/J94,"")</f>
        <v>-2.7702702702702704E-2</v>
      </c>
      <c r="I13" s="861">
        <f>+IFERROR(J105/J97,"")</f>
        <v>-0.16938997821350762</v>
      </c>
      <c r="J13" s="864" cm="1">
        <f t="array" aca="1" ref="J13" ca="1">IFERROR(+(_FV(A13,"Market cap",TRUE)/1000000+J$121-J$111)/J$94,"")</f>
        <v>11.354200082601352</v>
      </c>
      <c r="K13" s="865" cm="1">
        <f t="array" aca="1" ref="K13" ca="1">IFERROR(+(_FV(A13,"Market cap",TRUE)/1000000+J$121-J$111)/J$97,"")</f>
        <v>12.203497547022513</v>
      </c>
      <c r="L13" s="866" cm="1">
        <f t="array" aca="1" ref="L13" ca="1">IFERROR(+(_FV(A13,"Market cap",TRUE)/1000000+J$121-J$111)/J$95,"")</f>
        <v>40.786932335558255</v>
      </c>
      <c r="M13" s="867" cm="1">
        <f t="array" aca="1" ref="M13" ca="1">IFERROR(+(_FV(A13,"Market cap",TRUE)/1000000+J$121-J$111)/J$100,"")</f>
        <v>78.985739705052879</v>
      </c>
      <c r="N13" s="868" cm="1">
        <f t="array" aca="1" ref="N13" ca="1">IFERROR(+(_FV(A13,"Market cap",TRUE)/1000000)/J$96,"")</f>
        <v>-388.82234444512193</v>
      </c>
      <c r="O13" s="869" cm="1">
        <f t="array" aca="1" ref="O13" ca="1">IFERROR(+(_FV(A13,"Market cap",TRUE)/1000000)/J$105,"")</f>
        <v>-68.346049827438364</v>
      </c>
      <c r="P13" s="415"/>
      <c r="Q13" s="415"/>
      <c r="R13" s="415"/>
      <c r="S13" s="419"/>
      <c r="T13" s="418"/>
      <c r="U13" s="418"/>
      <c r="V13" s="419"/>
      <c r="W13" s="418"/>
      <c r="X13" s="418"/>
      <c r="Y13" s="418"/>
      <c r="Z13" s="418"/>
      <c r="AA13" s="418"/>
      <c r="AB13" s="419"/>
      <c r="AC13" s="419"/>
      <c r="AD13" s="414"/>
      <c r="AE13" s="414"/>
      <c r="AF13" s="414"/>
      <c r="AG13" s="414"/>
      <c r="AH13" s="414"/>
      <c r="AI13" s="419"/>
      <c r="AJ13" s="419"/>
      <c r="AK13" s="419"/>
      <c r="AL13" s="420"/>
      <c r="AM13" s="421"/>
      <c r="AN13" s="422"/>
      <c r="AO13" s="419"/>
      <c r="AP13" s="419"/>
      <c r="AQ13" s="411"/>
      <c r="AR13" s="411"/>
      <c r="AS13" s="411"/>
      <c r="AT13" s="411"/>
      <c r="AU13" s="411"/>
      <c r="AV13" s="411"/>
      <c r="AW13" s="411"/>
      <c r="AX13" s="411"/>
      <c r="AY13" s="411"/>
      <c r="AZ13" s="411"/>
    </row>
    <row r="14" spans="1:52" s="380" customFormat="1" ht="17.25" customHeight="1" x14ac:dyDescent="0.3">
      <c r="A14" s="892" t="e" vm="9">
        <f>+K91</f>
        <v>#VALUE!</v>
      </c>
      <c r="B14" s="412" t="str" cm="1">
        <f t="array" aca="1" ref="B14" ca="1">IFERROR(_FV(A14,"Nome"),"")</f>
        <v>INTEL CORPORATION</v>
      </c>
      <c r="C14" s="413" t="str" cm="1">
        <f t="array" aca="1" ref="C14" ca="1">IFERROR(_FV(A14,"Símbolo do ticker",TRUE),"")</f>
        <v>INTC</v>
      </c>
      <c r="D14" s="503" t="str">
        <f>IFERROR(K94/K93-1,"")</f>
        <v/>
      </c>
      <c r="E14" s="504" t="str">
        <f>IFERROR(K97/K94-1,"")</f>
        <v/>
      </c>
      <c r="F14" s="515" t="str">
        <f>+IFERROR(K95/K94,"")</f>
        <v/>
      </c>
      <c r="G14" s="504" t="str">
        <f>IFERROR(K100/K97,"")</f>
        <v/>
      </c>
      <c r="H14" s="521" t="str">
        <f>IFERROR(K96/K94,"")</f>
        <v/>
      </c>
      <c r="I14" s="504" t="str">
        <f>+IFERROR(K105/K97,"")</f>
        <v/>
      </c>
      <c r="J14" s="525" t="str" cm="1">
        <f t="array" ref="J14">IFERROR((_FV(A14,"Market cap",TRUE)/1000000+D$121-K$111)/K$94,"")</f>
        <v/>
      </c>
      <c r="K14" s="526" t="str" cm="1">
        <f t="array" ref="K14">IFERROR(+(_FV(A14,"Market cap",TRUE)/1000000+D$121-K$111)/K$97,"")</f>
        <v/>
      </c>
      <c r="L14" s="531" t="str" cm="1">
        <f t="array" ref="L14">IFERROR(+(_FV(A14,"Market cap",TRUE)/1000000+D$121-K$111)/K$95,"")</f>
        <v/>
      </c>
      <c r="M14" s="532" t="str" cm="1">
        <f t="array" ref="M14">IFERROR(+(_FV(A14,"Market cap",TRUE)/1000000+D$121-K$111)/K$100,"")</f>
        <v/>
      </c>
      <c r="N14" s="417" t="str" cm="1">
        <f t="array" ref="N14">IFERROR(+(_FV(A14,"Market cap",TRUE)/1000000)/K$96,"")</f>
        <v/>
      </c>
      <c r="O14" s="416" t="str" cm="1">
        <f t="array" ref="O14">IFERROR(+(_FV(A14,"Market cap",TRUE)/1000000)/K$105,"")</f>
        <v/>
      </c>
      <c r="P14" s="415"/>
      <c r="Q14" s="415"/>
      <c r="R14" s="415"/>
      <c r="S14" s="419"/>
      <c r="T14" s="418"/>
      <c r="U14" s="418"/>
      <c r="V14" s="419"/>
      <c r="W14" s="418"/>
      <c r="X14" s="418"/>
      <c r="Y14" s="418"/>
      <c r="Z14" s="418"/>
      <c r="AA14" s="418"/>
      <c r="AB14" s="419"/>
      <c r="AC14" s="419"/>
      <c r="AD14" s="414"/>
      <c r="AE14" s="414"/>
      <c r="AF14" s="414"/>
      <c r="AG14" s="414"/>
      <c r="AH14" s="414"/>
      <c r="AI14" s="419"/>
      <c r="AJ14" s="419"/>
      <c r="AK14" s="419"/>
      <c r="AL14" s="420"/>
      <c r="AM14" s="421"/>
      <c r="AN14" s="422"/>
      <c r="AO14" s="419"/>
      <c r="AP14" s="419"/>
      <c r="AQ14" s="411"/>
      <c r="AR14" s="411"/>
      <c r="AS14" s="411"/>
      <c r="AT14" s="411"/>
      <c r="AU14" s="411"/>
      <c r="AV14" s="411"/>
      <c r="AW14" s="411"/>
      <c r="AX14" s="411"/>
      <c r="AY14" s="411"/>
      <c r="AZ14" s="411"/>
    </row>
    <row r="15" spans="1:52" s="380" customFormat="1" ht="17.25" customHeight="1" x14ac:dyDescent="0.3">
      <c r="A15" s="892" t="e" vm="10">
        <f>+L91</f>
        <v>#VALUE!</v>
      </c>
      <c r="B15" s="412" t="str" cm="1">
        <f t="array" aca="1" ref="B15" ca="1">IFERROR(_FV(A15,"Nome"),"")</f>
        <v>MICRON TECHNOLOGY, INC.</v>
      </c>
      <c r="C15" s="413" t="str" cm="1">
        <f t="array" aca="1" ref="C15" ca="1">IFERROR(_FV(A15,"Símbolo do ticker",TRUE),"")</f>
        <v>MU</v>
      </c>
      <c r="D15" s="503" t="str">
        <f>+IFERROR(L94/L93,"")</f>
        <v/>
      </c>
      <c r="E15" s="504" t="str">
        <f>IFERROR(L97/L94,"")</f>
        <v/>
      </c>
      <c r="F15" s="515" t="str">
        <f>IFERROR(L95/L94,"")</f>
        <v/>
      </c>
      <c r="G15" s="504" t="str">
        <f>IFERROR(L100/L97,"")</f>
        <v/>
      </c>
      <c r="H15" s="521" t="str">
        <f>IFERROR(L96/L94,"")</f>
        <v/>
      </c>
      <c r="I15" s="504" t="str">
        <f>+IFERROR(L105/L97,"")</f>
        <v/>
      </c>
      <c r="J15" s="525" t="str" cm="1">
        <f t="array" ref="J15">IFERROR(+(_FV(A15,"Market cap",TRUE)/1000000+L$121-L$111)/L$94,"")</f>
        <v/>
      </c>
      <c r="K15" s="526" t="str" cm="1">
        <f t="array" ref="K15">IFERROR(+(_FV(A15,"Market cap",TRUE)/1000000+L$121-L$111)/L$97,"")</f>
        <v/>
      </c>
      <c r="L15" s="531" t="str" cm="1">
        <f t="array" ref="L15">IFERROR(+(_FV(A15,"Market cap",TRUE)/1000000+L$121-L$111)/L$95,"")</f>
        <v/>
      </c>
      <c r="M15" s="532" t="str" cm="1">
        <f t="array" ref="M15">IFERROR(+(_FV(A15,"Market cap",TRUE)/1000000+L$121-L$111)/L$100,"")</f>
        <v/>
      </c>
      <c r="N15" s="417" t="str" cm="1">
        <f t="array" ref="N15">IFERROR(+(_FV(A15,"Market cap",TRUE)/1000000)/L$96,"")</f>
        <v/>
      </c>
      <c r="O15" s="416" t="str" cm="1">
        <f t="array" ref="O15">IFERROR(+(_FV(A15,"Market cap",TRUE)/1000000)/L$105,"")</f>
        <v/>
      </c>
      <c r="P15" s="415"/>
      <c r="Q15" s="415"/>
      <c r="R15" s="415"/>
      <c r="S15" s="419"/>
      <c r="T15" s="418"/>
      <c r="U15" s="418"/>
      <c r="V15" s="419"/>
      <c r="W15" s="418"/>
      <c r="X15" s="418"/>
      <c r="Y15" s="418"/>
      <c r="Z15" s="418"/>
      <c r="AA15" s="418"/>
      <c r="AB15" s="419"/>
      <c r="AC15" s="419"/>
      <c r="AD15" s="414"/>
      <c r="AE15" s="414"/>
      <c r="AF15" s="414"/>
      <c r="AG15" s="414"/>
      <c r="AH15" s="414"/>
      <c r="AI15" s="419"/>
      <c r="AJ15" s="419"/>
      <c r="AK15" s="419"/>
      <c r="AL15" s="420"/>
      <c r="AM15" s="421"/>
      <c r="AN15" s="422"/>
      <c r="AO15" s="419"/>
      <c r="AP15" s="419"/>
      <c r="AQ15" s="411"/>
      <c r="AR15" s="411"/>
      <c r="AS15" s="411"/>
      <c r="AT15" s="411"/>
      <c r="AU15" s="411"/>
      <c r="AV15" s="411"/>
      <c r="AW15" s="411"/>
      <c r="AX15" s="411"/>
      <c r="AY15" s="411"/>
      <c r="AZ15" s="411"/>
    </row>
    <row r="16" spans="1:52" s="380" customFormat="1" ht="17.25" customHeight="1" x14ac:dyDescent="0.3">
      <c r="A16" s="892" t="e" vm="11">
        <f>+M91</f>
        <v>#VALUE!</v>
      </c>
      <c r="B16" s="412" t="str" cm="1">
        <f t="array" aca="1" ref="B16" ca="1">IFERROR(_FV(A16,"Nome"),"")</f>
        <v>FIRST SOLAR, INC.</v>
      </c>
      <c r="C16" s="413" t="str" cm="1">
        <f t="array" aca="1" ref="C16" ca="1">IFERROR(_FV(A16,"Símbolo do ticker",TRUE),"")</f>
        <v>FSLR</v>
      </c>
      <c r="D16" s="503" t="str">
        <f>IFERROR(M94/M93-1,"")</f>
        <v/>
      </c>
      <c r="E16" s="504" t="str">
        <f>IFERROR(M97/M94-1,"")</f>
        <v/>
      </c>
      <c r="F16" s="515" t="str">
        <f>IFERROR(M95/M94,"")</f>
        <v/>
      </c>
      <c r="G16" s="504" t="str">
        <f>IFERROR(M100/M97,"")</f>
        <v/>
      </c>
      <c r="H16" s="521" t="str">
        <f>IFERROR(M96/M94,"")</f>
        <v/>
      </c>
      <c r="I16" s="504" t="str">
        <f>+IFERROR(M105/M97,"")</f>
        <v/>
      </c>
      <c r="J16" s="525" t="str" cm="1">
        <f t="array" ref="J16">IFERROR(+(_FV(A16,"Market cap",TRUE)/1000000+M$121-M$111)/M$94,"")</f>
        <v/>
      </c>
      <c r="K16" s="526" t="str" cm="1">
        <f t="array" ref="K16">IFERROR(+(_FV(A16,"Market cap",TRUE)/1000000+M$121-M$111)/M$97,"")</f>
        <v/>
      </c>
      <c r="L16" s="531" t="str" cm="1">
        <f t="array" ref="L16">IFERROR(+(_FV(A16,"Market cap",TRUE)/1000000+M$121-M$111)/M$95,"")</f>
        <v/>
      </c>
      <c r="M16" s="532" t="str" cm="1">
        <f t="array" ref="M16">IFERROR(+(_FV(A16,"Market cap",TRUE)/1000000+M$121-M$111)/M$100,"")</f>
        <v/>
      </c>
      <c r="N16" s="417" t="str" cm="1">
        <f t="array" ref="N16">IFERROR(+(_FV(A16,"Market cap",TRUE)/1000000)/M$96,"")</f>
        <v/>
      </c>
      <c r="O16" s="416" t="str" cm="1">
        <f t="array" ref="O16">IFERROR(+(_FV(A16,"Market cap",TRUE)/1000000)/M$105,"")</f>
        <v/>
      </c>
      <c r="P16" s="415"/>
      <c r="Q16" s="415"/>
      <c r="R16" s="415"/>
      <c r="S16" s="419"/>
      <c r="T16" s="418"/>
      <c r="U16" s="418"/>
      <c r="V16" s="419"/>
      <c r="W16" s="418"/>
      <c r="X16" s="418"/>
      <c r="Y16" s="418"/>
      <c r="Z16" s="418"/>
      <c r="AA16" s="418"/>
      <c r="AB16" s="419"/>
      <c r="AC16" s="419"/>
      <c r="AD16" s="414"/>
      <c r="AE16" s="414"/>
      <c r="AF16" s="414"/>
      <c r="AG16" s="414"/>
      <c r="AH16" s="414"/>
      <c r="AI16" s="419"/>
      <c r="AJ16" s="419"/>
      <c r="AK16" s="419"/>
      <c r="AL16" s="420"/>
      <c r="AM16" s="421"/>
      <c r="AN16" s="422"/>
      <c r="AO16" s="419"/>
      <c r="AP16" s="419"/>
      <c r="AQ16" s="411"/>
      <c r="AR16" s="411"/>
      <c r="AS16" s="411"/>
      <c r="AT16" s="411"/>
      <c r="AU16" s="411"/>
      <c r="AV16" s="411"/>
      <c r="AW16" s="411"/>
      <c r="AX16" s="411"/>
      <c r="AY16" s="411"/>
      <c r="AZ16" s="411"/>
    </row>
    <row r="17" spans="1:42" s="380" customFormat="1" ht="17.25" customHeight="1" x14ac:dyDescent="0.3">
      <c r="A17" s="892" t="e" vm="12">
        <f>+N91</f>
        <v>#VALUE!</v>
      </c>
      <c r="B17" s="555" t="str" cm="1">
        <f t="array" aca="1" ref="B17" ca="1">IFERROR(_FV(A17,"Nome"),"")</f>
        <v>ALTRI, S.G.P.S., S.A.</v>
      </c>
      <c r="C17" s="556" t="str" cm="1">
        <f t="array" aca="1" ref="C17" ca="1">+IFERROR(_FV(A17,"Símbolo do ticker",TRUE),"")</f>
        <v>ALTR</v>
      </c>
      <c r="D17" s="557" t="str">
        <f>IFERROR(N94/N93-1,"")</f>
        <v/>
      </c>
      <c r="E17" s="558" t="str">
        <f>IFERROR(N97/N94-1,"")</f>
        <v/>
      </c>
      <c r="F17" s="559" t="str">
        <f>IFERROR(N95/N94,"")</f>
        <v/>
      </c>
      <c r="G17" s="558" t="str">
        <f>IFERROR(N100/N97,"")</f>
        <v/>
      </c>
      <c r="H17" s="560" t="str">
        <f>IFERROR(N96/N94,"")</f>
        <v/>
      </c>
      <c r="I17" s="558" t="str">
        <f>+IFERROR(N105/N97,"")</f>
        <v/>
      </c>
      <c r="J17" s="561" t="str" cm="1">
        <f t="array" ref="J17">IFERROR(+(_FV(A17,"Market cap",TRUE)/1000000+N$121-N$111)/N$94,"")</f>
        <v/>
      </c>
      <c r="K17" s="562" t="str" cm="1">
        <f t="array" ref="K17">IFERROR(+(_FV(A17,"Market cap",TRUE)/1000000+N$121-N$111)/N$97,"")</f>
        <v/>
      </c>
      <c r="L17" s="563" t="str" cm="1">
        <f t="array" ref="L17">IFERROR(+(_FV(A17,"Market cap",TRUE)/1000000+N$121-N$111)/N$95,"")</f>
        <v/>
      </c>
      <c r="M17" s="564" t="str" cm="1">
        <f t="array" ref="M17">IFERROR(+(_FV(A17,"Market cap",TRUE)/1000000+N$121-N$111)/N$100,"")</f>
        <v/>
      </c>
      <c r="N17" s="565" t="str" cm="1">
        <f t="array" ref="N17">IFERROR(+(_FV(A17,"Market cap",TRUE)/1000000)/N$96,"")</f>
        <v/>
      </c>
      <c r="O17" s="566" t="str" cm="1">
        <f t="array" ref="O17">IFERROR(+(_FV(A17,"Market cap",TRUE)/1000000)/N$105,"")</f>
        <v/>
      </c>
      <c r="P17" s="415"/>
      <c r="Q17" s="415"/>
      <c r="R17" s="415"/>
      <c r="S17" s="419"/>
      <c r="T17" s="418"/>
      <c r="U17" s="418"/>
      <c r="V17" s="419"/>
      <c r="W17" s="418"/>
      <c r="X17" s="418"/>
      <c r="Y17" s="418"/>
      <c r="Z17" s="418"/>
      <c r="AA17" s="418"/>
      <c r="AB17" s="419"/>
      <c r="AC17" s="419"/>
      <c r="AD17" s="414"/>
      <c r="AE17" s="414"/>
      <c r="AF17" s="414"/>
      <c r="AG17" s="414"/>
      <c r="AH17" s="414"/>
      <c r="AI17" s="419"/>
      <c r="AJ17" s="419"/>
      <c r="AK17" s="419"/>
      <c r="AL17" s="420"/>
      <c r="AM17" s="421"/>
      <c r="AN17" s="422"/>
      <c r="AO17" s="419"/>
      <c r="AP17" s="419"/>
    </row>
    <row r="18" spans="1:42" s="377" customFormat="1" ht="15.75" customHeight="1" x14ac:dyDescent="0.3">
      <c r="A18" s="434"/>
      <c r="B18" s="379" t="s">
        <v>166</v>
      </c>
      <c r="C18" s="379"/>
      <c r="D18" s="505">
        <f t="shared" ref="D18:O18" si="0">IFERROR(AVERAGE(D6:D17),"")</f>
        <v>4.4043030802787979E-2</v>
      </c>
      <c r="E18" s="506">
        <f t="shared" si="0"/>
        <v>-4.1913244903183058E-2</v>
      </c>
      <c r="F18" s="516">
        <f t="shared" si="0"/>
        <v>0.37745132691670891</v>
      </c>
      <c r="G18" s="506">
        <f t="shared" si="0"/>
        <v>0.3187075189460386</v>
      </c>
      <c r="H18" s="522">
        <f t="shared" si="0"/>
        <v>0.19807185110543404</v>
      </c>
      <c r="I18" s="523">
        <f t="shared" si="0"/>
        <v>2.9424301622215441</v>
      </c>
      <c r="J18" s="527">
        <f t="shared" ca="1" si="0"/>
        <v>11.081987908892957</v>
      </c>
      <c r="K18" s="528">
        <f t="shared" ca="1" si="0"/>
        <v>11.106138050557808</v>
      </c>
      <c r="L18" s="527">
        <f t="shared" ca="1" si="0"/>
        <v>34.151410559509124</v>
      </c>
      <c r="M18" s="528">
        <f t="shared" ca="1" si="0"/>
        <v>42.683334162420515</v>
      </c>
      <c r="N18" s="396">
        <f t="shared" ca="1" si="0"/>
        <v>-11.278316218150499</v>
      </c>
      <c r="O18" s="396">
        <f t="shared" ca="1" si="0"/>
        <v>48.609507153419727</v>
      </c>
      <c r="P18" s="545"/>
      <c r="Q18" s="435"/>
      <c r="R18" s="435"/>
      <c r="S18" s="429"/>
      <c r="T18" s="435"/>
      <c r="U18" s="435"/>
      <c r="V18" s="429"/>
      <c r="W18" s="435"/>
      <c r="X18" s="435"/>
      <c r="Y18" s="435"/>
      <c r="Z18" s="435"/>
      <c r="AA18" s="435"/>
      <c r="AB18" s="435"/>
      <c r="AC18" s="429"/>
      <c r="AD18" s="435"/>
      <c r="AE18" s="435"/>
      <c r="AF18" s="435"/>
      <c r="AG18" s="435"/>
      <c r="AH18" s="435"/>
      <c r="AI18" s="429"/>
      <c r="AJ18" s="436"/>
      <c r="AK18" s="429"/>
      <c r="AL18" s="436"/>
      <c r="AM18" s="432"/>
      <c r="AN18" s="436"/>
      <c r="AO18" s="429"/>
      <c r="AP18" s="436"/>
    </row>
    <row r="19" spans="1:42" s="377" customFormat="1" ht="15.75" customHeight="1" x14ac:dyDescent="0.3">
      <c r="A19" s="434"/>
      <c r="B19" s="437" t="s">
        <v>167</v>
      </c>
      <c r="C19" s="379"/>
      <c r="D19" s="507">
        <f>IFERROR(+D18-D6,"")</f>
        <v>1.9779671388771063E-2</v>
      </c>
      <c r="E19" s="508">
        <f>IFERROR(E18-E6,"")</f>
        <v>0.19199029416471336</v>
      </c>
      <c r="F19" s="517">
        <f>+IFERROR(F18-F6,"")</f>
        <v>-2.4271479958265729E-2</v>
      </c>
      <c r="G19" s="508">
        <f>IFERROR(G18-G6,"")</f>
        <v>1.9053326821123373E-2</v>
      </c>
      <c r="H19" s="517">
        <f>IFERROR(+H6-H18,"")</f>
        <v>-2.4845121106755741E-3</v>
      </c>
      <c r="I19" s="508">
        <f>+IFERROR(I6-I18,"")</f>
        <v>-2.8740853726763982</v>
      </c>
      <c r="J19" s="554">
        <f ca="1">+IFERROR(J6-J18,"")</f>
        <v>-0.81057528656960542</v>
      </c>
      <c r="K19" s="529">
        <f ca="1">+IFERROR(K6-K18,"")</f>
        <v>2.3013284319608598</v>
      </c>
      <c r="L19" s="554">
        <f ca="1">IFERROR(+L6-L18,"")</f>
        <v>-8.5830025763396485</v>
      </c>
      <c r="M19" s="529">
        <f ca="1">IFERROR(M6-M18,"")</f>
        <v>2.0597958683770159</v>
      </c>
      <c r="N19" s="554">
        <f ca="1">IFERROR(+N6-N18,"")</f>
        <v>61.471339329335471</v>
      </c>
      <c r="O19" s="554">
        <f ca="1">IFERROR(+O6-O18,"")</f>
        <v>138.88788229869863</v>
      </c>
      <c r="P19" s="546"/>
      <c r="Q19" s="430"/>
      <c r="R19" s="430"/>
      <c r="S19" s="429"/>
      <c r="T19" s="430"/>
      <c r="U19" s="430"/>
      <c r="V19" s="429"/>
      <c r="W19" s="430"/>
      <c r="X19" s="430"/>
      <c r="Y19" s="430"/>
      <c r="Z19" s="430"/>
      <c r="AA19" s="430"/>
      <c r="AB19" s="430"/>
      <c r="AC19" s="429"/>
      <c r="AD19" s="430"/>
      <c r="AE19" s="430"/>
      <c r="AF19" s="430"/>
      <c r="AG19" s="430"/>
      <c r="AH19" s="430"/>
      <c r="AI19" s="429"/>
      <c r="AJ19" s="438"/>
      <c r="AK19" s="429"/>
      <c r="AL19" s="438"/>
      <c r="AM19" s="429"/>
      <c r="AN19" s="438"/>
      <c r="AO19" s="429"/>
      <c r="AP19" s="438"/>
    </row>
    <row r="20" spans="1:42" s="377" customFormat="1" ht="14.25" customHeight="1" x14ac:dyDescent="0.3">
      <c r="A20" s="402"/>
      <c r="B20" s="402"/>
      <c r="C20" s="402"/>
      <c r="D20" s="402"/>
      <c r="E20" s="402"/>
      <c r="F20" s="402"/>
      <c r="G20" s="402"/>
      <c r="H20" s="402"/>
      <c r="I20" s="402"/>
      <c r="J20" s="402"/>
      <c r="K20" s="402"/>
      <c r="L20" s="402"/>
      <c r="M20" s="402"/>
      <c r="N20" s="402"/>
      <c r="O20" s="402"/>
      <c r="P20" s="440"/>
      <c r="Q20" s="402"/>
      <c r="R20" s="402"/>
      <c r="S20" s="402"/>
      <c r="T20" s="402"/>
      <c r="U20" s="402"/>
      <c r="V20" s="402"/>
      <c r="W20" s="402"/>
      <c r="X20" s="402"/>
      <c r="Y20" s="402"/>
      <c r="Z20" s="402"/>
      <c r="AA20" s="402"/>
      <c r="AB20" s="402"/>
      <c r="AC20" s="402"/>
      <c r="AD20" s="402"/>
      <c r="AE20" s="402"/>
      <c r="AF20" s="402"/>
      <c r="AG20" s="402"/>
      <c r="AH20" s="402"/>
      <c r="AI20" s="402"/>
      <c r="AJ20" s="402"/>
      <c r="AK20" s="402"/>
      <c r="AL20" s="402"/>
      <c r="AM20" s="402"/>
      <c r="AN20" s="402"/>
      <c r="AO20" s="402"/>
      <c r="AP20" s="402"/>
    </row>
    <row r="21" spans="1:42" s="377" customFormat="1" ht="14" x14ac:dyDescent="0.3">
      <c r="A21" s="402"/>
      <c r="B21" s="439"/>
      <c r="C21" s="439"/>
      <c r="D21" s="919" t="s">
        <v>168</v>
      </c>
      <c r="E21" s="919"/>
      <c r="F21" s="919"/>
      <c r="G21" s="623" t="s">
        <v>169</v>
      </c>
      <c r="H21" s="623" t="s">
        <v>170</v>
      </c>
      <c r="I21" s="623" t="s">
        <v>171</v>
      </c>
      <c r="J21" s="919" t="s">
        <v>172</v>
      </c>
      <c r="K21" s="919"/>
      <c r="L21" s="919"/>
      <c r="M21" s="919" t="s">
        <v>173</v>
      </c>
      <c r="N21" s="919"/>
      <c r="O21" s="919"/>
      <c r="P21" s="543"/>
      <c r="Q21" s="440"/>
      <c r="R21" s="440"/>
      <c r="S21" s="440"/>
      <c r="T21" s="440"/>
      <c r="U21" s="440"/>
      <c r="V21" s="440"/>
      <c r="W21" s="440"/>
      <c r="X21" s="440"/>
      <c r="Y21" s="402"/>
      <c r="Z21" s="402"/>
      <c r="AA21" s="402"/>
      <c r="AB21" s="402"/>
      <c r="AC21" s="402"/>
      <c r="AD21" s="402"/>
      <c r="AE21" s="402"/>
      <c r="AF21" s="402"/>
      <c r="AG21" s="402"/>
      <c r="AH21" s="402"/>
      <c r="AI21" s="402"/>
      <c r="AJ21" s="402"/>
      <c r="AK21" s="402"/>
      <c r="AL21" s="402"/>
      <c r="AM21" s="402"/>
      <c r="AN21" s="402"/>
      <c r="AO21" s="402"/>
      <c r="AP21" s="402"/>
    </row>
    <row r="22" spans="1:42" s="377" customFormat="1" ht="14.25" customHeight="1" x14ac:dyDescent="0.3">
      <c r="A22" s="402"/>
      <c r="B22" s="441" t="s">
        <v>174</v>
      </c>
      <c r="C22" s="439"/>
      <c r="D22" s="405" t="s">
        <v>175</v>
      </c>
      <c r="E22" s="405" t="s">
        <v>176</v>
      </c>
      <c r="F22" s="405" t="s">
        <v>177</v>
      </c>
      <c r="G22" s="405" t="s">
        <v>178</v>
      </c>
      <c r="H22" s="405" t="s">
        <v>179</v>
      </c>
      <c r="I22" s="405" t="s">
        <v>180</v>
      </c>
      <c r="J22" s="405" t="s">
        <v>175</v>
      </c>
      <c r="K22" s="405" t="s">
        <v>176</v>
      </c>
      <c r="L22" s="405" t="s">
        <v>177</v>
      </c>
      <c r="M22" s="405" t="s">
        <v>175</v>
      </c>
      <c r="N22" s="405" t="s">
        <v>176</v>
      </c>
      <c r="O22" s="405" t="s">
        <v>177</v>
      </c>
      <c r="P22" s="543" t="s">
        <v>181</v>
      </c>
      <c r="Q22" s="440"/>
      <c r="R22" s="440"/>
      <c r="S22" s="440"/>
      <c r="T22" s="440"/>
      <c r="U22" s="440"/>
      <c r="V22" s="440"/>
      <c r="W22" s="440"/>
      <c r="X22" s="440"/>
      <c r="Y22" s="402"/>
      <c r="Z22" s="402"/>
      <c r="AA22" s="402"/>
      <c r="AB22" s="402"/>
      <c r="AC22" s="402"/>
      <c r="AD22" s="402"/>
      <c r="AE22" s="402"/>
      <c r="AF22" s="402"/>
      <c r="AG22" s="402"/>
      <c r="AH22" s="402"/>
      <c r="AI22" s="402"/>
      <c r="AJ22" s="402"/>
      <c r="AK22" s="402"/>
      <c r="AL22" s="402"/>
      <c r="AM22" s="402"/>
      <c r="AN22" s="402"/>
      <c r="AO22" s="402"/>
      <c r="AP22" s="402"/>
    </row>
    <row r="23" spans="1:42" s="377" customFormat="1" ht="3.75" customHeight="1" x14ac:dyDescent="0.3">
      <c r="A23" s="402"/>
      <c r="B23" s="442"/>
      <c r="C23" s="443"/>
      <c r="D23" s="538"/>
      <c r="E23" s="540"/>
      <c r="F23" s="535"/>
      <c r="G23" s="538"/>
      <c r="H23" s="540"/>
      <c r="I23" s="535"/>
      <c r="J23" s="443"/>
      <c r="K23" s="443"/>
      <c r="L23" s="535"/>
      <c r="M23" s="443"/>
      <c r="N23" s="443"/>
      <c r="O23" s="443"/>
      <c r="P23" s="544"/>
      <c r="Q23" s="440"/>
      <c r="R23" s="440"/>
      <c r="S23" s="440"/>
      <c r="T23" s="440"/>
      <c r="U23" s="440"/>
      <c r="V23" s="440"/>
      <c r="W23" s="440"/>
      <c r="X23" s="440"/>
      <c r="Y23" s="402"/>
      <c r="Z23" s="402"/>
      <c r="AA23" s="402"/>
      <c r="AB23" s="402"/>
      <c r="AC23" s="402"/>
      <c r="AD23" s="402"/>
      <c r="AE23" s="402"/>
      <c r="AF23" s="402"/>
      <c r="AG23" s="402"/>
      <c r="AH23" s="402"/>
      <c r="AI23" s="402"/>
      <c r="AJ23" s="402"/>
      <c r="AK23" s="402"/>
      <c r="AL23" s="402"/>
      <c r="AM23" s="402"/>
      <c r="AN23" s="402"/>
      <c r="AO23" s="402"/>
      <c r="AP23" s="402"/>
    </row>
    <row r="24" spans="1:42" s="377" customFormat="1" ht="14" x14ac:dyDescent="0.3">
      <c r="A24" s="402"/>
      <c r="B24" s="402" t="s">
        <v>182</v>
      </c>
      <c r="C24" s="402"/>
      <c r="D24" s="539">
        <f ca="1">IFERROR(SMALL(K6:K17,2),"")</f>
        <v>5.2923214674368655</v>
      </c>
      <c r="E24" s="541">
        <f ca="1">IFERROR(SMALL(M6:M17,2),"")</f>
        <v>11.537650707044747</v>
      </c>
      <c r="F24" s="536">
        <f ca="1">IFERROR(SMALL(O6:O17,2),"")</f>
        <v>18.291205103046828</v>
      </c>
      <c r="G24" s="539">
        <f>-Inputs!$Q$99+Inputs!$Q$100</f>
        <v>5218.5</v>
      </c>
      <c r="H24" s="541">
        <f>+Inputs!$Q$101</f>
        <v>0</v>
      </c>
      <c r="I24" s="536">
        <f>+Inputs!$Q$102</f>
        <v>0</v>
      </c>
      <c r="J24" s="444">
        <f ca="1">IFERROR(+D24*$D$97+G24+H24+I24,"")</f>
        <v>55110.272937820824</v>
      </c>
      <c r="K24" s="444">
        <f ca="1">IFERROR(E24*$D$100+G24+H24+I24,"")</f>
        <v>37811.20948233072</v>
      </c>
      <c r="L24" s="537">
        <f ca="1">IFERROR(F24*$D$105,"")</f>
        <v>11785.023447893085</v>
      </c>
      <c r="M24" s="542" cm="1">
        <f t="array" aca="1" ref="M24" ca="1">IFERROR(+(J24/_FV($A$6,"Shares outstanding",TRUE)*1000000)/$P$24-1,"")</f>
        <v>-0.54380638216534849</v>
      </c>
      <c r="N24" s="542" cm="1">
        <f t="array" aca="1" ref="N24" ca="1">IFERROR((+K24/_FV($A$6,"Shares outstanding",TRUE)*1000000)/$P$24-1,"")</f>
        <v>-0.68700513481560699</v>
      </c>
      <c r="O24" s="542" cm="1">
        <f t="array" aca="1" ref="O24" ca="1">IFERROR(+(L24/_FV($A$6,"Shares outstanding",TRUE)*1000000)/$P$24-1,"")</f>
        <v>-0.9024455478740524</v>
      </c>
      <c r="P24" s="547" cm="1">
        <f t="array" aca="1" ref="P24" ca="1">+_FV(A6,"Price")</f>
        <v>245.56</v>
      </c>
      <c r="Q24" s="402"/>
      <c r="R24" s="402"/>
      <c r="S24" s="402"/>
      <c r="T24" s="402"/>
      <c r="U24" s="402"/>
      <c r="V24" s="402"/>
      <c r="W24" s="402"/>
      <c r="X24" s="402"/>
      <c r="Y24" s="402"/>
      <c r="Z24" s="402"/>
      <c r="AA24" s="402"/>
      <c r="AB24" s="402"/>
      <c r="AC24" s="402"/>
      <c r="AD24" s="402"/>
      <c r="AE24" s="402"/>
      <c r="AF24" s="402"/>
      <c r="AG24" s="402"/>
      <c r="AH24" s="402"/>
      <c r="AI24" s="402"/>
      <c r="AJ24" s="402"/>
      <c r="AK24" s="402"/>
      <c r="AL24" s="402"/>
      <c r="AM24" s="402"/>
      <c r="AN24" s="402"/>
      <c r="AO24" s="402"/>
      <c r="AP24" s="402"/>
    </row>
    <row r="25" spans="1:42" ht="14" x14ac:dyDescent="0.3">
      <c r="B25" s="402" t="s">
        <v>166</v>
      </c>
      <c r="C25" s="402"/>
      <c r="D25" s="539">
        <f ca="1">+IFERROR(AVERAGE(K6:K17),"")</f>
        <v>11.106138050557808</v>
      </c>
      <c r="E25" s="541">
        <f ca="1">IFERROR(+AVERAGE(M6:M17),"")</f>
        <v>42.683334162420515</v>
      </c>
      <c r="F25" s="536">
        <f ca="1">IFERROR(+AVERAGE(O6:O17),"")</f>
        <v>48.609507153419727</v>
      </c>
      <c r="G25" s="539">
        <f>-Inputs!$Q$99+Inputs!$Q$100</f>
        <v>5218.5</v>
      </c>
      <c r="H25" s="541">
        <f>+Inputs!$Q$101</f>
        <v>0</v>
      </c>
      <c r="I25" s="536">
        <f>+Inputs!$Q$102</f>
        <v>0</v>
      </c>
      <c r="J25" s="444">
        <f ca="1">IFERROR(+D25*$D$97+G25+H25+I25,"")</f>
        <v>109918.28463021858</v>
      </c>
      <c r="K25" s="444">
        <f ca="1">IFERROR(E25*$D$100+G25+H25+I25,"")</f>
        <v>125794.65067542176</v>
      </c>
      <c r="L25" s="537">
        <f ca="1">IFERROR(+F25*$D$105,"")</f>
        <v>31319.105458948368</v>
      </c>
      <c r="M25" s="542" cm="1">
        <f t="array" aca="1" ref="M25" ca="1">IFERROR(+(J25/_FV($A$6,"Shares outstanding",TRUE)*1000000)/$P$24-1,"")</f>
        <v>-9.0114832343249462E-2</v>
      </c>
      <c r="N25" s="542" cm="1">
        <f t="array" aca="1" ref="N25" ca="1">IFERROR((+K25/_FV($A$6,"Shares outstanding",TRUE)*1000000)/$P$24-1,"")</f>
        <v>4.1307069203131208E-2</v>
      </c>
      <c r="O25" s="542" cm="1">
        <f t="array" aca="1" ref="O25" ca="1">IFERROR(+(L25/_FV($A$6,"Shares outstanding",TRUE)*1000000)/$P$24-1,"")</f>
        <v>-0.74074568560415477</v>
      </c>
      <c r="P25" s="543"/>
    </row>
    <row r="26" spans="1:42" s="377" customFormat="1" ht="14" x14ac:dyDescent="0.3">
      <c r="A26" s="402"/>
      <c r="B26" s="402" t="s">
        <v>183</v>
      </c>
      <c r="C26" s="402"/>
      <c r="D26" s="539">
        <f ca="1">IFERROR(MEDIAN(K6:K17),"")</f>
        <v>12.203497547022513</v>
      </c>
      <c r="E26" s="541">
        <f ca="1">IFERROR(MEDIAN(M6:M17),"")</f>
        <v>44.743130030797531</v>
      </c>
      <c r="F26" s="536">
        <f ca="1">IFERROR(MEDIAN(O6:O17),"")</f>
        <v>24.488527609559522</v>
      </c>
      <c r="G26" s="539">
        <f>-Inputs!$Q$99+Inputs!$Q$100</f>
        <v>5218.5</v>
      </c>
      <c r="H26" s="541">
        <f>+Inputs!$Q$101</f>
        <v>0</v>
      </c>
      <c r="I26" s="536">
        <f>+Inputs!$Q$102</f>
        <v>0</v>
      </c>
      <c r="J26" s="444">
        <f ca="1">IFERROR(D26*$D$97+G26+H26+I26,"")</f>
        <v>120263.31207529064</v>
      </c>
      <c r="K26" s="444">
        <f ca="1">IFERROR(E26*$D$100+G26+H26+I26,"")</f>
        <v>131613.368024</v>
      </c>
      <c r="L26" s="537">
        <f ca="1">IFERROR(+F26*$D$105,"")</f>
        <v>15777.958338839218</v>
      </c>
      <c r="M26" s="542" cm="1">
        <f t="array" aca="1" ref="M26" ca="1">IFERROR(+(J26/_FV($A$6,"Shares outstanding",TRUE)*1000000)/$P$24-1,"")</f>
        <v>-4.4804261756213881E-3</v>
      </c>
      <c r="N26" s="542" cm="1">
        <f t="array" aca="1" ref="N26" ca="1">IFERROR((+K26/_FV($A$6,"Shares outstanding",TRUE)*1000000)/$P$24-1,"")</f>
        <v>8.947343777474237E-2</v>
      </c>
      <c r="O26" s="542" cm="1">
        <f t="array" aca="1" ref="O26" ca="1">+IFERROR((L26/_FV($A$6,"Shares outstanding",TRUE)*1000000)/$P$24-1,"")</f>
        <v>-0.86939270098044108</v>
      </c>
      <c r="P26" s="544"/>
      <c r="Q26" s="402"/>
      <c r="R26" s="402"/>
      <c r="S26" s="402"/>
      <c r="T26" s="402"/>
      <c r="U26" s="402"/>
      <c r="V26" s="402"/>
      <c r="W26" s="402"/>
      <c r="X26" s="402"/>
      <c r="Y26" s="402"/>
      <c r="Z26" s="402"/>
      <c r="AA26" s="402"/>
      <c r="AB26" s="402"/>
      <c r="AC26" s="402"/>
      <c r="AD26" s="402"/>
      <c r="AE26" s="402"/>
      <c r="AF26" s="402"/>
      <c r="AG26" s="402"/>
      <c r="AH26" s="402"/>
      <c r="AI26" s="402"/>
      <c r="AJ26" s="402"/>
      <c r="AK26" s="402"/>
      <c r="AL26" s="402"/>
      <c r="AM26" s="402"/>
      <c r="AN26" s="402"/>
      <c r="AO26" s="402"/>
      <c r="AP26" s="402"/>
    </row>
    <row r="27" spans="1:42" s="377" customFormat="1" ht="14" x14ac:dyDescent="0.3">
      <c r="A27" s="402"/>
      <c r="B27" s="402" t="s">
        <v>184</v>
      </c>
      <c r="C27" s="402"/>
      <c r="D27" s="539">
        <f ca="1">IFERROR(LARGE(K6:K17,2),"")</f>
        <v>13.407466482518668</v>
      </c>
      <c r="E27" s="541">
        <f ca="1">IFERROR(LARGE(M6:M17,2),"")</f>
        <v>75.477542828851924</v>
      </c>
      <c r="F27" s="536">
        <f ca="1">IFERROR(LARGE(O6:O17,2),"")</f>
        <v>125.08450397481103</v>
      </c>
      <c r="G27" s="539">
        <f>-Inputs!$Q$99+Inputs!$Q$100</f>
        <v>5218.5</v>
      </c>
      <c r="H27" s="541">
        <f>+Inputs!$Q$101</f>
        <v>0</v>
      </c>
      <c r="I27" s="536">
        <f>+Inputs!$Q$102</f>
        <v>0</v>
      </c>
      <c r="J27" s="444">
        <f ca="1">IFERROR(+D27*$D$97+G27+H27+I27,"")</f>
        <v>131613.368024</v>
      </c>
      <c r="K27" s="444">
        <f ca="1">IFERROR(E27*$D$100+G27+H27+I27,"")</f>
        <v>218435.01073722387</v>
      </c>
      <c r="L27" s="537">
        <f ca="1">IFERROR(+F27*$D$105,"")</f>
        <v>80591.94591097084</v>
      </c>
      <c r="M27" s="542" cm="1">
        <f t="array" aca="1" ref="M27" ca="1">IFERROR(+(J27/_FV($A$6,"Shares outstanding",TRUE)*1000000)/$P$24-1,"")</f>
        <v>8.947343777474237E-2</v>
      </c>
      <c r="N27" s="542" cm="1">
        <f t="array" aca="1" ref="N27" ca="1">IFERROR((+K27/_FV($A$6,"Shares outstanding",TRUE)*1000000)/$P$24-1,"")</f>
        <v>0.80816846837967105</v>
      </c>
      <c r="O27" s="542" cm="1">
        <f t="array" aca="1" ref="O27" ca="1">IFERROR(+(L27/_FV($A$6,"Shares outstanding",TRUE)*1000000)/$P$24-1,"")</f>
        <v>-0.33287335711543786</v>
      </c>
      <c r="P27" s="544"/>
      <c r="Q27" s="402"/>
      <c r="R27" s="402"/>
      <c r="S27" s="402"/>
      <c r="T27" s="402"/>
      <c r="U27" s="402"/>
      <c r="V27" s="402"/>
      <c r="W27" s="402"/>
      <c r="X27" s="402"/>
      <c r="Y27" s="402"/>
      <c r="Z27" s="402"/>
      <c r="AA27" s="402"/>
      <c r="AB27" s="402"/>
      <c r="AC27" s="402"/>
      <c r="AD27" s="402"/>
      <c r="AE27" s="402"/>
      <c r="AF27" s="402"/>
      <c r="AG27" s="402"/>
      <c r="AH27" s="402"/>
      <c r="AI27" s="402"/>
      <c r="AJ27" s="402"/>
      <c r="AK27" s="402"/>
      <c r="AL27" s="402"/>
      <c r="AM27" s="402"/>
      <c r="AN27" s="402"/>
      <c r="AO27" s="402"/>
      <c r="AP27" s="402"/>
    </row>
    <row r="28" spans="1:42" s="377" customFormat="1" ht="14.25" customHeight="1" x14ac:dyDescent="0.3">
      <c r="A28" s="402"/>
      <c r="B28" s="402"/>
      <c r="C28" s="402"/>
      <c r="D28" s="402"/>
      <c r="E28" s="402"/>
      <c r="F28" s="402"/>
      <c r="G28" s="402"/>
      <c r="H28" s="402"/>
      <c r="I28" s="402"/>
      <c r="J28" s="402"/>
      <c r="K28" s="402"/>
      <c r="L28" s="402"/>
      <c r="M28" s="402"/>
      <c r="N28" s="402"/>
      <c r="O28" s="446"/>
      <c r="P28" s="402"/>
      <c r="Q28" s="402"/>
      <c r="R28" s="402"/>
      <c r="S28" s="402"/>
      <c r="T28" s="402"/>
      <c r="U28" s="402"/>
      <c r="V28" s="402"/>
      <c r="W28" s="402"/>
      <c r="X28" s="402"/>
      <c r="Y28" s="402"/>
      <c r="Z28" s="402"/>
      <c r="AA28" s="402"/>
      <c r="AB28" s="402"/>
      <c r="AC28" s="402"/>
      <c r="AD28" s="402"/>
      <c r="AE28" s="402"/>
      <c r="AF28" s="402"/>
      <c r="AG28" s="402"/>
      <c r="AH28" s="402"/>
      <c r="AI28" s="402"/>
      <c r="AJ28" s="402"/>
      <c r="AK28" s="402"/>
      <c r="AL28" s="402"/>
      <c r="AM28" s="402"/>
      <c r="AN28" s="402"/>
      <c r="AO28" s="402"/>
      <c r="AP28" s="402"/>
    </row>
    <row r="29" spans="1:42" s="380" customFormat="1" ht="14.25" customHeight="1" x14ac:dyDescent="0.3">
      <c r="A29" s="411"/>
      <c r="B29" s="620" t="s">
        <v>185</v>
      </c>
      <c r="C29" s="621"/>
      <c r="D29" s="387" t="str">
        <f ca="1">+LEFT(B6, FIND(" ", B6 &amp; " ") - 1)</f>
        <v>ANALOG</v>
      </c>
      <c r="E29" s="387" t="str">
        <f ca="1">+LEFT(B8, FIND(" ", B8 &amp; " ") - 1)</f>
        <v>TEXAS</v>
      </c>
      <c r="F29" s="387" t="str">
        <f ca="1">+LEFT(B9, FIND(" ", B9 &amp; " ") - 1)</f>
        <v>MICROCHIP</v>
      </c>
      <c r="G29" s="387" t="str">
        <f ca="1">+LEFT(B10, FIND(" ", B10 &amp; " ") - 1)</f>
        <v>MONOLITHIC</v>
      </c>
      <c r="H29" s="387" t="str">
        <f ca="1">+LEFT(B11, FIND(" ", B11 &amp; " ") - 1)</f>
        <v>SKYWORKS</v>
      </c>
      <c r="I29" s="387" t="str">
        <f ca="1">+LEFT(B12, FIND(" ", B12 &amp; " ") - 1)</f>
        <v>MACOM</v>
      </c>
      <c r="J29" s="387" t="str">
        <f ca="1">+LEFT(C12, FIND(" ", C12 &amp; " ") - 1)</f>
        <v>MTSI</v>
      </c>
      <c r="K29" s="387" t="str">
        <f ca="1">+LEFT(B14, FIND(" ", B14 &amp; " ") - 1)</f>
        <v>INTEL</v>
      </c>
      <c r="L29" s="387" t="str">
        <f ca="1">+LEFT(B15, FIND(" ", B15 &amp; " ") - 1)</f>
        <v>MICRON</v>
      </c>
      <c r="M29" s="387" t="str">
        <f ca="1">+LEFT(B16, FIND(" ", B16 &amp; " ") - 1)</f>
        <v>FIRST</v>
      </c>
      <c r="N29" s="387" t="str">
        <f ca="1">+LEFT(B17, FIND(" ", B17 &amp; " ") - 1)</f>
        <v>ALTRI,</v>
      </c>
      <c r="O29" s="870" t="s">
        <v>166</v>
      </c>
      <c r="P29" s="411"/>
      <c r="Q29" s="411" t="s">
        <v>186</v>
      </c>
      <c r="R29" s="411"/>
      <c r="S29" s="411"/>
      <c r="T29" s="411"/>
      <c r="U29" s="411"/>
      <c r="V29" s="411"/>
      <c r="W29" s="411"/>
      <c r="X29" s="411"/>
      <c r="Y29" s="411"/>
      <c r="Z29" s="411"/>
      <c r="AA29" s="411"/>
      <c r="AB29" s="411"/>
      <c r="AC29" s="411"/>
      <c r="AD29" s="411"/>
      <c r="AE29" s="411"/>
      <c r="AF29" s="411"/>
      <c r="AG29" s="411"/>
      <c r="AH29" s="411"/>
      <c r="AI29" s="411"/>
      <c r="AJ29" s="411"/>
      <c r="AK29" s="411"/>
      <c r="AL29" s="411"/>
      <c r="AM29" s="411"/>
      <c r="AN29" s="411"/>
      <c r="AO29" s="411"/>
      <c r="AP29" s="411"/>
    </row>
    <row r="30" spans="1:42" s="377" customFormat="1" ht="3.75" customHeight="1" x14ac:dyDescent="0.3">
      <c r="A30" s="402"/>
      <c r="B30" s="437"/>
      <c r="C30" s="437"/>
      <c r="D30" s="437"/>
      <c r="E30" s="437"/>
      <c r="F30" s="437"/>
      <c r="G30" s="437"/>
      <c r="H30" s="437"/>
      <c r="I30" s="437"/>
      <c r="J30" s="437"/>
      <c r="K30" s="437"/>
      <c r="L30" s="437"/>
      <c r="M30" s="437"/>
      <c r="N30" s="437"/>
      <c r="O30" s="447"/>
      <c r="P30" s="402"/>
      <c r="Q30" s="402"/>
      <c r="R30" s="448"/>
      <c r="S30" s="402"/>
      <c r="T30" s="402"/>
      <c r="U30" s="402"/>
      <c r="V30" s="402"/>
      <c r="W30" s="402"/>
      <c r="X30" s="402"/>
      <c r="Y30" s="402"/>
      <c r="Z30" s="402"/>
      <c r="AA30" s="402"/>
      <c r="AB30" s="402"/>
      <c r="AC30" s="402"/>
      <c r="AD30" s="402"/>
      <c r="AE30" s="402"/>
      <c r="AF30" s="402"/>
      <c r="AG30" s="402"/>
      <c r="AH30" s="402"/>
      <c r="AI30" s="402"/>
      <c r="AJ30" s="402"/>
      <c r="AK30" s="402"/>
      <c r="AL30" s="402"/>
      <c r="AM30" s="402"/>
      <c r="AN30" s="402"/>
      <c r="AO30" s="402"/>
      <c r="AP30" s="402"/>
    </row>
    <row r="31" spans="1:42" s="377" customFormat="1" ht="14.25" customHeight="1" x14ac:dyDescent="0.3">
      <c r="A31" s="402"/>
      <c r="B31" s="402" t="s">
        <v>187</v>
      </c>
      <c r="C31" s="402"/>
      <c r="D31" s="449">
        <f>IFERROR(D101/D97,"")</f>
        <v>7.6438391038696624E-2</v>
      </c>
      <c r="E31" s="449">
        <f t="shared" ref="E31:N31" si="1">IFERROR(E101/E97,"")</f>
        <v>0.38111373953072053</v>
      </c>
      <c r="F31" s="449">
        <f>IFERROR(F101/F97,"")</f>
        <v>0.33558629361835901</v>
      </c>
      <c r="G31" s="449">
        <f>IFERROR(G101/G97,"")</f>
        <v>0.24437406551583524</v>
      </c>
      <c r="H31" s="449">
        <f t="shared" si="1"/>
        <v>0.22565820966969841</v>
      </c>
      <c r="I31" s="449">
        <f t="shared" si="1"/>
        <v>0.12671708850869956</v>
      </c>
      <c r="J31" s="883">
        <f t="shared" si="1"/>
        <v>-9.9491648511256359E-2</v>
      </c>
      <c r="K31" s="871" t="str">
        <f t="shared" si="1"/>
        <v/>
      </c>
      <c r="L31" s="871" t="str">
        <f t="shared" si="1"/>
        <v/>
      </c>
      <c r="M31" s="871" t="str">
        <f t="shared" si="1"/>
        <v/>
      </c>
      <c r="N31" s="871" t="str">
        <f t="shared" si="1"/>
        <v/>
      </c>
      <c r="O31" s="872">
        <f t="shared" ref="O31:O36" si="2">IFERROR(+AVERAGE(D31:N31),"")</f>
        <v>0.1843423056243933</v>
      </c>
      <c r="P31" s="402"/>
      <c r="Q31" s="402"/>
      <c r="R31" s="448"/>
      <c r="S31" s="402"/>
      <c r="T31" s="402"/>
      <c r="U31" s="402"/>
      <c r="V31" s="402"/>
      <c r="W31" s="402"/>
      <c r="X31" s="402"/>
      <c r="Y31" s="402"/>
      <c r="Z31" s="402"/>
      <c r="AA31" s="402"/>
      <c r="AB31" s="402"/>
      <c r="AC31" s="402"/>
      <c r="AD31" s="402"/>
      <c r="AE31" s="402"/>
      <c r="AF31" s="402"/>
      <c r="AG31" s="402"/>
      <c r="AH31" s="402"/>
      <c r="AI31" s="402"/>
      <c r="AJ31" s="402"/>
      <c r="AK31" s="402"/>
      <c r="AL31" s="402"/>
      <c r="AM31" s="402"/>
      <c r="AN31" s="402"/>
      <c r="AO31" s="402"/>
      <c r="AP31" s="402"/>
    </row>
    <row r="32" spans="1:42" s="377" customFormat="1" ht="14.25" customHeight="1" x14ac:dyDescent="0.3">
      <c r="A32" s="402"/>
      <c r="B32" s="402" t="s">
        <v>35</v>
      </c>
      <c r="C32" s="402"/>
      <c r="D32" s="449">
        <f>IFERROR(D105/D97,"")</f>
        <v>6.8344789545146029E-2</v>
      </c>
      <c r="E32" s="449">
        <f t="shared" ref="E32:N32" si="3">IFERROR(E105/E97,"")</f>
        <v>0.30682181446199092</v>
      </c>
      <c r="F32" s="449">
        <f>IFERROR(F105/F97,"")</f>
        <v>0.24977732369275912</v>
      </c>
      <c r="G32" s="449">
        <f>IFERROR(G105/G97,"")</f>
        <v>0.80952380952380953</v>
      </c>
      <c r="H32" s="449">
        <f t="shared" si="3"/>
        <v>0.14265198659645764</v>
      </c>
      <c r="I32" s="449">
        <f t="shared" si="3"/>
        <v>0.10534720071054773</v>
      </c>
      <c r="J32" s="883">
        <f t="shared" si="3"/>
        <v>-0.16938997821350762</v>
      </c>
      <c r="K32" s="871" t="str">
        <f t="shared" si="3"/>
        <v/>
      </c>
      <c r="L32" s="871" t="str">
        <f t="shared" si="3"/>
        <v/>
      </c>
      <c r="M32" s="871" t="str">
        <f t="shared" si="3"/>
        <v/>
      </c>
      <c r="N32" s="871" t="str">
        <f t="shared" si="3"/>
        <v/>
      </c>
      <c r="O32" s="872">
        <f t="shared" si="2"/>
        <v>0.21615384947388622</v>
      </c>
      <c r="P32" s="402"/>
      <c r="Q32" s="402"/>
      <c r="R32" s="448"/>
      <c r="S32" s="402"/>
      <c r="T32" s="402"/>
      <c r="U32" s="402"/>
      <c r="V32" s="402"/>
      <c r="W32" s="402"/>
      <c r="X32" s="402"/>
      <c r="Y32" s="402"/>
      <c r="Z32" s="402"/>
      <c r="AA32" s="402"/>
      <c r="AB32" s="402"/>
      <c r="AC32" s="402"/>
      <c r="AD32" s="402"/>
      <c r="AE32" s="402"/>
      <c r="AF32" s="402"/>
      <c r="AG32" s="402"/>
      <c r="AH32" s="402"/>
      <c r="AI32" s="402"/>
      <c r="AJ32" s="402"/>
      <c r="AK32" s="402"/>
      <c r="AL32" s="402"/>
      <c r="AM32" s="402"/>
      <c r="AN32" s="402"/>
      <c r="AO32" s="402"/>
      <c r="AP32" s="402"/>
    </row>
    <row r="33" spans="2:18" s="377" customFormat="1" ht="14.25" customHeight="1" x14ac:dyDescent="0.3">
      <c r="B33" s="402" t="s">
        <v>188</v>
      </c>
      <c r="C33" s="402"/>
      <c r="D33" s="449">
        <f>IFERROR(D105/D117,"")</f>
        <v>1.3359376133929681E-2</v>
      </c>
      <c r="E33" s="449">
        <f t="shared" ref="E33:N33" si="4">IFERROR(E105/E117,"")</f>
        <v>0.13514883550649132</v>
      </c>
      <c r="F33" s="449">
        <f>IFERROR(F105/F118,"")</f>
        <v>8.9525821596244128</v>
      </c>
      <c r="G33" s="449" t="str">
        <f>IFERROR(G105/G118,"")</f>
        <v/>
      </c>
      <c r="H33" s="449" t="str">
        <f>IFERROR(H105/H118,"")</f>
        <v/>
      </c>
      <c r="I33" s="449" t="str">
        <f>IFERROR(I105/I118,"")</f>
        <v/>
      </c>
      <c r="J33" s="883">
        <f t="shared" si="4"/>
        <v>-4.3949314616797776E-2</v>
      </c>
      <c r="K33" s="871" t="str">
        <f t="shared" si="4"/>
        <v/>
      </c>
      <c r="L33" s="871" t="str">
        <f t="shared" si="4"/>
        <v/>
      </c>
      <c r="M33" s="871" t="str">
        <f t="shared" si="4"/>
        <v/>
      </c>
      <c r="N33" s="871" t="str">
        <f t="shared" si="4"/>
        <v/>
      </c>
      <c r="O33" s="872">
        <f t="shared" si="2"/>
        <v>2.2642852641620088</v>
      </c>
      <c r="P33" s="402"/>
      <c r="Q33" s="402"/>
      <c r="R33" s="448"/>
    </row>
    <row r="34" spans="2:18" s="377" customFormat="1" ht="14.25" customHeight="1" x14ac:dyDescent="0.3">
      <c r="B34" s="402" t="s">
        <v>189</v>
      </c>
      <c r="C34" s="402"/>
      <c r="D34" s="449">
        <f>IFERROR(+(D102/D121)*(1-(D104/D103)),"")</f>
        <v>-8.5154965316790454E-3</v>
      </c>
      <c r="E34" s="449">
        <f t="shared" ref="E34:N34" si="5">IFERROR(+(E102/E121)*(1-(E104/E103)),"")</f>
        <v>3.2882725617997377E-2</v>
      </c>
      <c r="F34" s="449">
        <f>IFERROR(+(F102/F122)*(1-(F104/F103)),"")</f>
        <v>1.7662658883548732E-2</v>
      </c>
      <c r="G34" s="449" t="str">
        <f>IFERROR(+(G102/G122)*(1-(G104/G103)),"")</f>
        <v/>
      </c>
      <c r="H34" s="449" t="str">
        <f>IFERROR(+(H102/H122)*(1-(H104/H103)),"")</f>
        <v/>
      </c>
      <c r="I34" s="449" t="str">
        <f>IFERROR(+(I102/I122)*(1-(I104/I103)),"")</f>
        <v/>
      </c>
      <c r="J34" s="883">
        <f t="shared" si="5"/>
        <v>5.3405636939023622E-2</v>
      </c>
      <c r="K34" s="871" t="str">
        <f t="shared" si="5"/>
        <v/>
      </c>
      <c r="L34" s="871" t="str">
        <f t="shared" si="5"/>
        <v/>
      </c>
      <c r="M34" s="871" t="str">
        <f t="shared" si="5"/>
        <v/>
      </c>
      <c r="N34" s="871" t="str">
        <f t="shared" si="5"/>
        <v/>
      </c>
      <c r="O34" s="872">
        <f t="shared" si="2"/>
        <v>2.385888122722267E-2</v>
      </c>
      <c r="P34" s="402"/>
      <c r="Q34" s="402"/>
      <c r="R34" s="448"/>
    </row>
    <row r="35" spans="2:18" s="377" customFormat="1" ht="14.25" customHeight="1" x14ac:dyDescent="0.3">
      <c r="B35" s="402" t="s">
        <v>190</v>
      </c>
      <c r="C35" s="402"/>
      <c r="D35" s="449">
        <f>IFERROR(+D105/D122,"")</f>
        <v>1.8316309560698563E-2</v>
      </c>
      <c r="E35" s="449">
        <f t="shared" ref="E35:N35" si="6">IFERROR(+E105/E122,"")</f>
        <v>0.28391409808909662</v>
      </c>
      <c r="F35" s="449" t="str">
        <f>IFERROR(+F105/#REF!,"")</f>
        <v/>
      </c>
      <c r="G35" s="449" t="str">
        <f>IFERROR(+G105/#REF!,"")</f>
        <v/>
      </c>
      <c r="H35" s="449" t="str">
        <f>IFERROR(+H105/#REF!,"")</f>
        <v/>
      </c>
      <c r="I35" s="449" t="str">
        <f>IFERROR(+I105/#REF!,"")</f>
        <v/>
      </c>
      <c r="J35" s="883">
        <f t="shared" si="6"/>
        <v>-6.2908772166408194E-2</v>
      </c>
      <c r="K35" s="871" t="str">
        <f t="shared" si="6"/>
        <v/>
      </c>
      <c r="L35" s="871" t="str">
        <f t="shared" si="6"/>
        <v/>
      </c>
      <c r="M35" s="871" t="str">
        <f t="shared" si="6"/>
        <v/>
      </c>
      <c r="N35" s="871" t="str">
        <f t="shared" si="6"/>
        <v/>
      </c>
      <c r="O35" s="872">
        <f t="shared" si="2"/>
        <v>7.9773878494462339E-2</v>
      </c>
      <c r="P35" s="402"/>
      <c r="Q35" s="402"/>
      <c r="R35" s="448"/>
    </row>
    <row r="36" spans="2:18" s="377" customFormat="1" ht="14.25" customHeight="1" x14ac:dyDescent="0.3">
      <c r="B36" s="402" t="s">
        <v>191</v>
      </c>
      <c r="C36" s="402"/>
      <c r="D36" s="449">
        <f>IFERROR(+D105/(D121+D122),"")</f>
        <v>1.5068560429768554E-2</v>
      </c>
      <c r="E36" s="449">
        <f t="shared" ref="E36:N36" si="7">IFERROR(+E105/(E121+E122),"")</f>
        <v>0.1573494212925014</v>
      </c>
      <c r="F36" s="449" t="str">
        <f>IFERROR(+F105/(F122+#REF!),"")</f>
        <v/>
      </c>
      <c r="G36" s="449" t="str">
        <f>IFERROR(+G105/(G122+#REF!),"")</f>
        <v/>
      </c>
      <c r="H36" s="449" t="str">
        <f>IFERROR(+H105/(H122+#REF!),"")</f>
        <v/>
      </c>
      <c r="I36" s="449" t="str">
        <f>IFERROR(+I105/(I122+#REF!),"")</f>
        <v/>
      </c>
      <c r="J36" s="883">
        <f t="shared" si="7"/>
        <v>-4.8512895174708817E-2</v>
      </c>
      <c r="K36" s="871" t="str">
        <f t="shared" si="7"/>
        <v/>
      </c>
      <c r="L36" s="871" t="str">
        <f t="shared" si="7"/>
        <v/>
      </c>
      <c r="M36" s="871" t="str">
        <f t="shared" si="7"/>
        <v/>
      </c>
      <c r="N36" s="871" t="str">
        <f t="shared" si="7"/>
        <v/>
      </c>
      <c r="O36" s="872">
        <f t="shared" si="2"/>
        <v>4.1301695515853713E-2</v>
      </c>
      <c r="P36" s="402"/>
      <c r="Q36" s="402"/>
      <c r="R36" s="448"/>
    </row>
    <row r="37" spans="2:18" s="377" customFormat="1" ht="3.75" customHeight="1" x14ac:dyDescent="0.3">
      <c r="B37" s="402"/>
      <c r="C37" s="402"/>
      <c r="D37" s="402"/>
      <c r="E37" s="402"/>
      <c r="F37" s="402"/>
      <c r="G37" s="402"/>
      <c r="H37" s="402"/>
      <c r="I37" s="402"/>
      <c r="J37" s="402"/>
      <c r="K37" s="402"/>
      <c r="L37" s="402"/>
      <c r="M37" s="402"/>
      <c r="N37" s="402"/>
      <c r="O37" s="446"/>
      <c r="P37" s="402"/>
      <c r="Q37" s="402"/>
      <c r="R37" s="448"/>
    </row>
    <row r="38" spans="2:18" s="380" customFormat="1" ht="14.25" customHeight="1" x14ac:dyDescent="0.3">
      <c r="B38" s="620" t="s">
        <v>192</v>
      </c>
      <c r="C38" s="621"/>
      <c r="D38" s="387" t="str">
        <f ca="1">+D29</f>
        <v>ANALOG</v>
      </c>
      <c r="E38" s="387" t="str">
        <f t="shared" ref="E38:O38" ca="1" si="8">+E29</f>
        <v>TEXAS</v>
      </c>
      <c r="F38" s="387" t="str">
        <f t="shared" ca="1" si="8"/>
        <v>MICROCHIP</v>
      </c>
      <c r="G38" s="387" t="str">
        <f t="shared" ca="1" si="8"/>
        <v>MONOLITHIC</v>
      </c>
      <c r="H38" s="387" t="str">
        <f t="shared" ca="1" si="8"/>
        <v>SKYWORKS</v>
      </c>
      <c r="I38" s="387" t="str">
        <f t="shared" ca="1" si="8"/>
        <v>MACOM</v>
      </c>
      <c r="J38" s="387" t="str">
        <f t="shared" ca="1" si="8"/>
        <v>MTSI</v>
      </c>
      <c r="K38" s="387" t="str">
        <f t="shared" ca="1" si="8"/>
        <v>INTEL</v>
      </c>
      <c r="L38" s="387" t="str">
        <f t="shared" ca="1" si="8"/>
        <v>MICRON</v>
      </c>
      <c r="M38" s="387" t="str">
        <f t="shared" ca="1" si="8"/>
        <v>FIRST</v>
      </c>
      <c r="N38" s="387" t="str">
        <f t="shared" ca="1" si="8"/>
        <v>ALTRI,</v>
      </c>
      <c r="O38" s="387" t="str">
        <f t="shared" si="8"/>
        <v>Average</v>
      </c>
      <c r="P38" s="411"/>
      <c r="Q38" s="411"/>
      <c r="R38" s="622"/>
    </row>
    <row r="39" spans="2:18" s="377" customFormat="1" ht="3.75" customHeight="1" x14ac:dyDescent="0.3">
      <c r="B39" s="437"/>
      <c r="C39" s="437"/>
      <c r="D39" s="437"/>
      <c r="E39" s="437"/>
      <c r="F39" s="437"/>
      <c r="G39" s="437"/>
      <c r="H39" s="437"/>
      <c r="I39" s="437"/>
      <c r="J39" s="437"/>
      <c r="K39" s="437"/>
      <c r="L39" s="437"/>
      <c r="M39" s="437"/>
      <c r="N39" s="437"/>
      <c r="O39" s="447"/>
      <c r="P39" s="402"/>
      <c r="Q39" s="402"/>
      <c r="R39" s="448"/>
    </row>
    <row r="40" spans="2:18" s="377" customFormat="1" ht="14.25" customHeight="1" x14ac:dyDescent="0.3">
      <c r="B40" s="402" t="s">
        <v>193</v>
      </c>
      <c r="C40" s="402"/>
      <c r="D40" s="450">
        <f>IFERROR(D121/D117,"")</f>
        <v>0.15720230652956876</v>
      </c>
      <c r="E40" s="450">
        <f t="shared" ref="E40:N40" si="9">IFERROR(E121/E117,"")</f>
        <v>0.38288884508152865</v>
      </c>
      <c r="F40" s="450">
        <f>IFERROR(F122/F118,"")</f>
        <v>31.257276995305165</v>
      </c>
      <c r="G40" s="450" t="str">
        <f>IFERROR(G122/G118,"")</f>
        <v/>
      </c>
      <c r="H40" s="450" t="str">
        <f>IFERROR(H122/H118,"")</f>
        <v/>
      </c>
      <c r="I40" s="889" t="str">
        <f>IFERROR(I122/I118,"")</f>
        <v/>
      </c>
      <c r="J40" s="884">
        <f t="shared" si="9"/>
        <v>0.20731075415704933</v>
      </c>
      <c r="K40" s="873" t="str">
        <f t="shared" si="9"/>
        <v/>
      </c>
      <c r="L40" s="873" t="str">
        <f t="shared" si="9"/>
        <v/>
      </c>
      <c r="M40" s="873" t="str">
        <f t="shared" si="9"/>
        <v/>
      </c>
      <c r="N40" s="873" t="str">
        <f t="shared" si="9"/>
        <v/>
      </c>
      <c r="O40" s="696">
        <f t="shared" ref="O40:O42" si="10">IFERROR(+AVERAGE(D40:N40),"")</f>
        <v>8.001169725268328</v>
      </c>
      <c r="P40" s="402"/>
      <c r="Q40" s="402"/>
      <c r="R40" s="448"/>
    </row>
    <row r="41" spans="2:18" s="377" customFormat="1" ht="14.25" customHeight="1" x14ac:dyDescent="0.3">
      <c r="B41" s="402" t="s">
        <v>194</v>
      </c>
      <c r="C41" s="402"/>
      <c r="D41" s="450">
        <f>IFERROR(+(D121-D111)/D100,"")</f>
        <v>1.9789373075153096</v>
      </c>
      <c r="E41" s="450">
        <f t="shared" ref="E41:N41" si="11">IFERROR(+(E121-E111)/E100,"")</f>
        <v>1.3785970030499934</v>
      </c>
      <c r="F41" s="450">
        <f>IFERROR(+(F122-F112)/F100,"")</f>
        <v>1.5774865073245954</v>
      </c>
      <c r="G41" s="450">
        <f>IFERROR(+(G122-G112)/G100,"")</f>
        <v>0</v>
      </c>
      <c r="H41" s="450">
        <f>IFERROR(+(H122-H112)/H100,"")</f>
        <v>0</v>
      </c>
      <c r="I41" s="889">
        <f>IFERROR(+(I122-I112)/I100,"")</f>
        <v>0</v>
      </c>
      <c r="J41" s="884">
        <f t="shared" si="11"/>
        <v>4.0540540540540544</v>
      </c>
      <c r="K41" s="873" t="str">
        <f t="shared" si="11"/>
        <v/>
      </c>
      <c r="L41" s="873" t="str">
        <f t="shared" si="11"/>
        <v/>
      </c>
      <c r="M41" s="873" t="str">
        <f t="shared" si="11"/>
        <v/>
      </c>
      <c r="N41" s="873" t="str">
        <f t="shared" si="11"/>
        <v/>
      </c>
      <c r="O41" s="696">
        <f t="shared" si="10"/>
        <v>1.2841535531348502</v>
      </c>
      <c r="P41" s="402"/>
      <c r="Q41" s="402"/>
      <c r="R41" s="448"/>
    </row>
    <row r="42" spans="2:18" s="377" customFormat="1" ht="14.25" customHeight="1" x14ac:dyDescent="0.3">
      <c r="B42" s="402" t="s">
        <v>195</v>
      </c>
      <c r="C42" s="402"/>
      <c r="D42" s="450">
        <f t="shared" ref="D42:N42" si="12">IFERROR(D101/D102,"")</f>
        <v>-9.1446700507614302</v>
      </c>
      <c r="E42" s="450">
        <f t="shared" si="12"/>
        <v>11.734251968503937</v>
      </c>
      <c r="F42" s="450">
        <f>IFERROR(F101/F102,"")</f>
        <v>17.559972583961617</v>
      </c>
      <c r="G42" s="450" t="str">
        <f>IFERROR(G101/G102,"")</f>
        <v/>
      </c>
      <c r="H42" s="450">
        <f t="shared" si="12"/>
        <v>30.710097719869704</v>
      </c>
      <c r="I42" s="889">
        <f t="shared" si="12"/>
        <v>-5.1792717086834728</v>
      </c>
      <c r="J42" s="884">
        <f t="shared" si="12"/>
        <v>-2.8691099476439792</v>
      </c>
      <c r="K42" s="873" t="str">
        <f t="shared" si="12"/>
        <v/>
      </c>
      <c r="L42" s="873" t="str">
        <f t="shared" si="12"/>
        <v/>
      </c>
      <c r="M42" s="873" t="str">
        <f t="shared" si="12"/>
        <v/>
      </c>
      <c r="N42" s="873" t="str">
        <f t="shared" si="12"/>
        <v/>
      </c>
      <c r="O42" s="696">
        <f t="shared" si="10"/>
        <v>7.1352117608743955</v>
      </c>
      <c r="P42" s="402"/>
      <c r="Q42" s="402"/>
      <c r="R42" s="448"/>
    </row>
    <row r="43" spans="2:18" s="377" customFormat="1" ht="3.75" customHeight="1" x14ac:dyDescent="0.3">
      <c r="B43" s="402"/>
      <c r="C43" s="402"/>
      <c r="D43" s="402"/>
      <c r="E43" s="402"/>
      <c r="F43" s="402"/>
      <c r="G43" s="402"/>
      <c r="H43" s="402"/>
      <c r="I43" s="402"/>
      <c r="J43" s="402"/>
      <c r="K43" s="402"/>
      <c r="L43" s="402"/>
      <c r="M43" s="402"/>
      <c r="N43" s="402"/>
      <c r="O43" s="446"/>
      <c r="P43" s="402"/>
      <c r="Q43" s="402"/>
      <c r="R43" s="448"/>
    </row>
    <row r="44" spans="2:18" s="380" customFormat="1" ht="14.25" customHeight="1" x14ac:dyDescent="0.3">
      <c r="B44" s="620" t="s">
        <v>196</v>
      </c>
      <c r="C44" s="621"/>
      <c r="D44" s="387" t="str">
        <f ca="1">+D29</f>
        <v>ANALOG</v>
      </c>
      <c r="E44" s="387" t="str">
        <f t="shared" ref="E44:O44" ca="1" si="13">+E29</f>
        <v>TEXAS</v>
      </c>
      <c r="F44" s="387" t="str">
        <f t="shared" ca="1" si="13"/>
        <v>MICROCHIP</v>
      </c>
      <c r="G44" s="387" t="str">
        <f t="shared" ca="1" si="13"/>
        <v>MONOLITHIC</v>
      </c>
      <c r="H44" s="387" t="str">
        <f t="shared" ca="1" si="13"/>
        <v>SKYWORKS</v>
      </c>
      <c r="I44" s="387" t="str">
        <f t="shared" ca="1" si="13"/>
        <v>MACOM</v>
      </c>
      <c r="J44" s="387" t="str">
        <f t="shared" ca="1" si="13"/>
        <v>MTSI</v>
      </c>
      <c r="K44" s="387" t="str">
        <f t="shared" ca="1" si="13"/>
        <v>INTEL</v>
      </c>
      <c r="L44" s="387" t="str">
        <f t="shared" ca="1" si="13"/>
        <v>MICRON</v>
      </c>
      <c r="M44" s="387" t="str">
        <f t="shared" ca="1" si="13"/>
        <v>FIRST</v>
      </c>
      <c r="N44" s="387" t="str">
        <f t="shared" ca="1" si="13"/>
        <v>ALTRI,</v>
      </c>
      <c r="O44" s="387" t="str">
        <f t="shared" si="13"/>
        <v>Average</v>
      </c>
      <c r="P44" s="411"/>
      <c r="Q44" s="411"/>
      <c r="R44" s="622"/>
    </row>
    <row r="45" spans="2:18" s="377" customFormat="1" ht="3.75" customHeight="1" x14ac:dyDescent="0.3">
      <c r="B45" s="437"/>
      <c r="C45" s="437"/>
      <c r="D45" s="437"/>
      <c r="E45" s="437"/>
      <c r="F45" s="437"/>
      <c r="G45" s="437"/>
      <c r="H45" s="437"/>
      <c r="I45" s="437"/>
      <c r="J45" s="437"/>
      <c r="K45" s="437"/>
      <c r="L45" s="437"/>
      <c r="M45" s="437"/>
      <c r="N45" s="437"/>
      <c r="O45" s="447"/>
      <c r="P45" s="402"/>
      <c r="Q45" s="402"/>
      <c r="R45" s="448"/>
    </row>
    <row r="46" spans="2:18" s="377" customFormat="1" ht="14.25" customHeight="1" x14ac:dyDescent="0.3">
      <c r="B46" s="402" t="s">
        <v>43</v>
      </c>
      <c r="C46" s="402"/>
      <c r="D46" s="450">
        <f>IFERROR(D111/D119,"")</f>
        <v>0.6663654920858012</v>
      </c>
      <c r="E46" s="450">
        <f t="shared" ref="E46:N46" si="14">IFERROR(E111/E119,"")</f>
        <v>0.87839692561076033</v>
      </c>
      <c r="F46" s="450">
        <f>IFERROR(F112/F120,"")</f>
        <v>0.22101343315591426</v>
      </c>
      <c r="G46" s="450" t="str">
        <f>IFERROR(G112/G120,"")</f>
        <v/>
      </c>
      <c r="H46" s="450" t="str">
        <f>IFERROR(H112/H120,"")</f>
        <v/>
      </c>
      <c r="I46" s="889" t="str">
        <f>IFERROR(I112/I120,"")</f>
        <v/>
      </c>
      <c r="J46" s="884">
        <f t="shared" si="14"/>
        <v>0.52425578831312014</v>
      </c>
      <c r="K46" s="873" t="str">
        <f t="shared" si="14"/>
        <v/>
      </c>
      <c r="L46" s="873" t="str">
        <f t="shared" si="14"/>
        <v/>
      </c>
      <c r="M46" s="873" t="str">
        <f t="shared" si="14"/>
        <v/>
      </c>
      <c r="N46" s="873" t="str">
        <f t="shared" si="14"/>
        <v/>
      </c>
      <c r="O46" s="696">
        <f t="shared" ref="O46:O48" si="15">IFERROR(+AVERAGE(D46:N46),"")</f>
        <v>0.57250790979139898</v>
      </c>
      <c r="P46" s="402"/>
      <c r="Q46" s="402"/>
      <c r="R46" s="448"/>
    </row>
    <row r="47" spans="2:18" s="377" customFormat="1" ht="14.25" customHeight="1" x14ac:dyDescent="0.3">
      <c r="B47" s="402" t="s">
        <v>44</v>
      </c>
      <c r="C47" s="402"/>
      <c r="D47" s="450">
        <f>IFERROR(+(D111+D112)/D119,"")</f>
        <v>1.1135428169862462</v>
      </c>
      <c r="E47" s="450">
        <f t="shared" ref="E47:N47" si="16">IFERROR(+(E111+E112)/E119,"")</f>
        <v>1.3502607740872907</v>
      </c>
      <c r="F47" s="450">
        <f>IFERROR(+(F112+F113)/F120,"")</f>
        <v>0.22101343315591426</v>
      </c>
      <c r="G47" s="450" t="str">
        <f>IFERROR(+(G112+G113)/G120,"")</f>
        <v/>
      </c>
      <c r="H47" s="450" t="str">
        <f>IFERROR(+(H112+H113)/H120,"")</f>
        <v/>
      </c>
      <c r="I47" s="889" t="str">
        <f>IFERROR(+(I112+I113)/I120,"")</f>
        <v/>
      </c>
      <c r="J47" s="884">
        <f t="shared" si="16"/>
        <v>1.1427783902976847</v>
      </c>
      <c r="K47" s="873" t="str">
        <f t="shared" si="16"/>
        <v/>
      </c>
      <c r="L47" s="873" t="str">
        <f t="shared" si="16"/>
        <v/>
      </c>
      <c r="M47" s="873" t="str">
        <f t="shared" si="16"/>
        <v/>
      </c>
      <c r="N47" s="873" t="str">
        <f t="shared" si="16"/>
        <v/>
      </c>
      <c r="O47" s="696">
        <f t="shared" si="15"/>
        <v>0.95689885363178406</v>
      </c>
      <c r="P47" s="402"/>
      <c r="Q47" s="402"/>
      <c r="R47" s="448"/>
    </row>
    <row r="48" spans="2:18" s="377" customFormat="1" ht="14.25" customHeight="1" x14ac:dyDescent="0.3">
      <c r="B48" s="402" t="s">
        <v>46</v>
      </c>
      <c r="C48" s="402"/>
      <c r="D48" s="450">
        <f>IFERROR(D115/D119,"")</f>
        <v>1.8353913596359133</v>
      </c>
      <c r="E48" s="450">
        <f t="shared" ref="E48:N48" si="17">IFERROR(E115/E119,"")</f>
        <v>4.1246225638210268</v>
      </c>
      <c r="F48" s="450">
        <f>IFERROR(F116/F120,"")</f>
        <v>0.26337954027022287</v>
      </c>
      <c r="G48" s="450" t="str">
        <f>IFERROR(G116/G120,"")</f>
        <v/>
      </c>
      <c r="H48" s="450" t="str">
        <f>IFERROR(H116/H120,"")</f>
        <v/>
      </c>
      <c r="I48" s="889" t="str">
        <f>IFERROR(I116/I120,"")</f>
        <v/>
      </c>
      <c r="J48" s="884">
        <f t="shared" si="17"/>
        <v>1.6885336273428886</v>
      </c>
      <c r="K48" s="873" t="str">
        <f t="shared" si="17"/>
        <v/>
      </c>
      <c r="L48" s="873" t="str">
        <f t="shared" si="17"/>
        <v/>
      </c>
      <c r="M48" s="873" t="str">
        <f t="shared" si="17"/>
        <v/>
      </c>
      <c r="N48" s="873" t="str">
        <f t="shared" si="17"/>
        <v/>
      </c>
      <c r="O48" s="696">
        <f t="shared" si="15"/>
        <v>1.9779817727675129</v>
      </c>
      <c r="P48" s="402"/>
      <c r="Q48" s="402"/>
      <c r="R48" s="448"/>
    </row>
    <row r="49" spans="2:18" s="377" customFormat="1" ht="3.75" customHeight="1" x14ac:dyDescent="0.3">
      <c r="B49" s="402"/>
      <c r="C49" s="402"/>
      <c r="D49" s="450"/>
      <c r="E49" s="402"/>
      <c r="F49" s="402"/>
      <c r="G49" s="402"/>
      <c r="H49" s="402"/>
      <c r="I49" s="402"/>
      <c r="J49" s="402"/>
      <c r="K49" s="402"/>
      <c r="L49" s="402"/>
      <c r="M49" s="402"/>
      <c r="N49" s="402"/>
      <c r="O49" s="446"/>
      <c r="P49" s="402"/>
      <c r="Q49" s="402"/>
      <c r="R49" s="448"/>
    </row>
    <row r="50" spans="2:18" s="380" customFormat="1" ht="14.25" customHeight="1" x14ac:dyDescent="0.3">
      <c r="B50" s="620" t="s">
        <v>197</v>
      </c>
      <c r="C50" s="621"/>
      <c r="D50" s="387" t="str">
        <f ca="1">+D29</f>
        <v>ANALOG</v>
      </c>
      <c r="E50" s="387" t="str">
        <f t="shared" ref="E50:O50" ca="1" si="18">+E29</f>
        <v>TEXAS</v>
      </c>
      <c r="F50" s="387" t="str">
        <f t="shared" ca="1" si="18"/>
        <v>MICROCHIP</v>
      </c>
      <c r="G50" s="387" t="str">
        <f t="shared" ca="1" si="18"/>
        <v>MONOLITHIC</v>
      </c>
      <c r="H50" s="387" t="str">
        <f t="shared" ca="1" si="18"/>
        <v>SKYWORKS</v>
      </c>
      <c r="I50" s="387" t="str">
        <f t="shared" ca="1" si="18"/>
        <v>MACOM</v>
      </c>
      <c r="J50" s="387" t="str">
        <f t="shared" ca="1" si="18"/>
        <v>MTSI</v>
      </c>
      <c r="K50" s="387" t="str">
        <f t="shared" ca="1" si="18"/>
        <v>INTEL</v>
      </c>
      <c r="L50" s="387" t="str">
        <f t="shared" ca="1" si="18"/>
        <v>MICRON</v>
      </c>
      <c r="M50" s="387" t="str">
        <f t="shared" ca="1" si="18"/>
        <v>FIRST</v>
      </c>
      <c r="N50" s="387" t="str">
        <f t="shared" ca="1" si="18"/>
        <v>ALTRI,</v>
      </c>
      <c r="O50" s="387" t="str">
        <f t="shared" si="18"/>
        <v>Average</v>
      </c>
      <c r="P50" s="411"/>
      <c r="Q50" s="411"/>
      <c r="R50" s="622"/>
    </row>
    <row r="51" spans="2:18" s="377" customFormat="1" ht="3.75" customHeight="1" x14ac:dyDescent="0.3">
      <c r="B51" s="437"/>
      <c r="C51" s="437"/>
      <c r="D51" s="437"/>
      <c r="E51" s="437"/>
      <c r="F51" s="437"/>
      <c r="G51" s="437"/>
      <c r="H51" s="437"/>
      <c r="I51" s="437"/>
      <c r="J51" s="437"/>
      <c r="K51" s="437"/>
      <c r="L51" s="437"/>
      <c r="M51" s="437"/>
      <c r="N51" s="437"/>
      <c r="O51" s="447"/>
      <c r="P51" s="402"/>
      <c r="Q51" s="402"/>
      <c r="R51" s="448"/>
    </row>
    <row r="52" spans="2:18" s="377" customFormat="1" ht="14.25" customHeight="1" x14ac:dyDescent="0.3">
      <c r="B52" s="402" t="s">
        <v>198</v>
      </c>
      <c r="C52" s="402"/>
      <c r="D52" s="752">
        <f>IFERROR(D98/(AVERAGE(D113:D114)),"")</f>
        <v>2.6187255250978998</v>
      </c>
      <c r="E52" s="752">
        <f t="shared" ref="E52:N52" si="19">IFERROR(E98/(AVERAGE(E113:E114)),"")</f>
        <v>1.5357729298615999</v>
      </c>
      <c r="F52" s="752">
        <f>IFERROR(F98/(AVERAGE(F114:F115)),"")</f>
        <v>0.85037060908797935</v>
      </c>
      <c r="G52" s="752" t="str">
        <f>IFERROR(G98/(AVERAGE(G114:G115)),"")</f>
        <v/>
      </c>
      <c r="H52" s="752" t="str">
        <f>IFERROR(H98/(AVERAGE(H114:H115)),"")</f>
        <v/>
      </c>
      <c r="I52" s="890" t="str">
        <f>IFERROR(I98/(AVERAGE(I114:I115)),"")</f>
        <v/>
      </c>
      <c r="J52" s="885">
        <f t="shared" si="19"/>
        <v>3.3271221532091095</v>
      </c>
      <c r="K52" s="874" t="str">
        <f t="shared" si="19"/>
        <v/>
      </c>
      <c r="L52" s="874" t="str">
        <f t="shared" si="19"/>
        <v/>
      </c>
      <c r="M52" s="874" t="str">
        <f t="shared" si="19"/>
        <v/>
      </c>
      <c r="N52" s="874" t="str">
        <f t="shared" si="19"/>
        <v/>
      </c>
      <c r="O52" s="696">
        <f t="shared" ref="O52:O57" si="20">IFERROR(+AVERAGE(D52:N52),"")</f>
        <v>2.0829978043141471</v>
      </c>
      <c r="P52" s="402"/>
      <c r="Q52" s="402"/>
      <c r="R52" s="448"/>
    </row>
    <row r="53" spans="2:18" s="377" customFormat="1" ht="14.25" customHeight="1" x14ac:dyDescent="0.3">
      <c r="B53" s="402" t="s">
        <v>199</v>
      </c>
      <c r="C53" s="402"/>
      <c r="D53" s="752">
        <f>IFERROR(D97/D112,"")</f>
        <v>7.0547032851904516</v>
      </c>
      <c r="E53" s="752">
        <f t="shared" ref="E53:N53" si="21">IFERROR(E97/E112,"")</f>
        <v>9.0988947062245487</v>
      </c>
      <c r="F53" s="752" t="str">
        <f>IFERROR(F97/F113,"")</f>
        <v/>
      </c>
      <c r="G53" s="752" t="str">
        <f>IFERROR(G97/G113,"")</f>
        <v/>
      </c>
      <c r="H53" s="752" t="str">
        <f>IFERROR(H97/H113,"")</f>
        <v/>
      </c>
      <c r="I53" s="890" t="str">
        <f>IFERROR(I97/I113,"")</f>
        <v/>
      </c>
      <c r="J53" s="885">
        <f t="shared" si="21"/>
        <v>4.9090909090909092</v>
      </c>
      <c r="K53" s="874" t="str">
        <f t="shared" si="21"/>
        <v/>
      </c>
      <c r="L53" s="874" t="str">
        <f t="shared" si="21"/>
        <v/>
      </c>
      <c r="M53" s="874" t="str">
        <f t="shared" si="21"/>
        <v/>
      </c>
      <c r="N53" s="874" t="str">
        <f t="shared" si="21"/>
        <v/>
      </c>
      <c r="O53" s="696">
        <f t="shared" si="20"/>
        <v>7.0208963001686371</v>
      </c>
      <c r="P53" s="402"/>
      <c r="Q53" s="402"/>
      <c r="R53" s="448"/>
    </row>
    <row r="54" spans="2:18" s="377" customFormat="1" ht="14.25" customHeight="1" x14ac:dyDescent="0.3">
      <c r="B54" s="402" t="s">
        <v>200</v>
      </c>
      <c r="C54" s="402"/>
      <c r="D54" s="752">
        <f>IFERROR(D98/D118,"")</f>
        <v>8.2990769230769228</v>
      </c>
      <c r="E54" s="752">
        <f t="shared" ref="E54:N54" si="22">IFERROR(E98/E118,"")</f>
        <v>7.9841463414634148</v>
      </c>
      <c r="F54" s="752">
        <f>IFERROR(F98/F119,"")</f>
        <v>1.0475188566891622</v>
      </c>
      <c r="G54" s="752" t="str">
        <f>IFERROR(G98/G119,"")</f>
        <v/>
      </c>
      <c r="H54" s="752" t="str">
        <f>IFERROR(H98/H119,"")</f>
        <v/>
      </c>
      <c r="I54" s="890" t="str">
        <f>IFERROR(I98/I119,"")</f>
        <v/>
      </c>
      <c r="J54" s="885">
        <f t="shared" si="22"/>
        <v>7.8199513381995134</v>
      </c>
      <c r="K54" s="874" t="str">
        <f t="shared" si="22"/>
        <v/>
      </c>
      <c r="L54" s="874" t="str">
        <f t="shared" si="22"/>
        <v/>
      </c>
      <c r="M54" s="874" t="str">
        <f t="shared" si="22"/>
        <v/>
      </c>
      <c r="N54" s="874" t="str">
        <f t="shared" si="22"/>
        <v/>
      </c>
      <c r="O54" s="696">
        <f t="shared" si="20"/>
        <v>6.2876733648572536</v>
      </c>
      <c r="P54" s="402"/>
      <c r="Q54" s="402"/>
      <c r="R54" s="448"/>
    </row>
    <row r="55" spans="2:18" s="377" customFormat="1" ht="14.25" customHeight="1" x14ac:dyDescent="0.3">
      <c r="B55" s="402" t="s">
        <v>201</v>
      </c>
      <c r="C55" s="402"/>
      <c r="D55" s="450" t="str">
        <f>IFERROR(D97/D116,"")</f>
        <v/>
      </c>
      <c r="E55" s="450">
        <f t="shared" ref="E55:N55" si="23">IFERROR(E97/E116,"")</f>
        <v>1.3784260156869657</v>
      </c>
      <c r="F55" s="450">
        <f>IFERROR(F97/F117,"")</f>
        <v>0.48096162084519817</v>
      </c>
      <c r="G55" s="450" t="str">
        <f>IFERROR(G97/G117,"")</f>
        <v/>
      </c>
      <c r="H55" s="450" t="str">
        <f>IFERROR(H97/H117,"")</f>
        <v/>
      </c>
      <c r="I55" s="889" t="str">
        <f>IFERROR(I97/I117,"")</f>
        <v/>
      </c>
      <c r="J55" s="884">
        <f t="shared" si="23"/>
        <v>5.7374999999999998</v>
      </c>
      <c r="K55" s="873" t="str">
        <f t="shared" si="23"/>
        <v/>
      </c>
      <c r="L55" s="873" t="str">
        <f t="shared" si="23"/>
        <v/>
      </c>
      <c r="M55" s="873" t="str">
        <f t="shared" si="23"/>
        <v/>
      </c>
      <c r="N55" s="873" t="str">
        <f t="shared" si="23"/>
        <v/>
      </c>
      <c r="O55" s="696">
        <f t="shared" si="20"/>
        <v>2.5322958788440544</v>
      </c>
      <c r="P55" s="402"/>
      <c r="Q55" s="402"/>
      <c r="R55" s="448"/>
    </row>
    <row r="56" spans="2:18" s="377" customFormat="1" ht="14.25" customHeight="1" x14ac:dyDescent="0.3">
      <c r="B56" s="402" t="s">
        <v>202</v>
      </c>
      <c r="C56" s="402"/>
      <c r="D56" s="450">
        <f>IFERROR(D97/D117,"")</f>
        <v>0.19547029441220198</v>
      </c>
      <c r="E56" s="450">
        <f t="shared" ref="E56:N56" si="24">IFERROR(E97/E117,"")</f>
        <v>0.44047987834070235</v>
      </c>
      <c r="F56" s="450">
        <f>IFERROR(F97/F118,"")</f>
        <v>35.842253521126757</v>
      </c>
      <c r="G56" s="450" t="str">
        <f>IFERROR(G97/G118,"")</f>
        <v/>
      </c>
      <c r="H56" s="450" t="str">
        <f>IFERROR(H97/H118,"")</f>
        <v/>
      </c>
      <c r="I56" s="889" t="str">
        <f>IFERROR(I97/I118,"")</f>
        <v/>
      </c>
      <c r="J56" s="884">
        <f t="shared" si="24"/>
        <v>0.25945640397569364</v>
      </c>
      <c r="K56" s="873" t="str">
        <f t="shared" si="24"/>
        <v/>
      </c>
      <c r="L56" s="873" t="str">
        <f t="shared" si="24"/>
        <v/>
      </c>
      <c r="M56" s="873" t="str">
        <f t="shared" si="24"/>
        <v/>
      </c>
      <c r="N56" s="873" t="str">
        <f t="shared" si="24"/>
        <v/>
      </c>
      <c r="O56" s="696">
        <f t="shared" si="20"/>
        <v>9.1844150244638385</v>
      </c>
      <c r="P56" s="402"/>
      <c r="Q56" s="402"/>
      <c r="R56" s="448"/>
    </row>
    <row r="57" spans="2:18" s="377" customFormat="1" ht="14.25" customHeight="1" x14ac:dyDescent="0.3">
      <c r="B57" s="402" t="s">
        <v>203</v>
      </c>
      <c r="C57" s="402"/>
      <c r="D57" s="753">
        <f>IFERROR(365/D52+365/D53-365/D54,"")</f>
        <v>147.1385158786905</v>
      </c>
      <c r="E57" s="753">
        <f t="shared" ref="E57:N57" si="25">IFERROR(365/E52+365/E53-365/E54,"")</f>
        <v>232.06451045938948</v>
      </c>
      <c r="F57" s="753" t="str">
        <f t="shared" si="25"/>
        <v/>
      </c>
      <c r="G57" s="753" t="str">
        <f t="shared" si="25"/>
        <v/>
      </c>
      <c r="H57" s="753" t="str">
        <f t="shared" si="25"/>
        <v/>
      </c>
      <c r="I57" s="753" t="str">
        <f t="shared" si="25"/>
        <v/>
      </c>
      <c r="J57" s="882">
        <f t="shared" si="25"/>
        <v>137.38078775726567</v>
      </c>
      <c r="K57" s="875" t="str">
        <f t="shared" si="25"/>
        <v/>
      </c>
      <c r="L57" s="875" t="str">
        <f t="shared" si="25"/>
        <v/>
      </c>
      <c r="M57" s="875" t="str">
        <f t="shared" si="25"/>
        <v/>
      </c>
      <c r="N57" s="875" t="str">
        <f t="shared" si="25"/>
        <v/>
      </c>
      <c r="O57" s="696">
        <f t="shared" si="20"/>
        <v>172.19460469844856</v>
      </c>
      <c r="P57" s="402"/>
      <c r="Q57" s="402"/>
      <c r="R57" s="448"/>
    </row>
    <row r="58" spans="2:18" s="377" customFormat="1" ht="4" customHeight="1" x14ac:dyDescent="0.3">
      <c r="B58" s="402"/>
      <c r="C58" s="402"/>
      <c r="D58" s="696"/>
      <c r="E58" s="696"/>
      <c r="F58" s="696"/>
      <c r="G58" s="696"/>
      <c r="H58" s="696"/>
      <c r="I58" s="696"/>
      <c r="J58" s="696"/>
      <c r="K58" s="696"/>
      <c r="L58" s="696"/>
      <c r="M58" s="696"/>
      <c r="N58" s="696"/>
      <c r="O58" s="696"/>
      <c r="P58" s="402"/>
      <c r="Q58" s="402"/>
      <c r="R58" s="448"/>
    </row>
    <row r="59" spans="2:18" s="377" customFormat="1" ht="14.25" customHeight="1" x14ac:dyDescent="0.3">
      <c r="B59" s="620" t="s">
        <v>204</v>
      </c>
      <c r="C59" s="621"/>
      <c r="D59" s="387" t="str">
        <f ca="1">+D38</f>
        <v>ANALOG</v>
      </c>
      <c r="E59" s="387" t="str">
        <f t="shared" ref="E59:O59" ca="1" si="26">+E38</f>
        <v>TEXAS</v>
      </c>
      <c r="F59" s="387" t="str">
        <f t="shared" ca="1" si="26"/>
        <v>MICROCHIP</v>
      </c>
      <c r="G59" s="387" t="str">
        <f t="shared" ca="1" si="26"/>
        <v>MONOLITHIC</v>
      </c>
      <c r="H59" s="387" t="str">
        <f t="shared" ca="1" si="26"/>
        <v>SKYWORKS</v>
      </c>
      <c r="I59" s="387" t="str">
        <f t="shared" ca="1" si="26"/>
        <v>MACOM</v>
      </c>
      <c r="J59" s="387" t="str">
        <f t="shared" ca="1" si="26"/>
        <v>MTSI</v>
      </c>
      <c r="K59" s="387" t="str">
        <f t="shared" ca="1" si="26"/>
        <v>INTEL</v>
      </c>
      <c r="L59" s="387" t="str">
        <f t="shared" ca="1" si="26"/>
        <v>MICRON</v>
      </c>
      <c r="M59" s="387" t="str">
        <f t="shared" ca="1" si="26"/>
        <v>FIRST</v>
      </c>
      <c r="N59" s="387" t="str">
        <f t="shared" ca="1" si="26"/>
        <v>ALTRI,</v>
      </c>
      <c r="O59" s="387" t="str">
        <f t="shared" si="26"/>
        <v>Average</v>
      </c>
      <c r="P59" s="402"/>
      <c r="Q59" s="402"/>
      <c r="R59" s="448"/>
    </row>
    <row r="60" spans="2:18" s="377" customFormat="1" ht="4" customHeight="1" x14ac:dyDescent="0.3">
      <c r="B60" s="437"/>
      <c r="C60" s="437"/>
      <c r="D60" s="437"/>
      <c r="E60" s="437"/>
      <c r="F60" s="437"/>
      <c r="G60" s="437"/>
      <c r="H60" s="437"/>
      <c r="I60" s="437"/>
      <c r="J60" s="437"/>
      <c r="K60" s="437"/>
      <c r="L60" s="437"/>
      <c r="M60" s="437"/>
      <c r="N60" s="437"/>
      <c r="O60" s="447"/>
      <c r="P60" s="402"/>
      <c r="Q60" s="402"/>
      <c r="R60" s="448"/>
    </row>
    <row r="61" spans="2:18" s="377" customFormat="1" ht="14.25" customHeight="1" x14ac:dyDescent="0.3">
      <c r="B61" s="402" t="s">
        <v>205</v>
      </c>
      <c r="C61" s="402"/>
      <c r="D61" s="697">
        <f>IFERROR(D132/D97,"")</f>
        <v>0.10960836727766461</v>
      </c>
      <c r="E61" s="697">
        <f t="shared" ref="E61:N61" si="27">IFERROR(E132/E97,"")</f>
        <v>1.5088549325490698E-2</v>
      </c>
      <c r="F61" s="697">
        <f>IFERROR(F132/F97,"")</f>
        <v>1.1225505606203501E-2</v>
      </c>
      <c r="G61" s="697">
        <f>IFERROR(G132/G97,"")</f>
        <v>0</v>
      </c>
      <c r="H61" s="697">
        <f>IFERROR(H132/H97,"")</f>
        <v>0</v>
      </c>
      <c r="I61" s="872">
        <f>IFERROR(I132/I97,"")</f>
        <v>0</v>
      </c>
      <c r="J61" s="886">
        <f t="shared" si="27"/>
        <v>7.2621641249092234E-3</v>
      </c>
      <c r="K61" s="876" t="str">
        <f t="shared" si="27"/>
        <v/>
      </c>
      <c r="L61" s="876" t="str">
        <f t="shared" si="27"/>
        <v/>
      </c>
      <c r="M61" s="876" t="str">
        <f t="shared" si="27"/>
        <v/>
      </c>
      <c r="N61" s="876" t="str">
        <f t="shared" si="27"/>
        <v/>
      </c>
      <c r="O61" s="872">
        <f>IFERROR(+AVERAGE(D61:N61),"")</f>
        <v>2.0454940904895431E-2</v>
      </c>
      <c r="P61" s="402"/>
      <c r="Q61" s="402"/>
      <c r="R61" s="448"/>
    </row>
    <row r="62" spans="2:18" s="377" customFormat="1" ht="14.25" customHeight="1" x14ac:dyDescent="0.3">
      <c r="B62" s="402" t="s">
        <v>206</v>
      </c>
      <c r="C62" s="402"/>
      <c r="D62" s="697">
        <f>IFERROR(D132/D96,"")</f>
        <v>0.4293252451387734</v>
      </c>
      <c r="E62" s="697">
        <f t="shared" ref="E62:N62" si="28">IFERROR(E132/E96,"")</f>
        <v>3.6251920122887867E-2</v>
      </c>
      <c r="F62" s="697">
        <f>IFERROR(F132/F96,"")</f>
        <v>3.829825267015239E-2</v>
      </c>
      <c r="G62" s="697">
        <f>IFERROR(G132/G96,"")</f>
        <v>0</v>
      </c>
      <c r="H62" s="697">
        <f>IFERROR(H132/H96,"")</f>
        <v>0</v>
      </c>
      <c r="I62" s="872">
        <f>IFERROR(I132/I96,"")</f>
        <v>0</v>
      </c>
      <c r="J62" s="886">
        <f t="shared" si="28"/>
        <v>-0.24390243902439024</v>
      </c>
      <c r="K62" s="876" t="str">
        <f t="shared" si="28"/>
        <v/>
      </c>
      <c r="L62" s="876" t="str">
        <f t="shared" si="28"/>
        <v/>
      </c>
      <c r="M62" s="876" t="str">
        <f t="shared" si="28"/>
        <v/>
      </c>
      <c r="N62" s="876" t="str">
        <f t="shared" si="28"/>
        <v/>
      </c>
      <c r="O62" s="872">
        <f t="shared" ref="O62:O68" si="29">IFERROR(+AVERAGE(D62:N62),"")</f>
        <v>3.7138996986774774E-2</v>
      </c>
      <c r="P62" s="402"/>
      <c r="Q62" s="402"/>
      <c r="R62" s="448"/>
    </row>
    <row r="63" spans="2:18" s="377" customFormat="1" ht="14.25" customHeight="1" x14ac:dyDescent="0.3">
      <c r="B63" s="402" t="s">
        <v>207</v>
      </c>
      <c r="C63" s="402"/>
      <c r="D63" s="697">
        <f>+IFERROR(D126/D105,"")</f>
        <v>5.9793574421853108</v>
      </c>
      <c r="E63" s="697">
        <f t="shared" ref="E63:N63" si="30">+IFERROR(E126/E105,"")</f>
        <v>1.3165242758908107</v>
      </c>
      <c r="F63" s="697">
        <f>+IFERROR(F126/F105,"")</f>
        <v>1.5169647071162617</v>
      </c>
      <c r="G63" s="697">
        <f>+IFERROR(G126/G105,"")</f>
        <v>0</v>
      </c>
      <c r="H63" s="697">
        <f>+IFERROR(H126/H105,"")</f>
        <v>0</v>
      </c>
      <c r="I63" s="872">
        <f>+IFERROR(I126/I105,"")</f>
        <v>0</v>
      </c>
      <c r="J63" s="886">
        <f t="shared" si="30"/>
        <v>-1.4694533762057878</v>
      </c>
      <c r="K63" s="876" t="str">
        <f t="shared" si="30"/>
        <v/>
      </c>
      <c r="L63" s="876" t="str">
        <f t="shared" si="30"/>
        <v/>
      </c>
      <c r="M63" s="876" t="str">
        <f t="shared" si="30"/>
        <v/>
      </c>
      <c r="N63" s="876" t="str">
        <f t="shared" si="30"/>
        <v/>
      </c>
      <c r="O63" s="872">
        <f t="shared" si="29"/>
        <v>1.0490561498552278</v>
      </c>
      <c r="P63" s="402"/>
      <c r="Q63" s="402"/>
      <c r="R63" s="448"/>
    </row>
    <row r="64" spans="2:18" s="377" customFormat="1" ht="14.25" customHeight="1" x14ac:dyDescent="0.3">
      <c r="B64" s="402" t="s">
        <v>208</v>
      </c>
      <c r="C64" s="402"/>
      <c r="D64" s="697">
        <f t="shared" ref="D64:N64" si="31">IFERROR(-D127/D126,"")</f>
        <v>0.18948734587929916</v>
      </c>
      <c r="E64" s="697">
        <f t="shared" si="31"/>
        <v>0</v>
      </c>
      <c r="F64" s="697">
        <f>IFERROR(-F127/F126,"")</f>
        <v>9.8420161095170627E-2</v>
      </c>
      <c r="G64" s="697" t="str">
        <f>IFERROR(-G127/G126,"")</f>
        <v/>
      </c>
      <c r="H64" s="697" t="str">
        <f>IFERROR(-H127/H126,"")</f>
        <v/>
      </c>
      <c r="I64" s="872" t="str">
        <f>IFERROR(-I127/I126,"")</f>
        <v/>
      </c>
      <c r="J64" s="886">
        <f t="shared" si="31"/>
        <v>0</v>
      </c>
      <c r="K64" s="876" t="str">
        <f t="shared" si="31"/>
        <v/>
      </c>
      <c r="L64" s="876" t="str">
        <f t="shared" si="31"/>
        <v/>
      </c>
      <c r="M64" s="876" t="str">
        <f t="shared" si="31"/>
        <v/>
      </c>
      <c r="N64" s="876" t="str">
        <f t="shared" si="31"/>
        <v/>
      </c>
      <c r="O64" s="872">
        <f t="shared" si="29"/>
        <v>7.1976876743617441E-2</v>
      </c>
      <c r="P64" s="402"/>
      <c r="Q64" s="402"/>
      <c r="R64" s="448"/>
    </row>
    <row r="65" spans="1:52" s="377" customFormat="1" ht="14.25" customHeight="1" x14ac:dyDescent="0.3">
      <c r="A65" s="402"/>
      <c r="B65" s="402" t="s">
        <v>209</v>
      </c>
      <c r="C65" s="402"/>
      <c r="D65" s="697">
        <f>IFERROR(-D128/D126,"")</f>
        <v>0.28680077871512005</v>
      </c>
      <c r="E65" s="697">
        <f t="shared" ref="E65:N65" si="32">IFERROR(-E128/E126,"")</f>
        <v>0.50680595125039574</v>
      </c>
      <c r="F65" s="697">
        <f>IFERROR(-F128/F126,"")</f>
        <v>0.13554810384761642</v>
      </c>
      <c r="G65" s="697" t="str">
        <f>IFERROR(-G128/G126,"")</f>
        <v/>
      </c>
      <c r="H65" s="697" t="str">
        <f>IFERROR(-H128/H126,"")</f>
        <v/>
      </c>
      <c r="I65" s="872" t="str">
        <f>IFERROR(-I128/I126,"")</f>
        <v/>
      </c>
      <c r="J65" s="886">
        <f t="shared" si="32"/>
        <v>0.25601750547045954</v>
      </c>
      <c r="K65" s="876" t="str">
        <f t="shared" si="32"/>
        <v/>
      </c>
      <c r="L65" s="876" t="str">
        <f t="shared" si="32"/>
        <v/>
      </c>
      <c r="M65" s="876" t="str">
        <f t="shared" si="32"/>
        <v/>
      </c>
      <c r="N65" s="876" t="str">
        <f t="shared" si="32"/>
        <v/>
      </c>
      <c r="O65" s="872">
        <f t="shared" si="29"/>
        <v>0.29629308482089795</v>
      </c>
      <c r="P65" s="402"/>
      <c r="Q65" s="402"/>
      <c r="R65" s="448"/>
      <c r="S65" s="402"/>
      <c r="T65" s="402"/>
      <c r="U65" s="402"/>
      <c r="V65" s="402"/>
      <c r="W65" s="402"/>
      <c r="X65" s="402"/>
      <c r="Y65" s="402"/>
      <c r="Z65" s="402"/>
      <c r="AA65" s="402"/>
      <c r="AB65" s="402"/>
      <c r="AC65" s="402"/>
      <c r="AD65" s="402"/>
      <c r="AE65" s="402"/>
      <c r="AF65" s="402"/>
      <c r="AG65" s="402"/>
      <c r="AH65" s="402"/>
      <c r="AI65" s="402"/>
      <c r="AJ65" s="402"/>
      <c r="AK65" s="402"/>
      <c r="AL65" s="402"/>
      <c r="AM65" s="402"/>
      <c r="AN65" s="402"/>
      <c r="AO65" s="402"/>
      <c r="AP65" s="402"/>
      <c r="AQ65" s="402"/>
      <c r="AR65" s="402"/>
      <c r="AS65" s="402"/>
      <c r="AT65" s="402"/>
      <c r="AU65" s="402"/>
      <c r="AV65" s="402"/>
      <c r="AW65" s="402"/>
      <c r="AX65" s="402"/>
      <c r="AY65" s="402"/>
      <c r="AZ65" s="402"/>
    </row>
    <row r="66" spans="1:52" s="377" customFormat="1" ht="14.25" customHeight="1" x14ac:dyDescent="0.3">
      <c r="A66" s="402"/>
      <c r="B66" s="402" t="s">
        <v>210</v>
      </c>
      <c r="C66" s="402"/>
      <c r="D66" s="697">
        <f>IFERROR((D129+D130)/D126,"")</f>
        <v>-0.12977702790395848</v>
      </c>
      <c r="E66" s="697">
        <f t="shared" ref="E66:N66" si="33">IFERROR((E129+E130)/E126,"")</f>
        <v>0.37670148781259893</v>
      </c>
      <c r="F66" s="697">
        <f>IFERROR((F129+F130)/F126,"")</f>
        <v>0</v>
      </c>
      <c r="G66" s="697" t="str">
        <f>IFERROR((G129+G130)/G126,"")</f>
        <v/>
      </c>
      <c r="H66" s="697" t="str">
        <f>IFERROR((H129+H130)/H126,"")</f>
        <v/>
      </c>
      <c r="I66" s="872" t="str">
        <f>IFERROR((I129+I130)/I126,"")</f>
        <v/>
      </c>
      <c r="J66" s="886">
        <f t="shared" si="33"/>
        <v>-0.23924142961342085</v>
      </c>
      <c r="K66" s="876" t="str">
        <f t="shared" si="33"/>
        <v/>
      </c>
      <c r="L66" s="876" t="str">
        <f t="shared" si="33"/>
        <v/>
      </c>
      <c r="M66" s="876" t="str">
        <f t="shared" si="33"/>
        <v/>
      </c>
      <c r="N66" s="876" t="str">
        <f t="shared" si="33"/>
        <v/>
      </c>
      <c r="O66" s="872">
        <f t="shared" si="29"/>
        <v>1.9207575738049015E-3</v>
      </c>
      <c r="P66" s="402"/>
      <c r="Q66" s="402"/>
      <c r="R66" s="448"/>
      <c r="S66" s="402"/>
      <c r="T66" s="402"/>
      <c r="U66" s="402"/>
      <c r="V66" s="402"/>
      <c r="W66" s="402"/>
      <c r="X66" s="402"/>
      <c r="Y66" s="402"/>
      <c r="Z66" s="402"/>
      <c r="AA66" s="402"/>
      <c r="AB66" s="402"/>
      <c r="AC66" s="402"/>
      <c r="AD66" s="402"/>
      <c r="AE66" s="402"/>
      <c r="AF66" s="402"/>
      <c r="AG66" s="402"/>
      <c r="AH66" s="402"/>
      <c r="AI66" s="402"/>
      <c r="AJ66" s="402"/>
      <c r="AK66" s="402"/>
      <c r="AL66" s="402"/>
      <c r="AM66" s="402"/>
      <c r="AN66" s="402"/>
      <c r="AO66" s="402"/>
      <c r="AP66" s="402"/>
      <c r="AQ66" s="402"/>
      <c r="AR66" s="402"/>
      <c r="AS66" s="402"/>
      <c r="AT66" s="402"/>
      <c r="AU66" s="402"/>
      <c r="AV66" s="402"/>
      <c r="AW66" s="402"/>
      <c r="AX66" s="402"/>
      <c r="AY66" s="402"/>
      <c r="AZ66" s="402"/>
    </row>
    <row r="67" spans="1:52" s="377" customFormat="1" ht="14.25" customHeight="1" x14ac:dyDescent="0.3">
      <c r="A67" s="402"/>
      <c r="B67" s="402" t="s">
        <v>211</v>
      </c>
      <c r="C67" s="402"/>
      <c r="D67" s="697" t="str">
        <f>+IFERROR(-D130/D129,"")</f>
        <v/>
      </c>
      <c r="E67" s="697">
        <f t="shared" ref="E67:N67" si="34">+IFERROR(-E130/E129,"")</f>
        <v>0.20134228187919462</v>
      </c>
      <c r="F67" s="697" t="str">
        <f>+IFERROR(-F130/F129,"")</f>
        <v/>
      </c>
      <c r="G67" s="697" t="str">
        <f>+IFERROR(-G130/G129,"")</f>
        <v/>
      </c>
      <c r="H67" s="697" t="str">
        <f>+IFERROR(-H130/H129,"")</f>
        <v/>
      </c>
      <c r="I67" s="872" t="str">
        <f>+IFERROR(-I130/I129,"")</f>
        <v/>
      </c>
      <c r="J67" s="886">
        <f t="shared" si="34"/>
        <v>1.2532818532818533</v>
      </c>
      <c r="K67" s="876" t="str">
        <f t="shared" si="34"/>
        <v/>
      </c>
      <c r="L67" s="876" t="str">
        <f t="shared" si="34"/>
        <v/>
      </c>
      <c r="M67" s="876" t="str">
        <f t="shared" si="34"/>
        <v/>
      </c>
      <c r="N67" s="876" t="str">
        <f t="shared" si="34"/>
        <v/>
      </c>
      <c r="O67" s="872">
        <f>IFERROR(+AVERAGE(D67:N67),"")</f>
        <v>0.72731206758052391</v>
      </c>
      <c r="P67" s="402"/>
      <c r="Q67" s="402"/>
      <c r="R67" s="448"/>
      <c r="S67" s="402"/>
      <c r="T67" s="402"/>
      <c r="U67" s="402"/>
      <c r="V67" s="402"/>
      <c r="W67" s="402"/>
      <c r="X67" s="402"/>
      <c r="Y67" s="402"/>
      <c r="Z67" s="402"/>
      <c r="AA67" s="402"/>
      <c r="AB67" s="402"/>
      <c r="AC67" s="402"/>
      <c r="AD67" s="402"/>
      <c r="AE67" s="402"/>
      <c r="AF67" s="402"/>
      <c r="AG67" s="402"/>
      <c r="AH67" s="402"/>
      <c r="AI67" s="402"/>
      <c r="AJ67" s="402"/>
      <c r="AK67" s="402"/>
      <c r="AL67" s="402"/>
      <c r="AM67" s="402"/>
      <c r="AN67" s="402"/>
      <c r="AO67" s="402"/>
      <c r="AP67" s="402"/>
      <c r="AQ67" s="402"/>
      <c r="AR67" s="402"/>
      <c r="AS67" s="402"/>
      <c r="AT67" s="402"/>
      <c r="AU67" s="402"/>
      <c r="AV67" s="402"/>
      <c r="AW67" s="402"/>
      <c r="AX67" s="402"/>
      <c r="AY67" s="402"/>
      <c r="AZ67" s="402"/>
    </row>
    <row r="68" spans="1:52" s="377" customFormat="1" ht="14.25" customHeight="1" x14ac:dyDescent="0.3">
      <c r="A68" s="402"/>
      <c r="B68" s="402" t="s">
        <v>212</v>
      </c>
      <c r="C68" s="402"/>
      <c r="D68" s="697">
        <f t="shared" ref="D68:N68" si="35">IFERROR(-D131/D126,"")</f>
        <v>0.44500973393900067</v>
      </c>
      <c r="E68" s="697">
        <f t="shared" si="35"/>
        <v>0.45584045584045585</v>
      </c>
      <c r="F68" s="697">
        <f>IFERROR(-F131/F126,"")</f>
        <v>0.83482559546444501</v>
      </c>
      <c r="G68" s="697" t="str">
        <f>IFERROR(-G131/G126,"")</f>
        <v/>
      </c>
      <c r="H68" s="697" t="str">
        <f>IFERROR(-H131/H126,"")</f>
        <v/>
      </c>
      <c r="I68" s="872" t="str">
        <f>IFERROR(-I131/I126,"")</f>
        <v/>
      </c>
      <c r="J68" s="886">
        <f t="shared" si="35"/>
        <v>0.71480671043034283</v>
      </c>
      <c r="K68" s="876" t="str">
        <f t="shared" si="35"/>
        <v/>
      </c>
      <c r="L68" s="876" t="str">
        <f t="shared" si="35"/>
        <v/>
      </c>
      <c r="M68" s="876" t="str">
        <f t="shared" si="35"/>
        <v/>
      </c>
      <c r="N68" s="876" t="str">
        <f t="shared" si="35"/>
        <v/>
      </c>
      <c r="O68" s="872">
        <f t="shared" si="29"/>
        <v>0.61262062391856109</v>
      </c>
      <c r="P68" s="402"/>
      <c r="Q68" s="402"/>
      <c r="R68" s="448"/>
      <c r="S68" s="402"/>
      <c r="T68" s="402"/>
      <c r="U68" s="402"/>
      <c r="V68" s="402"/>
      <c r="W68" s="402"/>
      <c r="X68" s="402"/>
      <c r="Y68" s="402"/>
      <c r="Z68" s="402"/>
      <c r="AA68" s="402"/>
      <c r="AB68" s="402"/>
      <c r="AC68" s="402"/>
      <c r="AD68" s="402"/>
      <c r="AE68" s="402"/>
      <c r="AF68" s="402"/>
      <c r="AG68" s="402"/>
      <c r="AH68" s="402"/>
      <c r="AI68" s="402"/>
      <c r="AJ68" s="402"/>
      <c r="AK68" s="402"/>
      <c r="AL68" s="402"/>
      <c r="AM68" s="402"/>
      <c r="AN68" s="402"/>
      <c r="AO68" s="402"/>
      <c r="AP68" s="402"/>
      <c r="AQ68" s="402"/>
      <c r="AR68" s="402"/>
      <c r="AS68" s="402"/>
      <c r="AT68" s="402"/>
      <c r="AU68" s="402"/>
      <c r="AV68" s="402"/>
      <c r="AW68" s="402"/>
      <c r="AX68" s="402"/>
      <c r="AY68" s="402"/>
      <c r="AZ68" s="402"/>
    </row>
    <row r="69" spans="1:52" s="377" customFormat="1" ht="14.25" customHeight="1" x14ac:dyDescent="0.3">
      <c r="A69" s="402"/>
      <c r="B69" s="402" t="s">
        <v>213</v>
      </c>
      <c r="C69" s="402"/>
      <c r="D69" s="451"/>
      <c r="E69" s="451"/>
      <c r="F69" s="451"/>
      <c r="G69" s="451"/>
      <c r="H69" s="451"/>
      <c r="I69" s="451"/>
      <c r="J69" s="887"/>
      <c r="K69" s="877"/>
      <c r="L69" s="877"/>
      <c r="M69" s="877"/>
      <c r="N69" s="877"/>
      <c r="O69" s="872" t="str">
        <f>IFERROR(+AVERAGE(D69:N69),"")</f>
        <v/>
      </c>
      <c r="P69" s="402"/>
      <c r="Q69" s="402"/>
      <c r="R69" s="448"/>
      <c r="S69" s="402"/>
      <c r="T69" s="402"/>
      <c r="U69" s="402"/>
      <c r="V69" s="402"/>
      <c r="W69" s="402"/>
      <c r="X69" s="402"/>
      <c r="Y69" s="402"/>
      <c r="Z69" s="402"/>
      <c r="AA69" s="402"/>
      <c r="AB69" s="402"/>
      <c r="AC69" s="402"/>
      <c r="AD69" s="402"/>
      <c r="AE69" s="402"/>
      <c r="AF69" s="402"/>
      <c r="AG69" s="402"/>
      <c r="AH69" s="402"/>
      <c r="AI69" s="402"/>
      <c r="AJ69" s="402"/>
      <c r="AK69" s="402"/>
      <c r="AL69" s="402"/>
      <c r="AM69" s="402"/>
      <c r="AN69" s="402"/>
      <c r="AO69" s="402"/>
      <c r="AP69" s="402"/>
      <c r="AQ69" s="402"/>
      <c r="AR69" s="402"/>
      <c r="AS69" s="402"/>
      <c r="AT69" s="402"/>
      <c r="AU69" s="402"/>
      <c r="AV69" s="402"/>
      <c r="AW69" s="402"/>
      <c r="AX69" s="402"/>
      <c r="AY69" s="402"/>
      <c r="AZ69" s="402"/>
    </row>
    <row r="70" spans="1:52" s="377" customFormat="1" ht="3.75" customHeight="1" x14ac:dyDescent="0.3">
      <c r="A70" s="402"/>
      <c r="B70" s="402"/>
      <c r="C70" s="402"/>
      <c r="D70" s="402"/>
      <c r="E70" s="402"/>
      <c r="F70" s="402"/>
      <c r="G70" s="402"/>
      <c r="H70" s="402"/>
      <c r="I70" s="402"/>
      <c r="J70" s="402"/>
      <c r="K70" s="402"/>
      <c r="L70" s="402"/>
      <c r="M70" s="402"/>
      <c r="N70" s="402"/>
      <c r="O70" s="446"/>
      <c r="P70" s="402"/>
      <c r="Q70" s="402"/>
      <c r="R70" s="448"/>
      <c r="S70" s="402"/>
      <c r="T70" s="402"/>
      <c r="U70" s="402"/>
      <c r="V70" s="402"/>
      <c r="W70" s="402"/>
      <c r="X70" s="402"/>
      <c r="Y70" s="402"/>
      <c r="Z70" s="402"/>
      <c r="AA70" s="402"/>
      <c r="AB70" s="402"/>
      <c r="AC70" s="402"/>
      <c r="AD70" s="402"/>
      <c r="AE70" s="402"/>
      <c r="AF70" s="402"/>
      <c r="AG70" s="402"/>
      <c r="AH70" s="402"/>
      <c r="AI70" s="402"/>
      <c r="AJ70" s="402"/>
      <c r="AK70" s="402"/>
      <c r="AL70" s="402"/>
      <c r="AM70" s="402"/>
      <c r="AN70" s="402"/>
      <c r="AO70" s="402"/>
      <c r="AP70" s="402"/>
      <c r="AQ70" s="402"/>
      <c r="AR70" s="402"/>
      <c r="AS70" s="402"/>
      <c r="AT70" s="402"/>
      <c r="AU70" s="402"/>
      <c r="AV70" s="402"/>
      <c r="AW70" s="402"/>
      <c r="AX70" s="402"/>
      <c r="AY70" s="402"/>
      <c r="AZ70" s="402"/>
    </row>
    <row r="71" spans="1:52" s="380" customFormat="1" ht="14.25" customHeight="1" x14ac:dyDescent="0.3">
      <c r="A71" s="411"/>
      <c r="B71" s="620" t="s">
        <v>214</v>
      </c>
      <c r="C71" s="621"/>
      <c r="D71" s="387" t="str">
        <f t="shared" ref="D71:O71" ca="1" si="36">+D29</f>
        <v>ANALOG</v>
      </c>
      <c r="E71" s="387" t="str">
        <f t="shared" ca="1" si="36"/>
        <v>TEXAS</v>
      </c>
      <c r="F71" s="387" t="str">
        <f t="shared" ca="1" si="36"/>
        <v>MICROCHIP</v>
      </c>
      <c r="G71" s="387" t="str">
        <f t="shared" ca="1" si="36"/>
        <v>MONOLITHIC</v>
      </c>
      <c r="H71" s="387" t="str">
        <f t="shared" ca="1" si="36"/>
        <v>SKYWORKS</v>
      </c>
      <c r="I71" s="387" t="str">
        <f t="shared" ca="1" si="36"/>
        <v>MACOM</v>
      </c>
      <c r="J71" s="387" t="str">
        <f t="shared" ca="1" si="36"/>
        <v>MTSI</v>
      </c>
      <c r="K71" s="387" t="str">
        <f t="shared" ca="1" si="36"/>
        <v>INTEL</v>
      </c>
      <c r="L71" s="387" t="str">
        <f t="shared" ca="1" si="36"/>
        <v>MICRON</v>
      </c>
      <c r="M71" s="387" t="str">
        <f t="shared" ca="1" si="36"/>
        <v>FIRST</v>
      </c>
      <c r="N71" s="387" t="str">
        <f t="shared" ca="1" si="36"/>
        <v>ALTRI,</v>
      </c>
      <c r="O71" s="387" t="str">
        <f t="shared" si="36"/>
        <v>Average</v>
      </c>
      <c r="P71" s="411"/>
      <c r="Q71" s="411"/>
      <c r="R71" s="622"/>
      <c r="S71" s="411"/>
      <c r="T71" s="411"/>
      <c r="U71" s="411"/>
      <c r="V71" s="411"/>
      <c r="W71" s="411"/>
      <c r="X71" s="411"/>
      <c r="Y71" s="411"/>
      <c r="Z71" s="411"/>
      <c r="AA71" s="411"/>
      <c r="AB71" s="411"/>
      <c r="AC71" s="411"/>
      <c r="AD71" s="411"/>
      <c r="AE71" s="411"/>
      <c r="AF71" s="411"/>
      <c r="AG71" s="411"/>
      <c r="AH71" s="411"/>
      <c r="AI71" s="411"/>
      <c r="AJ71" s="411"/>
      <c r="AK71" s="411"/>
      <c r="AL71" s="411"/>
      <c r="AM71" s="411"/>
      <c r="AN71" s="411"/>
      <c r="AO71" s="411"/>
      <c r="AP71" s="411"/>
      <c r="AQ71" s="411"/>
      <c r="AR71" s="411"/>
      <c r="AS71" s="411"/>
      <c r="AT71" s="411"/>
      <c r="AU71" s="411"/>
      <c r="AV71" s="411"/>
      <c r="AW71" s="411"/>
      <c r="AX71" s="411"/>
      <c r="AY71" s="411"/>
      <c r="AZ71" s="411"/>
    </row>
    <row r="72" spans="1:52" s="377" customFormat="1" ht="3.75" customHeight="1" x14ac:dyDescent="0.3">
      <c r="A72" s="402"/>
      <c r="B72" s="437"/>
      <c r="C72" s="437"/>
      <c r="D72" s="437"/>
      <c r="E72" s="437"/>
      <c r="F72" s="437"/>
      <c r="G72" s="437"/>
      <c r="H72" s="437"/>
      <c r="I72" s="437"/>
      <c r="J72" s="437"/>
      <c r="K72" s="437"/>
      <c r="L72" s="437"/>
      <c r="M72" s="437"/>
      <c r="N72" s="437"/>
      <c r="O72" s="447"/>
      <c r="P72" s="402"/>
      <c r="Q72" s="402"/>
      <c r="R72" s="448"/>
      <c r="S72" s="402"/>
      <c r="T72" s="402"/>
      <c r="U72" s="402"/>
      <c r="V72" s="402"/>
      <c r="W72" s="402"/>
      <c r="X72" s="402"/>
      <c r="Y72" s="402"/>
      <c r="Z72" s="402"/>
      <c r="AA72" s="402"/>
      <c r="AB72" s="402"/>
      <c r="AC72" s="402"/>
      <c r="AD72" s="402"/>
      <c r="AE72" s="402"/>
      <c r="AF72" s="402"/>
      <c r="AG72" s="402"/>
      <c r="AH72" s="402"/>
      <c r="AI72" s="402"/>
      <c r="AJ72" s="402"/>
      <c r="AK72" s="402"/>
      <c r="AL72" s="402"/>
      <c r="AM72" s="402"/>
      <c r="AN72" s="402"/>
      <c r="AO72" s="402"/>
      <c r="AP72" s="402"/>
      <c r="AQ72" s="402"/>
      <c r="AR72" s="402"/>
      <c r="AS72" s="402"/>
      <c r="AT72" s="402"/>
      <c r="AU72" s="402"/>
      <c r="AV72" s="402"/>
      <c r="AW72" s="402"/>
      <c r="AX72" s="402"/>
      <c r="AY72" s="402"/>
      <c r="AZ72" s="402"/>
    </row>
    <row r="73" spans="1:52" s="377" customFormat="1" ht="14.25" customHeight="1" x14ac:dyDescent="0.3">
      <c r="A73" s="402"/>
      <c r="B73" s="402" t="s">
        <v>215</v>
      </c>
      <c r="C73" s="402"/>
      <c r="D73" s="451"/>
      <c r="E73" s="451"/>
      <c r="F73" s="451"/>
      <c r="G73" s="451"/>
      <c r="H73" s="451"/>
      <c r="I73" s="451"/>
      <c r="J73" s="887"/>
      <c r="K73" s="877"/>
      <c r="L73" s="877"/>
      <c r="M73" s="877"/>
      <c r="N73" s="877"/>
      <c r="O73" s="872" t="str">
        <f>IFERROR(+AVERAGE(D73:N73),"")</f>
        <v/>
      </c>
      <c r="P73" s="402"/>
      <c r="Q73" s="402"/>
      <c r="R73" s="448"/>
      <c r="S73" s="402"/>
      <c r="T73" s="402"/>
      <c r="U73" s="402"/>
      <c r="V73" s="402"/>
      <c r="W73" s="402"/>
      <c r="X73" s="402"/>
      <c r="Y73" s="402"/>
      <c r="Z73" s="402"/>
      <c r="AA73" s="402"/>
      <c r="AB73" s="402"/>
      <c r="AC73" s="402"/>
      <c r="AD73" s="402"/>
      <c r="AE73" s="402"/>
      <c r="AF73" s="402"/>
      <c r="AG73" s="402"/>
      <c r="AH73" s="402"/>
      <c r="AI73" s="402"/>
      <c r="AJ73" s="402"/>
      <c r="AK73" s="402"/>
      <c r="AL73" s="402"/>
      <c r="AM73" s="402"/>
      <c r="AN73" s="402"/>
      <c r="AO73" s="402"/>
      <c r="AP73" s="402"/>
      <c r="AQ73" s="402"/>
      <c r="AR73" s="402"/>
      <c r="AS73" s="402"/>
      <c r="AT73" s="402"/>
      <c r="AU73" s="402"/>
      <c r="AV73" s="402"/>
      <c r="AW73" s="402"/>
      <c r="AX73" s="402"/>
      <c r="AY73" s="402"/>
      <c r="AZ73" s="402"/>
    </row>
    <row r="74" spans="1:52" s="377" customFormat="1" ht="14.25" customHeight="1" x14ac:dyDescent="0.3">
      <c r="A74" s="402"/>
      <c r="B74" s="402" t="s">
        <v>216</v>
      </c>
      <c r="C74" s="402"/>
      <c r="D74" s="427" cm="1">
        <f t="array" aca="1" ref="D74" ca="1">IFERROR(_FV(D91,"Beta"),"")</f>
        <v>1.0961000000000001</v>
      </c>
      <c r="E74" s="427" cm="1">
        <f t="array" aca="1" ref="E74" ca="1">IFERROR(_FV(E91,"Beta"),"")</f>
        <v>1.0105999999999999</v>
      </c>
      <c r="F74" s="427" cm="1">
        <f t="array" aca="1" ref="F74" ca="1">IFERROR(_FV(F91,"Beta"),"")</f>
        <v>1.5443</v>
      </c>
      <c r="G74" s="427" cm="1">
        <f t="array" aca="1" ref="G74" ca="1">IFERROR(_FV(G91,"Beta"),"")</f>
        <v>1.2726</v>
      </c>
      <c r="H74" s="427" cm="1">
        <f t="array" aca="1" ref="H74" ca="1">IFERROR(_FV(H91,"Beta"),"")</f>
        <v>1.1957</v>
      </c>
      <c r="I74" s="427" cm="1">
        <f t="array" aca="1" ref="I74" ca="1">IFERROR(_FV(I91,"Beta"),"")</f>
        <v>1.4885999999999999</v>
      </c>
      <c r="J74" s="888" cm="1">
        <f t="array" aca="1" ref="J74" ca="1">IFERROR(_FV(J91,"Beta"),"")</f>
        <v>1.9052</v>
      </c>
      <c r="K74" s="878" cm="1">
        <f t="array" aca="1" ref="K74" ca="1">IFERROR(_FV(K91,"Beta"),"")</f>
        <v>1.2928999999999999</v>
      </c>
      <c r="L74" s="878" cm="1">
        <f t="array" aca="1" ref="L74" ca="1">IFERROR(_FV(L91,"Beta"),"")</f>
        <v>1.5456000000000001</v>
      </c>
      <c r="M74" s="878" cm="1">
        <f t="array" aca="1" ref="M74" ca="1">IFERROR(_FV(M91,"Beta"),"")</f>
        <v>1.3689</v>
      </c>
      <c r="N74" s="878" cm="1">
        <f t="array" aca="1" ref="N74" ca="1">IFERROR(_FV(N91,"Beta"),"")</f>
        <v>0.54690000000000005</v>
      </c>
      <c r="O74" s="879">
        <f t="shared" ref="O74:O75" ca="1" si="37">IFERROR(+AVERAGE(D74:N74),"")</f>
        <v>1.2970363636363638</v>
      </c>
      <c r="P74" s="402"/>
      <c r="Q74" s="402"/>
      <c r="R74" s="448"/>
      <c r="S74" s="402"/>
      <c r="T74" s="402"/>
      <c r="U74" s="402"/>
      <c r="V74" s="402"/>
      <c r="W74" s="402"/>
      <c r="X74" s="402"/>
      <c r="Y74" s="402"/>
      <c r="Z74" s="402"/>
      <c r="AA74" s="402"/>
      <c r="AB74" s="402"/>
      <c r="AC74" s="402"/>
      <c r="AD74" s="402"/>
      <c r="AE74" s="402"/>
      <c r="AF74" s="402"/>
      <c r="AG74" s="402"/>
      <c r="AH74" s="402"/>
      <c r="AI74" s="402"/>
      <c r="AJ74" s="402"/>
      <c r="AK74" s="402"/>
      <c r="AL74" s="402"/>
      <c r="AM74" s="402"/>
      <c r="AN74" s="402"/>
      <c r="AO74" s="402"/>
      <c r="AP74" s="402"/>
      <c r="AQ74" s="402"/>
      <c r="AR74" s="402"/>
      <c r="AS74" s="402"/>
      <c r="AT74" s="402"/>
      <c r="AU74" s="402"/>
      <c r="AV74" s="402"/>
      <c r="AW74" s="402"/>
      <c r="AX74" s="402"/>
      <c r="AY74" s="402"/>
      <c r="AZ74" s="402"/>
    </row>
    <row r="75" spans="1:52" s="377" customFormat="1" ht="14.15" customHeight="1" x14ac:dyDescent="0.3">
      <c r="A75" s="402"/>
      <c r="B75" s="402" t="s">
        <v>217</v>
      </c>
      <c r="C75" s="402"/>
      <c r="D75" s="427">
        <f ca="1">IFERROR(D74/(1+(1-D104/D103)*(D121/D122)),"")</f>
        <v>0.93159391053789897</v>
      </c>
      <c r="E75" s="427">
        <f t="shared" ref="E75:N75" ca="1" si="38">IFERROR(E74/(1+(1-E104/E103)*(E121/E122)),"")</f>
        <v>0.59172607627695462</v>
      </c>
      <c r="F75" s="427">
        <f ca="1">IFERROR(F74/(1+(1-F104/F103)*(F121/F122)),"")</f>
        <v>0.83740183493779885</v>
      </c>
      <c r="G75" s="427" t="str">
        <f ca="1">IFERROR(G74/(1+(1-G104/G103)*(G121/G122)),"")</f>
        <v/>
      </c>
      <c r="H75" s="427" t="str">
        <f ca="1">IFERROR(H74/(1+(1-H104/H103)*(H121/H122)),"")</f>
        <v/>
      </c>
      <c r="I75" s="427" t="str">
        <f ca="1">IFERROR(I74/(1+(1-I104/I103)*(I121/I122)),"")</f>
        <v/>
      </c>
      <c r="J75" s="888">
        <f t="shared" ca="1" si="38"/>
        <v>1.3955848930808303</v>
      </c>
      <c r="K75" s="878" t="str">
        <f t="shared" ca="1" si="38"/>
        <v/>
      </c>
      <c r="L75" s="878" t="str">
        <f t="shared" ca="1" si="38"/>
        <v/>
      </c>
      <c r="M75" s="878" t="str">
        <f t="shared" ca="1" si="38"/>
        <v/>
      </c>
      <c r="N75" s="878" t="str">
        <f t="shared" ca="1" si="38"/>
        <v/>
      </c>
      <c r="O75" s="879">
        <f t="shared" ca="1" si="37"/>
        <v>0.93907667870837064</v>
      </c>
      <c r="P75" s="402"/>
      <c r="Q75" s="402"/>
      <c r="R75" s="448"/>
      <c r="S75" s="402"/>
      <c r="T75" s="402"/>
      <c r="U75" s="402"/>
      <c r="V75" s="402"/>
      <c r="W75" s="402"/>
      <c r="X75" s="402"/>
      <c r="Y75" s="402"/>
      <c r="Z75" s="402"/>
      <c r="AA75" s="402"/>
      <c r="AB75" s="402"/>
      <c r="AC75" s="402"/>
      <c r="AD75" s="402"/>
      <c r="AE75" s="402"/>
      <c r="AF75" s="402"/>
      <c r="AG75" s="402"/>
      <c r="AH75" s="402"/>
      <c r="AI75" s="402"/>
      <c r="AJ75" s="402"/>
      <c r="AK75" s="402"/>
      <c r="AL75" s="402"/>
      <c r="AM75" s="402"/>
      <c r="AN75" s="402"/>
      <c r="AO75" s="402"/>
      <c r="AP75" s="402"/>
      <c r="AQ75" s="402"/>
      <c r="AR75" s="402"/>
      <c r="AS75" s="402"/>
      <c r="AT75" s="402"/>
      <c r="AU75" s="402"/>
      <c r="AV75" s="402"/>
      <c r="AW75" s="402"/>
      <c r="AX75" s="402"/>
      <c r="AY75" s="402"/>
      <c r="AZ75" s="402"/>
    </row>
    <row r="76" spans="1:52" s="377" customFormat="1" ht="14.25" customHeight="1" x14ac:dyDescent="0.3">
      <c r="A76" s="402"/>
      <c r="B76" s="402" t="s">
        <v>36</v>
      </c>
      <c r="C76" s="402"/>
      <c r="D76" s="451"/>
      <c r="E76" s="451"/>
      <c r="F76" s="451"/>
      <c r="G76" s="451"/>
      <c r="H76" s="451"/>
      <c r="I76" s="451"/>
      <c r="J76" s="887"/>
      <c r="K76" s="877"/>
      <c r="L76" s="877"/>
      <c r="M76" s="877"/>
      <c r="N76" s="877"/>
      <c r="O76" s="872" t="str">
        <f t="shared" ref="O76:O78" si="39">IFERROR(+AVERAGE(D76:N76),"")</f>
        <v/>
      </c>
      <c r="P76" s="402"/>
      <c r="Q76" s="402"/>
      <c r="R76" s="448"/>
      <c r="S76" s="402"/>
      <c r="T76" s="402"/>
      <c r="U76" s="402"/>
      <c r="V76" s="402"/>
      <c r="W76" s="402"/>
      <c r="X76" s="402"/>
      <c r="Y76" s="402"/>
      <c r="Z76" s="402"/>
      <c r="AA76" s="402"/>
      <c r="AB76" s="402"/>
      <c r="AC76" s="402"/>
      <c r="AD76" s="402"/>
      <c r="AE76" s="402"/>
      <c r="AF76" s="402"/>
      <c r="AG76" s="402"/>
      <c r="AH76" s="402"/>
      <c r="AI76" s="402"/>
      <c r="AJ76" s="402"/>
      <c r="AK76" s="402"/>
      <c r="AL76" s="402"/>
      <c r="AM76" s="402"/>
      <c r="AN76" s="402"/>
      <c r="AO76" s="402"/>
      <c r="AP76" s="402"/>
      <c r="AQ76" s="402"/>
      <c r="AR76" s="402"/>
      <c r="AS76" s="402"/>
      <c r="AT76" s="402"/>
      <c r="AU76" s="402"/>
      <c r="AV76" s="402"/>
      <c r="AW76" s="402"/>
      <c r="AX76" s="402"/>
      <c r="AY76" s="402"/>
      <c r="AZ76" s="402"/>
    </row>
    <row r="77" spans="1:52" s="377" customFormat="1" ht="14.25" customHeight="1" x14ac:dyDescent="0.3">
      <c r="A77" s="402"/>
      <c r="B77" s="402" t="s">
        <v>37</v>
      </c>
      <c r="C77" s="402"/>
      <c r="D77" s="451"/>
      <c r="E77" s="451"/>
      <c r="F77" s="451"/>
      <c r="G77" s="451"/>
      <c r="H77" s="451"/>
      <c r="I77" s="451"/>
      <c r="J77" s="887"/>
      <c r="K77" s="877"/>
      <c r="L77" s="877"/>
      <c r="M77" s="877"/>
      <c r="N77" s="877"/>
      <c r="O77" s="872" t="str">
        <f t="shared" si="39"/>
        <v/>
      </c>
      <c r="P77" s="402"/>
      <c r="Q77" s="402"/>
      <c r="R77" s="448"/>
      <c r="S77" s="402"/>
      <c r="T77" s="402"/>
      <c r="U77" s="402"/>
      <c r="V77" s="402"/>
      <c r="W77" s="402"/>
      <c r="X77" s="402"/>
      <c r="Y77" s="402"/>
      <c r="Z77" s="402"/>
      <c r="AA77" s="402"/>
      <c r="AB77" s="402"/>
      <c r="AC77" s="402"/>
      <c r="AD77" s="402"/>
      <c r="AE77" s="402"/>
      <c r="AF77" s="402"/>
      <c r="AG77" s="402"/>
      <c r="AH77" s="402"/>
      <c r="AI77" s="402"/>
      <c r="AJ77" s="402"/>
      <c r="AK77" s="402"/>
      <c r="AL77" s="402"/>
      <c r="AM77" s="402"/>
      <c r="AN77" s="402"/>
      <c r="AO77" s="402"/>
      <c r="AP77" s="402"/>
      <c r="AQ77" s="402"/>
      <c r="AR77" s="402"/>
      <c r="AS77" s="402"/>
      <c r="AT77" s="402"/>
      <c r="AU77" s="402"/>
      <c r="AV77" s="402"/>
      <c r="AW77" s="402"/>
      <c r="AX77" s="402"/>
      <c r="AY77" s="402"/>
      <c r="AZ77" s="402"/>
    </row>
    <row r="78" spans="1:52" s="377" customFormat="1" ht="14.25" customHeight="1" x14ac:dyDescent="0.3">
      <c r="A78" s="402"/>
      <c r="B78" s="402" t="s">
        <v>218</v>
      </c>
      <c r="C78" s="402"/>
      <c r="D78" s="451"/>
      <c r="E78" s="451"/>
      <c r="F78" s="451"/>
      <c r="G78" s="451"/>
      <c r="H78" s="451"/>
      <c r="I78" s="451"/>
      <c r="J78" s="887"/>
      <c r="K78" s="877"/>
      <c r="L78" s="877"/>
      <c r="M78" s="877"/>
      <c r="N78" s="877"/>
      <c r="O78" s="872" t="str">
        <f t="shared" si="39"/>
        <v/>
      </c>
      <c r="P78" s="402"/>
      <c r="Q78" s="402"/>
      <c r="R78" s="448"/>
      <c r="S78" s="402"/>
      <c r="T78" s="402"/>
      <c r="U78" s="402"/>
      <c r="V78" s="402"/>
      <c r="W78" s="402"/>
      <c r="X78" s="402"/>
      <c r="Y78" s="402"/>
      <c r="Z78" s="402"/>
      <c r="AA78" s="402"/>
      <c r="AB78" s="402"/>
      <c r="AC78" s="402"/>
      <c r="AD78" s="402"/>
      <c r="AE78" s="402"/>
      <c r="AF78" s="402"/>
      <c r="AG78" s="402"/>
      <c r="AH78" s="402"/>
      <c r="AI78" s="402"/>
      <c r="AJ78" s="402"/>
      <c r="AK78" s="402"/>
      <c r="AL78" s="402"/>
      <c r="AM78" s="402"/>
      <c r="AN78" s="402"/>
      <c r="AO78" s="402"/>
      <c r="AP78" s="402"/>
      <c r="AQ78" s="402"/>
      <c r="AR78" s="402"/>
      <c r="AS78" s="402"/>
      <c r="AT78" s="402"/>
      <c r="AU78" s="402"/>
      <c r="AV78" s="402"/>
      <c r="AW78" s="402"/>
      <c r="AX78" s="402"/>
      <c r="AY78" s="402"/>
      <c r="AZ78" s="402"/>
    </row>
    <row r="79" spans="1:52" s="377" customFormat="1" ht="3.75" customHeight="1" x14ac:dyDescent="0.3">
      <c r="A79" s="402"/>
      <c r="B79" s="402"/>
      <c r="C79" s="402"/>
      <c r="D79" s="402"/>
      <c r="E79" s="402"/>
      <c r="F79" s="402"/>
      <c r="G79" s="402"/>
      <c r="H79" s="402"/>
      <c r="I79" s="402"/>
      <c r="J79" s="402"/>
      <c r="K79" s="402"/>
      <c r="L79" s="402"/>
      <c r="M79" s="402"/>
      <c r="N79" s="402"/>
      <c r="O79" s="402"/>
      <c r="P79" s="402"/>
      <c r="Q79" s="402"/>
      <c r="R79" s="448"/>
      <c r="S79" s="402"/>
      <c r="T79" s="402"/>
      <c r="U79" s="402"/>
      <c r="V79" s="402"/>
      <c r="W79" s="402"/>
      <c r="X79" s="402"/>
      <c r="Y79" s="402"/>
      <c r="Z79" s="402"/>
      <c r="AA79" s="402"/>
      <c r="AB79" s="402"/>
      <c r="AC79" s="402"/>
      <c r="AD79" s="402"/>
      <c r="AE79" s="402"/>
      <c r="AF79" s="402"/>
      <c r="AG79" s="402"/>
      <c r="AH79" s="402"/>
      <c r="AI79" s="402"/>
      <c r="AJ79" s="402"/>
      <c r="AK79" s="402"/>
      <c r="AL79" s="402"/>
      <c r="AM79" s="402"/>
      <c r="AN79" s="402"/>
      <c r="AO79" s="402"/>
      <c r="AP79" s="402"/>
      <c r="AQ79" s="402"/>
      <c r="AR79" s="402"/>
      <c r="AS79" s="402"/>
      <c r="AT79" s="402"/>
      <c r="AU79" s="402"/>
      <c r="AV79" s="402"/>
      <c r="AW79" s="402"/>
      <c r="AX79" s="402"/>
      <c r="AY79" s="402"/>
      <c r="AZ79" s="402"/>
    </row>
    <row r="80" spans="1:52" s="380" customFormat="1" ht="14.25" customHeight="1" x14ac:dyDescent="0.3">
      <c r="A80" s="411"/>
      <c r="B80" s="620" t="s">
        <v>68</v>
      </c>
      <c r="C80" s="621"/>
      <c r="D80" s="387" t="str">
        <f t="shared" ref="D80:O80" ca="1" si="40">+D29</f>
        <v>ANALOG</v>
      </c>
      <c r="E80" s="387" t="str">
        <f t="shared" ca="1" si="40"/>
        <v>TEXAS</v>
      </c>
      <c r="F80" s="387" t="str">
        <f t="shared" ca="1" si="40"/>
        <v>MICROCHIP</v>
      </c>
      <c r="G80" s="387" t="str">
        <f t="shared" ca="1" si="40"/>
        <v>MONOLITHIC</v>
      </c>
      <c r="H80" s="387" t="str">
        <f t="shared" ca="1" si="40"/>
        <v>SKYWORKS</v>
      </c>
      <c r="I80" s="387" t="str">
        <f t="shared" ca="1" si="40"/>
        <v>MACOM</v>
      </c>
      <c r="J80" s="387" t="str">
        <f t="shared" ca="1" si="40"/>
        <v>MTSI</v>
      </c>
      <c r="K80" s="387" t="str">
        <f t="shared" ca="1" si="40"/>
        <v>INTEL</v>
      </c>
      <c r="L80" s="387" t="str">
        <f t="shared" ca="1" si="40"/>
        <v>MICRON</v>
      </c>
      <c r="M80" s="387" t="str">
        <f t="shared" ca="1" si="40"/>
        <v>FIRST</v>
      </c>
      <c r="N80" s="387" t="str">
        <f t="shared" ca="1" si="40"/>
        <v>ALTRI,</v>
      </c>
      <c r="O80" s="387" t="str">
        <f t="shared" si="40"/>
        <v>Average</v>
      </c>
      <c r="P80" s="411"/>
      <c r="Q80" s="411"/>
      <c r="R80" s="622"/>
      <c r="S80" s="411"/>
      <c r="T80" s="411"/>
      <c r="U80" s="411"/>
      <c r="V80" s="411"/>
      <c r="W80" s="411"/>
      <c r="X80" s="411"/>
      <c r="Y80" s="411"/>
      <c r="Z80" s="411"/>
      <c r="AA80" s="411"/>
      <c r="AB80" s="411"/>
      <c r="AC80" s="411"/>
      <c r="AD80" s="411"/>
      <c r="AE80" s="411"/>
      <c r="AF80" s="411"/>
      <c r="AG80" s="411"/>
      <c r="AH80" s="411"/>
      <c r="AI80" s="411"/>
      <c r="AJ80" s="411"/>
      <c r="AK80" s="411"/>
      <c r="AL80" s="411"/>
      <c r="AM80" s="411"/>
      <c r="AN80" s="411"/>
      <c r="AO80" s="411"/>
      <c r="AP80" s="411"/>
      <c r="AQ80" s="411"/>
      <c r="AR80" s="411"/>
      <c r="AS80" s="411"/>
      <c r="AT80" s="411"/>
      <c r="AU80" s="411"/>
      <c r="AV80" s="411"/>
      <c r="AW80" s="411"/>
      <c r="AX80" s="411"/>
      <c r="AY80" s="411"/>
      <c r="AZ80" s="411"/>
    </row>
    <row r="81" spans="1:52" s="377" customFormat="1" ht="3.75" customHeight="1" x14ac:dyDescent="0.3">
      <c r="A81" s="402"/>
      <c r="B81" s="437"/>
      <c r="C81" s="437"/>
      <c r="D81" s="437"/>
      <c r="E81" s="437"/>
      <c r="F81" s="437"/>
      <c r="G81" s="437"/>
      <c r="H81" s="437"/>
      <c r="I81" s="437"/>
      <c r="J81" s="437"/>
      <c r="K81" s="437"/>
      <c r="L81" s="437"/>
      <c r="M81" s="437"/>
      <c r="N81" s="437"/>
      <c r="O81" s="437"/>
      <c r="P81" s="402"/>
      <c r="Q81" s="402"/>
      <c r="R81" s="448"/>
      <c r="S81" s="402"/>
      <c r="T81" s="402"/>
      <c r="U81" s="402"/>
      <c r="V81" s="402"/>
      <c r="W81" s="402"/>
      <c r="X81" s="402"/>
      <c r="Y81" s="402"/>
      <c r="Z81" s="402"/>
      <c r="AA81" s="402"/>
      <c r="AB81" s="402"/>
      <c r="AC81" s="402"/>
      <c r="AD81" s="402"/>
      <c r="AE81" s="402"/>
      <c r="AF81" s="402"/>
      <c r="AG81" s="402"/>
      <c r="AH81" s="402"/>
      <c r="AI81" s="402"/>
      <c r="AJ81" s="402"/>
      <c r="AK81" s="402"/>
      <c r="AL81" s="402"/>
      <c r="AM81" s="402"/>
      <c r="AN81" s="402"/>
      <c r="AO81" s="402"/>
      <c r="AP81" s="402"/>
      <c r="AQ81" s="402"/>
      <c r="AR81" s="402"/>
      <c r="AS81" s="402"/>
      <c r="AT81" s="402"/>
      <c r="AU81" s="402"/>
      <c r="AV81" s="402"/>
      <c r="AW81" s="402"/>
      <c r="AX81" s="402"/>
      <c r="AY81" s="402"/>
      <c r="AZ81" s="402"/>
    </row>
    <row r="82" spans="1:52" s="377" customFormat="1" ht="14.25" customHeight="1" x14ac:dyDescent="0.3">
      <c r="A82" s="402"/>
      <c r="B82" s="402" t="s">
        <v>219</v>
      </c>
      <c r="C82" s="402"/>
      <c r="D82" s="452" cm="1">
        <f t="array" aca="1" ref="D82" ca="1">IFERROR((D85/_xlfn.STOCKHISTORY(C6,TODAY()-1,TODAY()-1,0,0,1))-1,"Non-trading days")</f>
        <v>-1.401325035133516E-2</v>
      </c>
      <c r="E82" s="452" cm="1">
        <f t="array" aca="1" ref="E82" ca="1">IFERROR((E85/_xlfn.STOCKHISTORY(C8,TODAY()-1,TODAY()-1,0,0,1))-1,"Non-trading days")</f>
        <v>-1.2608743530448163E-2</v>
      </c>
      <c r="F82" s="452" cm="1">
        <f t="array" aca="1" ref="F82" ca="1">IFERROR((F85/_xlfn.STOCKHISTORY(C9,TODAY()-1,TODAY()-1,0,0,1))-1,"Non-trading days")</f>
        <v>-2.4600060368246468E-2</v>
      </c>
      <c r="G82" s="452" t="str" cm="1">
        <f t="array" aca="1" ref="G82" ca="1">IFERROR((G85/_xlfn.STOCKHISTORY(C10,TODAY()-1,TODAY()-1,0,0,1))-1,"Non-trading days")</f>
        <v>Non-trading days</v>
      </c>
      <c r="H82" s="452" t="str" cm="1">
        <f t="array" aca="1" ref="H82" ca="1">IFERROR((K85/_xlfn.STOCKHISTORY(C11,TODAY()-1,TODAY()-1,0,0,1))-1,"Non-trading days")</f>
        <v>Non-trading days</v>
      </c>
      <c r="I82" s="452" t="str" cm="1">
        <f t="array" aca="1" ref="I82" ca="1">IFERROR((L85/_xlfn.STOCKHISTORY(C12,TODAY()-1,TODAY()-1,0,0,1))-1,"Non-trading days")</f>
        <v>Non-trading days</v>
      </c>
      <c r="J82" s="452" t="str" cm="1">
        <f t="array" aca="1" ref="J82" ca="1">IFERROR((M85/_xlfn.STOCKHISTORY(C13,TODAY()-1,TODAY()-1,0,0,1))-1,"Non-trading days")</f>
        <v>Non-trading days</v>
      </c>
      <c r="K82" s="880" t="str" cm="1">
        <f t="array" aca="1" ref="K82" ca="1">IFERROR((N85/_xlfn.STOCKHISTORY(C14,TODAY()-1,TODAY()-1,0,0,1))-1,"Non-trading days")</f>
        <v>Non-trading days</v>
      </c>
      <c r="L82" s="880" t="str" cm="1">
        <f t="array" aca="1" ref="L82" ca="1">IFERROR((L85/_xlfn.STOCKHISTORY(C15,TODAY()-1,TODAY()-1,0,0,1))-1,"Non-trading days")</f>
        <v>Non-trading days</v>
      </c>
      <c r="M82" s="880" t="str" cm="1">
        <f t="array" aca="1" ref="M82" ca="1">IFERROR((M85/_xlfn.STOCKHISTORY(C16,TODAY()-1,TODAY()-1,0,0,1))-1,"Non-trading days")</f>
        <v>Non-trading days</v>
      </c>
      <c r="N82" s="880" t="str" cm="1">
        <f t="array" aca="1" ref="N82" ca="1">IFERROR((N85/_xlfn.STOCKHISTORY(C17,TODAY()-1,TODAY()-1,0,0,1))-1,"Non-trading days")</f>
        <v>Non-trading days</v>
      </c>
      <c r="O82" s="449">
        <f ca="1">IFERROR(+AVERAGE(D82:N82),"")</f>
        <v>-1.7074018083343263E-2</v>
      </c>
      <c r="P82" s="402"/>
      <c r="Q82" s="402"/>
      <c r="R82" s="448"/>
      <c r="S82" s="402"/>
      <c r="T82" s="402"/>
      <c r="U82" s="402"/>
      <c r="V82" s="402"/>
      <c r="W82" s="402"/>
      <c r="X82" s="402"/>
      <c r="Y82" s="402"/>
      <c r="Z82" s="402"/>
      <c r="AA82" s="402"/>
      <c r="AB82" s="402"/>
      <c r="AC82" s="402"/>
      <c r="AD82" s="402"/>
      <c r="AE82" s="402"/>
      <c r="AF82" s="402"/>
      <c r="AG82" s="402"/>
      <c r="AH82" s="402"/>
      <c r="AI82" s="402"/>
      <c r="AJ82" s="402"/>
      <c r="AK82" s="402"/>
      <c r="AL82" s="402"/>
      <c r="AM82" s="402"/>
      <c r="AN82" s="402"/>
      <c r="AO82" s="402"/>
      <c r="AP82" s="402"/>
      <c r="AQ82" s="402"/>
      <c r="AR82" s="402"/>
      <c r="AS82" s="402"/>
      <c r="AT82" s="402"/>
      <c r="AU82" s="402"/>
      <c r="AV82" s="402"/>
      <c r="AW82" s="402"/>
      <c r="AX82" s="402"/>
      <c r="AY82" s="402"/>
      <c r="AZ82" s="402"/>
    </row>
    <row r="83" spans="1:52" s="377" customFormat="1" ht="14.25" customHeight="1" x14ac:dyDescent="0.3">
      <c r="A83" s="402"/>
      <c r="B83" s="402" t="s">
        <v>220</v>
      </c>
      <c r="C83" s="402"/>
      <c r="D83" s="452" cm="1">
        <f t="array" aca="1" ref="D83" ca="1">IFERROR((D85/_xlfn.STOCKHISTORY(C6,TODAY()-29,TODAY()-29,0,0,1))-1,"Non-trading days")</f>
        <v>-5.6286697712086831E-3</v>
      </c>
      <c r="E83" s="452" cm="1">
        <f t="array" aca="1" ref="E83" ca="1">IFERROR((E85/_xlfn.STOCKHISTORY(C8,TODAY()-29,TODAY()-29,0,0,1))-1,"Non-trading days")</f>
        <v>-0.10652184744158233</v>
      </c>
      <c r="F83" s="452" cm="1">
        <f t="array" aca="1" ref="F83" ca="1">IFERROR((F85/_xlfn.STOCKHISTORY(C9,TODAY()-29,TODAY()-29,0,0,1))-1,"Non-trading days")</f>
        <v>-2.2239031770045381E-2</v>
      </c>
      <c r="G83" s="452" cm="1">
        <f t="array" aca="1" ref="G83" ca="1">IFERROR((G85/_xlfn.STOCKHISTORY(C10,TODAY()-29,TODAY()-29,0,0,1))-1,"Non-trading days")</f>
        <v>0.11312961473791949</v>
      </c>
      <c r="H83" s="452" t="str" cm="1">
        <f t="array" aca="1" ref="H83" ca="1">IFERROR((K85/_xlfn.STOCKHISTORY(C11,TODAY()-29,TODAY()-29,0,0,1))-1,"Non-trading days")</f>
        <v>Non-trading days</v>
      </c>
      <c r="I83" s="452" t="str" cm="1">
        <f t="array" aca="1" ref="I83" ca="1">IFERROR((L85/_xlfn.STOCKHISTORY(C12,TODAY()-29,TODAY()-29,0,0,1))-1,"Non-trading days")</f>
        <v>Non-trading days</v>
      </c>
      <c r="J83" s="452" t="str" cm="1">
        <f t="array" aca="1" ref="J83" ca="1">IFERROR((M85/_xlfn.STOCKHISTORY(C13,TODAY()-29,TODAY()-29,0,0,1))-1,"Non-trading days")</f>
        <v>Non-trading days</v>
      </c>
      <c r="K83" s="880" t="str" cm="1">
        <f t="array" aca="1" ref="K83" ca="1">IFERROR((N85/_xlfn.STOCKHISTORY(C14,TODAY()-29,TODAY()-29,0,0,1))-1,"Non-trading days")</f>
        <v>Non-trading days</v>
      </c>
      <c r="L83" s="880" t="str" cm="1">
        <f t="array" aca="1" ref="L83" ca="1">IFERROR((L85/_xlfn.STOCKHISTORY(C15,TODAY()-29,TODAY()-29,0,0,1))-1,"Non-trading days")</f>
        <v>Non-trading days</v>
      </c>
      <c r="M83" s="880" t="str" cm="1">
        <f t="array" aca="1" ref="M83" ca="1">IFERROR((M85/_xlfn.STOCKHISTORY(C16,TODAY()-29,TODAY()-29,0,0,1))-1,"Non-trading days")</f>
        <v>Non-trading days</v>
      </c>
      <c r="N83" s="880" t="str" cm="1">
        <f t="array" aca="1" ref="N83" ca="1">IFERROR((N85/_xlfn.STOCKHISTORY(C17,TODAY()-29,TODAY()-29,0,0,1))-1,"Non-trading days")</f>
        <v>Non-trading days</v>
      </c>
      <c r="O83" s="449">
        <f ca="1">IFERROR(AVERAGE(D83:N83),"")</f>
        <v>-5.3149835612292251E-3</v>
      </c>
      <c r="P83" s="402"/>
      <c r="Q83" s="402"/>
      <c r="R83" s="448"/>
      <c r="S83" s="402"/>
      <c r="T83" s="402"/>
      <c r="U83" s="402"/>
      <c r="V83" s="402"/>
      <c r="W83" s="402"/>
      <c r="X83" s="402"/>
      <c r="Y83" s="402"/>
      <c r="Z83" s="402"/>
      <c r="AA83" s="402"/>
      <c r="AB83" s="402"/>
      <c r="AC83" s="402"/>
      <c r="AD83" s="402"/>
      <c r="AE83" s="402"/>
      <c r="AF83" s="402"/>
      <c r="AG83" s="402"/>
      <c r="AH83" s="402"/>
      <c r="AI83" s="402"/>
      <c r="AJ83" s="402"/>
      <c r="AK83" s="402"/>
      <c r="AL83" s="402"/>
      <c r="AM83" s="402"/>
      <c r="AN83" s="402"/>
      <c r="AO83" s="402"/>
      <c r="AP83" s="402"/>
      <c r="AQ83" s="402"/>
      <c r="AR83" s="402"/>
      <c r="AS83" s="402"/>
      <c r="AT83" s="402"/>
      <c r="AU83" s="402"/>
      <c r="AV83" s="402"/>
      <c r="AW83" s="402"/>
      <c r="AX83" s="402"/>
      <c r="AY83" s="402"/>
      <c r="AZ83" s="402"/>
    </row>
    <row r="84" spans="1:52" s="377" customFormat="1" ht="14.25" customHeight="1" x14ac:dyDescent="0.3">
      <c r="A84" s="402"/>
      <c r="B84" s="402" t="s">
        <v>221</v>
      </c>
      <c r="C84" s="402"/>
      <c r="D84" s="452" cm="1">
        <f t="array" aca="1" ref="D84" ca="1">IFERROR((D85/_xlfn.STOCKHISTORY(C6,"2025-01-02","2025-01-02",0,0,1))-1,"Non-trading days")</f>
        <v>0.16186420629287923</v>
      </c>
      <c r="E84" s="452" cm="1">
        <f t="array" aca="1" ref="E84" ca="1">IFERROR((E85/_xlfn.STOCKHISTORY(C8,"2025-01-02","2025-01-02",0,0,1))-1,"Non-trading days")</f>
        <v>-4.0759561380047993E-2</v>
      </c>
      <c r="F84" s="452" cm="1">
        <f t="array" aca="1" ref="F84" ca="1">IFERROR((F85/_xlfn.STOCKHISTORY(C9,"2025-01-02","2025-01-02",0,0,1))-1,"Non-trading days")</f>
        <v>0.13625175808720091</v>
      </c>
      <c r="G84" s="452" cm="1">
        <f t="array" aca="1" ref="G84" ca="1">IFERROR((G85/_xlfn.STOCKHISTORY(C10,"2025-01-02","2025-01-02",0,0,1))-1,"Non-trading days")</f>
        <v>0.53746087307731139</v>
      </c>
      <c r="H84" s="452" t="str" cm="1">
        <f t="array" aca="1" ref="H84" ca="1">IFERROR((K85/_xlfn.STOCKHISTORY(C11,"2025-01-02","2025-01-02",0,0,1))-1,"Non-trading days")</f>
        <v>Non-trading days</v>
      </c>
      <c r="I84" s="452" t="str" cm="1">
        <f t="array" aca="1" ref="I84" ca="1">IFERROR((L85/_xlfn.STOCKHISTORY(C12,"2025-01-02","2025-01-02",0,0,1))-1,"Non-trading days")</f>
        <v>Non-trading days</v>
      </c>
      <c r="J84" s="452" t="str" cm="1">
        <f t="array" aca="1" ref="J84" ca="1">IFERROR((M85/_xlfn.STOCKHISTORY(C13,"2025-01-02","2025-01-02",0,0,1))-1,"Non-trading days")</f>
        <v>Non-trading days</v>
      </c>
      <c r="K84" s="880" t="str" cm="1">
        <f t="array" aca="1" ref="K84" ca="1">IFERROR((N85/_xlfn.STOCKHISTORY(C14,"2025-01-02","2025-01-02",0,0,1))-1,"Non-trading days")</f>
        <v>Non-trading days</v>
      </c>
      <c r="L84" s="880" t="str" cm="1">
        <f t="array" aca="1" ref="L84" ca="1">IFERROR((L85/_xlfn.STOCKHISTORY(C15,"2025-01-02","2025-01-02",0,0,1))-1,"Non-trading days")</f>
        <v>Non-trading days</v>
      </c>
      <c r="M84" s="880" t="str" cm="1">
        <f t="array" aca="1" ref="M84" ca="1">IFERROR((M85/_xlfn.STOCKHISTORY(C16,"2025-01-02","2025-01-02",0,0,1))-1,"Non-trading days")</f>
        <v>Non-trading days</v>
      </c>
      <c r="N84" s="880" t="str" cm="1">
        <f t="array" aca="1" ref="N84" ca="1">IFERROR((N85/_xlfn.STOCKHISTORY(C17,"2025-01-02","2025-01-02",0,0,1))-1,"Non-trading days")</f>
        <v>Non-trading days</v>
      </c>
      <c r="O84" s="449">
        <f ca="1">IFERROR(AVERAGE(D84:N84),"")</f>
        <v>0.19870431901933588</v>
      </c>
      <c r="P84" s="402"/>
      <c r="Q84" s="402"/>
      <c r="R84" s="448"/>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402"/>
      <c r="AS84" s="402"/>
      <c r="AT84" s="402"/>
      <c r="AU84" s="402"/>
      <c r="AV84" s="402"/>
      <c r="AW84" s="402"/>
      <c r="AX84" s="402"/>
      <c r="AY84" s="402"/>
      <c r="AZ84" s="402"/>
    </row>
    <row r="85" spans="1:52" s="377" customFormat="1" ht="14.25" customHeight="1" x14ac:dyDescent="0.3">
      <c r="A85" s="402"/>
      <c r="B85" s="402" t="s">
        <v>181</v>
      </c>
      <c r="C85" s="402"/>
      <c r="D85" s="445" cm="1">
        <f t="array" aca="1" ref="D85" ca="1">+IFERROR(_FV(D91,"Price"),"")</f>
        <v>245.56</v>
      </c>
      <c r="E85" s="445" cm="1">
        <f t="array" aca="1" ref="E85" ca="1">+IFERROR(_FV(E91,"Price"),"")</f>
        <v>179.33</v>
      </c>
      <c r="F85" s="445" cm="1">
        <f t="array" aca="1" ref="F85" ca="1">+IFERROR(_FV(F91,"Price"),"")</f>
        <v>64.63</v>
      </c>
      <c r="G85" s="445" cm="1">
        <f t="array" aca="1" ref="G85" ca="1">+IFERROR(_FV(G91,"Price"),"")</f>
        <v>913.59</v>
      </c>
      <c r="H85" s="445" cm="1">
        <f t="array" aca="1" ref="H85" ca="1">+IFERROR(_FV(H91,"Price"),"")</f>
        <v>77.41</v>
      </c>
      <c r="I85" s="445" cm="1">
        <f t="array" aca="1" ref="I85" ca="1">+IFERROR(_FV(I91,"Price"),"")</f>
        <v>129.095</v>
      </c>
      <c r="J85" s="445" cm="1">
        <f t="array" aca="1" ref="J85" ca="1">+IFERROR(_FV(J91,"Price"),"")</f>
        <v>73.966899999999995</v>
      </c>
      <c r="K85" s="881" t="str" cm="1">
        <f t="array" ref="K85">+IFERROR(_FV(K91,"Price"),"")</f>
        <v/>
      </c>
      <c r="L85" s="881" t="str" cm="1">
        <f t="array" ref="L85">+IFERROR(_FV(L91,"Price"),"")</f>
        <v/>
      </c>
      <c r="M85" s="881" t="str" cm="1">
        <f t="array" ref="M85">+IFERROR(_FV(M91,"Price"),"")</f>
        <v/>
      </c>
      <c r="N85" s="881" t="str" cm="1">
        <f t="array" ref="N85">+IFERROR(_FV(N91,"Price"),"")</f>
        <v/>
      </c>
      <c r="O85" s="449">
        <f ca="1">IFERROR(AVERAGE(D85:N85),"")</f>
        <v>240.51170000000002</v>
      </c>
      <c r="P85" s="402"/>
      <c r="Q85" s="402"/>
      <c r="R85" s="448"/>
      <c r="S85" s="402"/>
      <c r="T85" s="402"/>
      <c r="U85" s="402"/>
      <c r="V85" s="402"/>
      <c r="W85" s="402"/>
      <c r="X85" s="402"/>
      <c r="Y85" s="402"/>
      <c r="Z85" s="402"/>
      <c r="AA85" s="402"/>
      <c r="AB85" s="402"/>
      <c r="AC85" s="402"/>
      <c r="AD85" s="402"/>
      <c r="AE85" s="402"/>
      <c r="AF85" s="402"/>
      <c r="AG85" s="402"/>
      <c r="AH85" s="402"/>
      <c r="AI85" s="402"/>
      <c r="AJ85" s="402"/>
      <c r="AK85" s="402"/>
      <c r="AL85" s="402"/>
      <c r="AM85" s="402"/>
      <c r="AN85" s="402"/>
      <c r="AO85" s="402"/>
      <c r="AP85" s="402"/>
      <c r="AQ85" s="402"/>
      <c r="AR85" s="402"/>
      <c r="AS85" s="402"/>
      <c r="AT85" s="402"/>
      <c r="AU85" s="402"/>
      <c r="AV85" s="402"/>
      <c r="AW85" s="402"/>
      <c r="AX85" s="402"/>
      <c r="AY85" s="402"/>
      <c r="AZ85" s="402"/>
    </row>
    <row r="86" spans="1:52" s="377" customFormat="1" ht="3.75" customHeight="1" x14ac:dyDescent="0.3">
      <c r="A86" s="402"/>
      <c r="B86" s="402"/>
      <c r="C86" s="402"/>
      <c r="D86" s="402"/>
      <c r="E86" s="402"/>
      <c r="F86" s="402"/>
      <c r="G86" s="402"/>
      <c r="H86" s="402"/>
      <c r="I86" s="402"/>
      <c r="J86" s="402"/>
      <c r="K86" s="402"/>
      <c r="L86" s="402"/>
      <c r="M86" s="402"/>
      <c r="N86" s="402"/>
      <c r="O86" s="402"/>
      <c r="P86" s="402"/>
      <c r="Q86" s="402"/>
      <c r="R86" s="448"/>
      <c r="S86" s="402"/>
      <c r="T86" s="402"/>
      <c r="U86" s="402"/>
      <c r="V86" s="402"/>
      <c r="W86" s="402"/>
      <c r="X86" s="402"/>
      <c r="Y86" s="402"/>
      <c r="Z86" s="402"/>
      <c r="AA86" s="402"/>
      <c r="AB86" s="402"/>
      <c r="AC86" s="402"/>
      <c r="AD86" s="402"/>
      <c r="AE86" s="402"/>
      <c r="AF86" s="402"/>
      <c r="AG86" s="402"/>
      <c r="AH86" s="402"/>
      <c r="AI86" s="402"/>
      <c r="AJ86" s="402"/>
      <c r="AK86" s="402"/>
      <c r="AL86" s="402"/>
      <c r="AM86" s="402"/>
      <c r="AN86" s="402"/>
      <c r="AO86" s="402"/>
      <c r="AP86" s="402"/>
      <c r="AQ86" s="402"/>
      <c r="AR86" s="402"/>
      <c r="AS86" s="402"/>
      <c r="AT86" s="402"/>
      <c r="AU86" s="402"/>
      <c r="AV86" s="402"/>
      <c r="AW86" s="402"/>
      <c r="AX86" s="402"/>
      <c r="AY86" s="402"/>
      <c r="AZ86" s="402"/>
    </row>
    <row r="87" spans="1:52" s="380" customFormat="1" ht="14.25" customHeight="1" x14ac:dyDescent="0.3">
      <c r="A87" s="411"/>
      <c r="B87" s="620" t="s">
        <v>222</v>
      </c>
      <c r="C87" s="621"/>
      <c r="D87" s="620"/>
      <c r="E87" s="620"/>
      <c r="F87" s="620"/>
      <c r="G87" s="620"/>
      <c r="H87" s="620"/>
      <c r="I87" s="620"/>
      <c r="J87" s="620"/>
      <c r="K87" s="620"/>
      <c r="L87" s="620"/>
      <c r="M87" s="620"/>
      <c r="N87" s="620"/>
      <c r="O87" s="620"/>
      <c r="P87" s="411"/>
      <c r="Q87" s="411"/>
      <c r="R87" s="622"/>
      <c r="S87" s="411"/>
      <c r="T87" s="411"/>
      <c r="U87" s="411"/>
      <c r="V87" s="411"/>
      <c r="W87" s="411"/>
      <c r="X87" s="411"/>
      <c r="Y87" s="411"/>
      <c r="Z87" s="411"/>
      <c r="AA87" s="411"/>
      <c r="AB87" s="411"/>
      <c r="AC87" s="411"/>
      <c r="AD87" s="411"/>
      <c r="AE87" s="411"/>
      <c r="AF87" s="411"/>
      <c r="AG87" s="411"/>
      <c r="AH87" s="411"/>
      <c r="AI87" s="411"/>
      <c r="AJ87" s="411"/>
      <c r="AK87" s="411"/>
      <c r="AL87" s="411"/>
      <c r="AM87" s="411"/>
      <c r="AN87" s="411"/>
      <c r="AO87" s="411"/>
      <c r="AP87" s="411"/>
      <c r="AQ87" s="411"/>
      <c r="AR87" s="411"/>
      <c r="AS87" s="411"/>
      <c r="AT87" s="411"/>
      <c r="AU87" s="411"/>
      <c r="AV87" s="411"/>
      <c r="AW87" s="411"/>
      <c r="AX87" s="411"/>
      <c r="AY87" s="411"/>
      <c r="AZ87" s="411"/>
    </row>
    <row r="88" spans="1:52" s="377" customFormat="1" ht="3.75" customHeight="1" x14ac:dyDescent="0.3">
      <c r="A88" s="402"/>
      <c r="B88" s="437"/>
      <c r="C88" s="437"/>
      <c r="D88" s="437"/>
      <c r="E88" s="437"/>
      <c r="F88" s="437"/>
      <c r="G88" s="437"/>
      <c r="H88" s="437"/>
      <c r="I88" s="437"/>
      <c r="J88" s="437"/>
      <c r="K88" s="437"/>
      <c r="L88" s="437"/>
      <c r="M88" s="437"/>
      <c r="N88" s="437"/>
      <c r="O88" s="437"/>
      <c r="P88" s="402"/>
      <c r="Q88" s="402"/>
      <c r="R88" s="448"/>
      <c r="S88" s="402"/>
      <c r="T88" s="402"/>
      <c r="U88" s="402"/>
      <c r="V88" s="402"/>
      <c r="W88" s="402"/>
      <c r="X88" s="402"/>
      <c r="Y88" s="402"/>
      <c r="Z88" s="402"/>
      <c r="AA88" s="402"/>
      <c r="AB88" s="402"/>
      <c r="AC88" s="402"/>
      <c r="AD88" s="402"/>
      <c r="AE88" s="402"/>
      <c r="AF88" s="402"/>
      <c r="AG88" s="402"/>
      <c r="AH88" s="402"/>
      <c r="AI88" s="402"/>
      <c r="AJ88" s="402"/>
      <c r="AK88" s="402"/>
      <c r="AL88" s="402"/>
      <c r="AM88" s="402"/>
      <c r="AN88" s="402"/>
      <c r="AO88" s="402"/>
      <c r="AP88" s="402"/>
      <c r="AQ88" s="402"/>
      <c r="AR88" s="402"/>
      <c r="AS88" s="402"/>
      <c r="AT88" s="402"/>
      <c r="AU88" s="402"/>
      <c r="AV88" s="402"/>
      <c r="AW88" s="402"/>
      <c r="AX88" s="402"/>
      <c r="AY88" s="402"/>
      <c r="AZ88" s="402"/>
    </row>
    <row r="89" spans="1:52" s="377" customFormat="1" ht="14.25" customHeight="1" x14ac:dyDescent="0.3">
      <c r="A89" s="402"/>
      <c r="B89" s="402" t="s">
        <v>223</v>
      </c>
      <c r="C89" s="402"/>
      <c r="D89" s="402"/>
      <c r="E89" s="402"/>
      <c r="F89" s="402"/>
      <c r="G89" s="402"/>
      <c r="H89" s="402"/>
      <c r="I89" s="402"/>
      <c r="J89" s="402"/>
      <c r="K89" s="402"/>
      <c r="L89" s="402"/>
      <c r="M89" s="402"/>
      <c r="N89" s="402"/>
      <c r="O89" s="402"/>
      <c r="P89" s="402"/>
      <c r="Q89" s="402"/>
      <c r="R89" s="448"/>
      <c r="S89" s="402"/>
      <c r="T89" s="402"/>
      <c r="U89" s="402"/>
      <c r="V89" s="402"/>
      <c r="W89" s="402"/>
      <c r="X89" s="402"/>
      <c r="Y89" s="402"/>
      <c r="Z89" s="402"/>
      <c r="AA89" s="402"/>
      <c r="AB89" s="402"/>
      <c r="AC89" s="402"/>
      <c r="AD89" s="402"/>
      <c r="AE89" s="402"/>
      <c r="AF89" s="402"/>
      <c r="AG89" s="402"/>
      <c r="AH89" s="402"/>
      <c r="AI89" s="402"/>
      <c r="AJ89" s="402"/>
      <c r="AK89" s="402"/>
      <c r="AL89" s="402"/>
      <c r="AM89" s="402"/>
      <c r="AN89" s="402"/>
      <c r="AO89" s="402"/>
      <c r="AP89" s="402"/>
      <c r="AQ89" s="402"/>
      <c r="AR89" s="402"/>
      <c r="AS89" s="402"/>
      <c r="AT89" s="402"/>
      <c r="AU89" s="402"/>
      <c r="AV89" s="402"/>
      <c r="AW89" s="402"/>
      <c r="AX89" s="402"/>
      <c r="AY89" s="402"/>
      <c r="AZ89" s="402"/>
    </row>
    <row r="90" spans="1:52" s="377" customFormat="1" ht="5.25" customHeight="1" x14ac:dyDescent="0.3">
      <c r="A90" s="402"/>
      <c r="B90" s="402"/>
      <c r="C90" s="402"/>
      <c r="D90" s="402"/>
      <c r="E90" s="402"/>
      <c r="F90" s="402"/>
      <c r="G90" s="402"/>
      <c r="H90" s="402"/>
      <c r="I90" s="402"/>
      <c r="J90" s="402"/>
      <c r="K90" s="402"/>
      <c r="L90" s="402"/>
      <c r="M90" s="402"/>
      <c r="N90" s="402"/>
      <c r="O90" s="402"/>
      <c r="P90" s="402"/>
      <c r="Q90" s="402"/>
      <c r="R90" s="448"/>
      <c r="S90" s="402"/>
      <c r="T90" s="402"/>
      <c r="U90" s="402"/>
      <c r="V90" s="402"/>
      <c r="W90" s="402"/>
      <c r="X90" s="402"/>
      <c r="Y90" s="402"/>
      <c r="Z90" s="402"/>
      <c r="AA90" s="402"/>
      <c r="AB90" s="402"/>
      <c r="AC90" s="402"/>
      <c r="AD90" s="402"/>
      <c r="AE90" s="402"/>
      <c r="AF90" s="402"/>
      <c r="AG90" s="402"/>
      <c r="AH90" s="402"/>
      <c r="AI90" s="402"/>
      <c r="AJ90" s="402"/>
      <c r="AK90" s="402"/>
      <c r="AL90" s="402"/>
      <c r="AM90" s="402"/>
      <c r="AN90" s="402"/>
      <c r="AO90" s="402"/>
      <c r="AP90" s="402"/>
      <c r="AQ90" s="402"/>
      <c r="AR90" s="402"/>
      <c r="AS90" s="402"/>
      <c r="AT90" s="402"/>
      <c r="AU90" s="402"/>
      <c r="AV90" s="402"/>
      <c r="AW90" s="402"/>
      <c r="AX90" s="402"/>
      <c r="AY90" s="402"/>
      <c r="AZ90" s="402"/>
    </row>
    <row r="91" spans="1:52" s="377" customFormat="1" ht="46.5" customHeight="1" x14ac:dyDescent="0.3">
      <c r="A91" s="402"/>
      <c r="B91" s="453" t="s">
        <v>224</v>
      </c>
      <c r="C91" s="439"/>
      <c r="D91" s="388" t="e" vm="2">
        <f>+DCF!R4</f>
        <v>#VALUE!</v>
      </c>
      <c r="E91" s="389" t="e" vm="3">
        <v>#VALUE!</v>
      </c>
      <c r="F91" s="391" t="e" vm="4">
        <v>#VALUE!</v>
      </c>
      <c r="G91" s="678" t="e" vm="5">
        <v>#VALUE!</v>
      </c>
      <c r="H91" s="687" t="e" vm="6">
        <v>#VALUE!</v>
      </c>
      <c r="I91" s="687" t="e" vm="7">
        <v>#VALUE!</v>
      </c>
      <c r="J91" s="687" t="e" vm="8">
        <v>#VALUE!</v>
      </c>
      <c r="K91" s="687" t="e" vm="9">
        <v>#VALUE!</v>
      </c>
      <c r="L91" s="687" t="e" vm="10">
        <v>#VALUE!</v>
      </c>
      <c r="M91" s="687" t="e" vm="11">
        <v>#VALUE!</v>
      </c>
      <c r="N91" s="390" t="e" vm="12">
        <v>#VALUE!</v>
      </c>
      <c r="O91" s="402"/>
      <c r="P91" s="402"/>
      <c r="Q91" s="402"/>
      <c r="R91" s="448"/>
      <c r="S91" s="402"/>
      <c r="T91" s="402"/>
      <c r="U91" s="402"/>
      <c r="V91" s="402"/>
      <c r="W91" s="402"/>
      <c r="X91" s="402"/>
      <c r="Y91" s="402"/>
      <c r="Z91" s="402"/>
      <c r="AA91" s="402"/>
      <c r="AB91" s="402"/>
      <c r="AC91" s="402"/>
      <c r="AD91" s="402"/>
      <c r="AE91" s="402"/>
      <c r="AF91" s="402"/>
      <c r="AG91" s="402"/>
      <c r="AH91" s="402"/>
      <c r="AI91" s="402"/>
      <c r="AJ91" s="402"/>
      <c r="AK91" s="402"/>
      <c r="AL91" s="402"/>
      <c r="AM91" s="402"/>
      <c r="AN91" s="402"/>
      <c r="AO91" s="402"/>
      <c r="AP91" s="402"/>
      <c r="AQ91" s="402"/>
      <c r="AR91" s="402"/>
      <c r="AS91" s="402"/>
      <c r="AT91" s="402"/>
      <c r="AU91" s="402"/>
      <c r="AV91" s="402"/>
      <c r="AW91" s="402"/>
      <c r="AX91" s="402"/>
      <c r="AY91" s="402"/>
      <c r="AZ91" s="402"/>
    </row>
    <row r="92" spans="1:52" s="377" customFormat="1" ht="3.75" customHeight="1" x14ac:dyDescent="0.3">
      <c r="A92" s="402"/>
      <c r="B92" s="454"/>
      <c r="C92" s="443"/>
      <c r="D92" s="392"/>
      <c r="E92" s="393"/>
      <c r="F92" s="395"/>
      <c r="G92" s="679"/>
      <c r="H92" s="688"/>
      <c r="I92" s="688"/>
      <c r="J92" s="688"/>
      <c r="K92" s="688"/>
      <c r="L92" s="688"/>
      <c r="M92" s="688"/>
      <c r="N92" s="394"/>
      <c r="O92" s="402"/>
      <c r="P92" s="402"/>
      <c r="Q92" s="402"/>
      <c r="R92" s="448"/>
      <c r="S92" s="402"/>
      <c r="T92" s="402"/>
      <c r="U92" s="402"/>
      <c r="V92" s="402"/>
      <c r="W92" s="402"/>
      <c r="X92" s="402"/>
      <c r="Y92" s="402"/>
      <c r="Z92" s="402"/>
      <c r="AA92" s="402"/>
      <c r="AB92" s="402"/>
      <c r="AC92" s="402"/>
      <c r="AD92" s="402"/>
      <c r="AE92" s="402"/>
      <c r="AF92" s="402"/>
      <c r="AG92" s="402"/>
      <c r="AH92" s="402"/>
      <c r="AI92" s="402"/>
      <c r="AJ92" s="402"/>
      <c r="AK92" s="402"/>
      <c r="AL92" s="402"/>
      <c r="AM92" s="402"/>
      <c r="AN92" s="402"/>
      <c r="AO92" s="402"/>
      <c r="AP92" s="402"/>
      <c r="AQ92" s="402"/>
      <c r="AR92" s="402"/>
      <c r="AS92" s="402"/>
      <c r="AT92" s="402"/>
      <c r="AU92" s="402"/>
      <c r="AV92" s="402"/>
      <c r="AW92" s="402"/>
      <c r="AX92" s="402"/>
      <c r="AY92" s="402"/>
      <c r="AZ92" s="402"/>
    </row>
    <row r="93" spans="1:52" s="377" customFormat="1" ht="14.25" customHeight="1" x14ac:dyDescent="0.3">
      <c r="A93" s="402"/>
      <c r="B93" s="455" t="str">
        <f>+Inputs!$B$6&amp;" ("&amp;Inputs!O$4&amp;")"</f>
        <v>Revenue (Sales) (2022)</v>
      </c>
      <c r="C93" s="456"/>
      <c r="D93" s="457">
        <f>+_xlfn.XLOOKUP("Revenue (Sales)",Inputs!$B:$B,Inputs!O:O)</f>
        <v>12014</v>
      </c>
      <c r="E93" s="457">
        <v>20028</v>
      </c>
      <c r="F93" s="459">
        <v>6820.9</v>
      </c>
      <c r="G93" s="680">
        <v>1794.1479999999999</v>
      </c>
      <c r="H93" s="689">
        <v>5485.5</v>
      </c>
      <c r="I93" s="689">
        <v>675.17</v>
      </c>
      <c r="J93" s="689">
        <v>4462</v>
      </c>
      <c r="K93" s="689"/>
      <c r="L93" s="689"/>
      <c r="M93" s="689"/>
      <c r="N93" s="460"/>
      <c r="O93" s="402"/>
      <c r="P93" s="402"/>
      <c r="Q93" s="402"/>
      <c r="R93" s="448"/>
      <c r="S93" s="402"/>
      <c r="T93" s="402"/>
      <c r="U93" s="402"/>
      <c r="V93" s="402"/>
      <c r="W93" s="402"/>
      <c r="X93" s="402"/>
      <c r="Y93" s="402"/>
      <c r="Z93" s="402"/>
      <c r="AA93" s="402"/>
      <c r="AB93" s="402"/>
      <c r="AC93" s="402"/>
      <c r="AD93" s="402"/>
      <c r="AE93" s="402"/>
      <c r="AF93" s="402"/>
      <c r="AG93" s="402"/>
      <c r="AH93" s="402"/>
      <c r="AI93" s="402"/>
      <c r="AJ93" s="402"/>
      <c r="AK93" s="402"/>
      <c r="AL93" s="402"/>
      <c r="AM93" s="402"/>
      <c r="AN93" s="402"/>
      <c r="AO93" s="402"/>
      <c r="AP93" s="402"/>
      <c r="AQ93" s="402"/>
      <c r="AR93" s="402"/>
      <c r="AS93" s="402"/>
      <c r="AT93" s="402"/>
      <c r="AU93" s="402"/>
      <c r="AV93" s="402"/>
      <c r="AW93" s="402"/>
      <c r="AX93" s="402"/>
      <c r="AY93" s="402"/>
      <c r="AZ93" s="402"/>
    </row>
    <row r="94" spans="1:52" s="377" customFormat="1" ht="14.25" customHeight="1" x14ac:dyDescent="0.3">
      <c r="A94" s="402"/>
      <c r="B94" s="461" t="str">
        <f>+Inputs!$B$6&amp;" ("&amp;Inputs!P$4&amp;")"</f>
        <v>Revenue (Sales) (2023)</v>
      </c>
      <c r="C94" s="402"/>
      <c r="D94" s="462">
        <f>+_xlfn.XLOOKUP("Revenue (Sales)",Inputs!$B:$B,Inputs!P:P)</f>
        <v>12305.5</v>
      </c>
      <c r="E94" s="463">
        <v>17519</v>
      </c>
      <c r="F94" s="464">
        <v>8438.7000000000007</v>
      </c>
      <c r="G94" s="681">
        <v>1821.0719999999999</v>
      </c>
      <c r="H94" s="690">
        <v>4772.3999999999996</v>
      </c>
      <c r="I94" s="690">
        <v>648.40700000000004</v>
      </c>
      <c r="J94" s="690">
        <v>5920</v>
      </c>
      <c r="K94" s="690"/>
      <c r="L94" s="690"/>
      <c r="M94" s="690"/>
      <c r="N94" s="465"/>
      <c r="O94" s="402"/>
      <c r="P94" s="402"/>
      <c r="Q94" s="402"/>
      <c r="R94" s="448"/>
      <c r="S94" s="402"/>
      <c r="T94" s="402"/>
      <c r="U94" s="402"/>
      <c r="V94" s="402"/>
      <c r="W94" s="402"/>
      <c r="X94" s="402"/>
      <c r="Y94" s="402"/>
      <c r="Z94" s="402"/>
      <c r="AA94" s="402"/>
      <c r="AB94" s="402"/>
      <c r="AC94" s="402"/>
      <c r="AD94" s="402"/>
      <c r="AE94" s="402"/>
      <c r="AF94" s="402"/>
      <c r="AG94" s="402"/>
      <c r="AH94" s="402"/>
      <c r="AI94" s="402"/>
      <c r="AJ94" s="402"/>
      <c r="AK94" s="402"/>
      <c r="AL94" s="402"/>
      <c r="AM94" s="402"/>
      <c r="AN94" s="402"/>
      <c r="AO94" s="402"/>
      <c r="AP94" s="402"/>
      <c r="AQ94" s="402"/>
      <c r="AR94" s="402"/>
      <c r="AS94" s="402"/>
      <c r="AT94" s="402"/>
      <c r="AU94" s="402"/>
      <c r="AV94" s="402"/>
      <c r="AW94" s="402"/>
      <c r="AX94" s="402"/>
      <c r="AY94" s="402"/>
      <c r="AZ94" s="402"/>
    </row>
    <row r="95" spans="1:52" s="377" customFormat="1" ht="14.25" customHeight="1" x14ac:dyDescent="0.3">
      <c r="A95" s="402"/>
      <c r="B95" s="461" t="s">
        <v>225</v>
      </c>
      <c r="C95" s="402"/>
      <c r="D95" s="462">
        <f>+_xlfn.XLOOKUP("EBITDA",Inputs!$B:$B,Inputs!P:P)</f>
        <v>4943.4000000000005</v>
      </c>
      <c r="E95" s="463">
        <v>9009</v>
      </c>
      <c r="F95" s="464">
        <v>4174.5</v>
      </c>
      <c r="G95" s="681">
        <v>525.01700000000005</v>
      </c>
      <c r="H95" s="690">
        <v>1869.5</v>
      </c>
      <c r="I95" s="690">
        <v>177.07900000000001</v>
      </c>
      <c r="J95" s="690">
        <v>1648</v>
      </c>
      <c r="K95" s="690"/>
      <c r="L95" s="690"/>
      <c r="M95" s="690"/>
      <c r="N95" s="465"/>
      <c r="O95" s="402"/>
      <c r="P95" s="402"/>
      <c r="Q95" s="402"/>
      <c r="R95" s="448"/>
      <c r="S95" s="402"/>
      <c r="T95" s="402"/>
      <c r="U95" s="402"/>
      <c r="V95" s="402"/>
      <c r="W95" s="402"/>
      <c r="X95" s="402"/>
      <c r="Y95" s="402"/>
      <c r="Z95" s="402"/>
      <c r="AA95" s="402"/>
      <c r="AB95" s="402"/>
      <c r="AC95" s="402"/>
      <c r="AD95" s="402"/>
      <c r="AE95" s="402"/>
      <c r="AF95" s="402"/>
      <c r="AG95" s="402"/>
      <c r="AH95" s="402"/>
      <c r="AI95" s="402"/>
      <c r="AJ95" s="402"/>
      <c r="AK95" s="402"/>
      <c r="AL95" s="402"/>
      <c r="AM95" s="402"/>
      <c r="AN95" s="402"/>
      <c r="AO95" s="402"/>
      <c r="AP95" s="402"/>
      <c r="AQ95" s="402"/>
      <c r="AR95" s="402"/>
      <c r="AS95" s="402"/>
      <c r="AT95" s="402"/>
      <c r="AU95" s="402"/>
      <c r="AV95" s="402"/>
      <c r="AW95" s="402"/>
      <c r="AX95" s="402"/>
      <c r="AY95" s="402"/>
      <c r="AZ95" s="402"/>
    </row>
    <row r="96" spans="1:52" s="377" customFormat="1" ht="14.25" customHeight="1" x14ac:dyDescent="0.3">
      <c r="A96" s="402"/>
      <c r="B96" s="455" t="s">
        <v>226</v>
      </c>
      <c r="C96" s="456"/>
      <c r="D96" s="457">
        <f>+_xlfn.XLOOKUP("Net Income",Inputs!$B:$B,Inputs!P:P)</f>
        <v>2406.8000000000002</v>
      </c>
      <c r="E96" s="458">
        <v>6510</v>
      </c>
      <c r="F96" s="459">
        <v>2237.6999999999998</v>
      </c>
      <c r="G96" s="680">
        <v>427.37400000000002</v>
      </c>
      <c r="H96" s="689">
        <v>982.8</v>
      </c>
      <c r="I96" s="689">
        <v>91.576999999999998</v>
      </c>
      <c r="J96" s="689">
        <v>-164</v>
      </c>
      <c r="K96" s="689"/>
      <c r="L96" s="689"/>
      <c r="M96" s="689"/>
      <c r="N96" s="460"/>
      <c r="O96" s="402"/>
      <c r="P96" s="402"/>
      <c r="Q96" s="402"/>
      <c r="R96" s="448"/>
      <c r="S96" s="402"/>
      <c r="T96" s="402"/>
      <c r="U96" s="402"/>
      <c r="V96" s="402"/>
      <c r="W96" s="402"/>
      <c r="X96" s="402"/>
      <c r="Y96" s="402"/>
      <c r="Z96" s="402"/>
      <c r="AA96" s="402"/>
      <c r="AB96" s="402"/>
      <c r="AC96" s="402"/>
      <c r="AD96" s="402"/>
      <c r="AE96" s="402"/>
      <c r="AF96" s="402"/>
      <c r="AG96" s="402"/>
      <c r="AH96" s="402"/>
      <c r="AI96" s="402"/>
      <c r="AJ96" s="402"/>
      <c r="AK96" s="402"/>
      <c r="AL96" s="402"/>
      <c r="AM96" s="402"/>
      <c r="AN96" s="402"/>
      <c r="AO96" s="402"/>
      <c r="AP96" s="402"/>
      <c r="AQ96" s="402"/>
      <c r="AR96" s="402"/>
      <c r="AS96" s="402"/>
      <c r="AT96" s="402"/>
      <c r="AU96" s="402"/>
      <c r="AV96" s="402"/>
      <c r="AW96" s="402"/>
      <c r="AX96" s="402"/>
      <c r="AY96" s="402"/>
      <c r="AZ96" s="402"/>
    </row>
    <row r="97" spans="1:52" s="377" customFormat="1" ht="14.25" customHeight="1" x14ac:dyDescent="0.3">
      <c r="A97" s="402"/>
      <c r="B97" s="461" t="str">
        <f>+Inputs!$B$6&amp;" ("&amp;Inputs!Q$4&amp;")"</f>
        <v>Revenue (Sales) (2024)</v>
      </c>
      <c r="C97" s="402"/>
      <c r="D97" s="462">
        <f>+_xlfn.XLOOKUP("Revenue (Sales)",Inputs!$B:$B,Inputs!Q:Q)</f>
        <v>9427.2000000000007</v>
      </c>
      <c r="E97" s="466">
        <v>15641</v>
      </c>
      <c r="F97" s="464">
        <v>7634.4</v>
      </c>
      <c r="G97" s="682">
        <v>2207.1</v>
      </c>
      <c r="H97" s="675">
        <v>4178</v>
      </c>
      <c r="I97" s="690">
        <v>729.57799999999997</v>
      </c>
      <c r="J97" s="690">
        <v>5508</v>
      </c>
      <c r="K97" s="690"/>
      <c r="L97" s="690"/>
      <c r="M97" s="690"/>
      <c r="N97" s="465"/>
      <c r="O97" s="402"/>
      <c r="P97" s="402"/>
      <c r="Q97" s="402"/>
      <c r="R97" s="448"/>
      <c r="S97" s="402"/>
      <c r="T97" s="402"/>
      <c r="U97" s="402"/>
      <c r="V97" s="402"/>
      <c r="W97" s="402"/>
      <c r="X97" s="402"/>
      <c r="Y97" s="402"/>
      <c r="Z97" s="402"/>
      <c r="AA97" s="402"/>
      <c r="AB97" s="402"/>
      <c r="AC97" s="402"/>
      <c r="AD97" s="402"/>
      <c r="AE97" s="402"/>
      <c r="AF97" s="402"/>
      <c r="AG97" s="402"/>
      <c r="AH97" s="402"/>
      <c r="AI97" s="402"/>
      <c r="AJ97" s="402"/>
      <c r="AK97" s="402"/>
      <c r="AL97" s="402"/>
      <c r="AM97" s="402"/>
      <c r="AN97" s="402"/>
      <c r="AO97" s="402"/>
      <c r="AP97" s="402"/>
      <c r="AQ97" s="402"/>
      <c r="AR97" s="402"/>
      <c r="AS97" s="402"/>
      <c r="AT97" s="402"/>
      <c r="AU97" s="402"/>
      <c r="AV97" s="402"/>
      <c r="AW97" s="402"/>
      <c r="AX97" s="402"/>
      <c r="AY97" s="402"/>
      <c r="AZ97" s="402"/>
    </row>
    <row r="98" spans="1:52" s="377" customFormat="1" ht="14.25" customHeight="1" x14ac:dyDescent="0.3">
      <c r="A98" s="402"/>
      <c r="B98" s="467" t="s">
        <v>227</v>
      </c>
      <c r="C98" s="402"/>
      <c r="D98" s="462">
        <f>+_xlfn.XLOOKUP($B98,Inputs!$B:$B,Inputs!Q:Q)</f>
        <v>4045.8</v>
      </c>
      <c r="E98" s="463">
        <v>6547</v>
      </c>
      <c r="F98" s="464">
        <v>2638.7</v>
      </c>
      <c r="G98" s="681">
        <v>986.23</v>
      </c>
      <c r="H98" s="690">
        <v>2457.1999999999998</v>
      </c>
      <c r="I98" s="690">
        <v>328.48599999999999</v>
      </c>
      <c r="J98" s="690">
        <v>3214</v>
      </c>
      <c r="K98" s="690"/>
      <c r="L98" s="690"/>
      <c r="M98" s="690"/>
      <c r="N98" s="465"/>
      <c r="O98" s="402"/>
      <c r="P98" s="402"/>
      <c r="Q98" s="402"/>
      <c r="R98" s="448"/>
      <c r="S98" s="402"/>
      <c r="T98" s="402"/>
      <c r="U98" s="402"/>
      <c r="V98" s="402"/>
      <c r="W98" s="402"/>
      <c r="X98" s="402"/>
      <c r="Y98" s="402"/>
      <c r="Z98" s="402"/>
      <c r="AA98" s="402"/>
      <c r="AB98" s="402"/>
      <c r="AC98" s="402"/>
      <c r="AD98" s="402"/>
      <c r="AE98" s="402"/>
      <c r="AF98" s="402"/>
      <c r="AG98" s="402"/>
      <c r="AH98" s="402"/>
      <c r="AI98" s="402"/>
      <c r="AJ98" s="402"/>
      <c r="AK98" s="402"/>
      <c r="AL98" s="402"/>
      <c r="AM98" s="402"/>
      <c r="AN98" s="402"/>
      <c r="AO98" s="402"/>
      <c r="AP98" s="402"/>
      <c r="AQ98" s="402"/>
      <c r="AR98" s="402"/>
      <c r="AS98" s="402"/>
      <c r="AT98" s="402"/>
      <c r="AU98" s="402"/>
      <c r="AV98" s="402"/>
      <c r="AW98" s="402"/>
      <c r="AX98" s="402"/>
      <c r="AY98" s="402"/>
      <c r="AZ98" s="402"/>
    </row>
    <row r="99" spans="1:52" s="377" customFormat="1" ht="14.25" customHeight="1" x14ac:dyDescent="0.3">
      <c r="A99" s="402"/>
      <c r="B99" s="468" t="s">
        <v>228</v>
      </c>
      <c r="C99" s="402"/>
      <c r="D99" s="462">
        <f>+_xlfn.XLOOKUP($B99,Inputs!$B:$B,Inputs!Q:Q)</f>
        <v>5381.4000000000005</v>
      </c>
      <c r="E99" s="469">
        <f>+E97-E98</f>
        <v>9094</v>
      </c>
      <c r="F99" s="470">
        <v>4995.7</v>
      </c>
      <c r="G99" s="683">
        <v>1220.8699999999999</v>
      </c>
      <c r="H99" s="691">
        <v>1720.8</v>
      </c>
      <c r="I99" s="694">
        <v>401.09199999999998</v>
      </c>
      <c r="J99" s="694">
        <v>2294</v>
      </c>
      <c r="K99" s="694"/>
      <c r="L99" s="694"/>
      <c r="M99" s="694"/>
      <c r="N99" s="471"/>
      <c r="O99" s="423"/>
      <c r="P99" s="423"/>
      <c r="Q99" s="423"/>
      <c r="R99" s="112"/>
      <c r="S99" s="402"/>
      <c r="T99" s="402"/>
      <c r="U99" s="402"/>
      <c r="V99" s="402"/>
      <c r="W99" s="402"/>
      <c r="X99" s="402"/>
      <c r="Y99" s="402"/>
      <c r="Z99" s="402"/>
      <c r="AA99" s="402"/>
      <c r="AB99" s="402"/>
      <c r="AC99" s="402"/>
      <c r="AD99" s="402"/>
      <c r="AE99" s="402"/>
      <c r="AF99" s="402"/>
      <c r="AG99" s="402"/>
      <c r="AH99" s="402"/>
      <c r="AI99" s="402"/>
      <c r="AJ99" s="402"/>
      <c r="AK99" s="402"/>
      <c r="AL99" s="402"/>
      <c r="AM99" s="402"/>
      <c r="AN99" s="402"/>
      <c r="AO99" s="402"/>
      <c r="AP99" s="402"/>
      <c r="AQ99" s="402"/>
      <c r="AR99" s="402"/>
      <c r="AS99" s="402"/>
      <c r="AT99" s="402"/>
      <c r="AU99" s="402"/>
      <c r="AV99" s="402"/>
      <c r="AW99" s="402"/>
      <c r="AX99" s="402"/>
      <c r="AY99" s="402"/>
      <c r="AZ99" s="402"/>
    </row>
    <row r="100" spans="1:52" s="377" customFormat="1" ht="14.25" customHeight="1" x14ac:dyDescent="0.3">
      <c r="A100" s="402"/>
      <c r="B100" s="467" t="s">
        <v>176</v>
      </c>
      <c r="C100" s="402"/>
      <c r="D100" s="462">
        <f>+_xlfn.XLOOKUP($B100,Inputs!$B:$B,Inputs!Q:Q)</f>
        <v>2824.900000000001</v>
      </c>
      <c r="E100" s="466">
        <v>7541</v>
      </c>
      <c r="F100" s="472">
        <v>3501.9</v>
      </c>
      <c r="G100" s="682">
        <v>579.69100000000003</v>
      </c>
      <c r="H100" s="675">
        <v>1429.5</v>
      </c>
      <c r="I100" s="675">
        <v>168.655</v>
      </c>
      <c r="J100" s="675">
        <v>851</v>
      </c>
      <c r="K100" s="675"/>
      <c r="L100" s="675"/>
      <c r="M100" s="675"/>
      <c r="N100" s="465"/>
      <c r="O100" s="402"/>
      <c r="P100" s="402"/>
      <c r="Q100" s="402"/>
      <c r="R100" s="402"/>
      <c r="S100" s="402"/>
      <c r="T100" s="402"/>
      <c r="U100" s="402"/>
      <c r="V100" s="402"/>
      <c r="W100" s="402"/>
      <c r="X100" s="402"/>
      <c r="Y100" s="402"/>
      <c r="Z100" s="402"/>
      <c r="AA100" s="402"/>
      <c r="AB100" s="402"/>
      <c r="AC100" s="402"/>
      <c r="AD100" s="402"/>
      <c r="AE100" s="402"/>
      <c r="AF100" s="402"/>
      <c r="AG100" s="402"/>
      <c r="AH100" s="402"/>
      <c r="AI100" s="402"/>
      <c r="AJ100" s="402"/>
      <c r="AK100" s="402"/>
      <c r="AL100" s="402"/>
      <c r="AM100" s="402"/>
      <c r="AN100" s="402"/>
      <c r="AO100" s="402"/>
      <c r="AP100" s="402"/>
      <c r="AQ100" s="402"/>
      <c r="AR100" s="402"/>
      <c r="AS100" s="402"/>
      <c r="AT100" s="402"/>
      <c r="AU100" s="402"/>
      <c r="AV100" s="402"/>
      <c r="AW100" s="402"/>
      <c r="AX100" s="402"/>
      <c r="AY100" s="402"/>
      <c r="AZ100" s="402"/>
    </row>
    <row r="101" spans="1:52" s="377" customFormat="1" ht="14.25" customHeight="1" x14ac:dyDescent="0.3">
      <c r="A101" s="402"/>
      <c r="B101" s="467" t="s">
        <v>229</v>
      </c>
      <c r="C101" s="402"/>
      <c r="D101" s="462">
        <f>+_xlfn.XLOOKUP($B101,Inputs!$B:$B,Inputs!Q:Q)</f>
        <v>720.60000000000082</v>
      </c>
      <c r="E101" s="466">
        <v>5961</v>
      </c>
      <c r="F101" s="472">
        <v>2562</v>
      </c>
      <c r="G101" s="682">
        <v>539.35799999999995</v>
      </c>
      <c r="H101" s="675">
        <v>942.8</v>
      </c>
      <c r="I101" s="675">
        <v>92.45</v>
      </c>
      <c r="J101" s="675">
        <v>-548</v>
      </c>
      <c r="K101" s="675"/>
      <c r="L101" s="675"/>
      <c r="M101" s="675"/>
      <c r="N101" s="465"/>
      <c r="O101" s="402"/>
      <c r="P101" s="402"/>
      <c r="Q101" s="402"/>
      <c r="R101" s="402"/>
      <c r="S101" s="402"/>
      <c r="T101" s="402"/>
      <c r="U101" s="402"/>
      <c r="V101" s="402"/>
      <c r="W101" s="402"/>
      <c r="X101" s="402"/>
      <c r="Y101" s="402"/>
      <c r="Z101" s="402"/>
      <c r="AA101" s="402"/>
      <c r="AB101" s="402"/>
      <c r="AC101" s="402"/>
      <c r="AD101" s="402"/>
      <c r="AE101" s="402"/>
      <c r="AF101" s="402"/>
      <c r="AG101" s="402"/>
      <c r="AH101" s="402"/>
      <c r="AI101" s="402"/>
      <c r="AJ101" s="402"/>
      <c r="AK101" s="402"/>
      <c r="AL101" s="402"/>
      <c r="AM101" s="402"/>
      <c r="AN101" s="402"/>
      <c r="AO101" s="402"/>
      <c r="AP101" s="402"/>
      <c r="AQ101" s="402"/>
      <c r="AR101" s="402"/>
      <c r="AS101" s="402"/>
      <c r="AT101" s="402"/>
      <c r="AU101" s="402"/>
      <c r="AV101" s="402"/>
      <c r="AW101" s="402"/>
      <c r="AX101" s="402"/>
      <c r="AY101" s="402"/>
      <c r="AZ101" s="402"/>
    </row>
    <row r="102" spans="1:52" s="377" customFormat="1" ht="14.25" customHeight="1" x14ac:dyDescent="0.3">
      <c r="A102" s="402"/>
      <c r="B102" s="467" t="s">
        <v>230</v>
      </c>
      <c r="C102" s="402"/>
      <c r="D102" s="462">
        <f>+_xlfn.XLOOKUP($B102,Inputs!$B:$B,Inputs!Q:Q)</f>
        <v>-78.800000000000011</v>
      </c>
      <c r="E102" s="466">
        <v>508</v>
      </c>
      <c r="F102" s="472">
        <v>145.9</v>
      </c>
      <c r="G102" s="682"/>
      <c r="H102" s="675">
        <v>30.7</v>
      </c>
      <c r="I102" s="675">
        <v>-17.850000000000001</v>
      </c>
      <c r="J102" s="675">
        <v>191</v>
      </c>
      <c r="K102" s="675"/>
      <c r="L102" s="695"/>
      <c r="M102" s="695"/>
      <c r="N102" s="473"/>
      <c r="O102" s="402"/>
      <c r="P102" s="402"/>
      <c r="Q102" s="402"/>
      <c r="R102" s="402"/>
      <c r="S102" s="402"/>
      <c r="T102" s="402"/>
      <c r="U102" s="402"/>
      <c r="V102" s="402"/>
      <c r="W102" s="402"/>
      <c r="X102" s="402"/>
      <c r="Y102" s="402"/>
      <c r="Z102" s="402"/>
      <c r="AA102" s="402"/>
      <c r="AB102" s="402"/>
      <c r="AC102" s="402"/>
      <c r="AD102" s="402"/>
      <c r="AE102" s="402"/>
      <c r="AF102" s="402"/>
      <c r="AG102" s="402"/>
      <c r="AH102" s="402"/>
      <c r="AI102" s="402"/>
      <c r="AJ102" s="402"/>
      <c r="AK102" s="402"/>
      <c r="AL102" s="402"/>
      <c r="AM102" s="402"/>
      <c r="AN102" s="402"/>
      <c r="AO102" s="402"/>
      <c r="AP102" s="402"/>
      <c r="AQ102" s="402"/>
      <c r="AR102" s="402"/>
      <c r="AS102" s="402"/>
      <c r="AT102" s="402"/>
      <c r="AU102" s="402"/>
      <c r="AV102" s="402"/>
      <c r="AW102" s="402"/>
      <c r="AX102" s="402"/>
      <c r="AY102" s="402"/>
      <c r="AZ102" s="402"/>
    </row>
    <row r="103" spans="1:52" s="377" customFormat="1" ht="14.25" customHeight="1" x14ac:dyDescent="0.3">
      <c r="A103" s="402"/>
      <c r="B103" s="467" t="s">
        <v>231</v>
      </c>
      <c r="C103" s="402"/>
      <c r="D103" s="462">
        <f>+_xlfn.XLOOKUP($B103,Inputs!$B:$B,Inputs!Q:Q)</f>
        <v>786.40000000000077</v>
      </c>
      <c r="E103" s="466">
        <v>5453</v>
      </c>
      <c r="F103" s="472">
        <v>2365.9</v>
      </c>
      <c r="G103" s="682">
        <v>572.91200000000003</v>
      </c>
      <c r="H103" s="675">
        <v>636.4</v>
      </c>
      <c r="I103" s="675">
        <v>91.525999999999996</v>
      </c>
      <c r="J103" s="675">
        <v>-759</v>
      </c>
      <c r="K103" s="675"/>
      <c r="L103" s="675"/>
      <c r="M103" s="675"/>
      <c r="N103" s="465"/>
      <c r="O103" s="402"/>
      <c r="P103" s="402"/>
      <c r="Q103" s="402"/>
      <c r="R103" s="402"/>
      <c r="S103" s="402"/>
      <c r="T103" s="402"/>
      <c r="U103" s="402"/>
      <c r="V103" s="402"/>
      <c r="W103" s="402"/>
      <c r="X103" s="402"/>
      <c r="Y103" s="402"/>
      <c r="Z103" s="402"/>
      <c r="AA103" s="402"/>
      <c r="AB103" s="402"/>
      <c r="AC103" s="402"/>
      <c r="AD103" s="402"/>
      <c r="AE103" s="402"/>
      <c r="AF103" s="402"/>
      <c r="AG103" s="402"/>
      <c r="AH103" s="402"/>
      <c r="AI103" s="402"/>
      <c r="AJ103" s="402"/>
      <c r="AK103" s="402"/>
      <c r="AL103" s="402"/>
      <c r="AM103" s="402"/>
      <c r="AN103" s="402"/>
      <c r="AO103" s="402"/>
      <c r="AP103" s="402"/>
      <c r="AQ103" s="402"/>
      <c r="AR103" s="402"/>
      <c r="AS103" s="402"/>
      <c r="AT103" s="402"/>
      <c r="AU103" s="402"/>
      <c r="AV103" s="402"/>
      <c r="AW103" s="402"/>
      <c r="AX103" s="402"/>
      <c r="AY103" s="402"/>
      <c r="AZ103" s="402"/>
    </row>
    <row r="104" spans="1:52" s="377" customFormat="1" ht="14.25" customHeight="1" x14ac:dyDescent="0.3">
      <c r="A104" s="402"/>
      <c r="B104" s="467" t="s">
        <v>232</v>
      </c>
      <c r="C104" s="402"/>
      <c r="D104" s="462">
        <f>+_xlfn.XLOOKUP($B104,Inputs!$B:$B,Inputs!Q:Q)</f>
        <v>142.1</v>
      </c>
      <c r="E104" s="466">
        <v>654</v>
      </c>
      <c r="F104" s="472">
        <v>459</v>
      </c>
      <c r="G104" s="682">
        <v>-1213.788</v>
      </c>
      <c r="H104" s="675">
        <v>40.4</v>
      </c>
      <c r="I104" s="675">
        <v>14.667</v>
      </c>
      <c r="J104" s="675">
        <v>175</v>
      </c>
      <c r="K104" s="675"/>
      <c r="L104" s="675"/>
      <c r="M104" s="675"/>
      <c r="N104" s="465"/>
      <c r="O104" s="402"/>
      <c r="P104" s="402"/>
      <c r="Q104" s="402"/>
      <c r="R104" s="402"/>
      <c r="S104" s="402"/>
      <c r="T104" s="402"/>
      <c r="U104" s="402"/>
      <c r="V104" s="402"/>
      <c r="W104" s="402"/>
      <c r="X104" s="402"/>
      <c r="Y104" s="402"/>
      <c r="Z104" s="402"/>
      <c r="AA104" s="402"/>
      <c r="AB104" s="402"/>
      <c r="AC104" s="402"/>
      <c r="AD104" s="402"/>
      <c r="AE104" s="402"/>
      <c r="AF104" s="402"/>
      <c r="AG104" s="402"/>
      <c r="AH104" s="402"/>
      <c r="AI104" s="402"/>
      <c r="AJ104" s="402"/>
      <c r="AK104" s="402"/>
      <c r="AL104" s="402"/>
      <c r="AM104" s="402"/>
      <c r="AN104" s="402"/>
      <c r="AO104" s="402"/>
      <c r="AP104" s="402"/>
      <c r="AQ104" s="402"/>
      <c r="AR104" s="402"/>
      <c r="AS104" s="402"/>
      <c r="AT104" s="402"/>
      <c r="AU104" s="402"/>
      <c r="AV104" s="402"/>
      <c r="AW104" s="402"/>
      <c r="AX104" s="402"/>
      <c r="AY104" s="402"/>
      <c r="AZ104" s="402"/>
    </row>
    <row r="105" spans="1:52" s="377" customFormat="1" ht="14.25" customHeight="1" x14ac:dyDescent="0.3">
      <c r="A105" s="402"/>
      <c r="B105" s="467" t="s">
        <v>233</v>
      </c>
      <c r="C105" s="402"/>
      <c r="D105" s="462">
        <f>+_xlfn.XLOOKUP($B105,Inputs!$B:$B,Inputs!Q:Q)</f>
        <v>644.30000000000075</v>
      </c>
      <c r="E105" s="466">
        <v>4799</v>
      </c>
      <c r="F105" s="472">
        <v>1906.9</v>
      </c>
      <c r="G105" s="682">
        <v>1786.7</v>
      </c>
      <c r="H105" s="675">
        <v>596</v>
      </c>
      <c r="I105" s="675">
        <v>76.858999999999995</v>
      </c>
      <c r="J105" s="675">
        <v>-933</v>
      </c>
      <c r="K105" s="675"/>
      <c r="L105" s="675"/>
      <c r="M105" s="675"/>
      <c r="N105" s="465"/>
      <c r="O105" s="402"/>
      <c r="P105" s="402"/>
      <c r="Q105" s="402"/>
      <c r="R105" s="402"/>
      <c r="S105" s="402"/>
      <c r="T105" s="402"/>
      <c r="U105" s="402"/>
      <c r="V105" s="402"/>
      <c r="W105" s="402"/>
      <c r="X105" s="402"/>
      <c r="Y105" s="402"/>
      <c r="Z105" s="402"/>
      <c r="AA105" s="402"/>
      <c r="AB105" s="402"/>
      <c r="AC105" s="402"/>
      <c r="AD105" s="402"/>
      <c r="AE105" s="402"/>
      <c r="AF105" s="402"/>
      <c r="AG105" s="402"/>
      <c r="AH105" s="402"/>
      <c r="AI105" s="402"/>
      <c r="AJ105" s="402"/>
      <c r="AK105" s="402"/>
      <c r="AL105" s="402"/>
      <c r="AM105" s="402"/>
      <c r="AN105" s="402"/>
      <c r="AO105" s="402"/>
      <c r="AP105" s="402"/>
      <c r="AQ105" s="402"/>
      <c r="AR105" s="402"/>
      <c r="AS105" s="402"/>
      <c r="AT105" s="402"/>
      <c r="AU105" s="402"/>
      <c r="AV105" s="402"/>
      <c r="AW105" s="402"/>
      <c r="AX105" s="402"/>
      <c r="AY105" s="402"/>
      <c r="AZ105" s="402"/>
    </row>
    <row r="106" spans="1:52" s="377" customFormat="1" ht="14.25" customHeight="1" x14ac:dyDescent="0.3">
      <c r="A106" s="402"/>
      <c r="B106" s="467" t="s">
        <v>234</v>
      </c>
      <c r="C106" s="402"/>
      <c r="D106" s="462">
        <f>+_xlfn.XLOOKUP($B106,Inputs!$B:$B,Inputs!Q:Q)</f>
        <v>3.3</v>
      </c>
      <c r="E106" s="474"/>
      <c r="F106" s="475">
        <v>3.52</v>
      </c>
      <c r="G106" s="684">
        <v>36.76</v>
      </c>
      <c r="H106" s="692">
        <v>3.72</v>
      </c>
      <c r="I106" s="692">
        <v>1.07</v>
      </c>
      <c r="J106" s="692">
        <v>-1.08</v>
      </c>
      <c r="K106" s="692"/>
      <c r="L106" s="692"/>
      <c r="M106" s="692"/>
      <c r="N106" s="476"/>
      <c r="O106" s="402"/>
      <c r="P106" s="402"/>
      <c r="Q106" s="402"/>
      <c r="R106" s="402"/>
      <c r="S106" s="402"/>
      <c r="T106" s="402"/>
      <c r="U106" s="402"/>
      <c r="V106" s="402"/>
      <c r="W106" s="402"/>
      <c r="X106" s="402"/>
      <c r="Y106" s="402"/>
      <c r="Z106" s="402"/>
      <c r="AA106" s="402"/>
      <c r="AB106" s="402"/>
      <c r="AC106" s="402"/>
      <c r="AD106" s="402"/>
      <c r="AE106" s="402"/>
      <c r="AF106" s="402"/>
      <c r="AG106" s="402"/>
      <c r="AH106" s="402"/>
      <c r="AI106" s="402"/>
      <c r="AJ106" s="402"/>
      <c r="AK106" s="402"/>
      <c r="AL106" s="402"/>
      <c r="AM106" s="402"/>
      <c r="AN106" s="402"/>
      <c r="AO106" s="402"/>
      <c r="AP106" s="402"/>
      <c r="AQ106" s="402"/>
      <c r="AR106" s="402"/>
      <c r="AS106" s="402"/>
      <c r="AT106" s="402"/>
      <c r="AU106" s="402"/>
      <c r="AV106" s="402"/>
      <c r="AW106" s="402"/>
      <c r="AX106" s="402"/>
      <c r="AY106" s="402"/>
      <c r="AZ106" s="402"/>
    </row>
    <row r="107" spans="1:52" s="377" customFormat="1" ht="14.25" customHeight="1" x14ac:dyDescent="0.3">
      <c r="A107" s="402"/>
      <c r="B107" s="467" t="s">
        <v>235</v>
      </c>
      <c r="C107" s="402"/>
      <c r="D107" s="462">
        <f>+_xlfn.XLOOKUP($B107,Inputs!$B:$B,Inputs!Q:Q)</f>
        <v>1487.9</v>
      </c>
      <c r="E107" s="466">
        <v>1959</v>
      </c>
      <c r="F107" s="472">
        <v>1096.9000000000001</v>
      </c>
      <c r="G107" s="682">
        <v>324.74799999999999</v>
      </c>
      <c r="H107" s="675">
        <v>631.70000000000005</v>
      </c>
      <c r="I107" s="675">
        <v>182.15799999999999</v>
      </c>
      <c r="J107" s="675">
        <v>1896</v>
      </c>
      <c r="K107" s="675"/>
      <c r="L107" s="675"/>
      <c r="M107" s="675"/>
      <c r="N107" s="465"/>
      <c r="O107" s="402"/>
      <c r="P107" s="402"/>
      <c r="Q107" s="402"/>
      <c r="R107" s="402"/>
      <c r="S107" s="402"/>
      <c r="T107" s="402"/>
      <c r="U107" s="402"/>
      <c r="V107" s="402"/>
      <c r="W107" s="402"/>
      <c r="X107" s="402"/>
      <c r="Y107" s="402"/>
      <c r="Z107" s="402"/>
      <c r="AA107" s="402"/>
      <c r="AB107" s="402"/>
      <c r="AC107" s="402"/>
      <c r="AD107" s="402"/>
      <c r="AE107" s="402"/>
      <c r="AF107" s="402"/>
      <c r="AG107" s="402"/>
      <c r="AH107" s="402"/>
      <c r="AI107" s="402"/>
      <c r="AJ107" s="402"/>
      <c r="AK107" s="402"/>
      <c r="AL107" s="402"/>
      <c r="AM107" s="402"/>
      <c r="AN107" s="402"/>
      <c r="AO107" s="402"/>
      <c r="AP107" s="402"/>
      <c r="AQ107" s="402"/>
      <c r="AR107" s="402"/>
      <c r="AS107" s="402"/>
      <c r="AT107" s="402"/>
      <c r="AU107" s="402"/>
      <c r="AV107" s="402"/>
      <c r="AW107" s="402"/>
      <c r="AX107" s="402"/>
      <c r="AY107" s="402"/>
      <c r="AZ107" s="402"/>
    </row>
    <row r="108" spans="1:52" s="377" customFormat="1" ht="3.75" customHeight="1" x14ac:dyDescent="0.3">
      <c r="A108" s="402"/>
      <c r="B108" s="467"/>
      <c r="C108" s="402"/>
      <c r="D108" s="477"/>
      <c r="E108" s="478"/>
      <c r="F108" s="479"/>
      <c r="G108" s="685"/>
      <c r="H108" s="693"/>
      <c r="I108" s="693"/>
      <c r="J108" s="693"/>
      <c r="K108" s="693"/>
      <c r="L108" s="693"/>
      <c r="M108" s="693"/>
      <c r="N108" s="446"/>
      <c r="O108" s="402"/>
      <c r="P108" s="402"/>
      <c r="Q108" s="402"/>
      <c r="R108" s="402"/>
      <c r="S108" s="402"/>
      <c r="T108" s="402"/>
      <c r="U108" s="402"/>
      <c r="V108" s="402"/>
      <c r="W108" s="402"/>
      <c r="X108" s="402"/>
      <c r="Y108" s="402"/>
      <c r="Z108" s="402"/>
      <c r="AA108" s="402"/>
      <c r="AB108" s="402"/>
      <c r="AC108" s="402"/>
      <c r="AD108" s="402"/>
      <c r="AE108" s="402"/>
      <c r="AF108" s="402"/>
      <c r="AG108" s="402"/>
      <c r="AH108" s="402"/>
      <c r="AI108" s="402"/>
      <c r="AJ108" s="402"/>
      <c r="AK108" s="402"/>
      <c r="AL108" s="402"/>
      <c r="AM108" s="402"/>
      <c r="AN108" s="402"/>
      <c r="AO108" s="402"/>
      <c r="AP108" s="402"/>
      <c r="AQ108" s="402"/>
      <c r="AR108" s="402"/>
      <c r="AS108" s="402"/>
      <c r="AT108" s="402"/>
      <c r="AU108" s="402"/>
      <c r="AV108" s="402"/>
      <c r="AW108" s="402"/>
      <c r="AX108" s="402"/>
      <c r="AY108" s="402"/>
      <c r="AZ108" s="402"/>
    </row>
    <row r="109" spans="1:52" s="377" customFormat="1" ht="14.25" customHeight="1" x14ac:dyDescent="0.3">
      <c r="A109" s="402"/>
      <c r="B109" s="453" t="s">
        <v>236</v>
      </c>
      <c r="C109" s="439"/>
      <c r="D109" s="480"/>
      <c r="E109" s="481"/>
      <c r="F109" s="482"/>
      <c r="G109" s="686"/>
      <c r="H109" s="676"/>
      <c r="I109" s="676"/>
      <c r="J109" s="676"/>
      <c r="K109" s="676"/>
      <c r="L109" s="676"/>
      <c r="M109" s="676"/>
      <c r="N109" s="483"/>
      <c r="O109" s="402"/>
      <c r="P109" s="402"/>
      <c r="Q109" s="402"/>
      <c r="R109" s="402"/>
      <c r="S109" s="402"/>
      <c r="T109" s="402"/>
      <c r="U109" s="402"/>
      <c r="V109" s="402"/>
      <c r="W109" s="402"/>
      <c r="X109" s="402"/>
      <c r="Y109" s="402"/>
      <c r="Z109" s="402"/>
      <c r="AA109" s="402"/>
      <c r="AB109" s="402"/>
      <c r="AC109" s="402"/>
      <c r="AD109" s="402"/>
      <c r="AE109" s="402"/>
      <c r="AF109" s="402"/>
      <c r="AG109" s="402"/>
      <c r="AH109" s="402"/>
      <c r="AI109" s="402"/>
      <c r="AJ109" s="402"/>
      <c r="AK109" s="402"/>
      <c r="AL109" s="402"/>
      <c r="AM109" s="402"/>
      <c r="AN109" s="402"/>
      <c r="AO109" s="402"/>
      <c r="AP109" s="402"/>
      <c r="AQ109" s="402"/>
      <c r="AR109" s="402"/>
      <c r="AS109" s="402"/>
      <c r="AT109" s="402"/>
      <c r="AU109" s="402"/>
      <c r="AV109" s="402"/>
      <c r="AW109" s="402"/>
      <c r="AX109" s="402"/>
      <c r="AY109" s="402"/>
      <c r="AZ109" s="402"/>
    </row>
    <row r="110" spans="1:52" s="377" customFormat="1" ht="3.75" customHeight="1" x14ac:dyDescent="0.3">
      <c r="A110" s="402"/>
      <c r="B110" s="454"/>
      <c r="C110" s="443"/>
      <c r="D110" s="484"/>
      <c r="E110" s="485"/>
      <c r="F110" s="486"/>
      <c r="G110" s="674"/>
      <c r="H110" s="677"/>
      <c r="I110" s="677"/>
      <c r="J110" s="677"/>
      <c r="K110" s="677"/>
      <c r="L110" s="677"/>
      <c r="M110" s="677"/>
      <c r="N110" s="447"/>
      <c r="O110" s="402"/>
      <c r="P110" s="402"/>
      <c r="Q110" s="402"/>
      <c r="R110" s="402"/>
      <c r="S110" s="402"/>
      <c r="T110" s="402"/>
      <c r="U110" s="402"/>
      <c r="V110" s="402"/>
      <c r="W110" s="402"/>
      <c r="X110" s="402"/>
      <c r="Y110" s="402"/>
      <c r="Z110" s="402"/>
      <c r="AA110" s="402"/>
      <c r="AB110" s="402"/>
      <c r="AC110" s="402"/>
      <c r="AD110" s="402"/>
      <c r="AE110" s="402"/>
      <c r="AF110" s="402"/>
      <c r="AG110" s="402"/>
      <c r="AH110" s="402"/>
      <c r="AI110" s="402"/>
      <c r="AJ110" s="402"/>
      <c r="AK110" s="402"/>
      <c r="AL110" s="402"/>
      <c r="AM110" s="402"/>
      <c r="AN110" s="402"/>
      <c r="AO110" s="402"/>
      <c r="AP110" s="402"/>
      <c r="AQ110" s="402"/>
      <c r="AR110" s="402"/>
      <c r="AS110" s="402"/>
      <c r="AT110" s="402"/>
      <c r="AU110" s="402"/>
      <c r="AV110" s="402"/>
      <c r="AW110" s="402"/>
      <c r="AX110" s="402"/>
      <c r="AY110" s="402"/>
      <c r="AZ110" s="402"/>
    </row>
    <row r="111" spans="1:52" s="377" customFormat="1" ht="14.25" customHeight="1" x14ac:dyDescent="0.3">
      <c r="A111" s="402"/>
      <c r="B111" s="467" t="s">
        <v>237</v>
      </c>
      <c r="C111" s="402"/>
      <c r="D111" s="462">
        <f>+_xlfn.XLOOKUP($B111,Inputs!$B:$B,Inputs!Q:Q)</f>
        <v>1991.3</v>
      </c>
      <c r="E111" s="466">
        <v>3200</v>
      </c>
      <c r="F111" s="675">
        <v>319.7</v>
      </c>
      <c r="G111" s="675"/>
      <c r="H111" s="675"/>
      <c r="I111" s="675"/>
      <c r="J111" s="675">
        <v>951</v>
      </c>
      <c r="K111" s="675"/>
      <c r="L111" s="675"/>
      <c r="M111" s="675"/>
      <c r="N111" s="465"/>
      <c r="O111" s="402"/>
      <c r="P111" s="402"/>
      <c r="Q111" s="402"/>
      <c r="R111" s="402"/>
      <c r="S111" s="402"/>
      <c r="T111" s="402"/>
      <c r="U111" s="402"/>
      <c r="V111" s="402"/>
      <c r="W111" s="402"/>
      <c r="X111" s="402"/>
      <c r="Y111" s="402"/>
      <c r="Z111" s="402"/>
      <c r="AA111" s="402"/>
      <c r="AB111" s="402"/>
      <c r="AC111" s="402"/>
      <c r="AD111" s="402"/>
      <c r="AE111" s="402"/>
      <c r="AF111" s="402"/>
      <c r="AG111" s="402"/>
      <c r="AH111" s="402"/>
      <c r="AI111" s="402"/>
      <c r="AJ111" s="402"/>
      <c r="AK111" s="402"/>
      <c r="AL111" s="402"/>
      <c r="AM111" s="402"/>
      <c r="AN111" s="402"/>
      <c r="AO111" s="402"/>
      <c r="AP111" s="402"/>
      <c r="AQ111" s="402"/>
      <c r="AR111" s="402"/>
      <c r="AS111" s="402"/>
      <c r="AT111" s="402"/>
      <c r="AU111" s="402"/>
      <c r="AV111" s="402"/>
      <c r="AW111" s="402"/>
      <c r="AX111" s="402"/>
      <c r="AY111" s="402"/>
      <c r="AZ111" s="402"/>
    </row>
    <row r="112" spans="1:52" s="377" customFormat="1" ht="14.25" customHeight="1" x14ac:dyDescent="0.3">
      <c r="A112" s="402"/>
      <c r="B112" s="467" t="s">
        <v>238</v>
      </c>
      <c r="C112" s="402"/>
      <c r="D112" s="462">
        <f>+_xlfn.XLOOKUP($B112,Inputs!$B:$B,Inputs!Q:Q)</f>
        <v>1336.3</v>
      </c>
      <c r="E112" s="466">
        <v>1719</v>
      </c>
      <c r="F112" s="472">
        <v>1133.5999999999999</v>
      </c>
      <c r="G112" s="682"/>
      <c r="H112" s="675"/>
      <c r="I112" s="675"/>
      <c r="J112" s="675">
        <v>1122</v>
      </c>
      <c r="K112" s="675"/>
      <c r="L112" s="675"/>
      <c r="M112" s="675"/>
      <c r="N112" s="465"/>
      <c r="O112" s="402"/>
      <c r="P112" s="402"/>
      <c r="Q112" s="402"/>
      <c r="R112" s="402"/>
      <c r="S112" s="402"/>
      <c r="T112" s="402"/>
      <c r="U112" s="402"/>
      <c r="V112" s="402"/>
      <c r="W112" s="402"/>
      <c r="X112" s="402"/>
      <c r="Y112" s="402"/>
      <c r="Z112" s="402"/>
      <c r="AA112" s="402"/>
      <c r="AB112" s="402"/>
      <c r="AC112" s="402"/>
      <c r="AD112" s="402"/>
      <c r="AE112" s="402"/>
      <c r="AF112" s="402"/>
      <c r="AG112" s="402"/>
      <c r="AH112" s="402"/>
      <c r="AI112" s="402"/>
      <c r="AJ112" s="402"/>
      <c r="AK112" s="402"/>
      <c r="AL112" s="402"/>
      <c r="AM112" s="402"/>
      <c r="AN112" s="402"/>
      <c r="AO112" s="402"/>
      <c r="AP112" s="402"/>
      <c r="AQ112" s="402"/>
      <c r="AR112" s="402"/>
      <c r="AS112" s="402"/>
      <c r="AT112" s="402"/>
      <c r="AU112" s="402"/>
      <c r="AV112" s="402"/>
      <c r="AW112" s="402"/>
      <c r="AX112" s="402"/>
      <c r="AY112" s="402"/>
      <c r="AZ112" s="402"/>
    </row>
    <row r="113" spans="1:52" s="377" customFormat="1" ht="14.25" customHeight="1" x14ac:dyDescent="0.3">
      <c r="A113" s="402"/>
      <c r="B113" s="467" t="s">
        <v>239</v>
      </c>
      <c r="C113" s="402"/>
      <c r="D113" s="462">
        <f>+_xlfn.XLOOKUP("Inventory",Inputs!$B:$B,Inputs!P:P)</f>
        <v>1642.2</v>
      </c>
      <c r="E113" s="466">
        <v>3999</v>
      </c>
      <c r="F113" s="472"/>
      <c r="G113" s="682"/>
      <c r="H113" s="675"/>
      <c r="I113" s="675"/>
      <c r="J113" s="675">
        <v>1068</v>
      </c>
      <c r="K113" s="675"/>
      <c r="L113" s="675"/>
      <c r="M113" s="675"/>
      <c r="N113" s="465"/>
      <c r="O113" s="402"/>
      <c r="P113" s="402"/>
      <c r="Q113" s="402"/>
      <c r="R113" s="402"/>
      <c r="S113" s="402"/>
      <c r="T113" s="402"/>
      <c r="U113" s="402"/>
      <c r="V113" s="402"/>
      <c r="W113" s="402"/>
      <c r="X113" s="402"/>
      <c r="Y113" s="402"/>
      <c r="Z113" s="402"/>
      <c r="AA113" s="402"/>
      <c r="AB113" s="402"/>
      <c r="AC113" s="402"/>
      <c r="AD113" s="402"/>
      <c r="AE113" s="402"/>
      <c r="AF113" s="402"/>
      <c r="AG113" s="402"/>
      <c r="AH113" s="402"/>
      <c r="AI113" s="402"/>
      <c r="AJ113" s="402"/>
      <c r="AK113" s="402"/>
      <c r="AL113" s="402"/>
      <c r="AM113" s="402"/>
      <c r="AN113" s="402"/>
      <c r="AO113" s="402"/>
      <c r="AP113" s="402"/>
      <c r="AQ113" s="402"/>
      <c r="AR113" s="402"/>
      <c r="AS113" s="402"/>
      <c r="AT113" s="402"/>
      <c r="AU113" s="402"/>
      <c r="AV113" s="402"/>
      <c r="AW113" s="402"/>
      <c r="AX113" s="402"/>
      <c r="AY113" s="402"/>
      <c r="AZ113" s="402"/>
    </row>
    <row r="114" spans="1:52" s="377" customFormat="1" ht="14.25" customHeight="1" x14ac:dyDescent="0.3">
      <c r="A114" s="402"/>
      <c r="B114" s="467" t="s">
        <v>240</v>
      </c>
      <c r="C114" s="402"/>
      <c r="D114" s="462">
        <f>+_xlfn.XLOOKUP("Inventory",Inputs!$B:$B,Inputs!Q:Q)</f>
        <v>1447.7</v>
      </c>
      <c r="E114" s="466">
        <v>4527</v>
      </c>
      <c r="F114" s="472"/>
      <c r="G114" s="682"/>
      <c r="H114" s="675"/>
      <c r="I114" s="675"/>
      <c r="J114" s="675">
        <v>864</v>
      </c>
      <c r="K114" s="675"/>
      <c r="L114" s="675"/>
      <c r="M114" s="675"/>
      <c r="N114" s="465"/>
      <c r="O114" s="402"/>
      <c r="P114" s="402"/>
      <c r="Q114" s="402"/>
      <c r="R114" s="402"/>
      <c r="S114" s="402"/>
      <c r="T114" s="402"/>
      <c r="U114" s="402"/>
      <c r="V114" s="402"/>
      <c r="W114" s="402"/>
      <c r="X114" s="402"/>
      <c r="Y114" s="402"/>
      <c r="Z114" s="402"/>
      <c r="AA114" s="402"/>
      <c r="AB114" s="402"/>
      <c r="AC114" s="402"/>
      <c r="AD114" s="402"/>
      <c r="AE114" s="402"/>
      <c r="AF114" s="402"/>
      <c r="AG114" s="402"/>
      <c r="AH114" s="402"/>
      <c r="AI114" s="402"/>
      <c r="AJ114" s="402"/>
      <c r="AK114" s="402"/>
      <c r="AL114" s="402"/>
      <c r="AM114" s="402"/>
      <c r="AN114" s="402"/>
      <c r="AO114" s="402"/>
      <c r="AP114" s="402"/>
      <c r="AQ114" s="402"/>
      <c r="AR114" s="402"/>
      <c r="AS114" s="402"/>
      <c r="AT114" s="402"/>
      <c r="AU114" s="402"/>
      <c r="AV114" s="402"/>
      <c r="AW114" s="402"/>
      <c r="AX114" s="402"/>
      <c r="AY114" s="402"/>
      <c r="AZ114" s="402"/>
    </row>
    <row r="115" spans="1:52" s="377" customFormat="1" ht="14.25" customHeight="1" x14ac:dyDescent="0.3">
      <c r="A115" s="402"/>
      <c r="B115" s="467" t="s">
        <v>241</v>
      </c>
      <c r="C115" s="402"/>
      <c r="D115" s="462">
        <f>+_xlfn.XLOOKUP($B115,Inputs!$B:$B,Inputs!Q:Q)</f>
        <v>5484.7</v>
      </c>
      <c r="E115" s="466">
        <v>15026</v>
      </c>
      <c r="F115" s="472">
        <v>3103</v>
      </c>
      <c r="G115" s="682"/>
      <c r="H115" s="675"/>
      <c r="I115" s="675"/>
      <c r="J115" s="675">
        <v>3063</v>
      </c>
      <c r="K115" s="675"/>
      <c r="L115" s="675"/>
      <c r="M115" s="675"/>
      <c r="N115" s="465"/>
      <c r="O115" s="402"/>
      <c r="P115" s="402"/>
      <c r="Q115" s="402"/>
      <c r="R115" s="402"/>
      <c r="S115" s="402"/>
      <c r="T115" s="402"/>
      <c r="U115" s="402"/>
      <c r="V115" s="402"/>
      <c r="W115" s="402"/>
      <c r="X115" s="402"/>
      <c r="Y115" s="402"/>
      <c r="Z115" s="402"/>
      <c r="AA115" s="402"/>
      <c r="AB115" s="402"/>
      <c r="AC115" s="402"/>
      <c r="AD115" s="402"/>
      <c r="AE115" s="402"/>
      <c r="AF115" s="402"/>
      <c r="AG115" s="402"/>
      <c r="AH115" s="402"/>
      <c r="AI115" s="402"/>
      <c r="AJ115" s="402"/>
      <c r="AK115" s="402"/>
      <c r="AL115" s="402"/>
      <c r="AM115" s="402"/>
      <c r="AN115" s="402"/>
      <c r="AO115" s="402"/>
      <c r="AP115" s="402"/>
      <c r="AQ115" s="402"/>
      <c r="AR115" s="402"/>
      <c r="AS115" s="402"/>
      <c r="AT115" s="402"/>
      <c r="AU115" s="402"/>
      <c r="AV115" s="402"/>
      <c r="AW115" s="402"/>
      <c r="AX115" s="402"/>
      <c r="AY115" s="402"/>
      <c r="AZ115" s="402"/>
    </row>
    <row r="116" spans="1:52" s="377" customFormat="1" ht="14.25" customHeight="1" x14ac:dyDescent="0.3">
      <c r="A116" s="402"/>
      <c r="B116" s="467" t="s">
        <v>242</v>
      </c>
      <c r="C116" s="402"/>
      <c r="D116" s="462">
        <f>+_xlfn.XLOOKUP($B116,Inputs!$B:$B,Inputs!Q:Q)</f>
        <v>0</v>
      </c>
      <c r="E116" s="466">
        <v>11347</v>
      </c>
      <c r="F116" s="472">
        <v>1350.9</v>
      </c>
      <c r="G116" s="682"/>
      <c r="H116" s="675"/>
      <c r="I116" s="675"/>
      <c r="J116" s="675">
        <v>960</v>
      </c>
      <c r="K116" s="675"/>
      <c r="L116" s="675"/>
      <c r="M116" s="675"/>
      <c r="N116" s="465"/>
      <c r="O116" s="402"/>
      <c r="P116" s="402"/>
      <c r="Q116" s="402"/>
      <c r="R116" s="402"/>
      <c r="S116" s="402"/>
      <c r="T116" s="402"/>
      <c r="U116" s="402"/>
      <c r="V116" s="402"/>
      <c r="W116" s="402"/>
      <c r="X116" s="402"/>
      <c r="Y116" s="402"/>
      <c r="Z116" s="402"/>
      <c r="AA116" s="402"/>
      <c r="AB116" s="402"/>
      <c r="AC116" s="402"/>
      <c r="AD116" s="402"/>
      <c r="AE116" s="402"/>
      <c r="AF116" s="402"/>
      <c r="AG116" s="402"/>
      <c r="AH116" s="402"/>
      <c r="AI116" s="402"/>
      <c r="AJ116" s="402"/>
      <c r="AK116" s="402"/>
      <c r="AL116" s="402"/>
      <c r="AM116" s="402"/>
      <c r="AN116" s="402"/>
      <c r="AO116" s="402"/>
      <c r="AP116" s="402"/>
      <c r="AQ116" s="402"/>
      <c r="AR116" s="402"/>
      <c r="AS116" s="402"/>
      <c r="AT116" s="402"/>
      <c r="AU116" s="402"/>
      <c r="AV116" s="402"/>
      <c r="AW116" s="402"/>
      <c r="AX116" s="402"/>
      <c r="AY116" s="402"/>
      <c r="AZ116" s="402"/>
    </row>
    <row r="117" spans="1:52" s="377" customFormat="1" ht="14.25" customHeight="1" x14ac:dyDescent="0.3">
      <c r="A117" s="402"/>
      <c r="B117" s="467" t="s">
        <v>243</v>
      </c>
      <c r="C117" s="487"/>
      <c r="D117" s="488">
        <f>+_xlfn.XLOOKUP($B117,Inputs!$B:$B,Inputs!Q:Q)</f>
        <v>48228.299999999996</v>
      </c>
      <c r="E117" s="466">
        <v>35509</v>
      </c>
      <c r="F117" s="472">
        <v>15873.2</v>
      </c>
      <c r="G117" s="682"/>
      <c r="H117" s="675"/>
      <c r="I117" s="675"/>
      <c r="J117" s="675">
        <v>21229</v>
      </c>
      <c r="K117" s="675"/>
      <c r="L117" s="675"/>
      <c r="M117" s="675"/>
      <c r="N117" s="465"/>
      <c r="O117" s="402"/>
      <c r="P117" s="402"/>
      <c r="Q117" s="402"/>
      <c r="R117" s="402"/>
      <c r="S117" s="402"/>
      <c r="T117" s="402"/>
      <c r="U117" s="402"/>
      <c r="V117" s="402"/>
      <c r="W117" s="402"/>
      <c r="X117" s="402"/>
      <c r="Y117" s="402"/>
      <c r="Z117" s="402"/>
      <c r="AA117" s="402"/>
      <c r="AB117" s="402"/>
      <c r="AC117" s="402"/>
      <c r="AD117" s="402"/>
      <c r="AE117" s="402"/>
      <c r="AF117" s="402"/>
      <c r="AG117" s="402"/>
      <c r="AH117" s="402"/>
      <c r="AI117" s="402"/>
      <c r="AJ117" s="402"/>
      <c r="AK117" s="402"/>
      <c r="AL117" s="402"/>
      <c r="AM117" s="402"/>
      <c r="AN117" s="402"/>
      <c r="AO117" s="402"/>
      <c r="AP117" s="402"/>
      <c r="AQ117" s="402"/>
      <c r="AR117" s="402"/>
      <c r="AS117" s="402"/>
      <c r="AT117" s="402"/>
      <c r="AU117" s="402"/>
      <c r="AV117" s="402"/>
      <c r="AW117" s="402"/>
      <c r="AX117" s="402"/>
      <c r="AY117" s="402"/>
      <c r="AZ117" s="402"/>
    </row>
    <row r="118" spans="1:52" s="377" customFormat="1" ht="14.25" customHeight="1" x14ac:dyDescent="0.3">
      <c r="A118" s="402"/>
      <c r="B118" s="467" t="s">
        <v>244</v>
      </c>
      <c r="C118" s="402"/>
      <c r="D118" s="462">
        <f>+_xlfn.XLOOKUP($B118,Inputs!$B:$B,Inputs!Q:Q)</f>
        <v>487.5</v>
      </c>
      <c r="E118" s="466">
        <v>820</v>
      </c>
      <c r="F118" s="466">
        <v>213</v>
      </c>
      <c r="G118" s="682"/>
      <c r="H118" s="675"/>
      <c r="I118" s="675"/>
      <c r="J118" s="675">
        <v>411</v>
      </c>
      <c r="K118" s="675"/>
      <c r="L118" s="675"/>
      <c r="M118" s="675"/>
      <c r="N118" s="465"/>
      <c r="O118" s="402"/>
      <c r="P118" s="402"/>
      <c r="Q118" s="402"/>
      <c r="R118" s="402"/>
      <c r="S118" s="402"/>
      <c r="T118" s="402"/>
      <c r="U118" s="402"/>
      <c r="V118" s="402"/>
      <c r="W118" s="402"/>
      <c r="X118" s="402"/>
      <c r="Y118" s="402"/>
      <c r="Z118" s="402"/>
      <c r="AA118" s="402"/>
      <c r="AB118" s="402"/>
      <c r="AC118" s="402"/>
      <c r="AD118" s="402"/>
      <c r="AE118" s="402"/>
      <c r="AF118" s="402"/>
      <c r="AG118" s="402"/>
      <c r="AH118" s="402"/>
      <c r="AI118" s="402"/>
      <c r="AJ118" s="402"/>
      <c r="AK118" s="402"/>
      <c r="AL118" s="402"/>
      <c r="AM118" s="402"/>
      <c r="AN118" s="402"/>
      <c r="AO118" s="402"/>
      <c r="AP118" s="402"/>
      <c r="AQ118" s="402"/>
      <c r="AR118" s="402"/>
      <c r="AS118" s="402"/>
      <c r="AT118" s="402"/>
      <c r="AU118" s="402"/>
      <c r="AV118" s="402"/>
      <c r="AW118" s="402"/>
      <c r="AX118" s="402"/>
      <c r="AY118" s="402"/>
      <c r="AZ118" s="402"/>
    </row>
    <row r="119" spans="1:52" s="377" customFormat="1" ht="14.25" customHeight="1" x14ac:dyDescent="0.3">
      <c r="A119" s="402"/>
      <c r="B119" s="467" t="s">
        <v>245</v>
      </c>
      <c r="C119" s="402"/>
      <c r="D119" s="462">
        <f>+_xlfn.XLOOKUP($B119,Inputs!$B:$B,Inputs!Q:Q)</f>
        <v>2988.3</v>
      </c>
      <c r="E119" s="466">
        <v>3643</v>
      </c>
      <c r="F119" s="472">
        <v>2519</v>
      </c>
      <c r="G119" s="682"/>
      <c r="H119" s="675"/>
      <c r="I119" s="675"/>
      <c r="J119" s="675">
        <v>1814</v>
      </c>
      <c r="K119" s="675"/>
      <c r="L119" s="675"/>
      <c r="M119" s="675"/>
      <c r="N119" s="465"/>
      <c r="O119" s="402"/>
      <c r="P119" s="402"/>
      <c r="Q119" s="402"/>
      <c r="R119" s="402"/>
      <c r="S119" s="402"/>
      <c r="T119" s="402"/>
      <c r="U119" s="402"/>
      <c r="V119" s="402"/>
      <c r="W119" s="402"/>
      <c r="X119" s="402"/>
      <c r="Y119" s="402"/>
      <c r="Z119" s="402"/>
      <c r="AA119" s="402"/>
      <c r="AB119" s="402"/>
      <c r="AC119" s="402"/>
      <c r="AD119" s="402"/>
      <c r="AE119" s="402"/>
      <c r="AF119" s="402"/>
      <c r="AG119" s="402"/>
      <c r="AH119" s="402"/>
      <c r="AI119" s="402"/>
      <c r="AJ119" s="402"/>
      <c r="AK119" s="402"/>
      <c r="AL119" s="402"/>
      <c r="AM119" s="402"/>
      <c r="AN119" s="402"/>
      <c r="AO119" s="402"/>
      <c r="AP119" s="402"/>
      <c r="AQ119" s="402"/>
      <c r="AR119" s="402"/>
      <c r="AS119" s="402"/>
      <c r="AT119" s="402"/>
      <c r="AU119" s="402"/>
      <c r="AV119" s="402"/>
      <c r="AW119" s="402"/>
      <c r="AX119" s="402"/>
      <c r="AY119" s="402"/>
      <c r="AZ119" s="402"/>
    </row>
    <row r="120" spans="1:52" s="377" customFormat="1" ht="14.25" customHeight="1" x14ac:dyDescent="0.3">
      <c r="A120" s="402"/>
      <c r="B120" s="467" t="s">
        <v>246</v>
      </c>
      <c r="C120" s="402"/>
      <c r="D120" s="462">
        <f>+_xlfn.XLOOKUP($B120,Inputs!$B:$B,Inputs!Q:Q)</f>
        <v>6634.3</v>
      </c>
      <c r="E120" s="466">
        <v>12846</v>
      </c>
      <c r="F120" s="472">
        <v>5129.1000000000004</v>
      </c>
      <c r="G120" s="682"/>
      <c r="H120" s="675"/>
      <c r="I120" s="675"/>
      <c r="J120" s="675">
        <v>4059</v>
      </c>
      <c r="K120" s="675"/>
      <c r="L120" s="675"/>
      <c r="M120" s="675"/>
      <c r="N120" s="465"/>
      <c r="O120" s="402"/>
      <c r="P120" s="402"/>
      <c r="Q120" s="402"/>
      <c r="R120" s="402"/>
      <c r="S120" s="402"/>
      <c r="T120" s="402"/>
      <c r="U120" s="402"/>
      <c r="V120" s="402"/>
      <c r="W120" s="402"/>
      <c r="X120" s="402"/>
      <c r="Y120" s="402"/>
      <c r="Z120" s="402"/>
      <c r="AA120" s="402"/>
      <c r="AB120" s="402"/>
      <c r="AC120" s="402"/>
      <c r="AD120" s="402"/>
      <c r="AE120" s="402"/>
      <c r="AF120" s="402"/>
      <c r="AG120" s="402"/>
      <c r="AH120" s="402"/>
      <c r="AI120" s="402"/>
      <c r="AJ120" s="402"/>
      <c r="AK120" s="402"/>
      <c r="AL120" s="402"/>
      <c r="AM120" s="402"/>
      <c r="AN120" s="402"/>
      <c r="AO120" s="402"/>
      <c r="AP120" s="402"/>
      <c r="AQ120" s="402"/>
      <c r="AR120" s="402"/>
      <c r="AS120" s="402"/>
      <c r="AT120" s="402"/>
      <c r="AU120" s="402"/>
      <c r="AV120" s="402"/>
      <c r="AW120" s="402"/>
      <c r="AX120" s="402"/>
      <c r="AY120" s="402"/>
      <c r="AZ120" s="402"/>
    </row>
    <row r="121" spans="1:52" s="377" customFormat="1" ht="14.25" customHeight="1" x14ac:dyDescent="0.3">
      <c r="A121" s="402"/>
      <c r="B121" s="467" t="s">
        <v>247</v>
      </c>
      <c r="C121" s="402"/>
      <c r="D121" s="462">
        <f>+_xlfn.XLOOKUP($B121,Inputs!$B:$B,Inputs!Q:Q,,,-1)</f>
        <v>7581.6</v>
      </c>
      <c r="E121" s="466">
        <v>13596</v>
      </c>
      <c r="F121" s="472">
        <v>6973.04</v>
      </c>
      <c r="G121" s="682"/>
      <c r="H121" s="675"/>
      <c r="I121" s="675"/>
      <c r="J121" s="675">
        <v>4401</v>
      </c>
      <c r="K121" s="675"/>
      <c r="L121" s="675"/>
      <c r="M121" s="675"/>
      <c r="N121" s="465"/>
      <c r="O121" s="402"/>
      <c r="P121" s="402"/>
      <c r="Q121" s="402"/>
      <c r="R121" s="402"/>
      <c r="S121" s="402"/>
      <c r="T121" s="402"/>
      <c r="U121" s="402"/>
      <c r="V121" s="402"/>
      <c r="W121" s="402"/>
      <c r="X121" s="402"/>
      <c r="Y121" s="402"/>
      <c r="Z121" s="402"/>
      <c r="AA121" s="402"/>
      <c r="AB121" s="402"/>
      <c r="AC121" s="402"/>
      <c r="AD121" s="402"/>
      <c r="AE121" s="402"/>
      <c r="AF121" s="402"/>
      <c r="AG121" s="402"/>
      <c r="AH121" s="402"/>
      <c r="AI121" s="402"/>
      <c r="AJ121" s="402"/>
      <c r="AK121" s="402"/>
      <c r="AL121" s="402"/>
      <c r="AM121" s="402"/>
      <c r="AN121" s="402"/>
      <c r="AO121" s="402"/>
      <c r="AP121" s="402"/>
      <c r="AQ121" s="402"/>
      <c r="AR121" s="402"/>
      <c r="AS121" s="402"/>
      <c r="AT121" s="402"/>
      <c r="AU121" s="402"/>
      <c r="AV121" s="402"/>
      <c r="AW121" s="402"/>
      <c r="AX121" s="402"/>
      <c r="AY121" s="402"/>
      <c r="AZ121" s="402"/>
    </row>
    <row r="122" spans="1:52" s="377" customFormat="1" ht="14.25" customHeight="1" x14ac:dyDescent="0.3">
      <c r="A122" s="402"/>
      <c r="B122" s="467" t="s">
        <v>248</v>
      </c>
      <c r="C122" s="402"/>
      <c r="D122" s="462">
        <f>+_xlfn.XLOOKUP($B122,Inputs!$B:$B,Inputs!Q:Q)</f>
        <v>35176.299999999996</v>
      </c>
      <c r="E122" s="466">
        <v>16903</v>
      </c>
      <c r="F122" s="472">
        <v>6657.8</v>
      </c>
      <c r="G122" s="682"/>
      <c r="H122" s="675"/>
      <c r="I122" s="675"/>
      <c r="J122" s="675">
        <v>14831</v>
      </c>
      <c r="K122" s="675"/>
      <c r="L122" s="675"/>
      <c r="M122" s="675"/>
      <c r="N122" s="465"/>
      <c r="O122" s="402"/>
      <c r="P122" s="402"/>
      <c r="Q122" s="402"/>
      <c r="R122" s="402"/>
      <c r="S122" s="402"/>
      <c r="T122" s="402"/>
      <c r="U122" s="402"/>
      <c r="V122" s="402"/>
      <c r="W122" s="402"/>
      <c r="X122" s="402"/>
      <c r="Y122" s="402"/>
      <c r="Z122" s="402"/>
      <c r="AA122" s="402"/>
      <c r="AB122" s="402"/>
      <c r="AC122" s="402"/>
      <c r="AD122" s="402"/>
      <c r="AE122" s="402"/>
      <c r="AF122" s="402"/>
      <c r="AG122" s="402"/>
      <c r="AH122" s="402"/>
      <c r="AI122" s="402"/>
      <c r="AJ122" s="402"/>
      <c r="AK122" s="402"/>
      <c r="AL122" s="402"/>
      <c r="AM122" s="402"/>
      <c r="AN122" s="402"/>
      <c r="AO122" s="402"/>
      <c r="AP122" s="402"/>
      <c r="AQ122" s="402"/>
      <c r="AR122" s="402"/>
      <c r="AS122" s="402"/>
      <c r="AT122" s="402"/>
      <c r="AU122" s="402"/>
      <c r="AV122" s="402"/>
      <c r="AW122" s="402"/>
      <c r="AX122" s="402"/>
      <c r="AY122" s="402"/>
      <c r="AZ122" s="402"/>
    </row>
    <row r="123" spans="1:52" s="377" customFormat="1" ht="4" customHeight="1" x14ac:dyDescent="0.3">
      <c r="A123" s="402"/>
      <c r="B123" s="467"/>
      <c r="C123" s="402"/>
      <c r="D123" s="672"/>
      <c r="E123" s="675"/>
      <c r="F123" s="675"/>
      <c r="G123" s="682"/>
      <c r="H123" s="675"/>
      <c r="I123" s="675"/>
      <c r="J123" s="675"/>
      <c r="K123" s="675"/>
      <c r="L123" s="675"/>
      <c r="M123" s="675"/>
      <c r="N123" s="465"/>
      <c r="O123" s="402"/>
      <c r="P123" s="402"/>
      <c r="Q123" s="402"/>
      <c r="R123" s="402"/>
      <c r="S123" s="402"/>
      <c r="T123" s="402"/>
      <c r="U123" s="402"/>
      <c r="V123" s="402"/>
      <c r="W123" s="402"/>
      <c r="X123" s="402"/>
      <c r="Y123" s="402"/>
      <c r="Z123" s="402"/>
      <c r="AA123" s="402"/>
      <c r="AB123" s="402"/>
      <c r="AC123" s="402"/>
      <c r="AD123" s="402"/>
      <c r="AE123" s="402"/>
      <c r="AF123" s="402"/>
      <c r="AG123" s="402"/>
      <c r="AH123" s="402"/>
      <c r="AI123" s="402"/>
      <c r="AJ123" s="402"/>
      <c r="AK123" s="402"/>
      <c r="AL123" s="402"/>
      <c r="AM123" s="402"/>
      <c r="AN123" s="402"/>
      <c r="AO123" s="402"/>
      <c r="AP123" s="402"/>
      <c r="AQ123" s="402"/>
      <c r="AR123" s="402"/>
      <c r="AS123" s="402"/>
      <c r="AT123" s="402"/>
      <c r="AU123" s="402"/>
      <c r="AV123" s="402"/>
      <c r="AW123" s="402"/>
      <c r="AX123" s="402"/>
      <c r="AY123" s="402"/>
      <c r="AZ123" s="402"/>
    </row>
    <row r="124" spans="1:52" s="377" customFormat="1" ht="14.25" customHeight="1" x14ac:dyDescent="0.3">
      <c r="A124" s="402"/>
      <c r="B124" s="453" t="s">
        <v>249</v>
      </c>
      <c r="C124" s="439"/>
      <c r="D124" s="673"/>
      <c r="E124" s="676"/>
      <c r="F124" s="676"/>
      <c r="G124" s="686"/>
      <c r="H124" s="676"/>
      <c r="I124" s="676"/>
      <c r="J124" s="676"/>
      <c r="K124" s="676"/>
      <c r="L124" s="676"/>
      <c r="M124" s="676"/>
      <c r="N124" s="483"/>
      <c r="O124" s="402"/>
      <c r="P124" s="402"/>
      <c r="Q124" s="402"/>
      <c r="R124" s="402"/>
      <c r="S124" s="402"/>
      <c r="T124" s="402"/>
      <c r="U124" s="402"/>
      <c r="V124" s="402"/>
      <c r="W124" s="402"/>
      <c r="X124" s="402"/>
      <c r="Y124" s="402"/>
      <c r="Z124" s="402"/>
      <c r="AA124" s="402"/>
      <c r="AB124" s="402"/>
      <c r="AC124" s="402"/>
      <c r="AD124" s="402"/>
      <c r="AE124" s="402"/>
      <c r="AF124" s="402"/>
      <c r="AG124" s="402"/>
      <c r="AH124" s="402"/>
      <c r="AI124" s="402"/>
      <c r="AJ124" s="402"/>
      <c r="AK124" s="402"/>
      <c r="AL124" s="402"/>
      <c r="AM124" s="402"/>
      <c r="AN124" s="402"/>
      <c r="AO124" s="402"/>
      <c r="AP124" s="402"/>
      <c r="AQ124" s="402"/>
      <c r="AR124" s="402"/>
      <c r="AS124" s="402"/>
      <c r="AT124" s="402"/>
      <c r="AU124" s="402"/>
      <c r="AV124" s="402"/>
      <c r="AW124" s="402"/>
      <c r="AX124" s="402"/>
      <c r="AY124" s="402"/>
      <c r="AZ124" s="402"/>
    </row>
    <row r="125" spans="1:52" s="377" customFormat="1" ht="4" customHeight="1" x14ac:dyDescent="0.3">
      <c r="A125" s="402"/>
      <c r="B125" s="454"/>
      <c r="C125" s="443"/>
      <c r="D125" s="674"/>
      <c r="E125" s="674"/>
      <c r="F125" s="677"/>
      <c r="G125" s="674"/>
      <c r="H125" s="677"/>
      <c r="I125" s="677"/>
      <c r="J125" s="677"/>
      <c r="K125" s="677"/>
      <c r="L125" s="677"/>
      <c r="M125" s="677"/>
      <c r="N125" s="447"/>
      <c r="O125" s="402"/>
      <c r="P125" s="402"/>
      <c r="Q125" s="402"/>
      <c r="R125" s="402"/>
      <c r="S125" s="402"/>
      <c r="T125" s="402"/>
      <c r="U125" s="402"/>
      <c r="V125" s="402"/>
      <c r="W125" s="402"/>
      <c r="X125" s="402"/>
      <c r="Y125" s="402"/>
      <c r="Z125" s="402"/>
      <c r="AA125" s="402"/>
      <c r="AB125" s="402"/>
      <c r="AC125" s="402"/>
      <c r="AD125" s="402"/>
      <c r="AE125" s="402"/>
      <c r="AF125" s="402"/>
      <c r="AG125" s="402"/>
      <c r="AH125" s="402"/>
      <c r="AI125" s="402"/>
      <c r="AJ125" s="402"/>
      <c r="AK125" s="402"/>
      <c r="AL125" s="402"/>
      <c r="AM125" s="402"/>
      <c r="AN125" s="402"/>
      <c r="AO125" s="402"/>
      <c r="AP125" s="402"/>
      <c r="AQ125" s="402"/>
      <c r="AR125" s="402"/>
      <c r="AS125" s="402"/>
      <c r="AT125" s="402"/>
      <c r="AU125" s="402"/>
      <c r="AV125" s="402"/>
      <c r="AW125" s="402"/>
      <c r="AX125" s="402"/>
      <c r="AY125" s="402"/>
      <c r="AZ125" s="402"/>
    </row>
    <row r="126" spans="1:52" s="377" customFormat="1" ht="14.25" customHeight="1" x14ac:dyDescent="0.3">
      <c r="A126" s="402"/>
      <c r="B126" s="467" t="s">
        <v>250</v>
      </c>
      <c r="C126" s="402"/>
      <c r="D126" s="462">
        <f>+_xlfn.XLOOKUP($B126,Inputs!$B:$B,Inputs!Q:Q)</f>
        <v>3852.5</v>
      </c>
      <c r="E126" s="675">
        <v>6318</v>
      </c>
      <c r="F126" s="675">
        <v>2892.7</v>
      </c>
      <c r="G126" s="682"/>
      <c r="H126" s="675"/>
      <c r="I126" s="675"/>
      <c r="J126" s="675">
        <v>1371</v>
      </c>
      <c r="K126" s="675"/>
      <c r="L126" s="675"/>
      <c r="M126" s="675"/>
      <c r="N126" s="465"/>
      <c r="O126" s="402"/>
      <c r="P126" s="402"/>
      <c r="Q126" s="402"/>
      <c r="R126" s="402"/>
      <c r="S126" s="402"/>
      <c r="T126" s="402"/>
      <c r="U126" s="402"/>
      <c r="V126" s="402"/>
      <c r="W126" s="402"/>
      <c r="X126" s="402"/>
      <c r="Y126" s="402"/>
      <c r="Z126" s="402"/>
      <c r="AA126" s="402"/>
      <c r="AB126" s="402"/>
      <c r="AC126" s="402"/>
      <c r="AD126" s="402"/>
      <c r="AE126" s="402"/>
      <c r="AF126" s="402"/>
      <c r="AG126" s="402"/>
      <c r="AH126" s="402"/>
      <c r="AI126" s="402"/>
      <c r="AJ126" s="402"/>
      <c r="AK126" s="402"/>
      <c r="AL126" s="402"/>
      <c r="AM126" s="402"/>
      <c r="AN126" s="402"/>
      <c r="AO126" s="402"/>
      <c r="AP126" s="402"/>
      <c r="AQ126" s="402"/>
      <c r="AR126" s="402"/>
      <c r="AS126" s="402"/>
      <c r="AT126" s="402"/>
      <c r="AU126" s="402"/>
      <c r="AV126" s="402"/>
      <c r="AW126" s="402"/>
      <c r="AX126" s="402"/>
      <c r="AY126" s="402"/>
      <c r="AZ126" s="402"/>
    </row>
    <row r="127" spans="1:52" s="377" customFormat="1" ht="14.25" customHeight="1" x14ac:dyDescent="0.3">
      <c r="A127" s="402"/>
      <c r="B127" s="467" t="s">
        <v>23</v>
      </c>
      <c r="C127" s="402"/>
      <c r="D127" s="462">
        <f>+_xlfn.XLOOKUP($B127,Inputs!$B:$B,Inputs!Q:Q)</f>
        <v>-730</v>
      </c>
      <c r="E127" s="675"/>
      <c r="F127" s="675">
        <f>0.4-285.1</f>
        <v>-284.70000000000005</v>
      </c>
      <c r="G127" s="682"/>
      <c r="H127" s="675"/>
      <c r="I127" s="675"/>
      <c r="J127" s="675"/>
      <c r="K127" s="675"/>
      <c r="L127" s="675"/>
      <c r="M127" s="675"/>
      <c r="N127" s="465"/>
      <c r="O127" s="402"/>
      <c r="P127" s="402"/>
      <c r="Q127" s="402"/>
      <c r="R127" s="402"/>
      <c r="S127" s="402"/>
      <c r="T127" s="402"/>
      <c r="U127" s="402"/>
      <c r="V127" s="402"/>
      <c r="W127" s="402"/>
      <c r="X127" s="402"/>
      <c r="Y127" s="402"/>
      <c r="Z127" s="402"/>
      <c r="AA127" s="402"/>
      <c r="AB127" s="402"/>
      <c r="AC127" s="402"/>
      <c r="AD127" s="402"/>
      <c r="AE127" s="402"/>
      <c r="AF127" s="402"/>
      <c r="AG127" s="402"/>
      <c r="AH127" s="402"/>
      <c r="AI127" s="402"/>
      <c r="AJ127" s="402"/>
      <c r="AK127" s="402"/>
      <c r="AL127" s="402"/>
      <c r="AM127" s="402"/>
      <c r="AN127" s="402"/>
      <c r="AO127" s="402"/>
      <c r="AP127" s="402"/>
      <c r="AQ127" s="402"/>
      <c r="AR127" s="402"/>
      <c r="AS127" s="402"/>
      <c r="AT127" s="402"/>
      <c r="AU127" s="402"/>
      <c r="AV127" s="402"/>
      <c r="AW127" s="402"/>
      <c r="AX127" s="402"/>
      <c r="AY127" s="402"/>
      <c r="AZ127" s="402"/>
    </row>
    <row r="128" spans="1:52" s="377" customFormat="1" ht="14.25" customHeight="1" x14ac:dyDescent="0.3">
      <c r="A128" s="402"/>
      <c r="B128" s="467" t="s">
        <v>251</v>
      </c>
      <c r="C128" s="402"/>
      <c r="D128" s="462">
        <f>+_xlfn.XLOOKUP($B128,Inputs!$B:$B,Inputs!Q:Q)</f>
        <v>-1104.9000000000001</v>
      </c>
      <c r="E128" s="675">
        <v>-3202</v>
      </c>
      <c r="F128" s="675">
        <v>-392.1</v>
      </c>
      <c r="G128" s="682"/>
      <c r="H128" s="675"/>
      <c r="I128" s="675"/>
      <c r="J128" s="675">
        <v>-351</v>
      </c>
      <c r="K128" s="675"/>
      <c r="L128" s="675"/>
      <c r="M128" s="675"/>
      <c r="N128" s="465"/>
      <c r="O128" s="402"/>
      <c r="P128" s="402"/>
      <c r="Q128" s="402"/>
      <c r="R128" s="402"/>
      <c r="S128" s="402"/>
      <c r="T128" s="402"/>
      <c r="U128" s="402"/>
      <c r="V128" s="402"/>
      <c r="W128" s="402"/>
      <c r="X128" s="402"/>
      <c r="Y128" s="402"/>
      <c r="Z128" s="402"/>
      <c r="AA128" s="402"/>
      <c r="AB128" s="402"/>
      <c r="AC128" s="402"/>
      <c r="AD128" s="402"/>
      <c r="AE128" s="402"/>
      <c r="AF128" s="402"/>
      <c r="AG128" s="402"/>
      <c r="AH128" s="402"/>
      <c r="AI128" s="402"/>
      <c r="AJ128" s="402"/>
      <c r="AK128" s="402"/>
      <c r="AL128" s="402"/>
      <c r="AM128" s="402"/>
      <c r="AN128" s="402"/>
      <c r="AO128" s="402"/>
      <c r="AP128" s="402"/>
      <c r="AQ128" s="402"/>
      <c r="AR128" s="402"/>
      <c r="AS128" s="402"/>
      <c r="AT128" s="402"/>
      <c r="AU128" s="402"/>
      <c r="AV128" s="402"/>
      <c r="AW128" s="402"/>
      <c r="AX128" s="402"/>
      <c r="AY128" s="402"/>
      <c r="AZ128" s="402"/>
    </row>
    <row r="129" spans="1:52" s="377" customFormat="1" ht="14.25" customHeight="1" x14ac:dyDescent="0.3">
      <c r="A129" s="402"/>
      <c r="B129" s="467" t="s">
        <v>252</v>
      </c>
      <c r="C129" s="402"/>
      <c r="D129" s="462">
        <f>+_xlfn.XLOOKUP($B129,Inputs!$B:$B,Inputs!Q:Q)</f>
        <v>0</v>
      </c>
      <c r="E129" s="675">
        <v>2980</v>
      </c>
      <c r="F129" s="675"/>
      <c r="G129" s="682"/>
      <c r="H129" s="675"/>
      <c r="I129" s="675"/>
      <c r="J129" s="675">
        <v>1295</v>
      </c>
      <c r="K129" s="675"/>
      <c r="L129" s="675"/>
      <c r="M129" s="675"/>
      <c r="N129" s="465"/>
      <c r="O129" s="402"/>
      <c r="P129" s="402"/>
      <c r="Q129" s="402"/>
      <c r="R129" s="402"/>
      <c r="S129" s="402"/>
      <c r="T129" s="402"/>
      <c r="U129" s="402"/>
      <c r="V129" s="402"/>
      <c r="W129" s="402"/>
      <c r="X129" s="402"/>
      <c r="Y129" s="402"/>
      <c r="Z129" s="402"/>
      <c r="AA129" s="402"/>
      <c r="AB129" s="402"/>
      <c r="AC129" s="402"/>
      <c r="AD129" s="402"/>
      <c r="AE129" s="402"/>
      <c r="AF129" s="402"/>
      <c r="AG129" s="402"/>
      <c r="AH129" s="402"/>
      <c r="AI129" s="402"/>
      <c r="AJ129" s="402"/>
      <c r="AK129" s="402"/>
      <c r="AL129" s="402"/>
      <c r="AM129" s="402"/>
      <c r="AN129" s="402"/>
      <c r="AO129" s="402"/>
      <c r="AP129" s="402"/>
      <c r="AQ129" s="402"/>
      <c r="AR129" s="402"/>
      <c r="AS129" s="402"/>
      <c r="AT129" s="402"/>
      <c r="AU129" s="402"/>
      <c r="AV129" s="402"/>
      <c r="AW129" s="402"/>
      <c r="AX129" s="402"/>
      <c r="AY129" s="402"/>
      <c r="AZ129" s="402"/>
    </row>
    <row r="130" spans="1:52" s="377" customFormat="1" ht="14.25" customHeight="1" x14ac:dyDescent="0.3">
      <c r="A130" s="402"/>
      <c r="B130" s="467" t="s">
        <v>253</v>
      </c>
      <c r="C130" s="402"/>
      <c r="D130" s="462">
        <f>+_xlfn.XLOOKUP($B130,Inputs!$B:$B,Inputs!Q:Q)</f>
        <v>-499.96600000000001</v>
      </c>
      <c r="E130" s="675">
        <v>-600</v>
      </c>
      <c r="F130" s="675"/>
      <c r="G130" s="682"/>
      <c r="H130" s="675"/>
      <c r="I130" s="675"/>
      <c r="J130" s="675">
        <v>-1623</v>
      </c>
      <c r="K130" s="675"/>
      <c r="L130" s="675"/>
      <c r="M130" s="675"/>
      <c r="N130" s="465"/>
      <c r="O130" s="402"/>
      <c r="P130" s="402"/>
      <c r="Q130" s="402"/>
      <c r="R130" s="402"/>
      <c r="S130" s="402"/>
      <c r="T130" s="402"/>
      <c r="U130" s="402"/>
      <c r="V130" s="402"/>
      <c r="W130" s="402"/>
      <c r="X130" s="402"/>
      <c r="Y130" s="402"/>
      <c r="Z130" s="402"/>
      <c r="AA130" s="402"/>
      <c r="AB130" s="402"/>
      <c r="AC130" s="402"/>
      <c r="AD130" s="402"/>
      <c r="AE130" s="402"/>
      <c r="AF130" s="402"/>
      <c r="AG130" s="402"/>
      <c r="AH130" s="402"/>
      <c r="AI130" s="402"/>
      <c r="AJ130" s="402"/>
      <c r="AK130" s="402"/>
      <c r="AL130" s="402"/>
      <c r="AM130" s="402"/>
      <c r="AN130" s="402"/>
      <c r="AO130" s="402"/>
      <c r="AP130" s="402"/>
      <c r="AQ130" s="402"/>
      <c r="AR130" s="402"/>
      <c r="AS130" s="402"/>
      <c r="AT130" s="402"/>
      <c r="AU130" s="402"/>
      <c r="AV130" s="402"/>
      <c r="AW130" s="402"/>
      <c r="AX130" s="402"/>
      <c r="AY130" s="402"/>
      <c r="AZ130" s="402"/>
    </row>
    <row r="131" spans="1:52" s="377" customFormat="1" ht="14.25" customHeight="1" x14ac:dyDescent="0.3">
      <c r="A131" s="402"/>
      <c r="B131" s="467" t="s">
        <v>254</v>
      </c>
      <c r="C131" s="402"/>
      <c r="D131" s="462">
        <f>+_xlfn.XLOOKUP($B131,Inputs!$B:$B,Inputs!Q:Q)</f>
        <v>-1714.4</v>
      </c>
      <c r="E131" s="675">
        <v>-2880</v>
      </c>
      <c r="F131" s="675">
        <v>-2414.9</v>
      </c>
      <c r="G131" s="682"/>
      <c r="H131" s="675"/>
      <c r="I131" s="675"/>
      <c r="J131" s="675">
        <v>-980</v>
      </c>
      <c r="K131" s="675"/>
      <c r="L131" s="675"/>
      <c r="M131" s="675"/>
      <c r="N131" s="465"/>
      <c r="O131" s="402"/>
      <c r="P131" s="402"/>
      <c r="Q131" s="402"/>
      <c r="R131" s="402"/>
      <c r="S131" s="402"/>
      <c r="T131" s="402"/>
      <c r="U131" s="402"/>
      <c r="V131" s="402"/>
      <c r="W131" s="402"/>
      <c r="X131" s="402"/>
      <c r="Y131" s="402"/>
      <c r="Z131" s="402"/>
      <c r="AA131" s="402"/>
      <c r="AB131" s="402"/>
      <c r="AC131" s="402"/>
      <c r="AD131" s="402"/>
      <c r="AE131" s="402"/>
      <c r="AF131" s="402"/>
      <c r="AG131" s="402"/>
      <c r="AH131" s="402"/>
      <c r="AI131" s="402"/>
      <c r="AJ131" s="402"/>
      <c r="AK131" s="402"/>
      <c r="AL131" s="402"/>
      <c r="AM131" s="402"/>
      <c r="AN131" s="402"/>
      <c r="AO131" s="402"/>
      <c r="AP131" s="402"/>
      <c r="AQ131" s="402"/>
      <c r="AR131" s="402"/>
      <c r="AS131" s="402"/>
      <c r="AT131" s="402"/>
      <c r="AU131" s="402"/>
      <c r="AV131" s="402"/>
      <c r="AW131" s="402"/>
      <c r="AX131" s="402"/>
      <c r="AY131" s="402"/>
      <c r="AZ131" s="402"/>
    </row>
    <row r="132" spans="1:52" s="377" customFormat="1" ht="14.25" customHeight="1" x14ac:dyDescent="0.3">
      <c r="A132" s="402"/>
      <c r="B132" s="467" t="s">
        <v>255</v>
      </c>
      <c r="C132" s="402"/>
      <c r="D132" s="462">
        <f>+_xlfn.XLOOKUP($B132,Inputs!$B:$B,Inputs!Q:Q)</f>
        <v>1033.3</v>
      </c>
      <c r="E132" s="675">
        <v>236</v>
      </c>
      <c r="F132" s="675">
        <v>85.7</v>
      </c>
      <c r="G132" s="682"/>
      <c r="H132" s="675"/>
      <c r="I132" s="675"/>
      <c r="J132" s="675">
        <v>40</v>
      </c>
      <c r="K132" s="675"/>
      <c r="L132" s="675"/>
      <c r="M132" s="675"/>
      <c r="N132" s="465"/>
      <c r="O132" s="402"/>
      <c r="P132" s="402"/>
      <c r="Q132" s="402"/>
      <c r="R132" s="402"/>
      <c r="S132" s="402"/>
      <c r="T132" s="402"/>
      <c r="U132" s="402"/>
      <c r="V132" s="402"/>
      <c r="W132" s="402"/>
      <c r="X132" s="402"/>
      <c r="Y132" s="402"/>
      <c r="Z132" s="402"/>
      <c r="AA132" s="402"/>
      <c r="AB132" s="402"/>
      <c r="AC132" s="402"/>
      <c r="AD132" s="402"/>
      <c r="AE132" s="402"/>
      <c r="AF132" s="402"/>
      <c r="AG132" s="402"/>
      <c r="AH132" s="402"/>
      <c r="AI132" s="402"/>
      <c r="AJ132" s="402"/>
      <c r="AK132" s="402"/>
      <c r="AL132" s="402"/>
      <c r="AM132" s="402"/>
      <c r="AN132" s="402"/>
      <c r="AO132" s="402"/>
      <c r="AP132" s="402"/>
      <c r="AQ132" s="402"/>
      <c r="AR132" s="402"/>
      <c r="AS132" s="402"/>
      <c r="AT132" s="402"/>
      <c r="AU132" s="402"/>
      <c r="AV132" s="402"/>
      <c r="AW132" s="402"/>
      <c r="AX132" s="402"/>
      <c r="AY132" s="402"/>
      <c r="AZ132" s="402"/>
    </row>
    <row r="133" spans="1:52" s="377" customFormat="1" ht="4" customHeight="1" x14ac:dyDescent="0.3">
      <c r="A133" s="402"/>
      <c r="B133" s="468"/>
      <c r="C133" s="402"/>
      <c r="D133" s="669"/>
      <c r="E133" s="670"/>
      <c r="F133" s="670"/>
      <c r="G133" s="670"/>
      <c r="H133" s="670"/>
      <c r="I133" s="670"/>
      <c r="J133" s="670"/>
      <c r="K133" s="670"/>
      <c r="L133" s="670"/>
      <c r="M133" s="670"/>
      <c r="N133" s="671"/>
      <c r="O133" s="402"/>
      <c r="P133" s="402"/>
      <c r="Q133" s="402"/>
      <c r="R133" s="402"/>
      <c r="S133" s="402"/>
      <c r="T133" s="402"/>
      <c r="U133" s="402"/>
      <c r="V133" s="402"/>
      <c r="W133" s="402"/>
      <c r="X133" s="402"/>
      <c r="Y133" s="402"/>
      <c r="Z133" s="402"/>
      <c r="AA133" s="402"/>
      <c r="AB133" s="402"/>
      <c r="AC133" s="402"/>
      <c r="AD133" s="402"/>
      <c r="AE133" s="402"/>
      <c r="AF133" s="402"/>
      <c r="AG133" s="402"/>
      <c r="AH133" s="402"/>
      <c r="AI133" s="402"/>
      <c r="AJ133" s="402"/>
      <c r="AK133" s="402"/>
      <c r="AL133" s="402"/>
      <c r="AM133" s="402"/>
      <c r="AN133" s="402"/>
      <c r="AO133" s="402"/>
      <c r="AP133" s="402"/>
      <c r="AQ133" s="402"/>
      <c r="AR133" s="402"/>
      <c r="AS133" s="402"/>
      <c r="AT133" s="402"/>
      <c r="AU133" s="402"/>
      <c r="AV133" s="402"/>
      <c r="AW133" s="402"/>
      <c r="AX133" s="402"/>
      <c r="AY133" s="402"/>
      <c r="AZ133" s="402"/>
    </row>
    <row r="134" spans="1:52" ht="14.25" customHeight="1" x14ac:dyDescent="0.35">
      <c r="B134" s="69" t="s">
        <v>83</v>
      </c>
      <c r="C134" s="70"/>
      <c r="D134" s="69"/>
      <c r="E134" s="70"/>
      <c r="F134" s="70"/>
      <c r="G134" s="70"/>
      <c r="H134" s="70"/>
      <c r="I134" s="70"/>
      <c r="J134" s="98"/>
      <c r="K134" s="99"/>
      <c r="L134" s="99"/>
      <c r="M134" s="99"/>
      <c r="N134" s="99"/>
      <c r="O134" s="99"/>
    </row>
    <row r="135" spans="1:52" ht="3.75" customHeight="1" x14ac:dyDescent="0.35">
      <c r="B135" s="71"/>
      <c r="C135" s="71"/>
      <c r="D135" s="71"/>
      <c r="E135" s="71"/>
      <c r="F135" s="71"/>
      <c r="G135" s="71"/>
      <c r="H135" s="71"/>
      <c r="I135" s="71"/>
      <c r="J135" s="100"/>
      <c r="K135" s="100"/>
      <c r="L135" s="100"/>
      <c r="M135" s="100"/>
      <c r="N135" s="100"/>
      <c r="O135" s="100"/>
    </row>
    <row r="136" spans="1:52" ht="37.5" customHeight="1" x14ac:dyDescent="0.3">
      <c r="B136" s="916" t="s">
        <v>256</v>
      </c>
      <c r="C136" s="916"/>
      <c r="D136" s="916"/>
      <c r="E136" s="916"/>
      <c r="F136" s="916"/>
      <c r="G136" s="916"/>
      <c r="H136" s="916"/>
      <c r="I136" s="916"/>
      <c r="J136" s="916"/>
      <c r="K136" s="916"/>
      <c r="L136" s="916"/>
      <c r="M136" s="916"/>
      <c r="N136" s="916"/>
      <c r="O136" s="916"/>
    </row>
    <row r="137" spans="1:52" ht="29.25" customHeight="1" x14ac:dyDescent="0.3">
      <c r="B137" s="917" t="s">
        <v>257</v>
      </c>
      <c r="C137" s="918"/>
      <c r="D137" s="918"/>
      <c r="E137" s="918"/>
      <c r="F137" s="918"/>
      <c r="G137" s="918"/>
      <c r="H137" s="918"/>
      <c r="I137" s="918"/>
      <c r="J137" s="918"/>
      <c r="K137" s="918"/>
      <c r="L137" s="918"/>
      <c r="M137" s="918"/>
      <c r="N137" s="918"/>
      <c r="O137" s="918"/>
    </row>
    <row r="138" spans="1:52" ht="14.25" customHeight="1" x14ac:dyDescent="0.3">
      <c r="B138" s="857"/>
      <c r="C138" s="857"/>
      <c r="D138" s="857"/>
      <c r="E138" s="857"/>
      <c r="F138" s="857"/>
      <c r="G138" s="857"/>
      <c r="H138" s="857"/>
      <c r="I138" s="857"/>
      <c r="J138" s="857"/>
      <c r="K138" s="857"/>
      <c r="L138" s="857"/>
      <c r="M138" s="857"/>
      <c r="N138" s="857"/>
      <c r="O138" s="857"/>
    </row>
    <row r="142" spans="1:52" ht="14.25" customHeight="1" x14ac:dyDescent="0.35">
      <c r="B142" s="69" t="s">
        <v>100</v>
      </c>
      <c r="C142" s="70"/>
      <c r="D142" s="69"/>
      <c r="E142" s="70"/>
      <c r="F142" s="70"/>
      <c r="G142" s="70"/>
      <c r="H142" s="70"/>
      <c r="I142" s="70"/>
      <c r="J142" s="98"/>
      <c r="K142" s="99"/>
      <c r="L142" s="99"/>
      <c r="M142" s="99"/>
      <c r="N142" s="99"/>
      <c r="O142" s="99"/>
    </row>
    <row r="143" spans="1:52" ht="4.4000000000000004" customHeight="1" x14ac:dyDescent="0.3">
      <c r="B143" s="731"/>
      <c r="C143" s="731"/>
      <c r="D143" s="731"/>
      <c r="E143" s="731"/>
      <c r="F143" s="731"/>
      <c r="G143" s="731"/>
      <c r="H143" s="731"/>
      <c r="I143" s="731"/>
      <c r="J143" s="731"/>
      <c r="K143" s="731"/>
      <c r="L143" s="731"/>
      <c r="M143" s="731"/>
      <c r="N143" s="731"/>
      <c r="O143" s="731"/>
    </row>
  </sheetData>
  <mergeCells count="12">
    <mergeCell ref="B136:O136"/>
    <mergeCell ref="B137:O137"/>
    <mergeCell ref="D21:F21"/>
    <mergeCell ref="J21:L21"/>
    <mergeCell ref="M21:O21"/>
    <mergeCell ref="D2:E2"/>
    <mergeCell ref="H3:I3"/>
    <mergeCell ref="J3:K3"/>
    <mergeCell ref="F3:G3"/>
    <mergeCell ref="N3:O3"/>
    <mergeCell ref="D3:E3"/>
    <mergeCell ref="L3:M3"/>
  </mergeCells>
  <conditionalFormatting sqref="D8:D17 D6">
    <cfRule type="colorScale" priority="25">
      <colorScale>
        <cfvo type="min"/>
        <cfvo type="percentile" val="50"/>
        <cfvo type="max"/>
        <color rgb="FFF8696B"/>
        <color rgb="FFFFEB84"/>
        <color rgb="FF63BE7B"/>
      </colorScale>
    </cfRule>
  </conditionalFormatting>
  <conditionalFormatting sqref="E8:E17 E6">
    <cfRule type="colorScale" priority="24">
      <colorScale>
        <cfvo type="min"/>
        <cfvo type="percentile" val="50"/>
        <cfvo type="max"/>
        <color rgb="FFF8696B"/>
        <color rgb="FFFFEB84"/>
        <color rgb="FF63BE7B"/>
      </colorScale>
    </cfRule>
  </conditionalFormatting>
  <conditionalFormatting sqref="F8:G17 F6:G6">
    <cfRule type="colorScale" priority="22">
      <colorScale>
        <cfvo type="min"/>
        <cfvo type="percentile" val="50"/>
        <cfvo type="max"/>
        <color rgb="FFF8696B"/>
        <color rgb="FFFFEB84"/>
        <color rgb="FF63BE7B"/>
      </colorScale>
    </cfRule>
  </conditionalFormatting>
  <conditionalFormatting sqref="H6:H12">
    <cfRule type="colorScale" priority="34">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H8:H17 H6">
    <cfRule type="colorScale" priority="21">
      <colorScale>
        <cfvo type="min"/>
        <cfvo type="percentile" val="50"/>
        <cfvo type="max"/>
        <color rgb="FFF8696B"/>
        <color rgb="FFFFEB84"/>
        <color rgb="FF63BE7B"/>
      </colorScale>
    </cfRule>
  </conditionalFormatting>
  <conditionalFormatting sqref="H13:H17">
    <cfRule type="colorScale" priority="58">
      <colorScale>
        <cfvo type="min"/>
        <cfvo type="percentile" val="50"/>
        <cfvo type="max"/>
        <color rgb="FFF8696B"/>
        <color rgb="FFFFEB84"/>
        <color rgb="FF63BE7B"/>
      </colorScale>
    </cfRule>
  </conditionalFormatting>
  <conditionalFormatting sqref="I7">
    <cfRule type="colorScale" priority="20">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onditionalFormatting>
  <conditionalFormatting sqref="I8:I17 I6">
    <cfRule type="colorScale" priority="18">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fRule type="colorScale" priority="76">
      <colorScale>
        <cfvo type="min"/>
        <cfvo type="percentile" val="50"/>
        <cfvo type="max"/>
        <color rgb="FF63BE7B"/>
        <color rgb="FFFFEB84"/>
        <color rgb="FFF8696B"/>
      </colorScale>
    </cfRule>
  </conditionalFormatting>
  <conditionalFormatting sqref="J6:J17">
    <cfRule type="colorScale" priority="26">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J13:J17">
    <cfRule type="colorScale" priority="56">
      <colorScale>
        <cfvo type="min"/>
        <cfvo type="percentile" val="50"/>
        <cfvo type="max"/>
        <color rgb="FFF8696B"/>
        <color rgb="FFFFEB84"/>
        <color rgb="FF63BE7B"/>
      </colorScale>
    </cfRule>
  </conditionalFormatting>
  <conditionalFormatting sqref="J8:K17 J6:K6">
    <cfRule type="colorScale" priority="17">
      <colorScale>
        <cfvo type="min"/>
        <cfvo type="percentile" val="50"/>
        <cfvo type="max"/>
        <color rgb="FF63BE7B"/>
        <color rgb="FFFFEB84"/>
        <color rgb="FFF8696B"/>
      </colorScale>
    </cfRule>
  </conditionalFormatting>
  <conditionalFormatting sqref="K6:K17">
    <cfRule type="colorScale" priority="10">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K8:K17 K6">
    <cfRule type="colorScale" priority="9">
      <colorScale>
        <cfvo type="min"/>
        <cfvo type="percentile" val="50"/>
        <cfvo type="max"/>
        <color rgb="FF63BE7B"/>
        <color rgb="FFFFEB84"/>
        <color rgb="FFF8696B"/>
      </colorScale>
    </cfRule>
  </conditionalFormatting>
  <conditionalFormatting sqref="K13:K17">
    <cfRule type="colorScale" priority="12">
      <colorScale>
        <cfvo type="min"/>
        <cfvo type="percentile" val="50"/>
        <cfvo type="max"/>
        <color rgb="FFF8696B"/>
        <color rgb="FFFFEB84"/>
        <color rgb="FF63BE7B"/>
      </colorScale>
    </cfRule>
  </conditionalFormatting>
  <conditionalFormatting sqref="L8:L17 L6">
    <cfRule type="colorScale" priority="8">
      <colorScale>
        <cfvo type="min"/>
        <cfvo type="percentile" val="50"/>
        <cfvo type="max"/>
        <color rgb="FF63BE7B"/>
        <color rgb="FFFFEB84"/>
        <color rgb="FFF8696B"/>
      </colorScale>
    </cfRule>
  </conditionalFormatting>
  <conditionalFormatting sqref="L13:L17">
    <cfRule type="colorScale" priority="74">
      <colorScale>
        <cfvo type="min"/>
        <cfvo type="percentile" val="50"/>
        <cfvo type="max"/>
        <color rgb="FFF8696B"/>
        <color rgb="FFFFEB84"/>
        <color rgb="FF63BE7B"/>
      </colorScale>
    </cfRule>
  </conditionalFormatting>
  <conditionalFormatting sqref="M8:M17 M6">
    <cfRule type="colorScale" priority="7">
      <colorScale>
        <cfvo type="min"/>
        <cfvo type="percentile" val="50"/>
        <cfvo type="max"/>
        <color rgb="FF63BE7B"/>
        <color rgb="FFFFEB84"/>
        <color rgb="FFF8696B"/>
      </colorScale>
    </cfRule>
  </conditionalFormatting>
  <conditionalFormatting sqref="M13:M17">
    <cfRule type="colorScale" priority="73">
      <colorScale>
        <cfvo type="min"/>
        <cfvo type="percentile" val="50"/>
        <cfvo type="max"/>
        <color rgb="FFF8696B"/>
        <color rgb="FFFFEB84"/>
        <color rgb="FF63BE7B"/>
      </colorScale>
    </cfRule>
  </conditionalFormatting>
  <conditionalFormatting sqref="M24:O27">
    <cfRule type="colorScale" priority="1">
      <colorScale>
        <cfvo type="min"/>
        <cfvo type="num" val="0"/>
        <cfvo type="max"/>
        <color rgb="FFF8696B"/>
        <color rgb="FFFCFCFF"/>
        <color rgb="FF63BE7B"/>
      </colorScale>
    </cfRule>
  </conditionalFormatting>
  <conditionalFormatting sqref="N8:N17 N6">
    <cfRule type="colorScale" priority="6">
      <colorScale>
        <cfvo type="min"/>
        <cfvo type="percentile" val="50"/>
        <cfvo type="max"/>
        <color rgb="FF63BE7B"/>
        <color rgb="FFFFEB84"/>
        <color rgb="FFF8696B"/>
      </colorScale>
    </cfRule>
  </conditionalFormatting>
  <conditionalFormatting sqref="O8:O17 O6">
    <cfRule type="colorScale" priority="5">
      <colorScale>
        <cfvo type="min"/>
        <cfvo type="percentile" val="50"/>
        <cfvo type="max"/>
        <color rgb="FF63BE7B"/>
        <color rgb="FFFFEB84"/>
        <color rgb="FFF8696B"/>
      </colorScale>
    </cfRule>
  </conditionalFormatting>
  <conditionalFormatting sqref="P13:P17">
    <cfRule type="colorScale" priority="51">
      <colorScale>
        <cfvo type="min"/>
        <cfvo type="percentile" val="50"/>
        <cfvo type="max"/>
        <color rgb="FF63BE7B"/>
        <color rgb="FFFFEB84"/>
        <color rgb="FFF8696B"/>
      </colorScale>
    </cfRule>
  </conditionalFormatting>
  <conditionalFormatting sqref="Q13:Q17">
    <cfRule type="colorScale" priority="50">
      <colorScale>
        <cfvo type="min"/>
        <cfvo type="percentile" val="50"/>
        <cfvo type="max"/>
        <color rgb="FF63BE7B"/>
        <color rgb="FFFFEB84"/>
        <color rgb="FFF8696B"/>
      </colorScale>
    </cfRule>
  </conditionalFormatting>
  <conditionalFormatting sqref="R13:R17">
    <cfRule type="colorScale" priority="49">
      <colorScale>
        <cfvo type="min"/>
        <cfvo type="percentile" val="50"/>
        <cfvo type="max"/>
        <color rgb="FFF8696B"/>
        <color rgb="FFFFEB84"/>
        <color rgb="FF63BE7B"/>
      </colorScale>
    </cfRule>
  </conditionalFormatting>
  <conditionalFormatting sqref="T13:T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U13:U17">
    <cfRule type="colorScale" priority="47">
      <colorScale>
        <cfvo type="min"/>
        <cfvo type="percentile" val="50"/>
        <cfvo type="max"/>
        <color rgb="FFF8696B"/>
        <color rgb="FFFFEB84"/>
        <color rgb="FF63BE7B"/>
      </colorScale>
    </cfRule>
    <cfRule type="colorScale" priority="67">
      <colorScale>
        <cfvo type="min"/>
        <cfvo type="percentile" val="50"/>
        <cfvo type="max"/>
        <color rgb="FFF8696B"/>
        <color rgb="FFFFEB84"/>
        <color rgb="FF63BE7B"/>
      </colorScale>
    </cfRule>
  </conditionalFormatting>
  <conditionalFormatting sqref="W13:W17">
    <cfRule type="colorScale" priority="46">
      <colorScale>
        <cfvo type="min"/>
        <cfvo type="percentile" val="50"/>
        <cfvo type="max"/>
        <color rgb="FFF8696B"/>
        <color rgb="FFFFEB84"/>
        <color rgb="FF63BE7B"/>
      </colorScale>
    </cfRule>
    <cfRule type="colorScale" priority="66">
      <colorScale>
        <cfvo type="min"/>
        <cfvo type="percentile" val="50"/>
        <cfvo type="max"/>
        <color rgb="FFF8696B"/>
        <color rgb="FFFFEB84"/>
        <color rgb="FF63BE7B"/>
      </colorScale>
    </cfRule>
  </conditionalFormatting>
  <conditionalFormatting sqref="X13:X17">
    <cfRule type="colorScale" priority="45">
      <colorScale>
        <cfvo type="min"/>
        <cfvo type="percentile" val="50"/>
        <cfvo type="max"/>
        <color rgb="FFF8696B"/>
        <color rgb="FFFFEB84"/>
        <color rgb="FF63BE7B"/>
      </colorScale>
    </cfRule>
    <cfRule type="colorScale" priority="65">
      <colorScale>
        <cfvo type="min"/>
        <cfvo type="percentile" val="50"/>
        <cfvo type="max"/>
        <color rgb="FFF8696B"/>
        <color rgb="FFFFEB84"/>
        <color rgb="FF63BE7B"/>
      </colorScale>
    </cfRule>
  </conditionalFormatting>
  <conditionalFormatting sqref="Y13:Y17">
    <cfRule type="colorScale" priority="64">
      <colorScale>
        <cfvo type="min"/>
        <cfvo type="percentile" val="50"/>
        <cfvo type="max"/>
        <color rgb="FF63BE7B"/>
        <color rgb="FFFFEB84"/>
        <color rgb="FFF8696B"/>
      </colorScale>
    </cfRule>
  </conditionalFormatting>
  <conditionalFormatting sqref="Z13:Z17">
    <cfRule type="colorScale" priority="63">
      <colorScale>
        <cfvo type="min"/>
        <cfvo type="percentile" val="50"/>
        <cfvo type="max"/>
        <color rgb="FFF8696B"/>
        <color rgb="FFFFEB84"/>
        <color rgb="FF63BE7B"/>
      </colorScale>
    </cfRule>
    <cfRule type="colorScale" priority="44">
      <colorScale>
        <cfvo type="min"/>
        <cfvo type="percentile" val="50"/>
        <cfvo type="max"/>
        <color rgb="FFF8696B"/>
        <color rgb="FFFFEB84"/>
        <color rgb="FF63BE7B"/>
      </colorScale>
    </cfRule>
  </conditionalFormatting>
  <conditionalFormatting sqref="AA13:AA17">
    <cfRule type="colorScale" priority="62">
      <colorScale>
        <cfvo type="min"/>
        <cfvo type="percentile" val="50"/>
        <cfvo type="max"/>
        <color rgb="FFF8696B"/>
        <color rgb="FFFFEB84"/>
        <color rgb="FF63BE7B"/>
      </colorScale>
    </cfRule>
    <cfRule type="colorScale" priority="43">
      <colorScale>
        <cfvo type="min"/>
        <cfvo type="percentile" val="50"/>
        <cfvo type="max"/>
        <color rgb="FFF8696B"/>
        <color rgb="FFFFEB84"/>
        <color rgb="FF63BE7B"/>
      </colorScale>
    </cfRule>
  </conditionalFormatting>
  <conditionalFormatting sqref="AB13:AB17">
    <cfRule type="colorScale" priority="42">
      <colorScale>
        <cfvo type="min"/>
        <cfvo type="percentile" val="50"/>
        <cfvo type="max"/>
        <color rgb="FF63BE7B"/>
        <color rgb="FFFFEB84"/>
        <color rgb="FFF8696B"/>
      </colorScale>
    </cfRule>
  </conditionalFormatting>
  <conditionalFormatting sqref="AD6:AD17">
    <cfRule type="colorScale" priority="61">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E6:AE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F6:AF17">
    <cfRule type="colorScale" priority="39">
      <colorScale>
        <cfvo type="min"/>
        <cfvo type="percentile" val="50"/>
        <cfvo type="max"/>
        <color rgb="FF63BE7B"/>
        <color rgb="FFFFEB84"/>
        <color rgb="FFF8696B"/>
      </colorScale>
    </cfRule>
    <cfRule type="colorScale" priority="71">
      <colorScale>
        <cfvo type="min"/>
        <cfvo type="percentile" val="50"/>
        <cfvo type="max"/>
        <color rgb="FF63BE7B"/>
        <color rgb="FFFFEB84"/>
        <color rgb="FFF8696B"/>
      </colorScale>
    </cfRule>
  </conditionalFormatting>
  <conditionalFormatting sqref="AG6:AG17">
    <cfRule type="colorScale" priority="38">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AH6:AH17">
    <cfRule type="colorScale" priority="37">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AN6:AN17">
    <cfRule type="colorScale" priority="36">
      <colorScale>
        <cfvo type="min"/>
        <cfvo type="percentile" val="50"/>
        <cfvo type="max"/>
        <color rgb="FFF8696B"/>
        <color rgb="FFFFEB84"/>
        <color rgb="FF63BE7B"/>
      </colorScale>
    </cfRule>
  </conditionalFormatting>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sheetPr>
  <dimension ref="B1:AD95"/>
  <sheetViews>
    <sheetView showGridLines="0" topLeftCell="E15" zoomScale="110" zoomScaleNormal="110" workbookViewId="0">
      <selection activeCell="E11" sqref="E11"/>
    </sheetView>
  </sheetViews>
  <sheetFormatPr defaultColWidth="7.58203125" defaultRowHeight="12.75" customHeight="1" x14ac:dyDescent="0.3"/>
  <cols>
    <col min="1" max="1" width="2" style="44" customWidth="1"/>
    <col min="2" max="2" width="26.33203125" style="44" customWidth="1"/>
    <col min="3" max="3" width="24.83203125" style="43" customWidth="1"/>
    <col min="4" max="4" width="4.08203125" style="44" customWidth="1"/>
    <col min="5" max="5" width="44.5" style="44" customWidth="1"/>
    <col min="6" max="6" width="3.33203125" style="44" customWidth="1"/>
    <col min="7" max="12" width="11.08203125" style="44" customWidth="1"/>
    <col min="13" max="13" width="4.08203125" style="44" customWidth="1"/>
    <col min="14" max="21" width="11.08203125" style="44" customWidth="1"/>
    <col min="22" max="22" width="12.5" style="44" customWidth="1"/>
    <col min="23" max="23" width="9.83203125" style="44" customWidth="1"/>
    <col min="24" max="24" width="14" style="44" customWidth="1"/>
    <col min="25" max="25" width="11.33203125" style="44" customWidth="1"/>
    <col min="26" max="26" width="14.08203125" style="44" customWidth="1"/>
    <col min="27" max="27" width="8" style="44" customWidth="1"/>
    <col min="28" max="28" width="8.58203125" style="44" bestFit="1" customWidth="1"/>
    <col min="29" max="29" width="6.33203125" style="44" customWidth="1"/>
    <col min="30" max="30" width="7.08203125" style="44" customWidth="1"/>
    <col min="31" max="31" width="8.58203125" style="44" customWidth="1"/>
    <col min="32" max="32" width="8.5" style="44" customWidth="1"/>
    <col min="33" max="33" width="9.58203125" style="44" customWidth="1"/>
    <col min="34" max="34" width="8.83203125" style="44" customWidth="1"/>
    <col min="35" max="35" width="7.58203125" style="44" customWidth="1"/>
    <col min="36" max="37" width="7.08203125" style="44" customWidth="1"/>
    <col min="38" max="38" width="8.08203125" style="44" customWidth="1"/>
    <col min="39" max="39" width="7.58203125" style="44" customWidth="1"/>
    <col min="40" max="16384" width="7.58203125" style="44"/>
  </cols>
  <sheetData>
    <row r="1" spans="2:30" customFormat="1" ht="14" x14ac:dyDescent="0.3">
      <c r="Q1" s="6"/>
    </row>
    <row r="2" spans="2:30" s="41" customFormat="1" ht="20.149999999999999" customHeight="1" x14ac:dyDescent="0.4">
      <c r="B2" s="40" t="s">
        <v>258</v>
      </c>
      <c r="Q2" s="42"/>
    </row>
    <row r="3" spans="2:30" customFormat="1" ht="14" x14ac:dyDescent="0.3">
      <c r="Q3" s="6"/>
      <c r="Z3" s="44"/>
      <c r="AA3" s="44"/>
      <c r="AB3" s="44"/>
      <c r="AC3" s="44"/>
      <c r="AD3" s="44"/>
    </row>
    <row r="4" spans="2:30" ht="14.5" thickBot="1" x14ac:dyDescent="0.35">
      <c r="B4" s="1" t="s">
        <v>259</v>
      </c>
      <c r="C4" s="43" t="s">
        <v>260</v>
      </c>
      <c r="E4" s="1" t="s">
        <v>261</v>
      </c>
      <c r="F4" s="1"/>
      <c r="G4" s="1"/>
      <c r="H4" s="1"/>
      <c r="I4" s="1"/>
      <c r="J4" s="1"/>
    </row>
    <row r="5" spans="2:30" ht="14.5" thickTop="1" x14ac:dyDescent="0.3">
      <c r="B5" s="45"/>
      <c r="C5" s="46"/>
      <c r="E5" s="47"/>
      <c r="F5" s="47"/>
      <c r="G5" s="931" t="s">
        <v>262</v>
      </c>
      <c r="H5" s="931"/>
      <c r="I5" s="931"/>
      <c r="J5" s="931"/>
      <c r="K5" s="931"/>
      <c r="L5" s="931"/>
    </row>
    <row r="6" spans="2:30" ht="42" customHeight="1" thickBot="1" x14ac:dyDescent="0.35">
      <c r="B6" s="1" t="s">
        <v>263</v>
      </c>
      <c r="C6" s="44"/>
      <c r="D6" s="44" t="s">
        <v>264</v>
      </c>
      <c r="E6" s="43" t="s">
        <v>265</v>
      </c>
      <c r="G6" s="907"/>
      <c r="H6" s="907"/>
      <c r="I6" s="907"/>
      <c r="J6" s="907"/>
      <c r="K6" s="907"/>
      <c r="L6" s="907"/>
    </row>
    <row r="7" spans="2:30" ht="14.5" thickTop="1" x14ac:dyDescent="0.3">
      <c r="B7" s="45" t="s">
        <v>266</v>
      </c>
      <c r="C7" s="48"/>
      <c r="D7" s="44" t="s">
        <v>264</v>
      </c>
      <c r="E7" s="23"/>
      <c r="G7" s="907" t="s">
        <v>267</v>
      </c>
      <c r="H7" s="907"/>
      <c r="I7" s="907"/>
      <c r="J7" s="907"/>
      <c r="K7" s="907"/>
      <c r="L7" s="907"/>
    </row>
    <row r="8" spans="2:30" ht="14" x14ac:dyDescent="0.3">
      <c r="B8" s="25" t="s">
        <v>268</v>
      </c>
      <c r="C8" s="39">
        <v>2024</v>
      </c>
      <c r="E8" s="43" t="s">
        <v>269</v>
      </c>
      <c r="G8" s="907"/>
      <c r="H8" s="907"/>
      <c r="I8" s="907"/>
      <c r="J8" s="907"/>
      <c r="K8" s="907"/>
      <c r="L8" s="907"/>
    </row>
    <row r="9" spans="2:30" ht="32.15" customHeight="1" x14ac:dyDescent="0.3">
      <c r="B9" s="25" t="s">
        <v>270</v>
      </c>
      <c r="C9" s="835" t="s">
        <v>271</v>
      </c>
      <c r="E9" s="23"/>
      <c r="G9" s="907"/>
      <c r="H9" s="907"/>
      <c r="I9" s="907"/>
      <c r="J9" s="907"/>
      <c r="K9" s="907"/>
      <c r="L9" s="907"/>
    </row>
    <row r="10" spans="2:30" ht="14.15" customHeight="1" x14ac:dyDescent="0.3">
      <c r="B10" s="25" t="s">
        <v>272</v>
      </c>
      <c r="C10" s="26" t="s">
        <v>273</v>
      </c>
      <c r="G10" s="907"/>
      <c r="H10" s="907"/>
      <c r="I10" s="907"/>
      <c r="J10" s="907"/>
      <c r="K10" s="907"/>
      <c r="L10" s="907"/>
    </row>
    <row r="11" spans="2:30" ht="15" customHeight="1" x14ac:dyDescent="0.3">
      <c r="B11" s="23" t="s">
        <v>274</v>
      </c>
      <c r="C11" s="703" t="s">
        <v>275</v>
      </c>
      <c r="E11" s="23"/>
      <c r="G11" s="907"/>
      <c r="H11" s="907"/>
      <c r="I11" s="907"/>
      <c r="J11" s="907"/>
      <c r="K11" s="907"/>
      <c r="L11" s="907"/>
    </row>
    <row r="12" spans="2:30" ht="14.15" customHeight="1" x14ac:dyDescent="0.3">
      <c r="B12" s="25"/>
      <c r="G12" s="907"/>
      <c r="H12" s="907"/>
      <c r="I12" s="907"/>
      <c r="J12" s="907"/>
      <c r="K12" s="907"/>
      <c r="L12" s="907"/>
    </row>
    <row r="13" spans="2:30" ht="14.5" thickBot="1" x14ac:dyDescent="0.35">
      <c r="B13" s="1" t="s">
        <v>276</v>
      </c>
      <c r="C13" s="44"/>
      <c r="E13" s="23"/>
      <c r="G13" s="907"/>
      <c r="H13" s="907"/>
      <c r="I13" s="907"/>
      <c r="J13" s="907"/>
      <c r="K13" s="907"/>
      <c r="L13" s="907"/>
    </row>
    <row r="14" spans="2:30" ht="14.5" thickTop="1" x14ac:dyDescent="0.3">
      <c r="B14" s="47" t="s">
        <v>70</v>
      </c>
      <c r="C14" s="733">
        <v>70</v>
      </c>
      <c r="G14" s="907"/>
      <c r="H14" s="907"/>
      <c r="I14" s="907"/>
      <c r="J14" s="907"/>
      <c r="K14" s="907"/>
      <c r="L14" s="907"/>
    </row>
    <row r="15" spans="2:30" ht="14" x14ac:dyDescent="0.3">
      <c r="B15" s="25" t="s">
        <v>71</v>
      </c>
      <c r="C15" s="43">
        <v>61</v>
      </c>
    </row>
    <row r="16" spans="2:30" ht="14" x14ac:dyDescent="0.3">
      <c r="B16" s="25" t="s">
        <v>72</v>
      </c>
      <c r="C16" s="43">
        <v>71</v>
      </c>
      <c r="E16" s="1" t="s">
        <v>277</v>
      </c>
      <c r="F16" s="1"/>
      <c r="G16" s="1"/>
      <c r="H16" s="1"/>
      <c r="I16" s="1"/>
      <c r="J16" s="1"/>
      <c r="N16" s="1" t="s">
        <v>278</v>
      </c>
      <c r="O16" s="1"/>
      <c r="P16" s="1"/>
      <c r="Q16" s="1"/>
      <c r="R16" s="1"/>
      <c r="S16" s="1"/>
    </row>
    <row r="17" spans="2:22" ht="14" x14ac:dyDescent="0.3">
      <c r="B17" s="25" t="s">
        <v>73</v>
      </c>
      <c r="C17" s="43">
        <v>80</v>
      </c>
      <c r="E17" s="47"/>
      <c r="F17" s="47"/>
      <c r="G17" s="931"/>
      <c r="H17" s="931"/>
      <c r="I17" s="931"/>
      <c r="J17" s="931"/>
      <c r="K17" s="931"/>
      <c r="L17" s="931"/>
      <c r="N17" s="47"/>
      <c r="O17" s="47"/>
      <c r="P17" s="47"/>
      <c r="Q17" s="47"/>
      <c r="R17" s="47"/>
      <c r="S17" s="47"/>
      <c r="T17" s="47"/>
      <c r="U17" s="47"/>
      <c r="V17" s="47"/>
    </row>
    <row r="18" spans="2:22" ht="14" x14ac:dyDescent="0.3">
      <c r="B18" s="23" t="s">
        <v>74</v>
      </c>
      <c r="C18" s="837">
        <v>50</v>
      </c>
      <c r="G18" s="907"/>
      <c r="H18" s="907"/>
      <c r="I18" s="907"/>
      <c r="J18" s="907"/>
      <c r="K18" s="907"/>
      <c r="L18" s="907"/>
      <c r="O18" s="658"/>
      <c r="P18" s="658"/>
      <c r="Q18" s="658"/>
      <c r="R18" s="658"/>
      <c r="S18" s="658"/>
      <c r="T18" s="658"/>
      <c r="U18" s="658"/>
      <c r="V18" s="658"/>
    </row>
    <row r="19" spans="2:22" ht="14" x14ac:dyDescent="0.3">
      <c r="B19" s="25" t="s">
        <v>75</v>
      </c>
      <c r="C19" s="43">
        <v>54</v>
      </c>
      <c r="E19" s="23"/>
      <c r="G19" s="907"/>
      <c r="H19" s="907"/>
      <c r="I19" s="907"/>
      <c r="J19" s="907"/>
      <c r="K19" s="907"/>
      <c r="L19" s="907"/>
      <c r="N19" s="23"/>
      <c r="P19" s="658"/>
      <c r="Q19" s="658"/>
      <c r="R19" s="658"/>
      <c r="S19" s="658"/>
      <c r="T19" s="658"/>
      <c r="U19" s="658"/>
      <c r="V19" s="658"/>
    </row>
    <row r="20" spans="2:22" ht="14" x14ac:dyDescent="0.3">
      <c r="B20" s="25" t="s">
        <v>76</v>
      </c>
      <c r="C20" s="43">
        <v>47</v>
      </c>
      <c r="G20" s="907"/>
      <c r="H20" s="907"/>
      <c r="I20" s="907"/>
      <c r="J20" s="907"/>
      <c r="K20" s="907"/>
      <c r="L20" s="907"/>
      <c r="P20" s="658"/>
      <c r="Q20" s="658"/>
      <c r="R20" s="658"/>
      <c r="S20" s="658"/>
      <c r="T20" s="658"/>
      <c r="U20" s="658"/>
    </row>
    <row r="21" spans="2:22" ht="14" x14ac:dyDescent="0.3">
      <c r="B21" s="25" t="s">
        <v>77</v>
      </c>
      <c r="C21" s="43">
        <v>47</v>
      </c>
      <c r="E21" s="23"/>
      <c r="G21" s="907"/>
      <c r="H21" s="907"/>
      <c r="I21" s="907"/>
      <c r="J21" s="907"/>
      <c r="K21" s="907"/>
      <c r="L21" s="907"/>
      <c r="N21" s="23"/>
      <c r="P21" s="907"/>
      <c r="Q21" s="907"/>
      <c r="R21" s="907"/>
      <c r="S21" s="907"/>
      <c r="T21" s="907"/>
      <c r="U21" s="907"/>
    </row>
    <row r="22" spans="2:22" ht="14" x14ac:dyDescent="0.3">
      <c r="B22" s="23" t="s">
        <v>78</v>
      </c>
      <c r="C22" s="838">
        <v>16.7</v>
      </c>
      <c r="G22" s="907"/>
      <c r="H22" s="907"/>
      <c r="I22" s="907"/>
      <c r="J22" s="907"/>
      <c r="K22" s="907"/>
      <c r="L22" s="907"/>
      <c r="P22" s="907"/>
      <c r="Q22" s="907"/>
      <c r="R22" s="907"/>
      <c r="S22" s="907"/>
      <c r="T22" s="907"/>
      <c r="U22" s="907"/>
    </row>
    <row r="23" spans="2:22" ht="14" x14ac:dyDescent="0.3">
      <c r="B23" s="23" t="s">
        <v>79</v>
      </c>
      <c r="C23" s="839" t="s">
        <v>279</v>
      </c>
      <c r="E23" s="23"/>
      <c r="G23" s="907"/>
      <c r="H23" s="907"/>
      <c r="I23" s="907"/>
      <c r="J23" s="907"/>
      <c r="K23" s="907"/>
      <c r="L23" s="907"/>
      <c r="N23" s="23"/>
      <c r="P23" s="907"/>
      <c r="Q23" s="907"/>
      <c r="R23" s="907"/>
      <c r="S23" s="907"/>
      <c r="T23" s="907"/>
      <c r="U23" s="907"/>
    </row>
    <row r="24" spans="2:22" ht="14" x14ac:dyDescent="0.3">
      <c r="B24" s="25" t="s">
        <v>80</v>
      </c>
      <c r="C24" s="43">
        <v>2.5</v>
      </c>
    </row>
    <row r="25" spans="2:22" ht="14" x14ac:dyDescent="0.3">
      <c r="B25" s="25" t="s">
        <v>81</v>
      </c>
      <c r="C25" s="43">
        <v>9</v>
      </c>
    </row>
    <row r="26" spans="2:22" ht="14" x14ac:dyDescent="0.3">
      <c r="B26" s="23" t="s">
        <v>82</v>
      </c>
      <c r="C26" s="840" t="s">
        <v>280</v>
      </c>
    </row>
    <row r="29" spans="2:22" ht="14.5" thickBot="1" x14ac:dyDescent="0.35">
      <c r="B29" s="1" t="s">
        <v>281</v>
      </c>
    </row>
    <row r="30" spans="2:22" ht="14.5" customHeight="1" x14ac:dyDescent="0.3">
      <c r="B30" s="929" t="s">
        <v>282</v>
      </c>
      <c r="C30" s="929"/>
    </row>
    <row r="31" spans="2:22" ht="12.5" x14ac:dyDescent="0.3">
      <c r="B31" s="930"/>
      <c r="C31" s="930"/>
    </row>
    <row r="32" spans="2:22" ht="12.5" x14ac:dyDescent="0.3">
      <c r="B32" s="930"/>
      <c r="C32" s="930"/>
    </row>
    <row r="33" spans="2:22" ht="15.5" x14ac:dyDescent="0.35">
      <c r="B33" s="930"/>
      <c r="C33" s="930"/>
      <c r="E33" s="52" t="s">
        <v>283</v>
      </c>
      <c r="F33" s="52"/>
      <c r="G33" s="52"/>
      <c r="H33" s="52"/>
      <c r="I33" s="52"/>
      <c r="J33" s="52"/>
      <c r="K33" s="52"/>
      <c r="L33" s="52"/>
      <c r="M33" s="52"/>
      <c r="N33" s="52"/>
      <c r="O33" s="52"/>
      <c r="P33" s="52"/>
      <c r="Q33" s="52"/>
      <c r="R33" s="52"/>
      <c r="S33" s="52"/>
      <c r="T33" s="52"/>
      <c r="U33" s="52"/>
      <c r="V33" s="52"/>
    </row>
    <row r="34" spans="2:22" customFormat="1" ht="4" customHeight="1" x14ac:dyDescent="0.35">
      <c r="B34" s="930"/>
      <c r="C34" s="930"/>
      <c r="D34" s="44"/>
      <c r="E34" s="53"/>
      <c r="F34" s="53"/>
      <c r="G34" s="53"/>
      <c r="H34" s="53"/>
      <c r="I34" s="53"/>
      <c r="J34" s="53"/>
      <c r="K34" s="53"/>
      <c r="L34" s="53"/>
      <c r="M34" s="53"/>
      <c r="N34" s="53"/>
      <c r="O34" s="53"/>
      <c r="P34" s="53"/>
      <c r="Q34" s="53"/>
      <c r="R34" s="53"/>
      <c r="S34" s="53"/>
      <c r="T34" s="53"/>
      <c r="U34" s="53"/>
      <c r="V34" s="53"/>
    </row>
    <row r="35" spans="2:22" ht="13" x14ac:dyDescent="0.3">
      <c r="B35" s="930"/>
      <c r="C35" s="930"/>
      <c r="E35" s="54"/>
      <c r="F35" s="54"/>
      <c r="G35" s="55" t="s">
        <v>263</v>
      </c>
      <c r="H35" s="55" t="s">
        <v>284</v>
      </c>
      <c r="I35" s="55"/>
      <c r="J35" s="55"/>
      <c r="K35" s="55" t="s">
        <v>285</v>
      </c>
      <c r="L35" s="55"/>
      <c r="M35" s="55"/>
      <c r="N35" s="55"/>
      <c r="O35" s="55" t="s">
        <v>286</v>
      </c>
      <c r="P35" s="54"/>
      <c r="Q35" s="54"/>
      <c r="R35" s="54"/>
      <c r="S35" s="54"/>
      <c r="T35" s="54"/>
      <c r="U35" s="54"/>
      <c r="V35" s="54"/>
    </row>
    <row r="36" spans="2:22" ht="20.25" customHeight="1" x14ac:dyDescent="0.3">
      <c r="B36" s="930"/>
      <c r="C36" s="930"/>
      <c r="E36" s="23" t="s">
        <v>287</v>
      </c>
      <c r="G36" s="923"/>
      <c r="H36" s="921" t="s">
        <v>288</v>
      </c>
      <c r="I36" s="921"/>
      <c r="J36" s="921"/>
      <c r="K36" s="921" t="s">
        <v>289</v>
      </c>
      <c r="L36" s="921"/>
      <c r="M36" s="921"/>
      <c r="N36" s="921"/>
      <c r="O36" s="924" t="s">
        <v>288</v>
      </c>
      <c r="P36" s="924"/>
      <c r="Q36" s="924"/>
      <c r="R36" s="924"/>
      <c r="S36" s="924"/>
      <c r="T36" s="924"/>
      <c r="U36" s="924"/>
      <c r="V36" s="924"/>
    </row>
    <row r="37" spans="2:22" ht="20.25" customHeight="1" x14ac:dyDescent="0.3">
      <c r="B37" s="930"/>
      <c r="C37" s="930"/>
      <c r="G37" s="923"/>
      <c r="H37" s="921"/>
      <c r="I37" s="921"/>
      <c r="J37" s="921"/>
      <c r="K37" s="921"/>
      <c r="L37" s="921"/>
      <c r="M37" s="921"/>
      <c r="N37" s="921"/>
      <c r="O37" s="924"/>
      <c r="P37" s="924"/>
      <c r="Q37" s="924"/>
      <c r="R37" s="924"/>
      <c r="S37" s="924"/>
      <c r="T37" s="924"/>
      <c r="U37" s="924"/>
      <c r="V37" s="924"/>
    </row>
    <row r="38" spans="2:22" ht="22.5" customHeight="1" x14ac:dyDescent="0.3">
      <c r="B38" s="930"/>
      <c r="C38" s="930"/>
      <c r="E38" s="23" t="s">
        <v>290</v>
      </c>
      <c r="G38" s="922"/>
      <c r="H38" s="921" t="s">
        <v>288</v>
      </c>
      <c r="I38" s="921"/>
      <c r="J38" s="921"/>
      <c r="K38" s="921" t="s">
        <v>291</v>
      </c>
      <c r="L38" s="921"/>
      <c r="M38" s="921"/>
      <c r="N38" s="921"/>
      <c r="O38" s="921" t="s">
        <v>292</v>
      </c>
      <c r="P38" s="921"/>
      <c r="Q38" s="921"/>
      <c r="R38" s="921"/>
      <c r="S38" s="921"/>
      <c r="T38" s="921"/>
      <c r="U38" s="921"/>
      <c r="V38" s="921"/>
    </row>
    <row r="39" spans="2:22" ht="17.25" customHeight="1" x14ac:dyDescent="0.3">
      <c r="B39" s="930"/>
      <c r="C39" s="930"/>
      <c r="G39" s="922"/>
      <c r="H39" s="921"/>
      <c r="I39" s="921"/>
      <c r="J39" s="921"/>
      <c r="K39" s="921"/>
      <c r="L39" s="921"/>
      <c r="M39" s="921"/>
      <c r="N39" s="921"/>
      <c r="O39" s="921"/>
      <c r="P39" s="921"/>
      <c r="Q39" s="921"/>
      <c r="R39" s="921"/>
      <c r="S39" s="921"/>
      <c r="T39" s="921"/>
      <c r="U39" s="921"/>
      <c r="V39" s="921"/>
    </row>
    <row r="40" spans="2:22" ht="23.25" customHeight="1" x14ac:dyDescent="0.3">
      <c r="B40" s="930"/>
      <c r="C40" s="930"/>
      <c r="E40" s="23" t="s">
        <v>293</v>
      </c>
      <c r="G40" s="922"/>
      <c r="H40" s="921" t="s">
        <v>294</v>
      </c>
      <c r="I40" s="921"/>
      <c r="J40" s="921"/>
      <c r="K40" s="921" t="s">
        <v>295</v>
      </c>
      <c r="L40" s="921"/>
      <c r="M40" s="921"/>
      <c r="N40" s="921"/>
      <c r="O40" s="921" t="s">
        <v>296</v>
      </c>
      <c r="P40" s="921"/>
      <c r="Q40" s="921"/>
      <c r="R40" s="921"/>
      <c r="S40" s="921"/>
      <c r="T40" s="921"/>
      <c r="U40" s="921"/>
      <c r="V40" s="921"/>
    </row>
    <row r="41" spans="2:22" ht="12.5" x14ac:dyDescent="0.3">
      <c r="B41" s="930"/>
      <c r="C41" s="930"/>
      <c r="G41" s="922"/>
      <c r="H41" s="921"/>
      <c r="I41" s="921"/>
      <c r="J41" s="921"/>
      <c r="K41" s="921"/>
      <c r="L41" s="921"/>
      <c r="M41" s="921"/>
      <c r="N41" s="921"/>
      <c r="O41" s="921"/>
      <c r="P41" s="921"/>
      <c r="Q41" s="921"/>
      <c r="R41" s="921"/>
      <c r="S41" s="921"/>
      <c r="T41" s="921"/>
      <c r="U41" s="921"/>
      <c r="V41" s="921"/>
    </row>
    <row r="42" spans="2:22" ht="14" x14ac:dyDescent="0.3">
      <c r="B42" s="930"/>
      <c r="C42" s="930"/>
      <c r="E42" s="23" t="s">
        <v>297</v>
      </c>
      <c r="G42" s="920"/>
      <c r="H42" s="921" t="s">
        <v>288</v>
      </c>
      <c r="I42" s="921"/>
      <c r="J42" s="921"/>
      <c r="K42" s="921" t="s">
        <v>288</v>
      </c>
      <c r="L42" s="921"/>
      <c r="M42" s="921"/>
      <c r="N42" s="921"/>
      <c r="O42" s="924" t="s">
        <v>298</v>
      </c>
      <c r="P42" s="924"/>
      <c r="Q42" s="924"/>
      <c r="R42" s="924"/>
      <c r="S42" s="924"/>
      <c r="T42" s="924"/>
      <c r="U42" s="924"/>
      <c r="V42" s="924"/>
    </row>
    <row r="43" spans="2:22" ht="12.5" x14ac:dyDescent="0.3">
      <c r="B43" s="930"/>
      <c r="C43" s="930"/>
      <c r="G43" s="920"/>
      <c r="H43" s="921"/>
      <c r="I43" s="921"/>
      <c r="J43" s="921"/>
      <c r="K43" s="921"/>
      <c r="L43" s="921"/>
      <c r="M43" s="921"/>
      <c r="N43" s="921"/>
      <c r="O43" s="924"/>
      <c r="P43" s="924"/>
      <c r="Q43" s="924"/>
      <c r="R43" s="924"/>
      <c r="S43" s="924"/>
      <c r="T43" s="924"/>
      <c r="U43" s="924"/>
      <c r="V43" s="924"/>
    </row>
    <row r="44" spans="2:22" ht="14" x14ac:dyDescent="0.3">
      <c r="B44" s="930"/>
      <c r="C44" s="930"/>
      <c r="E44" s="23" t="s">
        <v>299</v>
      </c>
      <c r="G44" s="924"/>
      <c r="H44" s="921" t="s">
        <v>288</v>
      </c>
      <c r="I44" s="921"/>
      <c r="J44" s="921"/>
      <c r="K44" s="921" t="s">
        <v>294</v>
      </c>
      <c r="L44" s="921"/>
      <c r="M44" s="921"/>
      <c r="N44" s="921"/>
      <c r="O44" s="921" t="s">
        <v>288</v>
      </c>
      <c r="P44" s="921"/>
      <c r="Q44" s="921"/>
      <c r="R44" s="921"/>
      <c r="S44" s="921"/>
      <c r="T44" s="921"/>
      <c r="U44" s="921"/>
      <c r="V44" s="921"/>
    </row>
    <row r="45" spans="2:22" ht="12.5" x14ac:dyDescent="0.3">
      <c r="B45" s="930"/>
      <c r="C45" s="930"/>
      <c r="G45" s="924"/>
      <c r="H45" s="921"/>
      <c r="I45" s="921"/>
      <c r="J45" s="921"/>
      <c r="K45" s="921"/>
      <c r="L45" s="921"/>
      <c r="M45" s="921"/>
      <c r="N45" s="921"/>
      <c r="O45" s="921"/>
      <c r="P45" s="921"/>
      <c r="Q45" s="921"/>
      <c r="R45" s="921"/>
      <c r="S45" s="921"/>
      <c r="T45" s="921"/>
      <c r="U45" s="921"/>
      <c r="V45" s="921"/>
    </row>
    <row r="46" spans="2:22" ht="15.5" x14ac:dyDescent="0.35">
      <c r="E46" s="52" t="s">
        <v>300</v>
      </c>
      <c r="F46" s="52"/>
      <c r="G46" s="52"/>
      <c r="H46" s="52"/>
      <c r="I46" s="52"/>
      <c r="J46" s="52"/>
      <c r="K46" s="52"/>
      <c r="L46" s="52"/>
      <c r="M46" s="52"/>
      <c r="N46" s="52"/>
      <c r="O46" s="52"/>
      <c r="P46" s="52"/>
      <c r="Q46" s="52"/>
      <c r="R46" s="52"/>
      <c r="S46" s="52"/>
      <c r="T46" s="52"/>
      <c r="U46" s="52"/>
      <c r="V46" s="52"/>
    </row>
    <row r="47" spans="2:22" customFormat="1" ht="4" customHeight="1" x14ac:dyDescent="0.35">
      <c r="B47" s="44"/>
      <c r="C47" s="43"/>
      <c r="D47" s="44"/>
      <c r="E47" s="53"/>
      <c r="F47" s="53"/>
      <c r="G47" s="53"/>
      <c r="H47" s="53"/>
      <c r="I47" s="53"/>
      <c r="J47" s="53"/>
      <c r="K47" s="53"/>
      <c r="L47" s="53"/>
      <c r="M47" s="53"/>
      <c r="N47" s="53"/>
      <c r="O47" s="53"/>
      <c r="P47" s="53"/>
      <c r="Q47" s="53"/>
      <c r="R47" s="53"/>
      <c r="S47" s="53"/>
      <c r="T47" s="53"/>
      <c r="U47" s="53"/>
      <c r="V47" s="53"/>
    </row>
    <row r="48" spans="2:22" ht="14.5" thickBot="1" x14ac:dyDescent="0.35">
      <c r="B48" s="1" t="s">
        <v>301</v>
      </c>
      <c r="C48" s="44"/>
      <c r="E48" s="54"/>
      <c r="F48" s="54"/>
      <c r="G48" s="55" t="s">
        <v>263</v>
      </c>
      <c r="H48" s="55" t="s">
        <v>284</v>
      </c>
      <c r="I48" s="55"/>
      <c r="J48" s="55"/>
      <c r="K48" s="55" t="s">
        <v>285</v>
      </c>
      <c r="L48" s="55"/>
      <c r="M48" s="55"/>
      <c r="N48" s="55"/>
      <c r="O48" s="55" t="s">
        <v>286</v>
      </c>
      <c r="P48" s="54"/>
      <c r="Q48" s="54"/>
      <c r="R48" s="54"/>
      <c r="S48" s="54"/>
      <c r="T48" s="54"/>
      <c r="U48" s="54"/>
      <c r="V48" s="54"/>
    </row>
    <row r="49" spans="2:22" ht="14.5" thickTop="1" x14ac:dyDescent="0.3">
      <c r="B49" s="45" t="s">
        <v>302</v>
      </c>
      <c r="C49" s="834" t="s">
        <v>303</v>
      </c>
      <c r="E49" s="23" t="s">
        <v>304</v>
      </c>
      <c r="G49" s="927"/>
      <c r="H49" s="928" t="s">
        <v>288</v>
      </c>
      <c r="I49" s="928"/>
      <c r="J49" s="928"/>
      <c r="K49" s="928" t="s">
        <v>288</v>
      </c>
      <c r="L49" s="928"/>
      <c r="M49" s="928"/>
      <c r="N49" s="928"/>
      <c r="O49" s="928" t="s">
        <v>305</v>
      </c>
      <c r="P49" s="928"/>
      <c r="Q49" s="928"/>
      <c r="R49" s="928"/>
      <c r="S49" s="928"/>
      <c r="T49" s="928"/>
      <c r="U49" s="928"/>
      <c r="V49" s="928"/>
    </row>
    <row r="50" spans="2:22" ht="14" x14ac:dyDescent="0.3">
      <c r="B50" s="25" t="s">
        <v>306</v>
      </c>
      <c r="C50" s="61" t="s">
        <v>307</v>
      </c>
      <c r="D50" s="44" t="s">
        <v>264</v>
      </c>
      <c r="G50" s="923"/>
      <c r="H50" s="921"/>
      <c r="I50" s="921"/>
      <c r="J50" s="921"/>
      <c r="K50" s="921"/>
      <c r="L50" s="921"/>
      <c r="M50" s="921"/>
      <c r="N50" s="921"/>
      <c r="O50" s="921"/>
      <c r="P50" s="921"/>
      <c r="Q50" s="921"/>
      <c r="R50" s="921"/>
      <c r="S50" s="921"/>
      <c r="T50" s="921"/>
      <c r="U50" s="921"/>
      <c r="V50" s="921"/>
    </row>
    <row r="51" spans="2:22" ht="27" customHeight="1" x14ac:dyDescent="0.3">
      <c r="B51" s="25" t="s">
        <v>308</v>
      </c>
      <c r="C51" s="61" t="s">
        <v>309</v>
      </c>
      <c r="D51" s="44" t="s">
        <v>264</v>
      </c>
      <c r="E51" s="23" t="s">
        <v>310</v>
      </c>
      <c r="G51" s="926"/>
      <c r="H51" s="921" t="s">
        <v>288</v>
      </c>
      <c r="I51" s="921"/>
      <c r="J51" s="921"/>
      <c r="K51" s="921" t="s">
        <v>311</v>
      </c>
      <c r="L51" s="921"/>
      <c r="M51" s="921"/>
      <c r="N51" s="921"/>
      <c r="O51" s="921" t="s">
        <v>312</v>
      </c>
      <c r="P51" s="921"/>
      <c r="Q51" s="921"/>
      <c r="R51" s="921"/>
      <c r="S51" s="921"/>
      <c r="T51" s="921"/>
      <c r="U51" s="921"/>
      <c r="V51" s="921"/>
    </row>
    <row r="52" spans="2:22" ht="56.15" customHeight="1" x14ac:dyDescent="0.3">
      <c r="G52" s="926"/>
      <c r="H52" s="921"/>
      <c r="I52" s="921"/>
      <c r="J52" s="921"/>
      <c r="K52" s="921"/>
      <c r="L52" s="921"/>
      <c r="M52" s="921"/>
      <c r="N52" s="921"/>
      <c r="O52" s="921"/>
      <c r="P52" s="921"/>
      <c r="Q52" s="921"/>
      <c r="R52" s="921"/>
      <c r="S52" s="921"/>
      <c r="T52" s="921"/>
      <c r="U52" s="921"/>
      <c r="V52" s="921"/>
    </row>
    <row r="53" spans="2:22" ht="14.15" customHeight="1" x14ac:dyDescent="0.3">
      <c r="E53" s="23" t="s">
        <v>313</v>
      </c>
      <c r="G53" s="920"/>
      <c r="H53" s="921" t="s">
        <v>288</v>
      </c>
      <c r="I53" s="921"/>
      <c r="J53" s="921"/>
      <c r="K53" s="921" t="s">
        <v>288</v>
      </c>
      <c r="L53" s="921"/>
      <c r="M53" s="921"/>
      <c r="N53" s="921"/>
      <c r="O53" s="921" t="s">
        <v>314</v>
      </c>
      <c r="P53" s="921"/>
      <c r="Q53" s="921"/>
      <c r="R53" s="921"/>
      <c r="S53" s="921"/>
      <c r="T53" s="921"/>
      <c r="U53" s="921"/>
      <c r="V53" s="921"/>
    </row>
    <row r="54" spans="2:22" ht="13" customHeight="1" x14ac:dyDescent="0.3">
      <c r="G54" s="920"/>
      <c r="H54" s="921"/>
      <c r="I54" s="921"/>
      <c r="J54" s="921"/>
      <c r="K54" s="921"/>
      <c r="L54" s="921"/>
      <c r="M54" s="921"/>
      <c r="N54" s="921"/>
      <c r="O54" s="921"/>
      <c r="P54" s="921"/>
      <c r="Q54" s="921"/>
      <c r="R54" s="921"/>
      <c r="S54" s="921"/>
      <c r="T54" s="921"/>
      <c r="U54" s="921"/>
      <c r="V54" s="921"/>
    </row>
    <row r="55" spans="2:22" ht="14" x14ac:dyDescent="0.3">
      <c r="E55" s="23" t="s">
        <v>315</v>
      </c>
      <c r="G55" s="920"/>
      <c r="H55" s="921" t="s">
        <v>288</v>
      </c>
      <c r="I55" s="921"/>
      <c r="J55" s="921"/>
      <c r="K55" s="921" t="s">
        <v>288</v>
      </c>
      <c r="L55" s="921"/>
      <c r="M55" s="921"/>
      <c r="N55" s="921"/>
      <c r="O55" s="921" t="s">
        <v>316</v>
      </c>
      <c r="P55" s="921"/>
      <c r="Q55" s="921"/>
      <c r="R55" s="921"/>
      <c r="S55" s="921"/>
      <c r="T55" s="921"/>
      <c r="U55" s="921"/>
      <c r="V55" s="921"/>
    </row>
    <row r="56" spans="2:22" ht="13" x14ac:dyDescent="0.3">
      <c r="G56" s="920"/>
      <c r="H56" s="921"/>
      <c r="I56" s="921"/>
      <c r="J56" s="921"/>
      <c r="K56" s="921"/>
      <c r="L56" s="921"/>
      <c r="M56" s="921"/>
      <c r="N56" s="921"/>
      <c r="O56" s="921"/>
      <c r="P56" s="921"/>
      <c r="Q56" s="921"/>
      <c r="R56" s="921"/>
      <c r="S56" s="921"/>
      <c r="T56" s="921"/>
      <c r="U56" s="921"/>
      <c r="V56" s="921"/>
    </row>
    <row r="57" spans="2:22" ht="32.25" customHeight="1" x14ac:dyDescent="0.3">
      <c r="E57" s="23" t="s">
        <v>317</v>
      </c>
      <c r="G57" s="922"/>
      <c r="H57" s="921" t="s">
        <v>288</v>
      </c>
      <c r="I57" s="921"/>
      <c r="J57" s="921"/>
      <c r="K57" s="921" t="s">
        <v>288</v>
      </c>
      <c r="L57" s="921"/>
      <c r="M57" s="921"/>
      <c r="N57" s="921"/>
      <c r="O57" s="921" t="s">
        <v>318</v>
      </c>
      <c r="P57" s="921"/>
      <c r="Q57" s="921"/>
      <c r="R57" s="921"/>
      <c r="S57" s="921"/>
      <c r="T57" s="921"/>
      <c r="U57" s="921"/>
      <c r="V57" s="921"/>
    </row>
    <row r="58" spans="2:22" ht="13" x14ac:dyDescent="0.3">
      <c r="G58" s="922"/>
      <c r="H58" s="921"/>
      <c r="I58" s="921"/>
      <c r="J58" s="921"/>
      <c r="K58" s="921"/>
      <c r="L58" s="921"/>
      <c r="M58" s="921"/>
      <c r="N58" s="921"/>
      <c r="O58" s="921"/>
      <c r="P58" s="921"/>
      <c r="Q58" s="921"/>
      <c r="R58" s="921"/>
      <c r="S58" s="921"/>
      <c r="T58" s="921"/>
      <c r="U58" s="921"/>
      <c r="V58" s="921"/>
    </row>
    <row r="59" spans="2:22" ht="20.25" customHeight="1" x14ac:dyDescent="0.3">
      <c r="E59" s="23" t="s">
        <v>319</v>
      </c>
      <c r="G59" s="923"/>
      <c r="H59" s="921" t="s">
        <v>288</v>
      </c>
      <c r="I59" s="921"/>
      <c r="J59" s="921"/>
      <c r="K59" s="921" t="s">
        <v>288</v>
      </c>
      <c r="L59" s="921"/>
      <c r="M59" s="921"/>
      <c r="N59" s="921"/>
      <c r="O59" s="921" t="s">
        <v>288</v>
      </c>
      <c r="P59" s="921"/>
      <c r="Q59" s="921"/>
      <c r="R59" s="921"/>
      <c r="S59" s="921"/>
      <c r="T59" s="921"/>
      <c r="U59" s="921"/>
      <c r="V59" s="921"/>
    </row>
    <row r="60" spans="2:22" ht="20.25" customHeight="1" x14ac:dyDescent="0.3">
      <c r="G60" s="923"/>
      <c r="H60" s="921"/>
      <c r="I60" s="921"/>
      <c r="J60" s="921"/>
      <c r="K60" s="921"/>
      <c r="L60" s="921"/>
      <c r="M60" s="921"/>
      <c r="N60" s="921"/>
      <c r="O60" s="921"/>
      <c r="P60" s="921"/>
      <c r="Q60" s="921"/>
      <c r="R60" s="921"/>
      <c r="S60" s="921"/>
      <c r="T60" s="921"/>
      <c r="U60" s="921"/>
      <c r="V60" s="921"/>
    </row>
    <row r="61" spans="2:22" ht="29.15" customHeight="1" x14ac:dyDescent="0.3">
      <c r="E61" s="23" t="s">
        <v>320</v>
      </c>
      <c r="G61" s="922"/>
      <c r="H61" s="921" t="s">
        <v>321</v>
      </c>
      <c r="I61" s="921"/>
      <c r="J61" s="921"/>
      <c r="K61" s="921" t="s">
        <v>288</v>
      </c>
      <c r="L61" s="921"/>
      <c r="M61" s="921"/>
      <c r="N61" s="921"/>
      <c r="O61" s="921" t="s">
        <v>322</v>
      </c>
      <c r="P61" s="921"/>
      <c r="Q61" s="921"/>
      <c r="R61" s="921"/>
      <c r="S61" s="921"/>
      <c r="T61" s="921"/>
      <c r="U61" s="921"/>
      <c r="V61" s="921"/>
    </row>
    <row r="62" spans="2:22" ht="24" customHeight="1" x14ac:dyDescent="0.3">
      <c r="G62" s="922"/>
      <c r="H62" s="921"/>
      <c r="I62" s="921"/>
      <c r="J62" s="921"/>
      <c r="K62" s="921"/>
      <c r="L62" s="921"/>
      <c r="M62" s="921"/>
      <c r="N62" s="921"/>
      <c r="O62" s="921"/>
      <c r="P62" s="921"/>
      <c r="Q62" s="921"/>
      <c r="R62" s="921"/>
      <c r="S62" s="921"/>
      <c r="T62" s="921"/>
      <c r="U62" s="921"/>
      <c r="V62" s="921"/>
    </row>
    <row r="63" spans="2:22" ht="27.75" customHeight="1" x14ac:dyDescent="0.3">
      <c r="E63" s="23" t="s">
        <v>323</v>
      </c>
      <c r="G63" s="922"/>
      <c r="H63" s="921" t="s">
        <v>288</v>
      </c>
      <c r="I63" s="921"/>
      <c r="J63" s="921"/>
      <c r="K63" s="921" t="s">
        <v>324</v>
      </c>
      <c r="L63" s="921"/>
      <c r="M63" s="921"/>
      <c r="N63" s="921"/>
      <c r="O63" s="921" t="s">
        <v>325</v>
      </c>
      <c r="P63" s="921"/>
      <c r="Q63" s="921"/>
      <c r="R63" s="921"/>
      <c r="S63" s="921"/>
      <c r="T63" s="921"/>
      <c r="U63" s="921"/>
      <c r="V63" s="921"/>
    </row>
    <row r="64" spans="2:22" ht="75" customHeight="1" x14ac:dyDescent="0.3">
      <c r="G64" s="922"/>
      <c r="H64" s="921"/>
      <c r="I64" s="921"/>
      <c r="J64" s="921"/>
      <c r="K64" s="921"/>
      <c r="L64" s="921"/>
      <c r="M64" s="921"/>
      <c r="N64" s="921"/>
      <c r="O64" s="921"/>
      <c r="P64" s="921"/>
      <c r="Q64" s="921"/>
      <c r="R64" s="921"/>
      <c r="S64" s="921"/>
      <c r="T64" s="921"/>
      <c r="U64" s="921"/>
      <c r="V64" s="921"/>
    </row>
    <row r="65" spans="2:22" ht="24" customHeight="1" x14ac:dyDescent="0.3">
      <c r="E65" s="23" t="s">
        <v>269</v>
      </c>
      <c r="G65" s="922"/>
      <c r="H65" s="921" t="s">
        <v>288</v>
      </c>
      <c r="I65" s="921"/>
      <c r="J65" s="921"/>
      <c r="K65" s="924" t="s">
        <v>288</v>
      </c>
      <c r="L65" s="924"/>
      <c r="M65" s="924"/>
      <c r="N65" s="924"/>
      <c r="O65" s="921" t="s">
        <v>326</v>
      </c>
      <c r="P65" s="921"/>
      <c r="Q65" s="921"/>
      <c r="R65" s="921"/>
      <c r="S65" s="921"/>
      <c r="T65" s="921"/>
      <c r="U65" s="921"/>
      <c r="V65" s="921"/>
    </row>
    <row r="66" spans="2:22" ht="61" customHeight="1" x14ac:dyDescent="0.3">
      <c r="G66" s="922"/>
      <c r="H66" s="921"/>
      <c r="I66" s="921"/>
      <c r="J66" s="921"/>
      <c r="K66" s="924"/>
      <c r="L66" s="924"/>
      <c r="M66" s="924"/>
      <c r="N66" s="924"/>
      <c r="O66" s="921"/>
      <c r="P66" s="921"/>
      <c r="Q66" s="921"/>
      <c r="R66" s="921"/>
      <c r="S66" s="921"/>
      <c r="T66" s="921"/>
      <c r="U66" s="921"/>
      <c r="V66" s="921"/>
    </row>
    <row r="67" spans="2:22" ht="14" x14ac:dyDescent="0.3">
      <c r="E67" s="23" t="s">
        <v>327</v>
      </c>
      <c r="G67" s="922"/>
      <c r="H67" s="921" t="s">
        <v>288</v>
      </c>
      <c r="I67" s="921"/>
      <c r="J67" s="921"/>
      <c r="K67" s="921" t="s">
        <v>288</v>
      </c>
      <c r="L67" s="921"/>
      <c r="M67" s="921"/>
      <c r="N67" s="921"/>
      <c r="O67" s="921" t="s">
        <v>328</v>
      </c>
      <c r="P67" s="921"/>
      <c r="Q67" s="921"/>
      <c r="R67" s="921"/>
      <c r="S67" s="921"/>
      <c r="T67" s="921"/>
      <c r="U67" s="921"/>
      <c r="V67" s="921"/>
    </row>
    <row r="68" spans="2:22" ht="32.15" customHeight="1" x14ac:dyDescent="0.3">
      <c r="E68" s="23"/>
      <c r="G68" s="922"/>
      <c r="H68" s="921"/>
      <c r="I68" s="921"/>
      <c r="J68" s="921"/>
      <c r="K68" s="921"/>
      <c r="L68" s="921"/>
      <c r="M68" s="921"/>
      <c r="N68" s="921"/>
      <c r="O68" s="921"/>
      <c r="P68" s="921"/>
      <c r="Q68" s="921"/>
      <c r="R68" s="921"/>
      <c r="S68" s="921"/>
      <c r="T68" s="921"/>
      <c r="U68" s="921"/>
      <c r="V68" s="921"/>
    </row>
    <row r="69" spans="2:22" ht="33" customHeight="1" x14ac:dyDescent="0.3">
      <c r="E69" s="23" t="s">
        <v>329</v>
      </c>
      <c r="G69" s="920"/>
      <c r="H69" s="921" t="s">
        <v>288</v>
      </c>
      <c r="I69" s="921"/>
      <c r="J69" s="921"/>
      <c r="K69" s="921" t="s">
        <v>288</v>
      </c>
      <c r="L69" s="921"/>
      <c r="M69" s="921"/>
      <c r="N69" s="921"/>
      <c r="O69" s="921" t="s">
        <v>330</v>
      </c>
      <c r="P69" s="921"/>
      <c r="Q69" s="921"/>
      <c r="R69" s="921"/>
      <c r="S69" s="921"/>
      <c r="T69" s="921"/>
      <c r="U69" s="921"/>
      <c r="V69" s="921"/>
    </row>
    <row r="70" spans="2:22" ht="13" x14ac:dyDescent="0.3">
      <c r="G70" s="920"/>
      <c r="H70" s="921"/>
      <c r="I70" s="921"/>
      <c r="J70" s="921"/>
      <c r="K70" s="921"/>
      <c r="L70" s="921"/>
      <c r="M70" s="921"/>
      <c r="N70" s="921"/>
      <c r="O70" s="921"/>
      <c r="P70" s="921"/>
      <c r="Q70" s="921"/>
      <c r="R70" s="921"/>
      <c r="S70" s="921"/>
      <c r="T70" s="921"/>
      <c r="U70" s="921"/>
      <c r="V70" s="921"/>
    </row>
    <row r="71" spans="2:22" ht="15.5" x14ac:dyDescent="0.35">
      <c r="E71" s="52" t="s">
        <v>331</v>
      </c>
      <c r="F71" s="52"/>
      <c r="G71" s="52"/>
      <c r="H71" s="52"/>
      <c r="I71" s="52"/>
      <c r="J71" s="52"/>
      <c r="K71" s="52"/>
      <c r="L71" s="52"/>
      <c r="M71" s="52"/>
      <c r="N71" s="52"/>
      <c r="O71" s="52"/>
      <c r="P71" s="52"/>
      <c r="Q71" s="52"/>
      <c r="R71" s="52"/>
      <c r="S71" s="52"/>
      <c r="T71" s="52"/>
      <c r="U71" s="52"/>
      <c r="V71" s="52"/>
    </row>
    <row r="72" spans="2:22" customFormat="1" ht="4" customHeight="1" x14ac:dyDescent="0.35">
      <c r="B72" s="44"/>
      <c r="C72" s="43"/>
      <c r="D72" s="44"/>
      <c r="E72" s="53"/>
      <c r="F72" s="53"/>
      <c r="G72" s="53"/>
      <c r="H72" s="53"/>
      <c r="I72" s="53"/>
      <c r="J72" s="53"/>
      <c r="K72" s="53"/>
      <c r="L72" s="53"/>
      <c r="M72" s="53"/>
      <c r="N72" s="53"/>
      <c r="O72" s="53"/>
      <c r="P72" s="53"/>
      <c r="Q72" s="53"/>
      <c r="R72" s="53"/>
      <c r="S72" s="53"/>
      <c r="T72" s="53"/>
      <c r="U72" s="53"/>
      <c r="V72" s="53"/>
    </row>
    <row r="73" spans="2:22" ht="13.5" thickBot="1" x14ac:dyDescent="0.35">
      <c r="E73" s="54"/>
      <c r="F73" s="54"/>
      <c r="G73" s="55" t="s">
        <v>263</v>
      </c>
      <c r="H73" s="55" t="s">
        <v>284</v>
      </c>
      <c r="I73" s="55"/>
      <c r="J73" s="55"/>
      <c r="K73" s="55" t="s">
        <v>285</v>
      </c>
      <c r="L73" s="55"/>
      <c r="M73" s="55"/>
      <c r="N73" s="55"/>
      <c r="O73" s="55" t="s">
        <v>286</v>
      </c>
      <c r="P73" s="54"/>
      <c r="Q73" s="54"/>
      <c r="R73" s="54"/>
      <c r="S73" s="54"/>
      <c r="T73" s="54"/>
      <c r="U73" s="54"/>
      <c r="V73" s="54"/>
    </row>
    <row r="74" spans="2:22" ht="25.5" customHeight="1" x14ac:dyDescent="0.3">
      <c r="E74" s="23" t="s">
        <v>332</v>
      </c>
      <c r="G74" s="927"/>
      <c r="H74" s="928" t="s">
        <v>333</v>
      </c>
      <c r="I74" s="928"/>
      <c r="J74" s="928"/>
      <c r="K74" s="928" t="s">
        <v>334</v>
      </c>
      <c r="L74" s="928"/>
      <c r="M74" s="928"/>
      <c r="N74" s="928"/>
      <c r="O74" s="928" t="s">
        <v>335</v>
      </c>
      <c r="P74" s="928"/>
      <c r="Q74" s="928"/>
      <c r="R74" s="928"/>
      <c r="S74" s="928"/>
      <c r="T74" s="928"/>
      <c r="U74" s="928"/>
      <c r="V74" s="928"/>
    </row>
    <row r="75" spans="2:22" ht="47.15" customHeight="1" x14ac:dyDescent="0.3">
      <c r="G75" s="923"/>
      <c r="H75" s="921"/>
      <c r="I75" s="921"/>
      <c r="J75" s="921"/>
      <c r="K75" s="921"/>
      <c r="L75" s="921"/>
      <c r="M75" s="921"/>
      <c r="N75" s="921"/>
      <c r="O75" s="921"/>
      <c r="P75" s="921"/>
      <c r="Q75" s="921"/>
      <c r="R75" s="921"/>
      <c r="S75" s="921"/>
      <c r="T75" s="921"/>
      <c r="U75" s="921"/>
      <c r="V75" s="921"/>
    </row>
    <row r="76" spans="2:22" ht="14.15" customHeight="1" x14ac:dyDescent="0.3">
      <c r="E76" s="23" t="s">
        <v>336</v>
      </c>
      <c r="G76" s="922"/>
      <c r="H76" s="921" t="s">
        <v>288</v>
      </c>
      <c r="I76" s="921"/>
      <c r="J76" s="921"/>
      <c r="K76" s="921" t="s">
        <v>288</v>
      </c>
      <c r="L76" s="921"/>
      <c r="M76" s="921"/>
      <c r="N76" s="921"/>
      <c r="O76" s="924" t="s">
        <v>337</v>
      </c>
      <c r="P76" s="924"/>
      <c r="Q76" s="924"/>
      <c r="R76" s="924"/>
      <c r="S76" s="924"/>
      <c r="T76" s="924"/>
      <c r="U76" s="924"/>
      <c r="V76" s="924"/>
    </row>
    <row r="77" spans="2:22" ht="12.65" customHeight="1" x14ac:dyDescent="0.3">
      <c r="G77" s="922"/>
      <c r="H77" s="921"/>
      <c r="I77" s="921"/>
      <c r="J77" s="921"/>
      <c r="K77" s="921"/>
      <c r="L77" s="921"/>
      <c r="M77" s="921"/>
      <c r="N77" s="921"/>
      <c r="O77" s="924"/>
      <c r="P77" s="924"/>
      <c r="Q77" s="924"/>
      <c r="R77" s="924"/>
      <c r="S77" s="924"/>
      <c r="T77" s="924"/>
      <c r="U77" s="924"/>
      <c r="V77" s="924"/>
    </row>
    <row r="78" spans="2:22" ht="14.15" customHeight="1" x14ac:dyDescent="0.3">
      <c r="E78" s="23" t="s">
        <v>338</v>
      </c>
      <c r="G78" s="926"/>
      <c r="H78" s="921" t="s">
        <v>288</v>
      </c>
      <c r="I78" s="921"/>
      <c r="J78" s="921"/>
      <c r="K78" s="921" t="s">
        <v>288</v>
      </c>
      <c r="L78" s="921"/>
      <c r="M78" s="921"/>
      <c r="N78" s="921"/>
      <c r="O78" s="924" t="s">
        <v>339</v>
      </c>
      <c r="P78" s="924"/>
      <c r="Q78" s="924"/>
      <c r="R78" s="924"/>
      <c r="S78" s="924"/>
      <c r="T78" s="924"/>
      <c r="U78" s="924"/>
      <c r="V78" s="924"/>
    </row>
    <row r="79" spans="2:22" ht="12.65" customHeight="1" x14ac:dyDescent="0.3">
      <c r="G79" s="926"/>
      <c r="H79" s="921"/>
      <c r="I79" s="921"/>
      <c r="J79" s="921"/>
      <c r="K79" s="921"/>
      <c r="L79" s="921"/>
      <c r="M79" s="921"/>
      <c r="N79" s="921"/>
      <c r="O79" s="924"/>
      <c r="P79" s="924"/>
      <c r="Q79" s="924"/>
      <c r="R79" s="924"/>
      <c r="S79" s="924"/>
      <c r="T79" s="924"/>
      <c r="U79" s="924"/>
      <c r="V79" s="924"/>
    </row>
    <row r="80" spans="2:22" ht="14.15" customHeight="1" x14ac:dyDescent="0.3">
      <c r="E80" s="23" t="s">
        <v>340</v>
      </c>
      <c r="G80" s="922"/>
      <c r="H80" s="921" t="s">
        <v>288</v>
      </c>
      <c r="I80" s="921"/>
      <c r="J80" s="921"/>
      <c r="K80" s="921" t="s">
        <v>288</v>
      </c>
      <c r="L80" s="921"/>
      <c r="M80" s="921"/>
      <c r="N80" s="921"/>
      <c r="O80" s="921" t="s">
        <v>341</v>
      </c>
      <c r="P80" s="921"/>
      <c r="Q80" s="921"/>
      <c r="R80" s="921"/>
      <c r="S80" s="921"/>
      <c r="T80" s="921"/>
      <c r="U80" s="921"/>
      <c r="V80" s="921"/>
    </row>
    <row r="81" spans="5:22" ht="34" customHeight="1" x14ac:dyDescent="0.3">
      <c r="G81" s="922"/>
      <c r="H81" s="921"/>
      <c r="I81" s="921"/>
      <c r="J81" s="921"/>
      <c r="K81" s="921"/>
      <c r="L81" s="921"/>
      <c r="M81" s="921"/>
      <c r="N81" s="921"/>
      <c r="O81" s="921"/>
      <c r="P81" s="921"/>
      <c r="Q81" s="921"/>
      <c r="R81" s="921"/>
      <c r="S81" s="921"/>
      <c r="T81" s="921"/>
      <c r="U81" s="921"/>
      <c r="V81" s="921"/>
    </row>
    <row r="82" spans="5:22" ht="14" x14ac:dyDescent="0.3">
      <c r="E82" s="23" t="s">
        <v>342</v>
      </c>
      <c r="G82" s="925"/>
      <c r="H82" s="921" t="s">
        <v>288</v>
      </c>
      <c r="I82" s="921"/>
      <c r="J82" s="921"/>
      <c r="K82" s="921" t="s">
        <v>288</v>
      </c>
      <c r="L82" s="921"/>
      <c r="M82" s="921"/>
      <c r="N82" s="921"/>
      <c r="O82" s="924" t="s">
        <v>343</v>
      </c>
      <c r="P82" s="924"/>
      <c r="Q82" s="924"/>
      <c r="R82" s="924"/>
      <c r="S82" s="924"/>
      <c r="T82" s="924"/>
      <c r="U82" s="924"/>
      <c r="V82" s="924"/>
    </row>
    <row r="83" spans="5:22" ht="13" x14ac:dyDescent="0.3">
      <c r="G83" s="925"/>
      <c r="H83" s="921"/>
      <c r="I83" s="921"/>
      <c r="J83" s="921"/>
      <c r="K83" s="921"/>
      <c r="L83" s="921"/>
      <c r="M83" s="921"/>
      <c r="N83" s="921"/>
      <c r="O83" s="924"/>
      <c r="P83" s="924"/>
      <c r="Q83" s="924"/>
      <c r="R83" s="924"/>
      <c r="S83" s="924"/>
      <c r="T83" s="924"/>
      <c r="U83" s="924"/>
      <c r="V83" s="924"/>
    </row>
    <row r="84" spans="5:22" ht="14.15" customHeight="1" x14ac:dyDescent="0.3">
      <c r="E84" s="23" t="s">
        <v>344</v>
      </c>
      <c r="G84" s="926"/>
      <c r="H84" s="921" t="s">
        <v>288</v>
      </c>
      <c r="I84" s="921"/>
      <c r="J84" s="921"/>
      <c r="K84" s="921" t="s">
        <v>288</v>
      </c>
      <c r="L84" s="921"/>
      <c r="M84" s="921"/>
      <c r="N84" s="921"/>
      <c r="O84" s="924" t="s">
        <v>288</v>
      </c>
      <c r="P84" s="924"/>
      <c r="Q84" s="924"/>
      <c r="R84" s="924"/>
      <c r="S84" s="924"/>
      <c r="T84" s="924"/>
      <c r="U84" s="924"/>
      <c r="V84" s="924"/>
    </row>
    <row r="85" spans="5:22" ht="12.65" customHeight="1" x14ac:dyDescent="0.3">
      <c r="G85" s="926"/>
      <c r="H85" s="921"/>
      <c r="I85" s="921"/>
      <c r="J85" s="921"/>
      <c r="K85" s="921"/>
      <c r="L85" s="921"/>
      <c r="M85" s="921"/>
      <c r="N85" s="921"/>
      <c r="O85" s="924"/>
      <c r="P85" s="924"/>
      <c r="Q85" s="924"/>
      <c r="R85" s="924"/>
      <c r="S85" s="924"/>
      <c r="T85" s="924"/>
      <c r="U85" s="924"/>
      <c r="V85" s="924"/>
    </row>
    <row r="86" spans="5:22" ht="14.15" customHeight="1" x14ac:dyDescent="0.3">
      <c r="E86" s="23" t="s">
        <v>345</v>
      </c>
      <c r="G86" s="923"/>
      <c r="H86" s="921" t="s">
        <v>288</v>
      </c>
      <c r="I86" s="921"/>
      <c r="J86" s="921"/>
      <c r="K86" s="921" t="s">
        <v>288</v>
      </c>
      <c r="L86" s="921"/>
      <c r="M86" s="921"/>
      <c r="N86" s="921"/>
      <c r="O86" s="924" t="s">
        <v>346</v>
      </c>
      <c r="P86" s="924"/>
      <c r="Q86" s="924"/>
      <c r="R86" s="924"/>
      <c r="S86" s="924"/>
      <c r="T86" s="924"/>
      <c r="U86" s="924"/>
      <c r="V86" s="924"/>
    </row>
    <row r="87" spans="5:22" ht="12.65" customHeight="1" x14ac:dyDescent="0.3">
      <c r="G87" s="923"/>
      <c r="H87" s="921"/>
      <c r="I87" s="921"/>
      <c r="J87" s="921"/>
      <c r="K87" s="921"/>
      <c r="L87" s="921"/>
      <c r="M87" s="921"/>
      <c r="N87" s="921"/>
      <c r="O87" s="924"/>
      <c r="P87" s="924"/>
      <c r="Q87" s="924"/>
      <c r="R87" s="924"/>
      <c r="S87" s="924"/>
      <c r="T87" s="924"/>
      <c r="U87" s="924"/>
      <c r="V87" s="924"/>
    </row>
    <row r="88" spans="5:22" ht="14.15" customHeight="1" x14ac:dyDescent="0.3">
      <c r="E88" s="23" t="s">
        <v>347</v>
      </c>
      <c r="G88" s="923"/>
      <c r="H88" s="921" t="s">
        <v>288</v>
      </c>
      <c r="I88" s="921"/>
      <c r="J88" s="921"/>
      <c r="K88" s="921" t="s">
        <v>288</v>
      </c>
      <c r="L88" s="921"/>
      <c r="M88" s="921"/>
      <c r="N88" s="921"/>
      <c r="O88" s="921" t="s">
        <v>348</v>
      </c>
      <c r="P88" s="921"/>
      <c r="Q88" s="921"/>
      <c r="R88" s="921"/>
      <c r="S88" s="921"/>
      <c r="T88" s="921"/>
      <c r="U88" s="921"/>
      <c r="V88" s="921"/>
    </row>
    <row r="89" spans="5:22" ht="13.4" customHeight="1" x14ac:dyDescent="0.3">
      <c r="E89" s="23"/>
      <c r="G89" s="923"/>
      <c r="H89" s="921"/>
      <c r="I89" s="921"/>
      <c r="J89" s="921"/>
      <c r="K89" s="921"/>
      <c r="L89" s="921"/>
      <c r="M89" s="921"/>
      <c r="N89" s="921"/>
      <c r="O89" s="921"/>
      <c r="P89" s="921"/>
      <c r="Q89" s="921"/>
      <c r="R89" s="921"/>
      <c r="S89" s="921"/>
      <c r="T89" s="921"/>
      <c r="U89" s="921"/>
      <c r="V89" s="921"/>
    </row>
    <row r="90" spans="5:22" ht="23.15" customHeight="1" x14ac:dyDescent="0.3">
      <c r="E90" s="23" t="s">
        <v>349</v>
      </c>
      <c r="G90" s="922"/>
      <c r="H90" s="921" t="s">
        <v>350</v>
      </c>
      <c r="I90" s="921"/>
      <c r="J90" s="921"/>
      <c r="K90" s="921" t="s">
        <v>351</v>
      </c>
      <c r="L90" s="921"/>
      <c r="M90" s="921"/>
      <c r="N90" s="921"/>
      <c r="O90" s="921" t="s">
        <v>352</v>
      </c>
      <c r="P90" s="921"/>
      <c r="Q90" s="921"/>
      <c r="R90" s="921"/>
      <c r="S90" s="921"/>
      <c r="T90" s="921"/>
      <c r="U90" s="921"/>
      <c r="V90" s="921"/>
    </row>
    <row r="91" spans="5:22" ht="27" customHeight="1" x14ac:dyDescent="0.3">
      <c r="E91" s="23"/>
      <c r="G91" s="922"/>
      <c r="H91" s="921"/>
      <c r="I91" s="921"/>
      <c r="J91" s="921"/>
      <c r="K91" s="921"/>
      <c r="L91" s="921"/>
      <c r="M91" s="921"/>
      <c r="N91" s="921"/>
      <c r="O91" s="921"/>
      <c r="P91" s="921"/>
      <c r="Q91" s="921"/>
      <c r="R91" s="921"/>
      <c r="S91" s="921"/>
      <c r="T91" s="921"/>
      <c r="U91" s="921"/>
      <c r="V91" s="921"/>
    </row>
    <row r="92" spans="5:22" ht="14.15" customHeight="1" x14ac:dyDescent="0.3">
      <c r="E92" s="23" t="s">
        <v>353</v>
      </c>
      <c r="G92" s="920"/>
      <c r="H92" s="921" t="s">
        <v>288</v>
      </c>
      <c r="I92" s="921"/>
      <c r="J92" s="921"/>
      <c r="K92" s="921" t="s">
        <v>288</v>
      </c>
      <c r="L92" s="921"/>
      <c r="M92" s="921"/>
      <c r="N92" s="921"/>
      <c r="O92" s="921" t="s">
        <v>354</v>
      </c>
      <c r="P92" s="921"/>
      <c r="Q92" s="921"/>
      <c r="R92" s="921"/>
      <c r="S92" s="921"/>
      <c r="T92" s="921"/>
      <c r="U92" s="921"/>
      <c r="V92" s="921"/>
    </row>
    <row r="93" spans="5:22" ht="12.65" customHeight="1" x14ac:dyDescent="0.3">
      <c r="G93" s="920"/>
      <c r="H93" s="921"/>
      <c r="I93" s="921"/>
      <c r="J93" s="921"/>
      <c r="K93" s="921"/>
      <c r="L93" s="921"/>
      <c r="M93" s="921"/>
      <c r="N93" s="921"/>
      <c r="O93" s="921"/>
      <c r="P93" s="921"/>
      <c r="Q93" s="921"/>
      <c r="R93" s="921"/>
      <c r="S93" s="921"/>
      <c r="T93" s="921"/>
      <c r="U93" s="921"/>
      <c r="V93" s="921"/>
    </row>
    <row r="94" spans="5:22" ht="14.15" customHeight="1" x14ac:dyDescent="0.3">
      <c r="E94" s="23" t="s">
        <v>355</v>
      </c>
      <c r="G94" s="920"/>
      <c r="H94" s="921" t="s">
        <v>288</v>
      </c>
      <c r="I94" s="921"/>
      <c r="J94" s="921"/>
      <c r="K94" s="921" t="s">
        <v>288</v>
      </c>
      <c r="L94" s="921"/>
      <c r="M94" s="921"/>
      <c r="N94" s="921"/>
      <c r="O94" s="921" t="s">
        <v>356</v>
      </c>
      <c r="P94" s="921"/>
      <c r="Q94" s="921"/>
      <c r="R94" s="921"/>
      <c r="S94" s="921"/>
      <c r="T94" s="921"/>
      <c r="U94" s="921"/>
      <c r="V94" s="921"/>
    </row>
    <row r="95" spans="5:22" ht="12.65" customHeight="1" x14ac:dyDescent="0.3">
      <c r="G95" s="920"/>
      <c r="H95" s="921"/>
      <c r="I95" s="921"/>
      <c r="J95" s="921"/>
      <c r="K95" s="921"/>
      <c r="L95" s="921"/>
      <c r="M95" s="921"/>
      <c r="N95" s="921"/>
      <c r="O95" s="921"/>
      <c r="P95" s="921"/>
      <c r="Q95" s="921"/>
      <c r="R95" s="921"/>
      <c r="S95" s="921"/>
      <c r="T95" s="921"/>
      <c r="U95" s="921"/>
      <c r="V95" s="921"/>
    </row>
  </sheetData>
  <mergeCells count="120">
    <mergeCell ref="G17:L18"/>
    <mergeCell ref="G19:L20"/>
    <mergeCell ref="G21:L22"/>
    <mergeCell ref="P21:U22"/>
    <mergeCell ref="G5:L6"/>
    <mergeCell ref="G7:L8"/>
    <mergeCell ref="G9:L10"/>
    <mergeCell ref="G11:L12"/>
    <mergeCell ref="G13:L14"/>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51:G52"/>
    <mergeCell ref="H51:J52"/>
    <mergeCell ref="K51:N52"/>
    <mergeCell ref="O51:V52"/>
    <mergeCell ref="G53:G54"/>
    <mergeCell ref="H53:J54"/>
    <mergeCell ref="K53:N54"/>
    <mergeCell ref="O53:V54"/>
    <mergeCell ref="G49:G50"/>
    <mergeCell ref="H49:J50"/>
    <mergeCell ref="K49:N50"/>
    <mergeCell ref="O49:V50"/>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67:G68"/>
    <mergeCell ref="H67:J68"/>
    <mergeCell ref="K67:N68"/>
    <mergeCell ref="O67:V68"/>
    <mergeCell ref="G69:G70"/>
    <mergeCell ref="H69:J70"/>
    <mergeCell ref="K69:N70"/>
    <mergeCell ref="O69:V70"/>
    <mergeCell ref="G63:G64"/>
    <mergeCell ref="H63:J64"/>
    <mergeCell ref="O63:V64"/>
    <mergeCell ref="G65:G66"/>
    <mergeCell ref="H65:J66"/>
    <mergeCell ref="K63:N64"/>
    <mergeCell ref="O65:V66"/>
    <mergeCell ref="K65:N66"/>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86:G87"/>
    <mergeCell ref="H86:J87"/>
    <mergeCell ref="K86:N87"/>
    <mergeCell ref="O86:V87"/>
    <mergeCell ref="G88:G89"/>
    <mergeCell ref="H88:J89"/>
    <mergeCell ref="K88:N89"/>
    <mergeCell ref="O88:V89"/>
    <mergeCell ref="G82:G83"/>
    <mergeCell ref="H82:J83"/>
    <mergeCell ref="K82:N83"/>
    <mergeCell ref="O82:V83"/>
    <mergeCell ref="G84:G85"/>
    <mergeCell ref="H84:J85"/>
    <mergeCell ref="K84:N85"/>
    <mergeCell ref="O84:V85"/>
    <mergeCell ref="G94:G95"/>
    <mergeCell ref="H94:J95"/>
    <mergeCell ref="K94:N95"/>
    <mergeCell ref="O94:V95"/>
    <mergeCell ref="G90:G91"/>
    <mergeCell ref="H90:J91"/>
    <mergeCell ref="K90:N91"/>
    <mergeCell ref="O90:V91"/>
    <mergeCell ref="G92:G93"/>
    <mergeCell ref="H92:J93"/>
    <mergeCell ref="K92:N93"/>
    <mergeCell ref="O92:V93"/>
  </mergeCells>
  <dataValidations count="1">
    <dataValidation type="list" allowBlank="1" showInputMessage="1" showErrorMessage="1" sqref="F6" xr:uid="{00000000-0002-0000-0400-000000000000}">
      <formula1>#REF!</formula1>
    </dataValidation>
  </dataValidations>
  <hyperlinks>
    <hyperlink ref="C51" r:id="rId1" xr:uid="{5A2FF107-3C0B-4243-A264-1698795C50E5}"/>
    <hyperlink ref="C50" r:id="rId2" xr:uid="{2687E535-4847-4149-87F5-6D98E6DF3198}"/>
    <hyperlink ref="C49" r:id="rId3" xr:uid="{755C5BCB-6EA1-5742-8763-A87819FA8C0C}"/>
  </hyperlinks>
  <pageMargins left="0.7" right="0.7" top="0.75" bottom="0.75" header="0.3" footer="0.3"/>
  <pageSetup paperSize="9" orientation="portrait" r:id="rId4"/>
  <drawing r:id="rId5"/>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A2:R86"/>
  <sheetViews>
    <sheetView showGridLines="0" zoomScale="106" zoomScaleNormal="85" workbookViewId="0">
      <selection activeCell="A79" sqref="A79"/>
    </sheetView>
  </sheetViews>
  <sheetFormatPr defaultColWidth="8.83203125" defaultRowHeight="14" x14ac:dyDescent="0.3"/>
  <cols>
    <col min="1" max="1" width="2.58203125" customWidth="1"/>
    <col min="5" max="5" width="30.58203125" customWidth="1"/>
    <col min="6" max="6" width="13.08203125" customWidth="1"/>
    <col min="7" max="17" width="11.08203125" customWidth="1"/>
    <col min="18" max="18" width="20.58203125" style="6" customWidth="1"/>
  </cols>
  <sheetData>
    <row r="2" spans="1:18" s="38" customFormat="1" ht="20.25" customHeight="1" x14ac:dyDescent="0.4">
      <c r="B2" s="659" t="s">
        <v>357</v>
      </c>
      <c r="R2" s="699"/>
    </row>
    <row r="4" spans="1:18" ht="15.5" x14ac:dyDescent="0.35">
      <c r="A4" t="s">
        <v>358</v>
      </c>
      <c r="B4" s="222" t="s">
        <v>359</v>
      </c>
      <c r="C4" s="56"/>
      <c r="D4" s="56"/>
      <c r="E4" s="56"/>
      <c r="F4" s="56"/>
      <c r="G4" s="223">
        <v>2014</v>
      </c>
      <c r="H4" s="223">
        <f>+G4+1</f>
        <v>2015</v>
      </c>
      <c r="I4" s="223">
        <f t="shared" ref="I4:M4" si="0">+H4+1</f>
        <v>2016</v>
      </c>
      <c r="J4" s="223">
        <f t="shared" si="0"/>
        <v>2017</v>
      </c>
      <c r="K4" s="223">
        <f t="shared" si="0"/>
        <v>2018</v>
      </c>
      <c r="L4" s="223">
        <f t="shared" si="0"/>
        <v>2019</v>
      </c>
      <c r="M4" s="223">
        <f t="shared" si="0"/>
        <v>2020</v>
      </c>
      <c r="N4" s="223">
        <f>+M4+1</f>
        <v>2021</v>
      </c>
      <c r="O4" s="223">
        <f>+N4+1</f>
        <v>2022</v>
      </c>
      <c r="P4" s="223">
        <f t="shared" ref="P4" si="1">+O4+1</f>
        <v>2023</v>
      </c>
      <c r="Q4" s="223">
        <f>+P4+1</f>
        <v>2024</v>
      </c>
      <c r="R4" s="58" t="str">
        <f>"CAGR "&amp;$G$4&amp;" - "&amp;$Q$4</f>
        <v>CAGR 2014 - 2024</v>
      </c>
    </row>
    <row r="5" spans="1:18" ht="3.75" customHeight="1" x14ac:dyDescent="0.35">
      <c r="B5" s="53"/>
      <c r="C5" s="53"/>
      <c r="D5" s="53"/>
      <c r="E5" s="53"/>
      <c r="F5" s="53"/>
      <c r="G5" s="224"/>
      <c r="H5" s="224"/>
      <c r="I5" s="224"/>
      <c r="J5" s="224"/>
      <c r="K5" s="224"/>
      <c r="L5" s="224"/>
      <c r="M5" s="224"/>
      <c r="N5" s="224"/>
      <c r="O5" s="224"/>
      <c r="P5" s="224"/>
      <c r="Q5" s="224"/>
      <c r="R5" s="60"/>
    </row>
    <row r="6" spans="1:18" x14ac:dyDescent="0.3">
      <c r="B6" t="str">
        <f ca="1">+Peers!B6</f>
        <v>ANALOG DEVICES, INC.</v>
      </c>
      <c r="G6" s="202" t="s">
        <v>360</v>
      </c>
      <c r="H6" s="202">
        <v>133</v>
      </c>
      <c r="I6" s="202">
        <v>135</v>
      </c>
      <c r="J6" s="202">
        <v>50</v>
      </c>
      <c r="K6" s="202">
        <v>54</v>
      </c>
      <c r="L6" s="202" t="s">
        <v>360</v>
      </c>
      <c r="M6" s="202" t="s">
        <v>360</v>
      </c>
      <c r="N6" s="202" t="s">
        <v>360</v>
      </c>
      <c r="O6" s="202">
        <v>176</v>
      </c>
      <c r="P6" s="202">
        <v>138</v>
      </c>
      <c r="Q6" s="202" t="s">
        <v>360</v>
      </c>
      <c r="R6" s="700" t="str">
        <f t="shared" ref="R6:R16" si="2">IFERROR((Q6/G6)^(1/COUNT($G$4:$Q$4))-1,"")</f>
        <v/>
      </c>
    </row>
    <row r="7" spans="1:18" x14ac:dyDescent="0.3">
      <c r="B7" s="664" t="str">
        <f ca="1">+Peers!B8</f>
        <v>TEXAS INSTRUMENTS INCORPORATED</v>
      </c>
      <c r="C7" s="664"/>
      <c r="D7" s="664"/>
      <c r="E7" s="664"/>
      <c r="F7" s="664"/>
      <c r="G7" s="855">
        <v>1056</v>
      </c>
      <c r="H7" s="855">
        <v>1086</v>
      </c>
      <c r="I7" s="855">
        <v>1077</v>
      </c>
      <c r="J7" s="855">
        <v>1162</v>
      </c>
      <c r="K7" s="855">
        <v>1130</v>
      </c>
      <c r="L7" s="665">
        <v>970</v>
      </c>
      <c r="M7" s="665">
        <v>940</v>
      </c>
      <c r="N7" s="855">
        <v>1040</v>
      </c>
      <c r="O7" s="855">
        <v>1112</v>
      </c>
      <c r="P7" s="855">
        <v>1120</v>
      </c>
      <c r="Q7" s="665" t="s">
        <v>360</v>
      </c>
      <c r="R7" s="701" t="str">
        <f t="shared" si="2"/>
        <v/>
      </c>
    </row>
    <row r="8" spans="1:18" x14ac:dyDescent="0.3">
      <c r="B8" t="str">
        <f ca="1">+Peers!B9</f>
        <v>MICROCHIP TECHNOLOGY INCORPORATED</v>
      </c>
      <c r="G8" s="856">
        <v>1041</v>
      </c>
      <c r="H8" s="856">
        <v>1053</v>
      </c>
      <c r="I8" s="202">
        <v>976</v>
      </c>
      <c r="J8" s="856">
        <v>1490</v>
      </c>
      <c r="K8" s="202">
        <v>940</v>
      </c>
      <c r="L8" s="202">
        <v>900</v>
      </c>
      <c r="M8" s="856">
        <v>1040</v>
      </c>
      <c r="N8" s="856">
        <v>1150</v>
      </c>
      <c r="O8" s="856">
        <v>1180</v>
      </c>
      <c r="P8" s="202">
        <v>845</v>
      </c>
      <c r="Q8" s="202" t="s">
        <v>360</v>
      </c>
      <c r="R8" s="700" t="str">
        <f t="shared" si="2"/>
        <v/>
      </c>
    </row>
    <row r="9" spans="1:18" x14ac:dyDescent="0.3">
      <c r="B9" s="664" t="str">
        <f ca="1">+Peers!B10</f>
        <v>MONOLITHIC POWER SYSTEMS, INC.</v>
      </c>
      <c r="C9" s="664"/>
      <c r="D9" s="664"/>
      <c r="E9" s="664"/>
      <c r="F9" s="664"/>
      <c r="G9" s="665" t="s">
        <v>360</v>
      </c>
      <c r="H9" s="855">
        <v>1415</v>
      </c>
      <c r="I9" s="855">
        <v>1724</v>
      </c>
      <c r="J9" s="855">
        <v>2844</v>
      </c>
      <c r="K9" s="855">
        <v>2946</v>
      </c>
      <c r="L9" s="855">
        <v>3195</v>
      </c>
      <c r="M9" s="855">
        <v>3048</v>
      </c>
      <c r="N9" s="855">
        <v>3340</v>
      </c>
      <c r="O9" s="855">
        <v>3478</v>
      </c>
      <c r="P9" s="855">
        <v>2699</v>
      </c>
      <c r="Q9" s="664" t="s">
        <v>360</v>
      </c>
      <c r="R9" s="701" t="str">
        <f t="shared" si="2"/>
        <v/>
      </c>
    </row>
    <row r="10" spans="1:18" x14ac:dyDescent="0.3">
      <c r="B10" t="str">
        <f ca="1">+Peers!B11</f>
        <v>SKYWORKS SOLUTIONS, INC.</v>
      </c>
      <c r="G10" s="202" t="s">
        <v>360</v>
      </c>
      <c r="H10" s="202" t="s">
        <v>360</v>
      </c>
      <c r="I10" s="202" t="s">
        <v>360</v>
      </c>
      <c r="J10" s="202" t="s">
        <v>360</v>
      </c>
      <c r="K10" s="202" t="s">
        <v>360</v>
      </c>
      <c r="L10" s="202" t="s">
        <v>360</v>
      </c>
      <c r="M10" s="202" t="s">
        <v>360</v>
      </c>
      <c r="N10" s="202" t="s">
        <v>360</v>
      </c>
      <c r="O10" s="202" t="s">
        <v>360</v>
      </c>
      <c r="P10" s="202" t="s">
        <v>360</v>
      </c>
      <c r="Q10" s="202" t="s">
        <v>360</v>
      </c>
      <c r="R10" s="700" t="str">
        <f t="shared" si="2"/>
        <v/>
      </c>
    </row>
    <row r="11" spans="1:18" x14ac:dyDescent="0.3">
      <c r="B11" s="664" t="str">
        <f ca="1">+Peers!B12</f>
        <v>MACOM TECHNOLOGY SOLUTIONS HOLDINGS, INC.</v>
      </c>
      <c r="C11" s="664"/>
      <c r="D11" s="664"/>
      <c r="E11" s="664"/>
      <c r="F11" s="664"/>
      <c r="G11" s="665" t="s">
        <v>360</v>
      </c>
      <c r="H11" s="665" t="s">
        <v>360</v>
      </c>
      <c r="I11" s="665" t="s">
        <v>360</v>
      </c>
      <c r="J11" s="665">
        <v>0</v>
      </c>
      <c r="K11" s="665">
        <v>0</v>
      </c>
      <c r="L11" s="665">
        <v>0</v>
      </c>
      <c r="M11" s="665">
        <v>0</v>
      </c>
      <c r="N11" s="665">
        <v>2</v>
      </c>
      <c r="O11" s="665">
        <v>4</v>
      </c>
      <c r="P11" s="665">
        <v>3</v>
      </c>
      <c r="Q11" s="665" t="s">
        <v>360</v>
      </c>
      <c r="R11" s="701" t="str">
        <f t="shared" si="2"/>
        <v/>
      </c>
    </row>
    <row r="12" spans="1:18" x14ac:dyDescent="0.3">
      <c r="B12" t="str">
        <f ca="1">+Peers!B13</f>
        <v>MARVELL TECHNOLOGY, INC.</v>
      </c>
      <c r="G12" s="202">
        <v>133</v>
      </c>
      <c r="H12" s="202">
        <v>170</v>
      </c>
      <c r="I12" s="202">
        <v>193</v>
      </c>
      <c r="J12" s="202">
        <v>451</v>
      </c>
      <c r="K12" s="202">
        <v>488</v>
      </c>
      <c r="L12" s="202">
        <v>529</v>
      </c>
      <c r="M12" s="202">
        <v>426</v>
      </c>
      <c r="N12" s="202">
        <v>348</v>
      </c>
      <c r="O12" s="202">
        <v>408</v>
      </c>
      <c r="P12" s="202">
        <v>424</v>
      </c>
      <c r="Q12" s="202">
        <v>440</v>
      </c>
      <c r="R12" s="700">
        <f t="shared" si="2"/>
        <v>0.1149013922054134</v>
      </c>
    </row>
    <row r="13" spans="1:18" x14ac:dyDescent="0.3">
      <c r="B13" s="664" t="str">
        <f ca="1">+Peers!B14</f>
        <v>INTEL CORPORATION</v>
      </c>
      <c r="C13" s="664"/>
      <c r="D13" s="664"/>
      <c r="E13" s="664"/>
      <c r="F13" s="664"/>
      <c r="G13" s="665">
        <v>11</v>
      </c>
      <c r="H13" s="665">
        <v>12</v>
      </c>
      <c r="I13" s="665">
        <v>15</v>
      </c>
      <c r="J13" s="665">
        <v>16</v>
      </c>
      <c r="K13" s="665">
        <v>22</v>
      </c>
      <c r="L13" s="665">
        <v>27</v>
      </c>
      <c r="M13" s="665">
        <v>7</v>
      </c>
      <c r="N13" s="665">
        <v>9</v>
      </c>
      <c r="O13" s="665">
        <v>8</v>
      </c>
      <c r="P13" s="665">
        <v>12</v>
      </c>
      <c r="Q13" s="665" t="s">
        <v>360</v>
      </c>
      <c r="R13" s="701" t="str">
        <f t="shared" si="2"/>
        <v/>
      </c>
    </row>
    <row r="14" spans="1:18" x14ac:dyDescent="0.3">
      <c r="B14" t="str">
        <f ca="1">+Peers!B15</f>
        <v>MICRON TECHNOLOGY, INC.</v>
      </c>
      <c r="G14" s="202" t="s">
        <v>360</v>
      </c>
      <c r="H14" s="202" t="s">
        <v>360</v>
      </c>
      <c r="I14" s="202" t="s">
        <v>360</v>
      </c>
      <c r="J14" s="202" t="s">
        <v>360</v>
      </c>
      <c r="K14" s="202" t="s">
        <v>360</v>
      </c>
      <c r="L14" s="202" t="s">
        <v>360</v>
      </c>
      <c r="M14" s="202" t="s">
        <v>360</v>
      </c>
      <c r="N14" s="202" t="s">
        <v>360</v>
      </c>
      <c r="O14" s="202" t="s">
        <v>360</v>
      </c>
      <c r="P14" s="202" t="s">
        <v>360</v>
      </c>
      <c r="Q14" s="202" t="s">
        <v>360</v>
      </c>
      <c r="R14" s="700" t="str">
        <f t="shared" si="2"/>
        <v/>
      </c>
    </row>
    <row r="15" spans="1:18" x14ac:dyDescent="0.3">
      <c r="B15" s="664" t="str">
        <f ca="1">+Peers!B16</f>
        <v>FIRST SOLAR, INC.</v>
      </c>
      <c r="C15" s="664"/>
      <c r="D15" s="664"/>
      <c r="E15" s="664"/>
      <c r="F15" s="664"/>
      <c r="G15" s="665" t="s">
        <v>360</v>
      </c>
      <c r="H15" s="665" t="s">
        <v>360</v>
      </c>
      <c r="I15" s="665" t="s">
        <v>360</v>
      </c>
      <c r="J15" s="665" t="s">
        <v>360</v>
      </c>
      <c r="K15" s="665" t="s">
        <v>360</v>
      </c>
      <c r="L15" s="665" t="s">
        <v>360</v>
      </c>
      <c r="M15" s="665" t="s">
        <v>360</v>
      </c>
      <c r="N15" s="665" t="s">
        <v>360</v>
      </c>
      <c r="O15" s="665">
        <v>38</v>
      </c>
      <c r="P15" s="665">
        <v>30</v>
      </c>
      <c r="Q15" s="665" t="s">
        <v>360</v>
      </c>
      <c r="R15" s="701" t="str">
        <f t="shared" si="2"/>
        <v/>
      </c>
    </row>
    <row r="16" spans="1:18" x14ac:dyDescent="0.3">
      <c r="B16" t="str">
        <f ca="1">+Peers!B17</f>
        <v>ALTRI, S.G.P.S., S.A.</v>
      </c>
      <c r="G16" s="202" t="s">
        <v>360</v>
      </c>
      <c r="H16" s="202" t="s">
        <v>360</v>
      </c>
      <c r="I16" s="202" t="s">
        <v>360</v>
      </c>
      <c r="J16" s="202" t="s">
        <v>360</v>
      </c>
      <c r="K16" s="202" t="s">
        <v>360</v>
      </c>
      <c r="L16" s="202">
        <v>11</v>
      </c>
      <c r="M16" s="202">
        <v>10</v>
      </c>
      <c r="N16" s="202">
        <v>9</v>
      </c>
      <c r="O16" s="202">
        <v>20</v>
      </c>
      <c r="P16" s="202">
        <v>21</v>
      </c>
      <c r="Q16" s="202" t="s">
        <v>360</v>
      </c>
      <c r="R16" s="700" t="str">
        <f t="shared" si="2"/>
        <v/>
      </c>
    </row>
    <row r="17" spans="1:18" x14ac:dyDescent="0.3">
      <c r="G17" s="202"/>
      <c r="H17" s="202"/>
      <c r="I17" s="202"/>
      <c r="J17" s="202"/>
      <c r="K17" s="202"/>
      <c r="L17" s="202"/>
      <c r="M17" s="202"/>
      <c r="N17" s="202"/>
      <c r="O17" s="202"/>
      <c r="P17" s="202"/>
      <c r="Q17" s="202"/>
    </row>
    <row r="18" spans="1:18" ht="15.5" x14ac:dyDescent="0.35">
      <c r="A18" t="s">
        <v>358</v>
      </c>
      <c r="B18" s="222" t="s">
        <v>361</v>
      </c>
      <c r="C18" s="56"/>
      <c r="D18" s="56"/>
      <c r="E18" s="56"/>
      <c r="F18" s="56"/>
      <c r="G18" s="223">
        <v>2014</v>
      </c>
      <c r="H18" s="223">
        <f t="shared" ref="H18:Q18" si="3">+G18+1</f>
        <v>2015</v>
      </c>
      <c r="I18" s="223">
        <f t="shared" si="3"/>
        <v>2016</v>
      </c>
      <c r="J18" s="223">
        <f t="shared" si="3"/>
        <v>2017</v>
      </c>
      <c r="K18" s="223">
        <f t="shared" si="3"/>
        <v>2018</v>
      </c>
      <c r="L18" s="223">
        <f t="shared" si="3"/>
        <v>2019</v>
      </c>
      <c r="M18" s="223">
        <f t="shared" si="3"/>
        <v>2020</v>
      </c>
      <c r="N18" s="223">
        <f t="shared" si="3"/>
        <v>2021</v>
      </c>
      <c r="O18" s="223">
        <f t="shared" si="3"/>
        <v>2022</v>
      </c>
      <c r="P18" s="223">
        <f t="shared" si="3"/>
        <v>2023</v>
      </c>
      <c r="Q18" s="223">
        <f t="shared" si="3"/>
        <v>2024</v>
      </c>
      <c r="R18" s="58" t="str">
        <f>"CAGR "&amp;$G$4&amp;" - "&amp;$Q$4</f>
        <v>CAGR 2014 - 2024</v>
      </c>
    </row>
    <row r="19" spans="1:18" s="96" customFormat="1" ht="3.75" customHeight="1" x14ac:dyDescent="0.35">
      <c r="B19" s="660"/>
      <c r="C19" s="660"/>
      <c r="D19" s="660"/>
      <c r="E19" s="660"/>
      <c r="F19" s="660"/>
      <c r="G19" s="661"/>
      <c r="H19" s="661"/>
      <c r="I19" s="661"/>
      <c r="J19" s="661"/>
      <c r="K19" s="661"/>
      <c r="L19" s="661"/>
      <c r="M19" s="661"/>
      <c r="N19" s="661"/>
      <c r="O19" s="661"/>
      <c r="P19" s="661"/>
      <c r="Q19" s="661"/>
      <c r="R19" s="662"/>
    </row>
    <row r="20" spans="1:18" x14ac:dyDescent="0.3">
      <c r="B20" t="str">
        <f ca="1">+$B$6</f>
        <v>ANALOG DEVICES, INC.</v>
      </c>
      <c r="G20" s="202" t="s">
        <v>360</v>
      </c>
      <c r="H20" s="202">
        <v>86</v>
      </c>
      <c r="I20" s="202">
        <v>83</v>
      </c>
      <c r="J20" s="202">
        <v>94</v>
      </c>
      <c r="K20" s="202">
        <v>94</v>
      </c>
      <c r="L20" s="202" t="s">
        <v>360</v>
      </c>
      <c r="M20" s="202" t="s">
        <v>360</v>
      </c>
      <c r="N20" s="202" t="s">
        <v>360</v>
      </c>
      <c r="O20" s="202">
        <v>149</v>
      </c>
      <c r="P20" s="202">
        <v>140</v>
      </c>
      <c r="Q20" s="202" t="s">
        <v>360</v>
      </c>
      <c r="R20" s="700" t="str">
        <f t="shared" ref="R20:R30" si="4">IFERROR((Q20/G20)^(1/COUNT($G$4:$Q$4))-1,"")</f>
        <v/>
      </c>
    </row>
    <row r="21" spans="1:18" x14ac:dyDescent="0.3">
      <c r="B21" s="664" t="str">
        <f ca="1">+$B$7</f>
        <v>TEXAS INSTRUMENTS INCORPORATED</v>
      </c>
      <c r="C21" s="664"/>
      <c r="D21" s="664"/>
      <c r="E21" s="664"/>
      <c r="F21" s="664"/>
      <c r="G21" s="665" t="s">
        <v>360</v>
      </c>
      <c r="H21" s="855">
        <v>1385</v>
      </c>
      <c r="I21" s="665">
        <v>0</v>
      </c>
      <c r="J21" s="665">
        <v>22</v>
      </c>
      <c r="K21" s="855">
        <v>1120</v>
      </c>
      <c r="L21" s="855">
        <v>1100</v>
      </c>
      <c r="M21" s="855">
        <v>1010</v>
      </c>
      <c r="N21" s="855">
        <v>1040</v>
      </c>
      <c r="O21" s="855">
        <v>1057</v>
      </c>
      <c r="P21" s="855">
        <v>1100</v>
      </c>
      <c r="Q21" s="665" t="s">
        <v>360</v>
      </c>
      <c r="R21" s="701" t="str">
        <f t="shared" si="4"/>
        <v/>
      </c>
    </row>
    <row r="22" spans="1:18" x14ac:dyDescent="0.3">
      <c r="B22" t="str">
        <f ca="1">+$B$8</f>
        <v>MICROCHIP TECHNOLOGY INCORPORATED</v>
      </c>
      <c r="G22" s="202" t="s">
        <v>360</v>
      </c>
      <c r="H22" s="202">
        <v>946</v>
      </c>
      <c r="I22" s="202">
        <v>647</v>
      </c>
      <c r="J22" s="202">
        <v>971</v>
      </c>
      <c r="K22" s="202">
        <v>660</v>
      </c>
      <c r="L22" s="202">
        <v>660</v>
      </c>
      <c r="M22" s="202">
        <v>280</v>
      </c>
      <c r="N22" s="202">
        <v>350</v>
      </c>
      <c r="O22" s="202">
        <v>350</v>
      </c>
      <c r="P22" s="202">
        <v>48</v>
      </c>
      <c r="Q22" s="202" t="s">
        <v>360</v>
      </c>
      <c r="R22" s="700" t="str">
        <f t="shared" si="4"/>
        <v/>
      </c>
    </row>
    <row r="23" spans="1:18" x14ac:dyDescent="0.3">
      <c r="B23" s="664" t="str">
        <f ca="1">+$B$9</f>
        <v>MONOLITHIC POWER SYSTEMS, INC.</v>
      </c>
      <c r="C23" s="664"/>
      <c r="D23" s="664"/>
      <c r="E23" s="664"/>
      <c r="F23" s="664"/>
      <c r="G23" s="666" t="s">
        <v>360</v>
      </c>
      <c r="H23" s="666">
        <v>1755</v>
      </c>
      <c r="I23" s="666">
        <v>2060</v>
      </c>
      <c r="J23" s="855">
        <v>2997</v>
      </c>
      <c r="K23" s="855">
        <v>3178</v>
      </c>
      <c r="L23" s="855">
        <v>3503</v>
      </c>
      <c r="M23" s="855">
        <v>3622</v>
      </c>
      <c r="N23" s="855">
        <v>3807</v>
      </c>
      <c r="O23" s="855">
        <v>4132</v>
      </c>
      <c r="P23" s="855">
        <v>4138</v>
      </c>
      <c r="Q23" s="664" t="s">
        <v>360</v>
      </c>
      <c r="R23" s="701" t="str">
        <f t="shared" si="4"/>
        <v/>
      </c>
    </row>
    <row r="24" spans="1:18" x14ac:dyDescent="0.3">
      <c r="B24" t="str">
        <f ca="1">+$B$10</f>
        <v>SKYWORKS SOLUTIONS, INC.</v>
      </c>
      <c r="G24" s="202" t="s">
        <v>360</v>
      </c>
      <c r="H24" s="202" t="s">
        <v>360</v>
      </c>
      <c r="I24" s="202" t="s">
        <v>360</v>
      </c>
      <c r="J24" s="202" t="s">
        <v>360</v>
      </c>
      <c r="K24" s="202" t="s">
        <v>360</v>
      </c>
      <c r="L24" s="202" t="s">
        <v>360</v>
      </c>
      <c r="M24" s="202" t="s">
        <v>360</v>
      </c>
      <c r="N24" s="202" t="s">
        <v>360</v>
      </c>
      <c r="O24" s="202" t="s">
        <v>360</v>
      </c>
      <c r="P24" s="202" t="s">
        <v>360</v>
      </c>
      <c r="Q24" s="202" t="s">
        <v>360</v>
      </c>
      <c r="R24" s="700" t="str">
        <f t="shared" si="4"/>
        <v/>
      </c>
    </row>
    <row r="25" spans="1:18" x14ac:dyDescent="0.3">
      <c r="B25" s="664" t="str">
        <f ca="1">+$B$11</f>
        <v>MACOM TECHNOLOGY SOLUTIONS HOLDINGS, INC.</v>
      </c>
      <c r="C25" s="664"/>
      <c r="D25" s="664"/>
      <c r="E25" s="664"/>
      <c r="F25" s="664"/>
      <c r="G25" s="665" t="s">
        <v>360</v>
      </c>
      <c r="H25" s="665" t="s">
        <v>360</v>
      </c>
      <c r="I25" s="665" t="s">
        <v>360</v>
      </c>
      <c r="J25" s="665" t="s">
        <v>360</v>
      </c>
      <c r="K25" s="665" t="s">
        <v>360</v>
      </c>
      <c r="L25" s="665" t="s">
        <v>360</v>
      </c>
      <c r="M25" s="665" t="s">
        <v>360</v>
      </c>
      <c r="N25" s="665">
        <v>17</v>
      </c>
      <c r="O25" s="665">
        <v>26</v>
      </c>
      <c r="P25" s="665">
        <v>24</v>
      </c>
      <c r="Q25" s="665" t="s">
        <v>360</v>
      </c>
      <c r="R25" s="701" t="str">
        <f t="shared" si="4"/>
        <v/>
      </c>
    </row>
    <row r="26" spans="1:18" x14ac:dyDescent="0.3">
      <c r="B26" t="str">
        <f ca="1">+$B$12</f>
        <v>MARVELL TECHNOLOGY, INC.</v>
      </c>
      <c r="G26" s="202" t="s">
        <v>360</v>
      </c>
      <c r="H26" s="202" t="s">
        <v>360</v>
      </c>
      <c r="I26" s="202" t="s">
        <v>360</v>
      </c>
      <c r="J26" s="202" t="s">
        <v>360</v>
      </c>
      <c r="K26" s="202" t="s">
        <v>360</v>
      </c>
      <c r="L26" s="202" t="s">
        <v>360</v>
      </c>
      <c r="M26" s="202" t="s">
        <v>360</v>
      </c>
      <c r="N26" s="202" t="s">
        <v>360</v>
      </c>
      <c r="O26" s="202" t="s">
        <v>360</v>
      </c>
      <c r="P26" s="202" t="s">
        <v>360</v>
      </c>
      <c r="Q26" s="202">
        <v>274</v>
      </c>
      <c r="R26" s="700" t="str">
        <f t="shared" si="4"/>
        <v/>
      </c>
    </row>
    <row r="27" spans="1:18" x14ac:dyDescent="0.3">
      <c r="B27" s="664" t="str">
        <f ca="1">+$B$13</f>
        <v>INTEL CORPORATION</v>
      </c>
      <c r="C27" s="664"/>
      <c r="D27" s="664"/>
      <c r="E27" s="664"/>
      <c r="F27" s="664"/>
      <c r="G27" s="665" t="s">
        <v>360</v>
      </c>
      <c r="H27" s="665">
        <v>300</v>
      </c>
      <c r="I27" s="665">
        <v>391</v>
      </c>
      <c r="J27" s="665">
        <v>309</v>
      </c>
      <c r="K27" s="665">
        <v>334</v>
      </c>
      <c r="L27" s="665">
        <v>442</v>
      </c>
      <c r="M27" s="665">
        <v>345</v>
      </c>
      <c r="N27" s="665">
        <v>552</v>
      </c>
      <c r="O27" s="665">
        <v>564</v>
      </c>
      <c r="P27" s="665">
        <v>777</v>
      </c>
      <c r="Q27" s="665" t="s">
        <v>360</v>
      </c>
      <c r="R27" s="701" t="str">
        <f t="shared" si="4"/>
        <v/>
      </c>
    </row>
    <row r="28" spans="1:18" x14ac:dyDescent="0.3">
      <c r="B28" t="str">
        <f ca="1">+$B$14</f>
        <v>MICRON TECHNOLOGY, INC.</v>
      </c>
      <c r="G28" s="202" t="s">
        <v>360</v>
      </c>
      <c r="H28" s="202" t="s">
        <v>360</v>
      </c>
      <c r="I28" s="202" t="s">
        <v>360</v>
      </c>
      <c r="J28" s="202" t="s">
        <v>360</v>
      </c>
      <c r="K28" s="202" t="s">
        <v>360</v>
      </c>
      <c r="L28" s="202" t="s">
        <v>360</v>
      </c>
      <c r="M28" s="202" t="s">
        <v>360</v>
      </c>
      <c r="N28" s="202" t="s">
        <v>360</v>
      </c>
      <c r="O28" s="202" t="s">
        <v>360</v>
      </c>
      <c r="P28" s="202" t="s">
        <v>360</v>
      </c>
      <c r="Q28" s="202" t="s">
        <v>360</v>
      </c>
      <c r="R28" s="700" t="str">
        <f t="shared" si="4"/>
        <v/>
      </c>
    </row>
    <row r="29" spans="1:18" x14ac:dyDescent="0.3">
      <c r="B29" s="664" t="str">
        <f ca="1">+$B$15</f>
        <v>FIRST SOLAR, INC.</v>
      </c>
      <c r="C29" s="664"/>
      <c r="D29" s="664"/>
      <c r="E29" s="664"/>
      <c r="F29" s="664"/>
      <c r="G29" s="665" t="s">
        <v>360</v>
      </c>
      <c r="H29" s="665" t="s">
        <v>360</v>
      </c>
      <c r="I29" s="665" t="s">
        <v>360</v>
      </c>
      <c r="J29" s="665" t="s">
        <v>360</v>
      </c>
      <c r="K29" s="665" t="s">
        <v>360</v>
      </c>
      <c r="L29" s="665" t="s">
        <v>360</v>
      </c>
      <c r="M29" s="665" t="s">
        <v>360</v>
      </c>
      <c r="N29" s="665" t="s">
        <v>360</v>
      </c>
      <c r="O29" s="665">
        <v>120</v>
      </c>
      <c r="P29" s="665">
        <v>92</v>
      </c>
      <c r="Q29" s="665" t="s">
        <v>360</v>
      </c>
      <c r="R29" s="701" t="str">
        <f t="shared" si="4"/>
        <v/>
      </c>
    </row>
    <row r="30" spans="1:18" x14ac:dyDescent="0.3">
      <c r="B30" t="str">
        <f ca="1">+$B$16</f>
        <v>ALTRI, S.G.P.S., S.A.</v>
      </c>
      <c r="G30" s="202" t="s">
        <v>360</v>
      </c>
      <c r="H30" s="202" t="s">
        <v>360</v>
      </c>
      <c r="I30" s="202" t="s">
        <v>360</v>
      </c>
      <c r="J30" s="202" t="s">
        <v>360</v>
      </c>
      <c r="K30" s="202" t="s">
        <v>360</v>
      </c>
      <c r="L30" s="202" t="s">
        <v>360</v>
      </c>
      <c r="M30" s="202" t="s">
        <v>360</v>
      </c>
      <c r="N30" s="202" t="s">
        <v>360</v>
      </c>
      <c r="O30" s="202" t="s">
        <v>360</v>
      </c>
      <c r="P30" s="202" t="s">
        <v>360</v>
      </c>
      <c r="Q30" s="202" t="s">
        <v>360</v>
      </c>
      <c r="R30" s="700" t="str">
        <f t="shared" si="4"/>
        <v/>
      </c>
    </row>
    <row r="31" spans="1:18" x14ac:dyDescent="0.3">
      <c r="G31" s="202"/>
      <c r="H31" s="202"/>
      <c r="I31" s="202"/>
      <c r="J31" s="202"/>
      <c r="K31" s="202"/>
      <c r="L31" s="202"/>
      <c r="M31" s="202"/>
      <c r="N31" s="202"/>
      <c r="O31" s="202"/>
      <c r="P31" s="202"/>
      <c r="Q31" s="202"/>
    </row>
    <row r="32" spans="1:18" ht="15.5" x14ac:dyDescent="0.35">
      <c r="A32" t="s">
        <v>358</v>
      </c>
      <c r="B32" s="222" t="s">
        <v>362</v>
      </c>
      <c r="C32" s="56"/>
      <c r="D32" s="56"/>
      <c r="E32" s="56"/>
      <c r="F32" s="56"/>
      <c r="G32" s="223">
        <v>2014</v>
      </c>
      <c r="H32" s="223">
        <f t="shared" ref="H32:Q32" si="5">+G32+1</f>
        <v>2015</v>
      </c>
      <c r="I32" s="223">
        <f t="shared" si="5"/>
        <v>2016</v>
      </c>
      <c r="J32" s="223">
        <f t="shared" si="5"/>
        <v>2017</v>
      </c>
      <c r="K32" s="223">
        <f t="shared" si="5"/>
        <v>2018</v>
      </c>
      <c r="L32" s="223">
        <f t="shared" si="5"/>
        <v>2019</v>
      </c>
      <c r="M32" s="223">
        <f t="shared" si="5"/>
        <v>2020</v>
      </c>
      <c r="N32" s="223">
        <f t="shared" si="5"/>
        <v>2021</v>
      </c>
      <c r="O32" s="223">
        <f t="shared" si="5"/>
        <v>2022</v>
      </c>
      <c r="P32" s="223">
        <f t="shared" si="5"/>
        <v>2023</v>
      </c>
      <c r="Q32" s="223">
        <f t="shared" si="5"/>
        <v>2024</v>
      </c>
      <c r="R32" s="58" t="str">
        <f>"CAGR "&amp;$G$4&amp;" - "&amp;$Q$4</f>
        <v>CAGR 2014 - 2024</v>
      </c>
    </row>
    <row r="33" spans="1:18" ht="3.75" customHeight="1" x14ac:dyDescent="0.35">
      <c r="B33" s="53"/>
      <c r="C33" s="53"/>
      <c r="D33" s="53"/>
      <c r="E33" s="53"/>
      <c r="F33" s="53"/>
      <c r="G33" s="224"/>
      <c r="H33" s="224"/>
      <c r="I33" s="224"/>
      <c r="J33" s="224"/>
      <c r="K33" s="224"/>
      <c r="L33" s="224"/>
      <c r="M33" s="224"/>
      <c r="N33" s="224"/>
      <c r="O33" s="224"/>
      <c r="P33" s="224"/>
      <c r="Q33" s="224"/>
      <c r="R33" s="60"/>
    </row>
    <row r="34" spans="1:18" x14ac:dyDescent="0.3">
      <c r="B34" t="str">
        <f ca="1">+$B$6</f>
        <v>ANALOG DEVICES, INC.</v>
      </c>
      <c r="G34" s="202" t="s">
        <v>360</v>
      </c>
      <c r="H34" s="202" t="s">
        <v>360</v>
      </c>
      <c r="I34" s="202" t="s">
        <v>360</v>
      </c>
      <c r="J34" s="202" t="s">
        <v>360</v>
      </c>
      <c r="K34" s="202" t="s">
        <v>360</v>
      </c>
      <c r="L34" s="202" t="s">
        <v>360</v>
      </c>
      <c r="M34" s="202" t="s">
        <v>360</v>
      </c>
      <c r="N34" s="202" t="s">
        <v>360</v>
      </c>
      <c r="O34" s="856">
        <v>1109</v>
      </c>
      <c r="P34" s="202">
        <v>833</v>
      </c>
      <c r="Q34" s="202" t="s">
        <v>360</v>
      </c>
      <c r="R34" s="700" t="str">
        <f t="shared" ref="R34:R44" si="6">IFERROR((Q34/G34)^(1/COUNT($G$4:$Q$4))-1,"")</f>
        <v/>
      </c>
    </row>
    <row r="35" spans="1:18" x14ac:dyDescent="0.3">
      <c r="B35" s="664" t="str">
        <f ca="1">+$B$7</f>
        <v>TEXAS INSTRUMENTS INCORPORATED</v>
      </c>
      <c r="C35" s="664"/>
      <c r="D35" s="664"/>
      <c r="E35" s="664"/>
      <c r="F35" s="664"/>
      <c r="G35" s="665" t="s">
        <v>360</v>
      </c>
      <c r="H35" s="855">
        <v>25704</v>
      </c>
      <c r="I35" s="855">
        <v>25439</v>
      </c>
      <c r="J35" s="855">
        <v>25098</v>
      </c>
      <c r="K35" s="855">
        <v>2512</v>
      </c>
      <c r="L35" s="855">
        <v>3047</v>
      </c>
      <c r="M35" s="855">
        <v>2914</v>
      </c>
      <c r="N35" s="855">
        <v>3662</v>
      </c>
      <c r="O35" s="855">
        <v>5403</v>
      </c>
      <c r="P35" s="855">
        <v>4071</v>
      </c>
      <c r="Q35" s="665" t="s">
        <v>360</v>
      </c>
      <c r="R35" s="701" t="str">
        <f t="shared" si="6"/>
        <v/>
      </c>
    </row>
    <row r="36" spans="1:18" x14ac:dyDescent="0.3">
      <c r="B36" t="str">
        <f ca="1">+$B$8</f>
        <v>MICROCHIP TECHNOLOGY INCORPORATED</v>
      </c>
      <c r="G36" s="202" t="s">
        <v>360</v>
      </c>
      <c r="H36" s="856">
        <v>7465</v>
      </c>
      <c r="I36" s="856">
        <v>7083</v>
      </c>
      <c r="J36" s="856">
        <v>10289</v>
      </c>
      <c r="K36" s="856">
        <v>11541</v>
      </c>
      <c r="L36" s="856">
        <v>11028</v>
      </c>
      <c r="M36" s="856">
        <v>13020</v>
      </c>
      <c r="N36" s="856">
        <v>10791</v>
      </c>
      <c r="O36" s="856">
        <v>9971</v>
      </c>
      <c r="P36" s="856">
        <v>9860</v>
      </c>
      <c r="Q36" s="202" t="s">
        <v>360</v>
      </c>
      <c r="R36" s="700" t="str">
        <f t="shared" si="6"/>
        <v/>
      </c>
    </row>
    <row r="37" spans="1:18" x14ac:dyDescent="0.3">
      <c r="B37" s="664" t="str">
        <f ca="1">+$B$9</f>
        <v>MONOLITHIC POWER SYSTEMS, INC.</v>
      </c>
      <c r="C37" s="664"/>
      <c r="D37" s="664"/>
      <c r="E37" s="664"/>
      <c r="F37" s="664"/>
      <c r="G37" s="666" t="s">
        <v>360</v>
      </c>
      <c r="H37" s="666" t="s">
        <v>360</v>
      </c>
      <c r="I37" s="666" t="s">
        <v>360</v>
      </c>
      <c r="J37" s="666" t="s">
        <v>360</v>
      </c>
      <c r="K37" s="855">
        <v>10343</v>
      </c>
      <c r="L37" s="855">
        <v>11185</v>
      </c>
      <c r="M37" s="855">
        <v>12196</v>
      </c>
      <c r="N37" s="855">
        <v>12811</v>
      </c>
      <c r="O37" s="855">
        <v>14590</v>
      </c>
      <c r="P37" s="855">
        <v>14319</v>
      </c>
      <c r="Q37" s="664" t="s">
        <v>360</v>
      </c>
      <c r="R37" s="701" t="str">
        <f t="shared" si="6"/>
        <v/>
      </c>
    </row>
    <row r="38" spans="1:18" x14ac:dyDescent="0.3">
      <c r="B38" t="str">
        <f ca="1">+$B$10</f>
        <v>SKYWORKS SOLUTIONS, INC.</v>
      </c>
      <c r="G38" s="202" t="s">
        <v>360</v>
      </c>
      <c r="H38" s="202" t="s">
        <v>360</v>
      </c>
      <c r="I38" s="202" t="s">
        <v>360</v>
      </c>
      <c r="J38" s="202" t="s">
        <v>360</v>
      </c>
      <c r="K38" s="202" t="s">
        <v>360</v>
      </c>
      <c r="L38" s="202" t="s">
        <v>360</v>
      </c>
      <c r="M38" s="202" t="s">
        <v>360</v>
      </c>
      <c r="N38" s="202" t="s">
        <v>360</v>
      </c>
      <c r="O38" s="202" t="s">
        <v>360</v>
      </c>
      <c r="P38" s="202" t="s">
        <v>360</v>
      </c>
      <c r="Q38" s="202" t="s">
        <v>360</v>
      </c>
      <c r="R38" s="700" t="str">
        <f t="shared" si="6"/>
        <v/>
      </c>
    </row>
    <row r="39" spans="1:18" x14ac:dyDescent="0.3">
      <c r="B39" s="664" t="str">
        <f ca="1">+$B$11</f>
        <v>MACOM TECHNOLOGY SOLUTIONS HOLDINGS, INC.</v>
      </c>
      <c r="C39" s="664"/>
      <c r="D39" s="664"/>
      <c r="E39" s="664"/>
      <c r="F39" s="664"/>
      <c r="G39" s="665" t="s">
        <v>360</v>
      </c>
      <c r="H39" s="665" t="s">
        <v>360</v>
      </c>
      <c r="I39" s="665" t="s">
        <v>360</v>
      </c>
      <c r="J39" s="665" t="s">
        <v>360</v>
      </c>
      <c r="K39" s="665" t="s">
        <v>360</v>
      </c>
      <c r="L39" s="665" t="s">
        <v>360</v>
      </c>
      <c r="M39" s="665" t="s">
        <v>360</v>
      </c>
      <c r="N39" s="665" t="s">
        <v>360</v>
      </c>
      <c r="O39" s="665" t="s">
        <v>360</v>
      </c>
      <c r="P39" s="665" t="s">
        <v>360</v>
      </c>
      <c r="Q39" s="665" t="s">
        <v>360</v>
      </c>
      <c r="R39" s="701" t="str">
        <f t="shared" si="6"/>
        <v/>
      </c>
    </row>
    <row r="40" spans="1:18" x14ac:dyDescent="0.3">
      <c r="B40" t="str">
        <f ca="1">+$B$12</f>
        <v>MARVELL TECHNOLOGY, INC.</v>
      </c>
      <c r="G40" s="202" t="s">
        <v>360</v>
      </c>
      <c r="H40" s="202" t="s">
        <v>360</v>
      </c>
      <c r="I40" s="202" t="s">
        <v>360</v>
      </c>
      <c r="J40" s="202" t="s">
        <v>360</v>
      </c>
      <c r="K40" s="202" t="s">
        <v>360</v>
      </c>
      <c r="L40" s="202" t="s">
        <v>360</v>
      </c>
      <c r="M40" s="202" t="s">
        <v>360</v>
      </c>
      <c r="N40" s="856">
        <v>2088</v>
      </c>
      <c r="O40" s="856">
        <v>2088</v>
      </c>
      <c r="P40" s="856">
        <v>2339</v>
      </c>
      <c r="Q40" s="856">
        <v>3188</v>
      </c>
      <c r="R40" s="700" t="str">
        <f t="shared" si="6"/>
        <v/>
      </c>
    </row>
    <row r="41" spans="1:18" x14ac:dyDescent="0.3">
      <c r="B41" s="664" t="str">
        <f ca="1">+$B$13</f>
        <v>INTEL CORPORATION</v>
      </c>
      <c r="C41" s="664"/>
      <c r="D41" s="664"/>
      <c r="E41" s="664"/>
      <c r="F41" s="664"/>
      <c r="G41" s="665" t="s">
        <v>360</v>
      </c>
      <c r="H41" s="665" t="s">
        <v>360</v>
      </c>
      <c r="I41" s="665" t="s">
        <v>360</v>
      </c>
      <c r="J41" s="665" t="s">
        <v>360</v>
      </c>
      <c r="K41" s="665" t="s">
        <v>360</v>
      </c>
      <c r="L41" s="665" t="s">
        <v>360</v>
      </c>
      <c r="M41" s="665" t="s">
        <v>360</v>
      </c>
      <c r="N41" s="665" t="s">
        <v>360</v>
      </c>
      <c r="O41" s="665" t="s">
        <v>360</v>
      </c>
      <c r="P41" s="855">
        <v>2158</v>
      </c>
      <c r="Q41" s="665" t="s">
        <v>360</v>
      </c>
      <c r="R41" s="701" t="str">
        <f t="shared" si="6"/>
        <v/>
      </c>
    </row>
    <row r="42" spans="1:18" x14ac:dyDescent="0.3">
      <c r="B42" t="str">
        <f ca="1">+$B$14</f>
        <v>MICRON TECHNOLOGY, INC.</v>
      </c>
      <c r="G42" s="202" t="s">
        <v>360</v>
      </c>
      <c r="H42" s="202" t="s">
        <v>360</v>
      </c>
      <c r="I42" s="202" t="s">
        <v>360</v>
      </c>
      <c r="J42" s="202" t="s">
        <v>360</v>
      </c>
      <c r="K42" s="202" t="s">
        <v>360</v>
      </c>
      <c r="L42" s="202" t="s">
        <v>360</v>
      </c>
      <c r="M42" s="202" t="s">
        <v>360</v>
      </c>
      <c r="N42" s="202" t="s">
        <v>360</v>
      </c>
      <c r="O42" s="202" t="s">
        <v>360</v>
      </c>
      <c r="P42" s="202" t="s">
        <v>360</v>
      </c>
      <c r="Q42" s="202" t="s">
        <v>360</v>
      </c>
      <c r="R42" s="700" t="str">
        <f t="shared" si="6"/>
        <v/>
      </c>
    </row>
    <row r="43" spans="1:18" x14ac:dyDescent="0.3">
      <c r="B43" s="664" t="str">
        <f ca="1">+$B$15</f>
        <v>FIRST SOLAR, INC.</v>
      </c>
      <c r="C43" s="664"/>
      <c r="D43" s="664"/>
      <c r="E43" s="664"/>
      <c r="F43" s="664"/>
      <c r="G43" s="665" t="s">
        <v>360</v>
      </c>
      <c r="H43" s="665" t="s">
        <v>360</v>
      </c>
      <c r="I43" s="665" t="s">
        <v>360</v>
      </c>
      <c r="J43" s="665" t="s">
        <v>360</v>
      </c>
      <c r="K43" s="665" t="s">
        <v>360</v>
      </c>
      <c r="L43" s="665" t="s">
        <v>360</v>
      </c>
      <c r="M43" s="665" t="s">
        <v>360</v>
      </c>
      <c r="N43" s="665" t="s">
        <v>360</v>
      </c>
      <c r="O43" s="665" t="s">
        <v>360</v>
      </c>
      <c r="P43" s="665" t="s">
        <v>360</v>
      </c>
      <c r="Q43" s="665" t="s">
        <v>360</v>
      </c>
      <c r="R43" s="701" t="str">
        <f t="shared" si="6"/>
        <v/>
      </c>
    </row>
    <row r="44" spans="1:18" x14ac:dyDescent="0.3">
      <c r="B44" t="str">
        <f ca="1">+$B$16</f>
        <v>ALTRI, S.G.P.S., S.A.</v>
      </c>
      <c r="G44" s="202" t="s">
        <v>360</v>
      </c>
      <c r="H44" s="202" t="s">
        <v>360</v>
      </c>
      <c r="I44" s="202" t="s">
        <v>360</v>
      </c>
      <c r="J44" s="202" t="s">
        <v>360</v>
      </c>
      <c r="K44" s="202" t="s">
        <v>360</v>
      </c>
      <c r="L44" s="202">
        <v>27</v>
      </c>
      <c r="M44" s="202">
        <v>11</v>
      </c>
      <c r="N44" s="202">
        <v>9</v>
      </c>
      <c r="O44" s="202">
        <v>72</v>
      </c>
      <c r="P44" s="202">
        <v>55</v>
      </c>
      <c r="Q44" s="202" t="s">
        <v>360</v>
      </c>
      <c r="R44" s="700" t="str">
        <f t="shared" si="6"/>
        <v/>
      </c>
    </row>
    <row r="45" spans="1:18" x14ac:dyDescent="0.3">
      <c r="G45" s="202"/>
      <c r="H45" s="202"/>
      <c r="I45" s="202"/>
      <c r="J45" s="202"/>
      <c r="K45" s="202"/>
      <c r="L45" s="202"/>
      <c r="M45" s="202"/>
      <c r="N45" s="202"/>
      <c r="O45" s="202"/>
      <c r="P45" s="202"/>
      <c r="Q45" s="202"/>
    </row>
    <row r="46" spans="1:18" ht="15.5" x14ac:dyDescent="0.35">
      <c r="A46" t="s">
        <v>358</v>
      </c>
      <c r="B46" s="222" t="s">
        <v>363</v>
      </c>
      <c r="C46" s="56"/>
      <c r="D46" s="56"/>
      <c r="E46" s="56"/>
      <c r="F46" s="56"/>
      <c r="G46" s="223">
        <v>2014</v>
      </c>
      <c r="H46" s="223">
        <f t="shared" ref="H46:Q46" si="7">+G46+1</f>
        <v>2015</v>
      </c>
      <c r="I46" s="223">
        <f t="shared" si="7"/>
        <v>2016</v>
      </c>
      <c r="J46" s="223">
        <f t="shared" si="7"/>
        <v>2017</v>
      </c>
      <c r="K46" s="223">
        <f t="shared" si="7"/>
        <v>2018</v>
      </c>
      <c r="L46" s="223">
        <f t="shared" si="7"/>
        <v>2019</v>
      </c>
      <c r="M46" s="223">
        <f t="shared" si="7"/>
        <v>2020</v>
      </c>
      <c r="N46" s="223">
        <f t="shared" si="7"/>
        <v>2021</v>
      </c>
      <c r="O46" s="223">
        <f t="shared" si="7"/>
        <v>2022</v>
      </c>
      <c r="P46" s="223">
        <f t="shared" si="7"/>
        <v>2023</v>
      </c>
      <c r="Q46" s="223">
        <f t="shared" si="7"/>
        <v>2024</v>
      </c>
      <c r="R46" s="58" t="str">
        <f>"CAGR "&amp;$G$4&amp;" - "&amp;$Q$4</f>
        <v>CAGR 2014 - 2024</v>
      </c>
    </row>
    <row r="47" spans="1:18" ht="3.75" customHeight="1" x14ac:dyDescent="0.35">
      <c r="B47" s="53"/>
      <c r="C47" s="53"/>
      <c r="D47" s="53"/>
      <c r="E47" s="53"/>
      <c r="F47" s="53"/>
      <c r="G47" s="224"/>
      <c r="H47" s="224"/>
      <c r="I47" s="224"/>
      <c r="J47" s="224"/>
      <c r="K47" s="224"/>
      <c r="L47" s="224"/>
      <c r="M47" s="224"/>
      <c r="N47" s="224"/>
      <c r="O47" s="224"/>
      <c r="P47" s="224"/>
      <c r="Q47" s="224"/>
      <c r="R47" s="60"/>
    </row>
    <row r="48" spans="1:18" x14ac:dyDescent="0.3">
      <c r="B48" t="str">
        <f ca="1">+$B$6</f>
        <v>ANALOG DEVICES, INC.</v>
      </c>
      <c r="G48" s="202" t="s">
        <v>360</v>
      </c>
      <c r="H48" s="202" t="s">
        <v>360</v>
      </c>
      <c r="I48" s="202" t="s">
        <v>360</v>
      </c>
      <c r="J48" s="202" t="s">
        <v>360</v>
      </c>
      <c r="K48" s="202" t="s">
        <v>360</v>
      </c>
      <c r="L48" s="202" t="s">
        <v>360</v>
      </c>
      <c r="M48" s="202" t="s">
        <v>360</v>
      </c>
      <c r="N48" s="202" t="s">
        <v>360</v>
      </c>
      <c r="O48" s="856">
        <v>1109</v>
      </c>
      <c r="P48" s="202">
        <v>833</v>
      </c>
      <c r="Q48" s="202" t="s">
        <v>360</v>
      </c>
      <c r="R48" s="700" t="str">
        <f t="shared" ref="R48:R58" si="8">IFERROR((Q48/G48)^(1/COUNT($G$4:$Q$4))-1,"")</f>
        <v/>
      </c>
    </row>
    <row r="49" spans="1:18" x14ac:dyDescent="0.3">
      <c r="B49" s="664" t="str">
        <f ca="1">+$B$7</f>
        <v>TEXAS INSTRUMENTS INCORPORATED</v>
      </c>
      <c r="C49" s="664"/>
      <c r="D49" s="664"/>
      <c r="E49" s="664"/>
      <c r="F49" s="664"/>
      <c r="G49" s="665" t="s">
        <v>360</v>
      </c>
      <c r="H49" s="855">
        <v>25704</v>
      </c>
      <c r="I49" s="855">
        <v>25439</v>
      </c>
      <c r="J49" s="855">
        <v>25098</v>
      </c>
      <c r="K49" s="855">
        <v>2512</v>
      </c>
      <c r="L49" s="855">
        <v>3047</v>
      </c>
      <c r="M49" s="855">
        <v>2914</v>
      </c>
      <c r="N49" s="855">
        <v>3662</v>
      </c>
      <c r="O49" s="855">
        <v>5403</v>
      </c>
      <c r="P49" s="855">
        <v>4071</v>
      </c>
      <c r="Q49" s="665" t="s">
        <v>360</v>
      </c>
      <c r="R49" s="701" t="str">
        <f t="shared" si="8"/>
        <v/>
      </c>
    </row>
    <row r="50" spans="1:18" x14ac:dyDescent="0.3">
      <c r="B50" t="str">
        <f ca="1">+$B$8</f>
        <v>MICROCHIP TECHNOLOGY INCORPORATED</v>
      </c>
      <c r="G50" s="202" t="s">
        <v>360</v>
      </c>
      <c r="H50" s="856">
        <v>7465</v>
      </c>
      <c r="I50" s="856">
        <v>7083</v>
      </c>
      <c r="J50" s="856">
        <v>10289</v>
      </c>
      <c r="K50" s="856">
        <v>11541</v>
      </c>
      <c r="L50" s="856">
        <v>11028</v>
      </c>
      <c r="M50" s="856">
        <v>13020</v>
      </c>
      <c r="N50" s="856">
        <v>10791</v>
      </c>
      <c r="O50" s="856">
        <v>9971</v>
      </c>
      <c r="P50" s="856">
        <v>9860</v>
      </c>
      <c r="Q50" s="202" t="s">
        <v>360</v>
      </c>
      <c r="R50" s="700" t="str">
        <f t="shared" si="8"/>
        <v/>
      </c>
    </row>
    <row r="51" spans="1:18" x14ac:dyDescent="0.3">
      <c r="B51" s="664" t="str">
        <f ca="1">+$B$9</f>
        <v>MONOLITHIC POWER SYSTEMS, INC.</v>
      </c>
      <c r="C51" s="664"/>
      <c r="D51" s="664"/>
      <c r="E51" s="664"/>
      <c r="F51" s="664"/>
      <c r="G51" s="665" t="s">
        <v>360</v>
      </c>
      <c r="H51" s="665" t="s">
        <v>360</v>
      </c>
      <c r="I51" s="665" t="s">
        <v>360</v>
      </c>
      <c r="J51" s="665" t="s">
        <v>360</v>
      </c>
      <c r="K51" s="855">
        <v>10343</v>
      </c>
      <c r="L51" s="855">
        <v>11185</v>
      </c>
      <c r="M51" s="855">
        <v>12196</v>
      </c>
      <c r="N51" s="855">
        <v>12811</v>
      </c>
      <c r="O51" s="855">
        <v>14590</v>
      </c>
      <c r="P51" s="855">
        <v>14319</v>
      </c>
      <c r="Q51" s="665" t="s">
        <v>360</v>
      </c>
      <c r="R51" s="701" t="str">
        <f t="shared" si="8"/>
        <v/>
      </c>
    </row>
    <row r="52" spans="1:18" x14ac:dyDescent="0.3">
      <c r="B52" t="str">
        <f ca="1">+$B$10</f>
        <v>SKYWORKS SOLUTIONS, INC.</v>
      </c>
      <c r="G52" s="202" t="s">
        <v>360</v>
      </c>
      <c r="H52" s="202" t="s">
        <v>360</v>
      </c>
      <c r="I52" s="202" t="s">
        <v>360</v>
      </c>
      <c r="J52" s="202" t="s">
        <v>360</v>
      </c>
      <c r="K52" s="202" t="s">
        <v>360</v>
      </c>
      <c r="L52" s="202" t="s">
        <v>360</v>
      </c>
      <c r="M52" s="202" t="s">
        <v>360</v>
      </c>
      <c r="N52" s="202" t="s">
        <v>360</v>
      </c>
      <c r="O52" s="202" t="s">
        <v>360</v>
      </c>
      <c r="P52" s="202" t="s">
        <v>360</v>
      </c>
      <c r="Q52" s="202" t="s">
        <v>360</v>
      </c>
      <c r="R52" s="700" t="str">
        <f t="shared" si="8"/>
        <v/>
      </c>
    </row>
    <row r="53" spans="1:18" x14ac:dyDescent="0.3">
      <c r="B53" s="664" t="str">
        <f ca="1">+$B$11</f>
        <v>MACOM TECHNOLOGY SOLUTIONS HOLDINGS, INC.</v>
      </c>
      <c r="C53" s="664"/>
      <c r="D53" s="664"/>
      <c r="E53" s="664"/>
      <c r="F53" s="664"/>
      <c r="G53" s="665" t="s">
        <v>360</v>
      </c>
      <c r="H53" s="665" t="s">
        <v>360</v>
      </c>
      <c r="I53" s="665" t="s">
        <v>360</v>
      </c>
      <c r="J53" s="665" t="s">
        <v>360</v>
      </c>
      <c r="K53" s="665" t="s">
        <v>360</v>
      </c>
      <c r="L53" s="666" t="s">
        <v>360</v>
      </c>
      <c r="M53" s="666" t="s">
        <v>360</v>
      </c>
      <c r="N53" s="666" t="s">
        <v>360</v>
      </c>
      <c r="O53" s="666" t="s">
        <v>360</v>
      </c>
      <c r="P53" s="665" t="s">
        <v>360</v>
      </c>
      <c r="Q53" s="665" t="s">
        <v>360</v>
      </c>
      <c r="R53" s="701" t="str">
        <f t="shared" si="8"/>
        <v/>
      </c>
    </row>
    <row r="54" spans="1:18" x14ac:dyDescent="0.3">
      <c r="B54" t="str">
        <f ca="1">+$B$12</f>
        <v>MARVELL TECHNOLOGY, INC.</v>
      </c>
      <c r="G54" s="202" t="s">
        <v>360</v>
      </c>
      <c r="H54" s="202" t="s">
        <v>360</v>
      </c>
      <c r="I54" s="202" t="s">
        <v>360</v>
      </c>
      <c r="J54" s="202" t="s">
        <v>360</v>
      </c>
      <c r="K54" s="202" t="s">
        <v>360</v>
      </c>
      <c r="L54" s="202" t="s">
        <v>360</v>
      </c>
      <c r="M54" s="202" t="s">
        <v>360</v>
      </c>
      <c r="N54" s="856">
        <v>2088</v>
      </c>
      <c r="O54" s="856">
        <v>2088</v>
      </c>
      <c r="P54" s="856">
        <v>2339</v>
      </c>
      <c r="Q54" s="856">
        <v>3188</v>
      </c>
      <c r="R54" s="700" t="str">
        <f t="shared" si="8"/>
        <v/>
      </c>
    </row>
    <row r="55" spans="1:18" x14ac:dyDescent="0.3">
      <c r="B55" s="664" t="str">
        <f ca="1">+$B$13</f>
        <v>INTEL CORPORATION</v>
      </c>
      <c r="C55" s="664"/>
      <c r="D55" s="664"/>
      <c r="E55" s="664"/>
      <c r="F55" s="664"/>
      <c r="G55" s="665" t="s">
        <v>360</v>
      </c>
      <c r="H55" s="665" t="s">
        <v>360</v>
      </c>
      <c r="I55" s="665" t="s">
        <v>360</v>
      </c>
      <c r="J55" s="665" t="s">
        <v>360</v>
      </c>
      <c r="K55" s="665" t="s">
        <v>360</v>
      </c>
      <c r="L55" s="665" t="s">
        <v>360</v>
      </c>
      <c r="M55" s="665" t="s">
        <v>360</v>
      </c>
      <c r="N55" s="665" t="s">
        <v>360</v>
      </c>
      <c r="O55" s="665" t="s">
        <v>360</v>
      </c>
      <c r="P55" s="855">
        <v>2158</v>
      </c>
      <c r="Q55" s="665" t="s">
        <v>360</v>
      </c>
      <c r="R55" s="701" t="str">
        <f t="shared" si="8"/>
        <v/>
      </c>
    </row>
    <row r="56" spans="1:18" x14ac:dyDescent="0.3">
      <c r="B56" t="str">
        <f ca="1">+$B$14</f>
        <v>MICRON TECHNOLOGY, INC.</v>
      </c>
      <c r="G56" s="202" t="s">
        <v>360</v>
      </c>
      <c r="H56" s="202" t="s">
        <v>360</v>
      </c>
      <c r="I56" s="202" t="s">
        <v>360</v>
      </c>
      <c r="J56" s="202" t="s">
        <v>360</v>
      </c>
      <c r="K56" s="202" t="s">
        <v>360</v>
      </c>
      <c r="L56" s="202" t="s">
        <v>360</v>
      </c>
      <c r="M56" s="202" t="s">
        <v>360</v>
      </c>
      <c r="N56" s="202" t="s">
        <v>360</v>
      </c>
      <c r="O56" s="202" t="s">
        <v>360</v>
      </c>
      <c r="P56" s="202" t="s">
        <v>360</v>
      </c>
      <c r="Q56" s="202" t="s">
        <v>360</v>
      </c>
      <c r="R56" s="700" t="str">
        <f t="shared" si="8"/>
        <v/>
      </c>
    </row>
    <row r="57" spans="1:18" x14ac:dyDescent="0.3">
      <c r="B57" s="664" t="str">
        <f ca="1">+$B$15</f>
        <v>FIRST SOLAR, INC.</v>
      </c>
      <c r="C57" s="664"/>
      <c r="D57" s="664"/>
      <c r="E57" s="664"/>
      <c r="F57" s="664"/>
      <c r="G57" s="665" t="s">
        <v>360</v>
      </c>
      <c r="H57" s="665" t="s">
        <v>360</v>
      </c>
      <c r="I57" s="665" t="s">
        <v>360</v>
      </c>
      <c r="J57" s="665" t="s">
        <v>360</v>
      </c>
      <c r="K57" s="665" t="s">
        <v>360</v>
      </c>
      <c r="L57" s="665" t="s">
        <v>360</v>
      </c>
      <c r="M57" s="665" t="s">
        <v>360</v>
      </c>
      <c r="N57" s="665" t="s">
        <v>360</v>
      </c>
      <c r="O57" s="665" t="s">
        <v>360</v>
      </c>
      <c r="P57" s="665" t="s">
        <v>360</v>
      </c>
      <c r="Q57" s="665" t="s">
        <v>360</v>
      </c>
      <c r="R57" s="701" t="str">
        <f t="shared" si="8"/>
        <v/>
      </c>
    </row>
    <row r="58" spans="1:18" x14ac:dyDescent="0.3">
      <c r="B58" t="str">
        <f ca="1">+$B$16</f>
        <v>ALTRI, S.G.P.S., S.A.</v>
      </c>
      <c r="G58" s="202" t="s">
        <v>360</v>
      </c>
      <c r="H58" s="202" t="s">
        <v>360</v>
      </c>
      <c r="I58" s="202" t="s">
        <v>360</v>
      </c>
      <c r="J58" s="202" t="s">
        <v>360</v>
      </c>
      <c r="K58" s="202" t="s">
        <v>360</v>
      </c>
      <c r="L58" s="202">
        <v>27</v>
      </c>
      <c r="M58" s="202">
        <v>11</v>
      </c>
      <c r="N58" s="202">
        <v>9</v>
      </c>
      <c r="O58" s="202">
        <v>72</v>
      </c>
      <c r="P58" s="202">
        <v>55</v>
      </c>
      <c r="Q58" s="202" t="s">
        <v>360</v>
      </c>
      <c r="R58" s="700" t="str">
        <f t="shared" si="8"/>
        <v/>
      </c>
    </row>
    <row r="60" spans="1:18" ht="15.5" x14ac:dyDescent="0.35">
      <c r="A60" t="s">
        <v>358</v>
      </c>
      <c r="B60" s="222" t="s">
        <v>364</v>
      </c>
      <c r="C60" s="56"/>
      <c r="D60" s="56"/>
      <c r="E60" s="56"/>
      <c r="F60" s="56"/>
      <c r="G60" s="223">
        <v>2014</v>
      </c>
      <c r="H60" s="223">
        <f t="shared" ref="H60:Q60" si="9">+G60+1</f>
        <v>2015</v>
      </c>
      <c r="I60" s="223">
        <f t="shared" si="9"/>
        <v>2016</v>
      </c>
      <c r="J60" s="223">
        <f t="shared" si="9"/>
        <v>2017</v>
      </c>
      <c r="K60" s="223">
        <f t="shared" si="9"/>
        <v>2018</v>
      </c>
      <c r="L60" s="223">
        <f t="shared" si="9"/>
        <v>2019</v>
      </c>
      <c r="M60" s="223">
        <f t="shared" si="9"/>
        <v>2020</v>
      </c>
      <c r="N60" s="223">
        <f t="shared" si="9"/>
        <v>2021</v>
      </c>
      <c r="O60" s="223">
        <f t="shared" si="9"/>
        <v>2022</v>
      </c>
      <c r="P60" s="223">
        <f t="shared" si="9"/>
        <v>2023</v>
      </c>
      <c r="Q60" s="223">
        <f t="shared" si="9"/>
        <v>2024</v>
      </c>
      <c r="R60" s="58" t="str">
        <f>"CAGR "&amp;$G$4&amp;" - "&amp;$Q$4</f>
        <v>CAGR 2014 - 2024</v>
      </c>
    </row>
    <row r="61" spans="1:18" ht="3.75" customHeight="1" x14ac:dyDescent="0.35">
      <c r="B61" s="53"/>
      <c r="C61" s="53"/>
      <c r="D61" s="53"/>
      <c r="E61" s="53"/>
      <c r="F61" s="53"/>
      <c r="G61" s="224"/>
      <c r="H61" s="224"/>
      <c r="I61" s="224"/>
      <c r="J61" s="224"/>
      <c r="K61" s="224"/>
      <c r="L61" s="224"/>
      <c r="M61" s="224"/>
      <c r="N61" s="224"/>
      <c r="O61" s="224"/>
      <c r="P61" s="224"/>
      <c r="Q61" s="224"/>
      <c r="R61" s="60"/>
    </row>
    <row r="62" spans="1:18" x14ac:dyDescent="0.3">
      <c r="B62" t="str">
        <f ca="1">+$B$6</f>
        <v>ANALOG DEVICES, INC.</v>
      </c>
      <c r="G62" s="202" t="s">
        <v>360</v>
      </c>
      <c r="H62" s="202">
        <v>3</v>
      </c>
      <c r="I62" s="202">
        <v>3</v>
      </c>
      <c r="J62" s="202">
        <v>3</v>
      </c>
      <c r="K62" s="202">
        <v>3</v>
      </c>
      <c r="L62" s="202">
        <v>5</v>
      </c>
      <c r="M62" s="202">
        <v>4</v>
      </c>
      <c r="N62" s="202">
        <v>5</v>
      </c>
      <c r="O62" s="202">
        <v>5</v>
      </c>
      <c r="P62" s="202">
        <v>6</v>
      </c>
      <c r="Q62" s="202" t="s">
        <v>360</v>
      </c>
      <c r="R62" s="700" t="str">
        <f t="shared" ref="R62:R72" si="10">IFERROR((Q62/G62)^(1/COUNT($G$4:$Q$4))-1,"")</f>
        <v/>
      </c>
    </row>
    <row r="63" spans="1:18" x14ac:dyDescent="0.3">
      <c r="B63" s="664" t="str">
        <f ca="1">+$B$7</f>
        <v>TEXAS INSTRUMENTS INCORPORATED</v>
      </c>
      <c r="C63" s="664"/>
      <c r="D63" s="664"/>
      <c r="E63" s="664"/>
      <c r="F63" s="664"/>
      <c r="G63" s="665">
        <v>33</v>
      </c>
      <c r="H63" s="665">
        <v>33</v>
      </c>
      <c r="I63" s="665">
        <v>32</v>
      </c>
      <c r="J63" s="665">
        <v>37</v>
      </c>
      <c r="K63" s="665">
        <v>37</v>
      </c>
      <c r="L63" s="665">
        <v>37</v>
      </c>
      <c r="M63" s="665">
        <v>42</v>
      </c>
      <c r="N63" s="665">
        <v>46</v>
      </c>
      <c r="O63" s="665">
        <v>51</v>
      </c>
      <c r="P63" s="665">
        <v>51</v>
      </c>
      <c r="Q63" s="665" t="s">
        <v>360</v>
      </c>
      <c r="R63" s="701" t="str">
        <f t="shared" si="10"/>
        <v/>
      </c>
    </row>
    <row r="64" spans="1:18" x14ac:dyDescent="0.3">
      <c r="B64" t="str">
        <f ca="1">+$B$8</f>
        <v>MICROCHIP TECHNOLOGY INCORPORATED</v>
      </c>
      <c r="G64" s="663">
        <v>144</v>
      </c>
      <c r="H64" s="202">
        <v>129</v>
      </c>
      <c r="I64" s="202">
        <v>160</v>
      </c>
      <c r="J64" s="202">
        <v>183</v>
      </c>
      <c r="K64" s="202">
        <v>186</v>
      </c>
      <c r="L64" s="202">
        <v>351</v>
      </c>
      <c r="M64" s="202">
        <v>376</v>
      </c>
      <c r="N64" s="202">
        <v>312</v>
      </c>
      <c r="O64" s="202">
        <v>282</v>
      </c>
      <c r="P64" s="202">
        <v>265</v>
      </c>
      <c r="Q64" s="202" t="s">
        <v>360</v>
      </c>
      <c r="R64" s="700" t="str">
        <f t="shared" si="10"/>
        <v/>
      </c>
    </row>
    <row r="65" spans="1:18" x14ac:dyDescent="0.3">
      <c r="B65" s="664" t="str">
        <f ca="1">+$B$9</f>
        <v>MONOLITHIC POWER SYSTEMS, INC.</v>
      </c>
      <c r="C65" s="664"/>
      <c r="D65" s="664"/>
      <c r="E65" s="664"/>
      <c r="F65" s="664"/>
      <c r="G65" s="665" t="s">
        <v>360</v>
      </c>
      <c r="H65" s="665">
        <v>95</v>
      </c>
      <c r="I65" s="665">
        <v>131</v>
      </c>
      <c r="J65" s="665">
        <v>192</v>
      </c>
      <c r="K65" s="665">
        <v>163</v>
      </c>
      <c r="L65" s="665">
        <v>183</v>
      </c>
      <c r="M65" s="664">
        <v>198</v>
      </c>
      <c r="N65" s="664">
        <v>223</v>
      </c>
      <c r="O65" s="664">
        <v>234</v>
      </c>
      <c r="P65" s="664">
        <v>196</v>
      </c>
      <c r="Q65" s="664" t="s">
        <v>360</v>
      </c>
      <c r="R65" s="701" t="str">
        <f t="shared" si="10"/>
        <v/>
      </c>
    </row>
    <row r="66" spans="1:18" x14ac:dyDescent="0.3">
      <c r="B66" t="str">
        <f ca="1">+$B$10</f>
        <v>SKYWORKS SOLUTIONS, INC.</v>
      </c>
      <c r="G66" s="202" t="s">
        <v>360</v>
      </c>
      <c r="H66" s="202" t="s">
        <v>360</v>
      </c>
      <c r="I66" s="202" t="s">
        <v>360</v>
      </c>
      <c r="J66" s="202" t="s">
        <v>360</v>
      </c>
      <c r="K66" s="202" t="s">
        <v>360</v>
      </c>
      <c r="L66" s="202" t="s">
        <v>360</v>
      </c>
      <c r="M66" s="202" t="s">
        <v>360</v>
      </c>
      <c r="N66" s="202" t="s">
        <v>360</v>
      </c>
      <c r="O66" s="202" t="s">
        <v>360</v>
      </c>
      <c r="P66" s="202" t="s">
        <v>360</v>
      </c>
      <c r="Q66" s="202" t="s">
        <v>360</v>
      </c>
      <c r="R66" s="700" t="str">
        <f t="shared" si="10"/>
        <v/>
      </c>
    </row>
    <row r="67" spans="1:18" x14ac:dyDescent="0.3">
      <c r="B67" s="664" t="str">
        <f ca="1">+$B$11</f>
        <v>MACOM TECHNOLOGY SOLUTIONS HOLDINGS, INC.</v>
      </c>
      <c r="C67" s="664"/>
      <c r="D67" s="664"/>
      <c r="E67" s="664"/>
      <c r="F67" s="664"/>
      <c r="G67" s="665" t="s">
        <v>360</v>
      </c>
      <c r="H67" s="665" t="s">
        <v>360</v>
      </c>
      <c r="I67" s="665" t="s">
        <v>360</v>
      </c>
      <c r="J67" s="665" t="s">
        <v>360</v>
      </c>
      <c r="K67" s="665" t="s">
        <v>360</v>
      </c>
      <c r="L67" s="665" t="s">
        <v>360</v>
      </c>
      <c r="M67" s="665" t="s">
        <v>360</v>
      </c>
      <c r="N67" s="665">
        <v>0</v>
      </c>
      <c r="O67" s="665">
        <v>1</v>
      </c>
      <c r="P67" s="665">
        <v>1</v>
      </c>
      <c r="Q67" s="665" t="s">
        <v>360</v>
      </c>
      <c r="R67" s="701" t="str">
        <f t="shared" si="10"/>
        <v/>
      </c>
    </row>
    <row r="68" spans="1:18" x14ac:dyDescent="0.3">
      <c r="B68" t="str">
        <f ca="1">+$B$12</f>
        <v>MARVELL TECHNOLOGY, INC.</v>
      </c>
      <c r="G68" s="202" t="s">
        <v>360</v>
      </c>
      <c r="H68" s="202" t="s">
        <v>360</v>
      </c>
      <c r="I68" s="202" t="s">
        <v>360</v>
      </c>
      <c r="J68" s="202" t="s">
        <v>360</v>
      </c>
      <c r="K68" s="202" t="s">
        <v>360</v>
      </c>
      <c r="L68" s="202" t="s">
        <v>360</v>
      </c>
      <c r="M68" s="202" t="s">
        <v>360</v>
      </c>
      <c r="N68" s="202">
        <v>4</v>
      </c>
      <c r="O68" s="202">
        <v>4</v>
      </c>
      <c r="P68" s="202">
        <v>7</v>
      </c>
      <c r="Q68" s="202">
        <v>7</v>
      </c>
      <c r="R68" s="700" t="str">
        <f t="shared" si="10"/>
        <v/>
      </c>
    </row>
    <row r="69" spans="1:18" x14ac:dyDescent="0.3">
      <c r="B69" s="664" t="str">
        <f ca="1">+$B$13</f>
        <v>INTEL CORPORATION</v>
      </c>
      <c r="C69" s="664"/>
      <c r="D69" s="664"/>
      <c r="E69" s="664"/>
      <c r="F69" s="664"/>
      <c r="G69" s="665">
        <v>22</v>
      </c>
      <c r="H69" s="665">
        <v>22</v>
      </c>
      <c r="I69" s="665">
        <v>28</v>
      </c>
      <c r="J69" s="665">
        <v>22</v>
      </c>
      <c r="K69" s="665">
        <v>23</v>
      </c>
      <c r="L69" s="665">
        <v>42</v>
      </c>
      <c r="M69" s="665">
        <v>45</v>
      </c>
      <c r="N69" s="665">
        <v>53</v>
      </c>
      <c r="O69" s="665">
        <v>48</v>
      </c>
      <c r="P69" s="665">
        <v>52</v>
      </c>
      <c r="Q69" s="665" t="s">
        <v>360</v>
      </c>
      <c r="R69" s="701" t="str">
        <f t="shared" si="10"/>
        <v/>
      </c>
    </row>
    <row r="70" spans="1:18" x14ac:dyDescent="0.3">
      <c r="B70" t="str">
        <f ca="1">+$B$14</f>
        <v>MICRON TECHNOLOGY, INC.</v>
      </c>
      <c r="G70" s="202" t="s">
        <v>360</v>
      </c>
      <c r="H70" s="202" t="s">
        <v>360</v>
      </c>
      <c r="I70" s="202" t="s">
        <v>360</v>
      </c>
      <c r="J70" s="202" t="s">
        <v>360</v>
      </c>
      <c r="K70" s="202" t="s">
        <v>360</v>
      </c>
      <c r="L70" s="202" t="s">
        <v>360</v>
      </c>
      <c r="M70" s="202" t="s">
        <v>360</v>
      </c>
      <c r="N70" s="202" t="s">
        <v>360</v>
      </c>
      <c r="O70" s="202" t="s">
        <v>360</v>
      </c>
      <c r="P70" s="202" t="s">
        <v>360</v>
      </c>
      <c r="Q70" s="202" t="s">
        <v>360</v>
      </c>
      <c r="R70" s="700" t="str">
        <f t="shared" si="10"/>
        <v/>
      </c>
    </row>
    <row r="71" spans="1:18" x14ac:dyDescent="0.3">
      <c r="B71" s="664" t="str">
        <f ca="1">+$B$15</f>
        <v>FIRST SOLAR, INC.</v>
      </c>
      <c r="C71" s="664"/>
      <c r="D71" s="664"/>
      <c r="E71" s="664"/>
      <c r="F71" s="664"/>
      <c r="G71" s="665" t="s">
        <v>360</v>
      </c>
      <c r="H71" s="665" t="s">
        <v>360</v>
      </c>
      <c r="I71" s="665" t="s">
        <v>360</v>
      </c>
      <c r="J71" s="665" t="s">
        <v>360</v>
      </c>
      <c r="K71" s="665" t="s">
        <v>360</v>
      </c>
      <c r="L71" s="665">
        <v>3</v>
      </c>
      <c r="M71" s="665" t="s">
        <v>360</v>
      </c>
      <c r="N71" s="665" t="s">
        <v>360</v>
      </c>
      <c r="O71" s="665" t="s">
        <v>360</v>
      </c>
      <c r="P71" s="665" t="s">
        <v>360</v>
      </c>
      <c r="Q71" s="665" t="s">
        <v>360</v>
      </c>
      <c r="R71" s="701" t="str">
        <f t="shared" si="10"/>
        <v/>
      </c>
    </row>
    <row r="72" spans="1:18" x14ac:dyDescent="0.3">
      <c r="B72" t="str">
        <f ca="1">+$B$16</f>
        <v>ALTRI, S.G.P.S., S.A.</v>
      </c>
      <c r="G72" s="202" t="s">
        <v>360</v>
      </c>
      <c r="H72" s="202" t="s">
        <v>360</v>
      </c>
      <c r="I72" s="202" t="s">
        <v>360</v>
      </c>
      <c r="J72" s="202" t="s">
        <v>360</v>
      </c>
      <c r="K72" s="202" t="s">
        <v>360</v>
      </c>
      <c r="L72" s="202" t="s">
        <v>360</v>
      </c>
      <c r="M72" s="202" t="s">
        <v>360</v>
      </c>
      <c r="N72" s="202" t="s">
        <v>360</v>
      </c>
      <c r="O72" s="202" t="s">
        <v>360</v>
      </c>
      <c r="P72" s="202" t="s">
        <v>360</v>
      </c>
      <c r="Q72" s="202" t="s">
        <v>360</v>
      </c>
      <c r="R72" s="700" t="str">
        <f t="shared" si="10"/>
        <v/>
      </c>
    </row>
    <row r="73" spans="1:18" x14ac:dyDescent="0.3">
      <c r="G73" s="202"/>
      <c r="H73" s="202"/>
      <c r="I73" s="202"/>
      <c r="J73" s="202"/>
      <c r="K73" s="202"/>
      <c r="L73" s="202"/>
      <c r="M73" s="202"/>
      <c r="N73" s="202"/>
      <c r="O73" s="202"/>
      <c r="P73" s="202"/>
      <c r="Q73" s="202"/>
    </row>
    <row r="74" spans="1:18" ht="15.5" x14ac:dyDescent="0.35">
      <c r="A74" t="s">
        <v>358</v>
      </c>
      <c r="B74" s="222" t="s">
        <v>365</v>
      </c>
      <c r="C74" s="56"/>
      <c r="D74" s="56"/>
      <c r="E74" s="56"/>
      <c r="F74" s="56"/>
      <c r="G74" s="223">
        <v>2014</v>
      </c>
      <c r="H74" s="223">
        <f t="shared" ref="H74" si="11">+G74+1</f>
        <v>2015</v>
      </c>
      <c r="I74" s="223">
        <f t="shared" ref="I74" si="12">+H74+1</f>
        <v>2016</v>
      </c>
      <c r="J74" s="223">
        <f t="shared" ref="J74" si="13">+I74+1</f>
        <v>2017</v>
      </c>
      <c r="K74" s="223">
        <f t="shared" ref="K74" si="14">+J74+1</f>
        <v>2018</v>
      </c>
      <c r="L74" s="223">
        <f t="shared" ref="L74" si="15">+K74+1</f>
        <v>2019</v>
      </c>
      <c r="M74" s="223">
        <f t="shared" ref="M74" si="16">+L74+1</f>
        <v>2020</v>
      </c>
      <c r="N74" s="223">
        <f t="shared" ref="N74" si="17">+M74+1</f>
        <v>2021</v>
      </c>
      <c r="O74" s="223">
        <f t="shared" ref="O74" si="18">+N74+1</f>
        <v>2022</v>
      </c>
      <c r="P74" s="223">
        <f t="shared" ref="P74" si="19">+O74+1</f>
        <v>2023</v>
      </c>
      <c r="Q74" s="223">
        <f t="shared" ref="Q74" si="20">+P74+1</f>
        <v>2024</v>
      </c>
      <c r="R74" s="58" t="str">
        <f>"CAGR "&amp;$G$4&amp;" - "&amp;$Q$4</f>
        <v>CAGR 2014 - 2024</v>
      </c>
    </row>
    <row r="75" spans="1:18" ht="4" customHeight="1" x14ac:dyDescent="0.35">
      <c r="B75" s="53"/>
      <c r="C75" s="53"/>
      <c r="D75" s="53"/>
      <c r="E75" s="53"/>
      <c r="F75" s="53"/>
      <c r="G75" s="224"/>
      <c r="H75" s="224"/>
      <c r="I75" s="224"/>
      <c r="J75" s="224"/>
      <c r="K75" s="224"/>
      <c r="L75" s="224"/>
      <c r="M75" s="224"/>
      <c r="N75" s="224"/>
      <c r="O75" s="224"/>
      <c r="P75" s="224"/>
      <c r="Q75" s="224"/>
      <c r="R75" s="60"/>
    </row>
    <row r="76" spans="1:18" x14ac:dyDescent="0.3">
      <c r="B76" t="str">
        <f ca="1">+$B$6</f>
        <v>ANALOG DEVICES, INC.</v>
      </c>
      <c r="G76" s="10" t="e">
        <f>+G6+G20</f>
        <v>#VALUE!</v>
      </c>
      <c r="H76" s="10">
        <f t="shared" ref="H76:Q76" si="21">+H6+H20</f>
        <v>219</v>
      </c>
      <c r="I76" s="10">
        <f t="shared" si="21"/>
        <v>218</v>
      </c>
      <c r="J76" s="10">
        <f t="shared" si="21"/>
        <v>144</v>
      </c>
      <c r="K76" s="10">
        <f t="shared" si="21"/>
        <v>148</v>
      </c>
      <c r="L76" s="10" t="e">
        <f t="shared" si="21"/>
        <v>#VALUE!</v>
      </c>
      <c r="M76" s="10" t="e">
        <f t="shared" si="21"/>
        <v>#VALUE!</v>
      </c>
      <c r="N76" s="10" t="e">
        <f t="shared" si="21"/>
        <v>#VALUE!</v>
      </c>
      <c r="O76" s="10">
        <f t="shared" si="21"/>
        <v>325</v>
      </c>
      <c r="P76" s="10">
        <f t="shared" si="21"/>
        <v>278</v>
      </c>
      <c r="Q76" s="10" t="e">
        <f t="shared" si="21"/>
        <v>#VALUE!</v>
      </c>
      <c r="R76" s="700" t="str">
        <f t="shared" ref="R76:R86" si="22">IFERROR((Q76/G76)^(1/COUNT($G$4:$Q$4))-1,"")</f>
        <v/>
      </c>
    </row>
    <row r="77" spans="1:18" x14ac:dyDescent="0.3">
      <c r="B77" s="664" t="str">
        <f ca="1">+$B$7</f>
        <v>TEXAS INSTRUMENTS INCORPORATED</v>
      </c>
      <c r="C77" s="664"/>
      <c r="D77" s="664"/>
      <c r="E77" s="664"/>
      <c r="F77" s="664"/>
      <c r="G77" s="698" t="e">
        <f t="shared" ref="G77:Q77" si="23">+G7+G21</f>
        <v>#VALUE!</v>
      </c>
      <c r="H77" s="698">
        <f t="shared" si="23"/>
        <v>2471</v>
      </c>
      <c r="I77" s="698">
        <f t="shared" si="23"/>
        <v>1077</v>
      </c>
      <c r="J77" s="698">
        <f t="shared" si="23"/>
        <v>1184</v>
      </c>
      <c r="K77" s="698">
        <f t="shared" si="23"/>
        <v>2250</v>
      </c>
      <c r="L77" s="698">
        <f t="shared" si="23"/>
        <v>2070</v>
      </c>
      <c r="M77" s="698">
        <f t="shared" si="23"/>
        <v>1950</v>
      </c>
      <c r="N77" s="698">
        <f t="shared" si="23"/>
        <v>2080</v>
      </c>
      <c r="O77" s="698">
        <f t="shared" si="23"/>
        <v>2169</v>
      </c>
      <c r="P77" s="698">
        <f t="shared" si="23"/>
        <v>2220</v>
      </c>
      <c r="Q77" s="698" t="e">
        <f t="shared" si="23"/>
        <v>#VALUE!</v>
      </c>
      <c r="R77" s="701" t="str">
        <f t="shared" si="22"/>
        <v/>
      </c>
    </row>
    <row r="78" spans="1:18" x14ac:dyDescent="0.3">
      <c r="B78" t="str">
        <f ca="1">+$B$8</f>
        <v>MICROCHIP TECHNOLOGY INCORPORATED</v>
      </c>
      <c r="G78" s="765" t="e">
        <f t="shared" ref="G78:Q78" si="24">+G8+G22</f>
        <v>#VALUE!</v>
      </c>
      <c r="H78" s="10">
        <f t="shared" si="24"/>
        <v>1999</v>
      </c>
      <c r="I78" s="10">
        <f t="shared" si="24"/>
        <v>1623</v>
      </c>
      <c r="J78" s="10">
        <f t="shared" si="24"/>
        <v>2461</v>
      </c>
      <c r="K78" s="10">
        <f t="shared" si="24"/>
        <v>1600</v>
      </c>
      <c r="L78" s="10">
        <f t="shared" si="24"/>
        <v>1560</v>
      </c>
      <c r="M78" s="10">
        <f t="shared" si="24"/>
        <v>1320</v>
      </c>
      <c r="N78" s="10">
        <f t="shared" si="24"/>
        <v>1500</v>
      </c>
      <c r="O78" s="10">
        <f t="shared" si="24"/>
        <v>1530</v>
      </c>
      <c r="P78" s="10">
        <f t="shared" si="24"/>
        <v>893</v>
      </c>
      <c r="Q78" s="10" t="e">
        <f t="shared" si="24"/>
        <v>#VALUE!</v>
      </c>
      <c r="R78" s="700" t="str">
        <f t="shared" si="22"/>
        <v/>
      </c>
    </row>
    <row r="79" spans="1:18" x14ac:dyDescent="0.3">
      <c r="B79" s="664" t="str">
        <f ca="1">+$B$9</f>
        <v>MONOLITHIC POWER SYSTEMS, INC.</v>
      </c>
      <c r="C79" s="664"/>
      <c r="D79" s="664"/>
      <c r="E79" s="664"/>
      <c r="F79" s="664"/>
      <c r="G79" s="698" t="e">
        <f t="shared" ref="G79:Q79" si="25">+G9+G23</f>
        <v>#VALUE!</v>
      </c>
      <c r="H79" s="698">
        <f t="shared" si="25"/>
        <v>3170</v>
      </c>
      <c r="I79" s="698">
        <f t="shared" si="25"/>
        <v>3784</v>
      </c>
      <c r="J79" s="698">
        <f t="shared" si="25"/>
        <v>5841</v>
      </c>
      <c r="K79" s="698">
        <f t="shared" si="25"/>
        <v>6124</v>
      </c>
      <c r="L79" s="698">
        <f t="shared" si="25"/>
        <v>6698</v>
      </c>
      <c r="M79" s="698">
        <f t="shared" si="25"/>
        <v>6670</v>
      </c>
      <c r="N79" s="698">
        <f t="shared" si="25"/>
        <v>7147</v>
      </c>
      <c r="O79" s="698">
        <f t="shared" si="25"/>
        <v>7610</v>
      </c>
      <c r="P79" s="698">
        <f t="shared" si="25"/>
        <v>6837</v>
      </c>
      <c r="Q79" s="698" t="e">
        <f t="shared" si="25"/>
        <v>#VALUE!</v>
      </c>
      <c r="R79" s="701" t="str">
        <f t="shared" si="22"/>
        <v/>
      </c>
    </row>
    <row r="80" spans="1:18" x14ac:dyDescent="0.3">
      <c r="B80" t="str">
        <f ca="1">+$B$10</f>
        <v>SKYWORKS SOLUTIONS, INC.</v>
      </c>
      <c r="G80" s="10" t="e">
        <f t="shared" ref="G80:Q80" si="26">+G10+G24</f>
        <v>#VALUE!</v>
      </c>
      <c r="H80" s="10" t="e">
        <f t="shared" si="26"/>
        <v>#VALUE!</v>
      </c>
      <c r="I80" s="10" t="e">
        <f t="shared" si="26"/>
        <v>#VALUE!</v>
      </c>
      <c r="J80" s="10" t="e">
        <f t="shared" si="26"/>
        <v>#VALUE!</v>
      </c>
      <c r="K80" s="10" t="e">
        <f t="shared" si="26"/>
        <v>#VALUE!</v>
      </c>
      <c r="L80" s="10" t="e">
        <f t="shared" si="26"/>
        <v>#VALUE!</v>
      </c>
      <c r="M80" s="10" t="e">
        <f t="shared" si="26"/>
        <v>#VALUE!</v>
      </c>
      <c r="N80" s="10" t="e">
        <f t="shared" si="26"/>
        <v>#VALUE!</v>
      </c>
      <c r="O80" s="10" t="e">
        <f t="shared" si="26"/>
        <v>#VALUE!</v>
      </c>
      <c r="P80" s="10" t="e">
        <f t="shared" si="26"/>
        <v>#VALUE!</v>
      </c>
      <c r="Q80" s="10" t="e">
        <f t="shared" si="26"/>
        <v>#VALUE!</v>
      </c>
      <c r="R80" s="700" t="str">
        <f t="shared" si="22"/>
        <v/>
      </c>
    </row>
    <row r="81" spans="2:18" x14ac:dyDescent="0.3">
      <c r="B81" s="664" t="str">
        <f ca="1">+$B$11</f>
        <v>MACOM TECHNOLOGY SOLUTIONS HOLDINGS, INC.</v>
      </c>
      <c r="C81" s="664"/>
      <c r="D81" s="664"/>
      <c r="E81" s="664"/>
      <c r="F81" s="664"/>
      <c r="G81" s="698" t="e">
        <f t="shared" ref="G81:Q81" si="27">+G11+G25</f>
        <v>#VALUE!</v>
      </c>
      <c r="H81" s="698" t="e">
        <f t="shared" si="27"/>
        <v>#VALUE!</v>
      </c>
      <c r="I81" s="698" t="e">
        <f t="shared" si="27"/>
        <v>#VALUE!</v>
      </c>
      <c r="J81" s="698" t="e">
        <f t="shared" si="27"/>
        <v>#VALUE!</v>
      </c>
      <c r="K81" s="698" t="e">
        <f t="shared" si="27"/>
        <v>#VALUE!</v>
      </c>
      <c r="L81" s="698" t="e">
        <f t="shared" si="27"/>
        <v>#VALUE!</v>
      </c>
      <c r="M81" s="698" t="e">
        <f t="shared" si="27"/>
        <v>#VALUE!</v>
      </c>
      <c r="N81" s="698">
        <f t="shared" si="27"/>
        <v>19</v>
      </c>
      <c r="O81" s="698">
        <f t="shared" si="27"/>
        <v>30</v>
      </c>
      <c r="P81" s="698">
        <f t="shared" si="27"/>
        <v>27</v>
      </c>
      <c r="Q81" s="698" t="e">
        <f t="shared" si="27"/>
        <v>#VALUE!</v>
      </c>
      <c r="R81" s="701" t="str">
        <f t="shared" si="22"/>
        <v/>
      </c>
    </row>
    <row r="82" spans="2:18" x14ac:dyDescent="0.3">
      <c r="B82" t="str">
        <f ca="1">+$B$12</f>
        <v>MARVELL TECHNOLOGY, INC.</v>
      </c>
      <c r="G82" s="10" t="e">
        <f t="shared" ref="G82:Q82" si="28">+G12+G26</f>
        <v>#VALUE!</v>
      </c>
      <c r="H82" s="10" t="e">
        <f t="shared" si="28"/>
        <v>#VALUE!</v>
      </c>
      <c r="I82" s="10" t="e">
        <f t="shared" si="28"/>
        <v>#VALUE!</v>
      </c>
      <c r="J82" s="10" t="e">
        <f t="shared" si="28"/>
        <v>#VALUE!</v>
      </c>
      <c r="K82" s="10" t="e">
        <f t="shared" si="28"/>
        <v>#VALUE!</v>
      </c>
      <c r="L82" s="10" t="e">
        <f t="shared" si="28"/>
        <v>#VALUE!</v>
      </c>
      <c r="M82" s="10" t="e">
        <f t="shared" si="28"/>
        <v>#VALUE!</v>
      </c>
      <c r="N82" s="10" t="e">
        <f t="shared" si="28"/>
        <v>#VALUE!</v>
      </c>
      <c r="O82" s="10" t="e">
        <f t="shared" si="28"/>
        <v>#VALUE!</v>
      </c>
      <c r="P82" s="10" t="e">
        <f t="shared" si="28"/>
        <v>#VALUE!</v>
      </c>
      <c r="Q82" s="10">
        <f t="shared" si="28"/>
        <v>714</v>
      </c>
      <c r="R82" s="700" t="str">
        <f t="shared" si="22"/>
        <v/>
      </c>
    </row>
    <row r="83" spans="2:18" x14ac:dyDescent="0.3">
      <c r="B83" s="664" t="str">
        <f ca="1">+$B$13</f>
        <v>INTEL CORPORATION</v>
      </c>
      <c r="C83" s="664"/>
      <c r="D83" s="664"/>
      <c r="E83" s="664"/>
      <c r="F83" s="664"/>
      <c r="G83" s="698" t="e">
        <f t="shared" ref="G83:Q83" si="29">+G13+G27</f>
        <v>#VALUE!</v>
      </c>
      <c r="H83" s="698">
        <f t="shared" si="29"/>
        <v>312</v>
      </c>
      <c r="I83" s="698">
        <f t="shared" si="29"/>
        <v>406</v>
      </c>
      <c r="J83" s="698">
        <f t="shared" si="29"/>
        <v>325</v>
      </c>
      <c r="K83" s="698">
        <f t="shared" si="29"/>
        <v>356</v>
      </c>
      <c r="L83" s="698">
        <f t="shared" si="29"/>
        <v>469</v>
      </c>
      <c r="M83" s="698">
        <f t="shared" si="29"/>
        <v>352</v>
      </c>
      <c r="N83" s="698">
        <f t="shared" si="29"/>
        <v>561</v>
      </c>
      <c r="O83" s="698">
        <f t="shared" si="29"/>
        <v>572</v>
      </c>
      <c r="P83" s="698">
        <f t="shared" si="29"/>
        <v>789</v>
      </c>
      <c r="Q83" s="698" t="e">
        <f t="shared" si="29"/>
        <v>#VALUE!</v>
      </c>
      <c r="R83" s="701" t="str">
        <f t="shared" si="22"/>
        <v/>
      </c>
    </row>
    <row r="84" spans="2:18" x14ac:dyDescent="0.3">
      <c r="B84" t="str">
        <f ca="1">+$B$14</f>
        <v>MICRON TECHNOLOGY, INC.</v>
      </c>
      <c r="G84" s="10" t="e">
        <f t="shared" ref="G84:Q84" si="30">+G14+G28</f>
        <v>#VALUE!</v>
      </c>
      <c r="H84" s="10" t="e">
        <f t="shared" si="30"/>
        <v>#VALUE!</v>
      </c>
      <c r="I84" s="10" t="e">
        <f t="shared" si="30"/>
        <v>#VALUE!</v>
      </c>
      <c r="J84" s="10" t="e">
        <f t="shared" si="30"/>
        <v>#VALUE!</v>
      </c>
      <c r="K84" s="10" t="e">
        <f t="shared" si="30"/>
        <v>#VALUE!</v>
      </c>
      <c r="L84" s="10" t="e">
        <f t="shared" si="30"/>
        <v>#VALUE!</v>
      </c>
      <c r="M84" s="10" t="e">
        <f t="shared" si="30"/>
        <v>#VALUE!</v>
      </c>
      <c r="N84" s="10" t="e">
        <f t="shared" si="30"/>
        <v>#VALUE!</v>
      </c>
      <c r="O84" s="10" t="e">
        <f t="shared" si="30"/>
        <v>#VALUE!</v>
      </c>
      <c r="P84" s="10" t="e">
        <f t="shared" si="30"/>
        <v>#VALUE!</v>
      </c>
      <c r="Q84" s="10" t="e">
        <f t="shared" si="30"/>
        <v>#VALUE!</v>
      </c>
      <c r="R84" s="700" t="str">
        <f t="shared" si="22"/>
        <v/>
      </c>
    </row>
    <row r="85" spans="2:18" x14ac:dyDescent="0.3">
      <c r="B85" s="664" t="str">
        <f ca="1">+$B$15</f>
        <v>FIRST SOLAR, INC.</v>
      </c>
      <c r="C85" s="664"/>
      <c r="D85" s="664"/>
      <c r="E85" s="664"/>
      <c r="F85" s="664"/>
      <c r="G85" s="698" t="e">
        <f t="shared" ref="G85:Q85" si="31">+G15+G29</f>
        <v>#VALUE!</v>
      </c>
      <c r="H85" s="698" t="e">
        <f t="shared" si="31"/>
        <v>#VALUE!</v>
      </c>
      <c r="I85" s="698" t="e">
        <f t="shared" si="31"/>
        <v>#VALUE!</v>
      </c>
      <c r="J85" s="698" t="e">
        <f t="shared" si="31"/>
        <v>#VALUE!</v>
      </c>
      <c r="K85" s="698" t="e">
        <f t="shared" si="31"/>
        <v>#VALUE!</v>
      </c>
      <c r="L85" s="698" t="e">
        <f t="shared" si="31"/>
        <v>#VALUE!</v>
      </c>
      <c r="M85" s="698" t="e">
        <f t="shared" si="31"/>
        <v>#VALUE!</v>
      </c>
      <c r="N85" s="698" t="e">
        <f t="shared" si="31"/>
        <v>#VALUE!</v>
      </c>
      <c r="O85" s="698">
        <f t="shared" si="31"/>
        <v>158</v>
      </c>
      <c r="P85" s="698">
        <f t="shared" si="31"/>
        <v>122</v>
      </c>
      <c r="Q85" s="698" t="e">
        <f t="shared" si="31"/>
        <v>#VALUE!</v>
      </c>
      <c r="R85" s="701" t="str">
        <f t="shared" si="22"/>
        <v/>
      </c>
    </row>
    <row r="86" spans="2:18" x14ac:dyDescent="0.3">
      <c r="B86" t="str">
        <f ca="1">+$B$16</f>
        <v>ALTRI, S.G.P.S., S.A.</v>
      </c>
      <c r="G86" s="10" t="e">
        <f t="shared" ref="G86:Q86" si="32">+G16+G30</f>
        <v>#VALUE!</v>
      </c>
      <c r="H86" s="10" t="e">
        <f t="shared" si="32"/>
        <v>#VALUE!</v>
      </c>
      <c r="I86" s="10" t="e">
        <f t="shared" si="32"/>
        <v>#VALUE!</v>
      </c>
      <c r="J86" s="10" t="e">
        <f t="shared" si="32"/>
        <v>#VALUE!</v>
      </c>
      <c r="K86" s="10" t="e">
        <f t="shared" si="32"/>
        <v>#VALUE!</v>
      </c>
      <c r="L86" s="10" t="e">
        <f t="shared" si="32"/>
        <v>#VALUE!</v>
      </c>
      <c r="M86" s="10" t="e">
        <f t="shared" si="32"/>
        <v>#VALUE!</v>
      </c>
      <c r="N86" s="10" t="e">
        <f t="shared" si="32"/>
        <v>#VALUE!</v>
      </c>
      <c r="O86" s="10" t="e">
        <f t="shared" si="32"/>
        <v>#VALUE!</v>
      </c>
      <c r="P86" s="10" t="e">
        <f t="shared" si="32"/>
        <v>#VALUE!</v>
      </c>
      <c r="Q86" s="10" t="e">
        <f t="shared" si="32"/>
        <v>#VALUE!</v>
      </c>
      <c r="R86" s="700" t="str">
        <f t="shared" si="22"/>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8" tint="-0.499984740745262"/>
  </sheetPr>
  <dimension ref="A2:AW1773"/>
  <sheetViews>
    <sheetView showGridLines="0" tabSelected="1" topLeftCell="A193" zoomScale="58" zoomScaleNormal="70" workbookViewId="0">
      <selection activeCell="Q251" sqref="Q251"/>
    </sheetView>
  </sheetViews>
  <sheetFormatPr defaultColWidth="9" defaultRowHeight="15" customHeight="1" x14ac:dyDescent="0.35"/>
  <cols>
    <col min="1" max="1" width="2.33203125" style="120" customWidth="1"/>
    <col min="2" max="2" width="45" style="120" customWidth="1"/>
    <col min="3" max="3" width="14" style="120" customWidth="1"/>
    <col min="4" max="4" width="3.5" style="120" customWidth="1"/>
    <col min="5" max="7" width="13.33203125" style="120" customWidth="1"/>
    <col min="8" max="17" width="12.83203125" style="120" customWidth="1"/>
    <col min="18" max="18" width="11.58203125" style="120" customWidth="1"/>
    <col min="19" max="19" width="29.08203125" style="120" customWidth="1"/>
    <col min="20" max="20" width="16.58203125" style="120" customWidth="1"/>
    <col min="21" max="21" width="32.08203125" style="120" hidden="1" customWidth="1"/>
    <col min="22" max="22" width="11.08203125" style="120" hidden="1" customWidth="1"/>
    <col min="23" max="35" width="9" style="120" hidden="1" customWidth="1"/>
    <col min="36" max="37" width="9" style="120" customWidth="1"/>
    <col min="38" max="38" width="8.58203125" style="120" customWidth="1"/>
    <col min="39" max="39" width="2.58203125" style="120" customWidth="1"/>
    <col min="40" max="16384" width="9" style="120"/>
  </cols>
  <sheetData>
    <row r="2" spans="1:36" s="41" customFormat="1" ht="20.149999999999999" customHeight="1" x14ac:dyDescent="0.4">
      <c r="B2" s="40" t="s">
        <v>366</v>
      </c>
    </row>
    <row r="4" spans="1:36" ht="15.5" x14ac:dyDescent="0.35">
      <c r="A4" s="120" t="s">
        <v>358</v>
      </c>
      <c r="B4" s="52" t="s">
        <v>367</v>
      </c>
      <c r="C4" s="56"/>
      <c r="D4" s="56"/>
      <c r="E4" s="56"/>
      <c r="F4" s="56"/>
      <c r="G4" s="56"/>
      <c r="H4" s="56"/>
      <c r="I4" s="56"/>
      <c r="J4" s="56"/>
      <c r="K4" s="56"/>
      <c r="L4" s="56"/>
      <c r="M4" s="56"/>
      <c r="N4" s="56"/>
      <c r="O4" s="56"/>
      <c r="P4" s="56"/>
      <c r="Q4" s="56"/>
      <c r="R4" s="120" t="e" vm="2">
        <v>#VALUE!</v>
      </c>
      <c r="S4" s="399"/>
      <c r="T4" s="121"/>
      <c r="U4" s="121"/>
    </row>
    <row r="5" spans="1:36" ht="4" customHeight="1" x14ac:dyDescent="0.35">
      <c r="B5" s="122"/>
      <c r="C5" s="123"/>
      <c r="D5" s="123"/>
      <c r="E5" s="123"/>
      <c r="F5" s="123"/>
      <c r="G5" s="123"/>
      <c r="H5" s="123"/>
      <c r="I5" s="123"/>
      <c r="J5" s="123"/>
      <c r="K5" s="123"/>
      <c r="L5" s="123"/>
      <c r="M5" s="123"/>
      <c r="N5" s="123"/>
      <c r="O5" s="123"/>
      <c r="P5" s="123"/>
      <c r="Q5" s="123"/>
      <c r="S5" s="121"/>
      <c r="T5" s="121"/>
      <c r="U5" s="121"/>
    </row>
    <row r="6" spans="1:36" ht="15.5" x14ac:dyDescent="0.35">
      <c r="B6" s="124" t="s">
        <v>368</v>
      </c>
      <c r="C6" s="125"/>
      <c r="D6" s="125"/>
      <c r="E6" s="124" t="s">
        <v>369</v>
      </c>
      <c r="F6" s="125"/>
      <c r="G6" s="125"/>
      <c r="H6" s="124" t="s">
        <v>370</v>
      </c>
      <c r="J6" s="125"/>
      <c r="K6" s="124" t="s">
        <v>371</v>
      </c>
      <c r="L6" s="125"/>
      <c r="P6" s="125"/>
      <c r="Q6" s="125"/>
      <c r="X6" s="120" t="s">
        <v>22</v>
      </c>
      <c r="Y6" s="120" t="s">
        <v>372</v>
      </c>
      <c r="Z6" s="120" t="s">
        <v>373</v>
      </c>
      <c r="AA6" s="120" t="s">
        <v>374</v>
      </c>
      <c r="AB6" s="120" t="s">
        <v>375</v>
      </c>
      <c r="AC6" s="120" t="s">
        <v>252</v>
      </c>
      <c r="AD6" s="120" t="s">
        <v>376</v>
      </c>
      <c r="AE6" s="120" t="s">
        <v>243</v>
      </c>
      <c r="AF6" s="120" t="s">
        <v>377</v>
      </c>
      <c r="AG6" s="120" t="s">
        <v>248</v>
      </c>
      <c r="AH6" s="120" t="s">
        <v>245</v>
      </c>
      <c r="AI6" s="120" t="s">
        <v>241</v>
      </c>
    </row>
    <row r="7" spans="1:36" ht="15.5" x14ac:dyDescent="0.35">
      <c r="B7" s="125" t="s">
        <v>175</v>
      </c>
      <c r="C7" s="610">
        <v>2</v>
      </c>
      <c r="D7" s="125"/>
      <c r="E7" s="120" t="s">
        <v>175</v>
      </c>
      <c r="F7" s="614">
        <f>I7-C7%</f>
        <v>-0.02</v>
      </c>
      <c r="H7" s="120" t="s">
        <v>175</v>
      </c>
      <c r="I7" s="127"/>
      <c r="K7" s="120" t="s">
        <v>175</v>
      </c>
      <c r="L7" s="614">
        <f>I7+C7%</f>
        <v>0.02</v>
      </c>
      <c r="P7" s="125"/>
      <c r="S7" s="120" t="s">
        <v>378</v>
      </c>
      <c r="T7" s="349"/>
      <c r="W7" s="120">
        <v>2022</v>
      </c>
      <c r="X7" s="171">
        <f>+E192</f>
        <v>3743.8181405507257</v>
      </c>
      <c r="Y7" s="171">
        <f>+E244</f>
        <v>3800.6000000000004</v>
      </c>
      <c r="Z7" s="171">
        <f ca="1">+H216</f>
        <v>0</v>
      </c>
      <c r="AA7" s="171">
        <f>+E257</f>
        <v>-4121.6000000000004</v>
      </c>
      <c r="AB7" s="171">
        <f>+E182</f>
        <v>1928.1181405507259</v>
      </c>
      <c r="AC7" s="210">
        <f>+E242</f>
        <v>0</v>
      </c>
      <c r="AD7" s="171">
        <f>+E88</f>
        <v>1470.6</v>
      </c>
      <c r="AH7" s="171"/>
    </row>
    <row r="8" spans="1:36" ht="15.5" x14ac:dyDescent="0.35">
      <c r="B8" s="125" t="s">
        <v>379</v>
      </c>
      <c r="C8" s="610">
        <v>2</v>
      </c>
      <c r="D8" s="125"/>
      <c r="E8" s="120" t="s">
        <v>379</v>
      </c>
      <c r="F8" s="614">
        <v>-0.01</v>
      </c>
      <c r="H8" s="120" t="s">
        <v>379</v>
      </c>
      <c r="K8" s="120" t="s">
        <v>379</v>
      </c>
      <c r="L8" s="614">
        <v>0.01</v>
      </c>
      <c r="P8" s="125"/>
      <c r="S8" s="120" t="s">
        <v>380</v>
      </c>
      <c r="T8" s="350"/>
      <c r="W8" s="120">
        <f t="shared" ref="W8:W14" si="0">+W7+1</f>
        <v>2023</v>
      </c>
      <c r="X8" s="171">
        <f>+F192</f>
        <v>3404.7220650322206</v>
      </c>
      <c r="Y8" s="171">
        <f>+F244</f>
        <v>3449.2</v>
      </c>
      <c r="Z8" s="171">
        <f ca="1">+I216</f>
        <v>0</v>
      </c>
      <c r="AA8" s="171">
        <f>+F257</f>
        <v>-4643.1000000000004</v>
      </c>
      <c r="AB8" s="171">
        <f>+F182</f>
        <v>2362.3220650322205</v>
      </c>
      <c r="AC8" s="210">
        <f>+F242</f>
        <v>0</v>
      </c>
      <c r="AD8" s="171">
        <f>+F88</f>
        <v>958.1</v>
      </c>
    </row>
    <row r="9" spans="1:36" ht="15.5" x14ac:dyDescent="0.35">
      <c r="B9" s="125" t="s">
        <v>381</v>
      </c>
      <c r="C9" s="610">
        <v>2</v>
      </c>
      <c r="D9" s="125"/>
      <c r="E9" s="125" t="s">
        <v>381</v>
      </c>
      <c r="F9" s="612">
        <f ca="1">IFERROR(+I9+0.5%,"")</f>
        <v>9.0579999999999994E-2</v>
      </c>
      <c r="H9" s="125" t="s">
        <v>381</v>
      </c>
      <c r="I9" s="613">
        <f ca="1">WACC!G25</f>
        <v>8.5579999999999989E-2</v>
      </c>
      <c r="J9" s="125"/>
      <c r="K9" s="125" t="s">
        <v>381</v>
      </c>
      <c r="L9" s="615">
        <f ca="1">IFERROR(I9-0.5%,"")</f>
        <v>8.0579999999999985E-2</v>
      </c>
      <c r="M9" s="125"/>
      <c r="P9" s="125"/>
      <c r="Q9" s="125"/>
      <c r="S9" s="120" t="s">
        <v>382</v>
      </c>
      <c r="T9" s="350"/>
      <c r="W9" s="120">
        <f t="shared" si="0"/>
        <v>2024</v>
      </c>
      <c r="X9" s="171">
        <f>+G192</f>
        <v>2284.489852492371</v>
      </c>
      <c r="Y9" s="171">
        <f>+G244</f>
        <v>2838.3660000000004</v>
      </c>
      <c r="Z9" s="171">
        <f ca="1">+J216</f>
        <v>0</v>
      </c>
      <c r="AA9" s="171">
        <f>+G257</f>
        <v>-2411.1</v>
      </c>
      <c r="AB9" s="171">
        <f>+G182</f>
        <v>590.38985249237112</v>
      </c>
      <c r="AC9" s="210">
        <f>+G242</f>
        <v>499.96600000000001</v>
      </c>
      <c r="AD9" s="171">
        <f>+G88</f>
        <v>2363.1</v>
      </c>
      <c r="AE9" s="210">
        <f>Inputs!Q48</f>
        <v>48228.299999999996</v>
      </c>
      <c r="AF9" s="210">
        <f>+Inputs!Q60</f>
        <v>13052</v>
      </c>
      <c r="AG9" s="210">
        <f>+AE9-AF9</f>
        <v>35176.299999999996</v>
      </c>
      <c r="AH9" s="210">
        <f>+Inputs!Q54</f>
        <v>2988.3</v>
      </c>
      <c r="AI9" s="210">
        <f>+Inputs!Q38</f>
        <v>5484.7</v>
      </c>
    </row>
    <row r="10" spans="1:36" ht="15.5" x14ac:dyDescent="0.35">
      <c r="B10" s="125" t="s">
        <v>383</v>
      </c>
      <c r="C10" s="610">
        <v>2</v>
      </c>
      <c r="D10" s="125"/>
      <c r="E10" s="125" t="s">
        <v>383</v>
      </c>
      <c r="F10" s="612">
        <f>+I10-0.5%</f>
        <v>-5.0000000000000001E-3</v>
      </c>
      <c r="H10" s="125" t="s">
        <v>383</v>
      </c>
      <c r="I10" s="614"/>
      <c r="J10" s="125"/>
      <c r="K10" s="125" t="s">
        <v>383</v>
      </c>
      <c r="L10" s="612">
        <f>+I10+0.5%</f>
        <v>5.0000000000000001E-3</v>
      </c>
      <c r="M10" s="125"/>
      <c r="P10" s="125"/>
      <c r="S10" s="120" t="s">
        <v>384</v>
      </c>
      <c r="T10" s="350"/>
      <c r="W10" s="120">
        <f t="shared" si="0"/>
        <v>2025</v>
      </c>
      <c r="X10" s="171">
        <f ca="1">+H192</f>
        <v>3929.6086255742139</v>
      </c>
      <c r="Y10" s="171">
        <f>+H244</f>
        <v>3933.1925681667199</v>
      </c>
      <c r="Z10" s="171">
        <f ca="1">+K216</f>
        <v>0</v>
      </c>
      <c r="AA10" s="171">
        <f>+H257</f>
        <v>0</v>
      </c>
      <c r="AB10" s="171">
        <f ca="1">+H182</f>
        <v>1366.5524748135394</v>
      </c>
      <c r="AC10" s="210">
        <f>+H242</f>
        <v>0</v>
      </c>
      <c r="AD10" s="171">
        <f>+H88</f>
        <v>7076.73420896672</v>
      </c>
      <c r="AE10" s="210">
        <f>Inputs!Q48+DCF!H88+DCF!H90+DCF!H93+DCF!H96+DCF!H99+DCF!H105-DCF!G88-DCF!G90-DCF!G93-DCF!G96-DCF!G99-DCF!G105</f>
        <v>52538.621642114129</v>
      </c>
      <c r="AF10" s="210" t="e">
        <f>+Inputs!Q60+(DCF!H110+DCF!H113+DCF!H116+DCF!H118*DCF!G110*DCF!G113*DCF!G116*DCF!G118)</f>
        <v>#VALUE!</v>
      </c>
      <c r="AG10" s="210" t="e">
        <f>+AE10-AF10</f>
        <v>#VALUE!</v>
      </c>
      <c r="AH10" s="171">
        <f>+AH9+H110+H113-G110-G113</f>
        <v>3276.3265604917615</v>
      </c>
      <c r="AI10" s="171">
        <f>+H88+H90+H93+H96</f>
        <v>10192.957642114126</v>
      </c>
    </row>
    <row r="11" spans="1:36" ht="10" customHeight="1" x14ac:dyDescent="0.35">
      <c r="B11" s="125"/>
      <c r="C11" s="125"/>
      <c r="D11" s="125"/>
      <c r="E11" s="125"/>
      <c r="G11" s="125"/>
      <c r="K11" s="125"/>
      <c r="M11" s="125"/>
      <c r="P11" s="125"/>
      <c r="W11" s="120">
        <f t="shared" si="0"/>
        <v>2026</v>
      </c>
      <c r="X11" s="171">
        <f ca="1">+I192</f>
        <v>3827.6096567595682</v>
      </c>
      <c r="Y11" s="171">
        <f>+I244</f>
        <v>3827.530781100279</v>
      </c>
      <c r="Z11" s="171">
        <f ca="1">+L216</f>
        <v>0</v>
      </c>
      <c r="AA11" s="171">
        <f>+I257</f>
        <v>0</v>
      </c>
      <c r="AB11" s="171">
        <f ca="1">+I182</f>
        <v>1804.7549102135683</v>
      </c>
      <c r="AC11" s="210">
        <f>+I242</f>
        <v>0</v>
      </c>
      <c r="AD11" s="171">
        <f>+I88</f>
        <v>12055.947152011344</v>
      </c>
      <c r="AE11" s="210">
        <f>AE10+DCF!I88+DCF!I90+DCF!I93+DCF!I96+DCF!I99+DCF!I105-DCF!H88-DCF!H90-DCF!H93-DCF!H96-DCF!H99-DCF!H105</f>
        <v>57436.620345584728</v>
      </c>
      <c r="AF11" s="210" t="e">
        <f>AF10+(DCF!I110+DCF!I113+DCF!I116+DCF!I118*DCF!H110*DCF!H113*DCF!H116*DCF!H118)</f>
        <v>#VALUE!</v>
      </c>
      <c r="AG11" s="210" t="e">
        <f>+AE11-AF11</f>
        <v>#VALUE!</v>
      </c>
      <c r="AH11" s="171">
        <f>+AH10+I110+I113-H110-H113</f>
        <v>3364.272816147703</v>
      </c>
      <c r="AI11" s="171">
        <f>+I88+I90+I93+I96</f>
        <v>15539.15166238474</v>
      </c>
      <c r="AJ11" s="171"/>
    </row>
    <row r="12" spans="1:36" ht="13.5" customHeight="1" x14ac:dyDescent="0.35">
      <c r="B12" s="125" t="s">
        <v>381</v>
      </c>
      <c r="C12" s="611">
        <f ca="1">CHOOSE(C9,F9,I9,L9)</f>
        <v>8.5579999999999989E-2</v>
      </c>
      <c r="D12" s="125"/>
      <c r="E12" s="125"/>
      <c r="G12" s="125"/>
      <c r="K12" s="125"/>
      <c r="P12" s="125"/>
      <c r="S12" s="126"/>
      <c r="T12" s="127"/>
      <c r="W12" s="120">
        <f t="shared" si="0"/>
        <v>2027</v>
      </c>
      <c r="X12" s="171">
        <f ca="1">+J192</f>
        <v>4273.3142223758014</v>
      </c>
      <c r="Y12" s="171">
        <f>+J244</f>
        <v>4270.2090323482826</v>
      </c>
      <c r="Z12" s="171">
        <f ca="1">+M216</f>
        <v>0</v>
      </c>
      <c r="AA12" s="171">
        <f>+J257</f>
        <v>0</v>
      </c>
      <c r="AB12" s="171">
        <f ca="1">+J182</f>
        <v>2134.7109496600547</v>
      </c>
      <c r="AC12" s="210">
        <f>+J242</f>
        <v>0</v>
      </c>
      <c r="AD12" s="171">
        <f>+J88</f>
        <v>17620.116988216658</v>
      </c>
    </row>
    <row r="13" spans="1:36" ht="31" x14ac:dyDescent="0.35">
      <c r="B13" s="125" t="s">
        <v>383</v>
      </c>
      <c r="C13" s="611">
        <f>CHOOSE(C10,F10,I10,L10)</f>
        <v>0</v>
      </c>
      <c r="D13" s="125"/>
      <c r="E13" s="125"/>
      <c r="G13" s="128"/>
      <c r="H13" s="125"/>
      <c r="I13" s="125"/>
      <c r="J13" s="125"/>
      <c r="K13" s="125"/>
      <c r="L13" s="125"/>
      <c r="M13" s="125"/>
      <c r="O13" s="125"/>
      <c r="P13" s="125"/>
      <c r="Q13" s="125"/>
      <c r="R13" s="125"/>
      <c r="S13" s="126" t="s">
        <v>385</v>
      </c>
      <c r="W13" s="120">
        <f t="shared" si="0"/>
        <v>2028</v>
      </c>
      <c r="X13" s="171">
        <f ca="1">+K192</f>
        <v>4670.9362433876649</v>
      </c>
      <c r="Y13" s="171">
        <f>+K244</f>
        <v>4671.0752654011421</v>
      </c>
      <c r="Z13" s="171">
        <f ca="1">+N216</f>
        <v>0</v>
      </c>
      <c r="AA13" s="171">
        <f>+K257</f>
        <v>0</v>
      </c>
      <c r="AB13" s="171">
        <f ca="1">+K182</f>
        <v>2369.440412444812</v>
      </c>
      <c r="AC13" s="210">
        <f>+K242</f>
        <v>0</v>
      </c>
      <c r="AD13" s="171">
        <f>+K88</f>
        <v>23405.266804430808</v>
      </c>
    </row>
    <row r="14" spans="1:36" ht="15.5" x14ac:dyDescent="0.35">
      <c r="B14" s="125"/>
      <c r="C14" s="129"/>
      <c r="D14" s="125"/>
      <c r="E14" s="130"/>
      <c r="F14" s="130"/>
      <c r="G14" s="130"/>
      <c r="H14" s="125"/>
      <c r="I14" s="125"/>
      <c r="J14" s="125"/>
      <c r="K14" s="125"/>
      <c r="L14" s="125"/>
      <c r="M14" s="125"/>
      <c r="O14" s="125"/>
      <c r="P14" s="125"/>
      <c r="Q14" s="125"/>
      <c r="R14" s="125"/>
      <c r="W14" s="120">
        <f t="shared" si="0"/>
        <v>2029</v>
      </c>
      <c r="X14" s="171">
        <f ca="1">+L192</f>
        <v>4757.8869393150217</v>
      </c>
      <c r="Y14" s="171">
        <f>+L244</f>
        <v>4756.8364699706408</v>
      </c>
      <c r="Z14" s="171">
        <f ca="1">+O216</f>
        <v>0</v>
      </c>
      <c r="AA14" s="171">
        <f>+L257</f>
        <v>0</v>
      </c>
      <c r="AB14" s="171">
        <f ca="1">+L182</f>
        <v>2804.9124131199255</v>
      </c>
      <c r="AC14" s="210">
        <f>+L242</f>
        <v>0</v>
      </c>
      <c r="AD14" s="171">
        <f>+L88</f>
        <v>29391.39239013895</v>
      </c>
    </row>
    <row r="15" spans="1:36" ht="15.5" x14ac:dyDescent="0.35">
      <c r="A15" s="120" t="s">
        <v>358</v>
      </c>
      <c r="B15" s="52" t="s">
        <v>386</v>
      </c>
      <c r="C15" s="56"/>
      <c r="D15" s="56"/>
      <c r="E15" s="131">
        <v>2022</v>
      </c>
      <c r="F15" s="131">
        <f>+E15+1</f>
        <v>2023</v>
      </c>
      <c r="G15" s="132">
        <f>+F15+1</f>
        <v>2024</v>
      </c>
      <c r="H15" s="102">
        <f t="shared" ref="H15:J15" si="1">+G15+1</f>
        <v>2025</v>
      </c>
      <c r="I15" s="102">
        <f t="shared" si="1"/>
        <v>2026</v>
      </c>
      <c r="J15" s="102">
        <f t="shared" si="1"/>
        <v>2027</v>
      </c>
      <c r="K15" s="102">
        <f>+J15+1</f>
        <v>2028</v>
      </c>
      <c r="L15" s="102">
        <f t="shared" ref="L15:Q15" si="2">+K15+1</f>
        <v>2029</v>
      </c>
      <c r="M15" s="102">
        <f t="shared" si="2"/>
        <v>2030</v>
      </c>
      <c r="N15" s="102">
        <f t="shared" si="2"/>
        <v>2031</v>
      </c>
      <c r="O15" s="102">
        <f t="shared" si="2"/>
        <v>2032</v>
      </c>
      <c r="P15" s="102">
        <f t="shared" si="2"/>
        <v>2033</v>
      </c>
      <c r="Q15" s="102">
        <f t="shared" si="2"/>
        <v>2034</v>
      </c>
      <c r="R15" s="125"/>
    </row>
    <row r="16" spans="1:36" ht="3.75" customHeight="1" x14ac:dyDescent="0.35">
      <c r="B16" s="70"/>
      <c r="C16" s="70"/>
      <c r="D16" s="70"/>
      <c r="E16" s="70"/>
      <c r="F16" s="70"/>
      <c r="G16" s="133"/>
      <c r="H16" s="70"/>
      <c r="I16" s="70"/>
      <c r="J16" s="70"/>
      <c r="K16" s="70"/>
      <c r="L16" s="70"/>
      <c r="M16" s="70"/>
      <c r="N16" s="70"/>
      <c r="O16" s="70"/>
      <c r="P16" s="70"/>
      <c r="Q16" s="70"/>
      <c r="R16" s="125"/>
    </row>
    <row r="17" spans="1:34" ht="15.5" x14ac:dyDescent="0.35">
      <c r="B17" s="125" t="s">
        <v>387</v>
      </c>
      <c r="C17" s="129"/>
      <c r="D17" s="125"/>
      <c r="E17" s="134"/>
      <c r="F17" s="134"/>
      <c r="G17" s="135"/>
      <c r="H17" s="136"/>
      <c r="I17" s="136"/>
      <c r="J17" s="136"/>
      <c r="K17" s="136"/>
      <c r="L17" s="136"/>
      <c r="M17" s="136"/>
      <c r="N17" s="136"/>
      <c r="O17" s="136"/>
      <c r="P17" s="136"/>
      <c r="Q17" s="136"/>
      <c r="R17" s="125"/>
    </row>
    <row r="18" spans="1:34" ht="15.5" x14ac:dyDescent="0.35">
      <c r="B18" s="125" t="s">
        <v>388</v>
      </c>
      <c r="C18" s="129"/>
      <c r="D18" s="125"/>
      <c r="E18" s="288"/>
      <c r="F18" s="288"/>
      <c r="G18" s="289"/>
      <c r="H18" s="137"/>
      <c r="I18" s="137"/>
      <c r="J18" s="137"/>
      <c r="K18" s="137"/>
      <c r="L18" s="137"/>
      <c r="M18" s="137"/>
      <c r="N18" s="137"/>
      <c r="O18" s="137"/>
      <c r="P18" s="137"/>
      <c r="Q18" s="137"/>
      <c r="R18" s="125"/>
      <c r="AE18" s="210"/>
      <c r="AF18" s="210"/>
      <c r="AG18" s="210"/>
      <c r="AH18" s="210"/>
    </row>
    <row r="19" spans="1:34" ht="15.5" x14ac:dyDescent="0.35">
      <c r="B19" s="138" t="s">
        <v>389</v>
      </c>
      <c r="C19" s="129"/>
      <c r="D19" s="125"/>
      <c r="E19" s="139"/>
      <c r="F19" s="139"/>
      <c r="G19" s="140"/>
      <c r="H19" s="141"/>
      <c r="I19" s="141"/>
      <c r="J19" s="141"/>
      <c r="K19" s="141"/>
      <c r="L19" s="141"/>
      <c r="M19" s="141"/>
      <c r="N19" s="141"/>
      <c r="O19" s="141"/>
      <c r="P19" s="141"/>
      <c r="Q19" s="141"/>
      <c r="R19" s="125"/>
      <c r="AD19" s="171"/>
      <c r="AE19" s="171"/>
      <c r="AF19" s="171"/>
      <c r="AG19" s="171"/>
    </row>
    <row r="20" spans="1:34" ht="15.5" x14ac:dyDescent="0.35">
      <c r="B20" s="626" t="s">
        <v>390</v>
      </c>
      <c r="C20" s="129"/>
      <c r="D20" s="125"/>
      <c r="E20" s="627"/>
      <c r="F20" s="627"/>
      <c r="G20" s="628"/>
      <c r="H20" s="125"/>
      <c r="I20" s="125"/>
      <c r="J20" s="125"/>
      <c r="K20" s="125"/>
      <c r="L20" s="125"/>
      <c r="M20" s="125"/>
      <c r="O20" s="125"/>
      <c r="P20" s="125"/>
      <c r="Q20" s="125"/>
      <c r="R20" s="125"/>
      <c r="S20" s="32"/>
      <c r="T20" s="96"/>
      <c r="U20" s="96"/>
      <c r="V20" s="96"/>
      <c r="W20" s="96"/>
      <c r="X20" s="96"/>
    </row>
    <row r="21" spans="1:34" ht="15.5" x14ac:dyDescent="0.35">
      <c r="B21" s="626" t="s">
        <v>391</v>
      </c>
      <c r="C21" s="129"/>
      <c r="D21" s="125"/>
      <c r="E21" s="627"/>
      <c r="F21" s="627"/>
      <c r="G21" s="628"/>
      <c r="H21" s="125"/>
      <c r="I21" s="125"/>
      <c r="J21" s="125"/>
      <c r="K21" s="125"/>
      <c r="L21" s="125"/>
      <c r="M21" s="125"/>
      <c r="O21" s="125"/>
      <c r="P21" s="125"/>
      <c r="Q21" s="125"/>
      <c r="R21" s="125"/>
      <c r="S21" s="845"/>
      <c r="T21" s="845"/>
      <c r="U21"/>
      <c r="V21"/>
      <c r="W21"/>
      <c r="X21"/>
    </row>
    <row r="22" spans="1:34" ht="15.5" x14ac:dyDescent="0.35">
      <c r="B22" s="125" t="s">
        <v>392</v>
      </c>
      <c r="C22" s="129"/>
      <c r="D22" s="125"/>
      <c r="E22" s="134"/>
      <c r="F22" s="134"/>
      <c r="G22" s="135"/>
      <c r="H22" s="136"/>
      <c r="I22" s="136"/>
      <c r="J22" s="136"/>
      <c r="K22" s="136"/>
      <c r="L22" s="136"/>
      <c r="N22" s="136"/>
      <c r="O22" s="136"/>
      <c r="P22" s="136"/>
      <c r="Q22" s="136"/>
      <c r="R22" s="125"/>
      <c r="S22" s="96"/>
      <c r="T22"/>
      <c r="U22"/>
      <c r="V22"/>
      <c r="W22"/>
      <c r="X22"/>
    </row>
    <row r="23" spans="1:34" ht="15.5" x14ac:dyDescent="0.35">
      <c r="B23" s="125" t="s">
        <v>393</v>
      </c>
      <c r="C23" s="129"/>
      <c r="D23" s="125"/>
      <c r="E23" s="142"/>
      <c r="F23" s="142"/>
      <c r="G23" s="143"/>
      <c r="H23" s="144"/>
      <c r="I23" s="144"/>
      <c r="J23" s="144"/>
      <c r="K23" s="144"/>
      <c r="L23" s="144"/>
      <c r="N23" s="136"/>
      <c r="O23" s="144"/>
      <c r="P23" s="144"/>
      <c r="Q23" s="144"/>
      <c r="R23" s="125"/>
      <c r="S23" s="96"/>
      <c r="T23"/>
      <c r="U23"/>
      <c r="V23"/>
      <c r="W23"/>
      <c r="X23"/>
    </row>
    <row r="24" spans="1:34" ht="15.5" x14ac:dyDescent="0.35">
      <c r="B24" s="125" t="s">
        <v>394</v>
      </c>
      <c r="C24" s="129"/>
      <c r="D24" s="125"/>
      <c r="E24" s="624"/>
      <c r="F24" s="624"/>
      <c r="G24" s="625"/>
      <c r="H24" s="305"/>
      <c r="I24" s="305"/>
      <c r="J24" s="305"/>
      <c r="K24" s="305"/>
      <c r="L24" s="305"/>
      <c r="M24" s="305"/>
      <c r="N24" s="305"/>
      <c r="O24" s="305"/>
      <c r="P24" s="305"/>
      <c r="Q24" s="305"/>
      <c r="R24" s="174"/>
      <c r="S24" s="96"/>
      <c r="T24"/>
      <c r="U24"/>
      <c r="V24"/>
      <c r="W24"/>
      <c r="X24"/>
    </row>
    <row r="25" spans="1:34" ht="15.5" x14ac:dyDescent="0.35">
      <c r="B25" s="125" t="s">
        <v>395</v>
      </c>
      <c r="C25" s="129"/>
      <c r="D25" s="125"/>
      <c r="E25" s="146"/>
      <c r="F25" s="146"/>
      <c r="G25" s="147"/>
      <c r="H25" s="136"/>
      <c r="I25" s="136"/>
      <c r="J25" s="136"/>
      <c r="K25" s="136"/>
      <c r="L25" s="136"/>
      <c r="M25" s="136"/>
      <c r="N25" s="136"/>
      <c r="O25" s="136"/>
      <c r="P25" s="136"/>
      <c r="Q25" s="136"/>
      <c r="R25" s="125"/>
      <c r="S25" s="96"/>
      <c r="T25"/>
      <c r="U25"/>
      <c r="V25"/>
      <c r="W25"/>
      <c r="X25"/>
    </row>
    <row r="26" spans="1:34" ht="15.5" x14ac:dyDescent="0.35">
      <c r="B26" s="125" t="s">
        <v>396</v>
      </c>
      <c r="C26" s="129"/>
      <c r="D26" s="125"/>
      <c r="E26" s="136"/>
      <c r="F26" s="136"/>
      <c r="G26" s="148"/>
      <c r="H26" s="136"/>
      <c r="I26" s="136"/>
      <c r="J26" s="136"/>
      <c r="K26" s="136"/>
      <c r="L26" s="136"/>
      <c r="M26" s="136"/>
      <c r="N26" s="136"/>
      <c r="O26" s="136"/>
      <c r="P26" s="136"/>
      <c r="Q26" s="136"/>
      <c r="R26" s="125"/>
      <c r="S26" s="96"/>
      <c r="T26"/>
      <c r="U26"/>
      <c r="V26"/>
      <c r="W26"/>
      <c r="X26"/>
    </row>
    <row r="27" spans="1:34" ht="15.5" x14ac:dyDescent="0.35">
      <c r="B27" s="149" t="s">
        <v>397</v>
      </c>
      <c r="G27" s="150"/>
      <c r="S27" s="96"/>
    </row>
    <row r="28" spans="1:34" ht="15.5" x14ac:dyDescent="0.35">
      <c r="A28" s="120" t="s">
        <v>358</v>
      </c>
      <c r="B28" s="52" t="s">
        <v>224</v>
      </c>
      <c r="C28" s="56"/>
      <c r="D28" s="56"/>
      <c r="E28" s="131">
        <v>2022</v>
      </c>
      <c r="F28" s="131">
        <f>+E28+1</f>
        <v>2023</v>
      </c>
      <c r="G28" s="132">
        <f>+F28+1</f>
        <v>2024</v>
      </c>
      <c r="H28" s="102">
        <f t="shared" ref="H28:Q28" si="3">+G28+1</f>
        <v>2025</v>
      </c>
      <c r="I28" s="102">
        <f t="shared" si="3"/>
        <v>2026</v>
      </c>
      <c r="J28" s="102">
        <f t="shared" si="3"/>
        <v>2027</v>
      </c>
      <c r="K28" s="102">
        <f>+J28+1</f>
        <v>2028</v>
      </c>
      <c r="L28" s="102">
        <f t="shared" si="3"/>
        <v>2029</v>
      </c>
      <c r="M28" s="102">
        <f t="shared" si="3"/>
        <v>2030</v>
      </c>
      <c r="N28" s="102">
        <f t="shared" si="3"/>
        <v>2031</v>
      </c>
      <c r="O28" s="102">
        <f t="shared" si="3"/>
        <v>2032</v>
      </c>
      <c r="P28" s="102">
        <f t="shared" si="3"/>
        <v>2033</v>
      </c>
      <c r="Q28" s="102">
        <f t="shared" si="3"/>
        <v>2034</v>
      </c>
      <c r="R28" s="151"/>
      <c r="S28" s="121"/>
      <c r="T28" s="121"/>
      <c r="U28" s="121"/>
    </row>
    <row r="29" spans="1:34" ht="4" customHeight="1" x14ac:dyDescent="0.35">
      <c r="B29" s="70"/>
      <c r="C29" s="70"/>
      <c r="D29" s="70"/>
      <c r="E29" s="70"/>
      <c r="F29" s="70"/>
      <c r="G29" s="133"/>
      <c r="H29" s="70"/>
      <c r="I29" s="70"/>
      <c r="J29" s="70"/>
      <c r="K29" s="70"/>
      <c r="L29" s="70"/>
      <c r="M29" s="70"/>
      <c r="N29" s="70"/>
      <c r="O29" s="70"/>
      <c r="P29" s="70"/>
      <c r="Q29" s="70"/>
    </row>
    <row r="30" spans="1:34" ht="15.5" x14ac:dyDescent="0.35">
      <c r="B30" s="120" t="s">
        <v>398</v>
      </c>
      <c r="D30" s="301">
        <f>+_xlfn.XLOOKUP($B30,Inputs!$B:$B,Inputs!N:N)</f>
        <v>7318.3</v>
      </c>
      <c r="E30" s="153">
        <f>+_xlfn.XLOOKUP($B30,Inputs!$B:$B,Inputs!O:O)</f>
        <v>12014</v>
      </c>
      <c r="F30" s="153">
        <f>+_xlfn.XLOOKUP($B30,Inputs!$B:$B,Inputs!P:P)</f>
        <v>12305.5</v>
      </c>
      <c r="G30" s="267">
        <f>+_xlfn.XLOOKUP($B30,Inputs!$B:$B,Inputs!Q:Q)</f>
        <v>9427.2000000000007</v>
      </c>
      <c r="H30" s="843">
        <v>10336</v>
      </c>
      <c r="I30" s="842">
        <f>H30*(1+I31)</f>
        <v>11641.436800000001</v>
      </c>
      <c r="J30" s="842">
        <f t="shared" ref="J30:Q30" si="4">I30*(1+J31)</f>
        <v>12772.984456960001</v>
      </c>
      <c r="K30" s="842">
        <f t="shared" si="4"/>
        <v>13232.811897410562</v>
      </c>
      <c r="L30" s="842">
        <f t="shared" si="4"/>
        <v>13709.193125717342</v>
      </c>
      <c r="M30" s="842">
        <f t="shared" si="4"/>
        <v>14202.724078243167</v>
      </c>
      <c r="N30" s="842">
        <f t="shared" si="4"/>
        <v>14714.022145059922</v>
      </c>
      <c r="O30" s="842">
        <f t="shared" si="4"/>
        <v>15243.726942282079</v>
      </c>
      <c r="P30" s="842">
        <f t="shared" si="4"/>
        <v>15792.501112204234</v>
      </c>
      <c r="Q30" s="842">
        <f t="shared" si="4"/>
        <v>16361.031152243588</v>
      </c>
      <c r="R30" s="171"/>
    </row>
    <row r="31" spans="1:34" s="274" customFormat="1" ht="15.5" x14ac:dyDescent="0.35">
      <c r="B31" s="275" t="s">
        <v>399</v>
      </c>
      <c r="E31" s="277">
        <f>IFERROR((E30-D30)/D30,"")</f>
        <v>0.64163808534768996</v>
      </c>
      <c r="F31" s="277">
        <f>IFERROR((F30-E30)/E30,"")</f>
        <v>2.4263359414016979E-2</v>
      </c>
      <c r="G31" s="278">
        <f>IFERROR((G30-F30)/F30,"")</f>
        <v>-0.2339035390678964</v>
      </c>
      <c r="H31" s="279">
        <v>9.64E-2</v>
      </c>
      <c r="I31" s="279">
        <v>0.1263</v>
      </c>
      <c r="J31" s="279">
        <v>9.7199999999999995E-2</v>
      </c>
      <c r="K31" s="279">
        <v>3.5999999999999997E-2</v>
      </c>
      <c r="L31" s="279">
        <v>3.5999999999999997E-2</v>
      </c>
      <c r="M31" s="279">
        <v>3.5999999999999997E-2</v>
      </c>
      <c r="N31" s="279">
        <v>3.5999999999999997E-2</v>
      </c>
      <c r="O31" s="279">
        <v>3.5999999999999997E-2</v>
      </c>
      <c r="P31" s="279">
        <v>3.5999999999999997E-2</v>
      </c>
      <c r="Q31" s="279">
        <v>3.5999999999999997E-2</v>
      </c>
      <c r="R31" s="171"/>
    </row>
    <row r="32" spans="1:34" ht="3.75" customHeight="1" x14ac:dyDescent="0.35">
      <c r="B32" s="155"/>
      <c r="E32" s="157"/>
      <c r="F32" s="157"/>
      <c r="G32" s="158"/>
      <c r="H32" s="156"/>
      <c r="I32" s="156"/>
      <c r="J32" s="156"/>
      <c r="K32" s="156"/>
      <c r="L32" s="156"/>
      <c r="O32" s="159"/>
      <c r="P32" s="159"/>
      <c r="Q32" s="159"/>
    </row>
    <row r="33" spans="2:20" ht="15.5" x14ac:dyDescent="0.35">
      <c r="B33" s="273" t="s">
        <v>227</v>
      </c>
      <c r="E33" s="153">
        <f>+_xlfn.XLOOKUP($B33,Inputs!$B:$B,Inputs!O:O)</f>
        <v>4481.5</v>
      </c>
      <c r="F33" s="153">
        <f>+_xlfn.XLOOKUP($B33,Inputs!$B:$B,Inputs!P:P)</f>
        <v>4428.3</v>
      </c>
      <c r="G33" s="267">
        <f>+_xlfn.XLOOKUP($B33,Inputs!$B:$B,Inputs!Q:Q)</f>
        <v>4045.8</v>
      </c>
      <c r="H33" s="160">
        <f t="shared" ref="H33:Q33" si="5">H34*H$30</f>
        <v>3927.68</v>
      </c>
      <c r="I33" s="160">
        <f t="shared" si="5"/>
        <v>4365.5388000000003</v>
      </c>
      <c r="J33" s="160">
        <f t="shared" si="5"/>
        <v>4726.0042490752003</v>
      </c>
      <c r="K33" s="160">
        <f t="shared" si="5"/>
        <v>4856.4419663496765</v>
      </c>
      <c r="L33" s="160">
        <f t="shared" si="5"/>
        <v>5003.85549088683</v>
      </c>
      <c r="M33" s="160">
        <f t="shared" si="5"/>
        <v>5183.9942885587561</v>
      </c>
      <c r="N33" s="160">
        <f t="shared" si="5"/>
        <v>5370.6180829468713</v>
      </c>
      <c r="O33" s="160">
        <f t="shared" si="5"/>
        <v>5563.9603339329587</v>
      </c>
      <c r="P33" s="160">
        <f t="shared" si="5"/>
        <v>5764.2629059545452</v>
      </c>
      <c r="Q33" s="160">
        <f t="shared" si="5"/>
        <v>5971.7763705689094</v>
      </c>
      <c r="R33" s="171"/>
      <c r="S33" s="171"/>
      <c r="T33" s="171"/>
    </row>
    <row r="34" spans="2:20" s="274" customFormat="1" ht="14.5" x14ac:dyDescent="0.35">
      <c r="B34" s="283" t="s">
        <v>400</v>
      </c>
      <c r="E34" s="276">
        <f>IFERROR(E33/E$30,"")</f>
        <v>0.37302313967038453</v>
      </c>
      <c r="F34" s="276">
        <f t="shared" ref="F34:G34" si="6">IFERROR(F33/F$30,"")</f>
        <v>0.35986347568160582</v>
      </c>
      <c r="G34" s="280">
        <f t="shared" si="6"/>
        <v>0.42916242362525459</v>
      </c>
      <c r="H34" s="302">
        <v>0.38</v>
      </c>
      <c r="I34" s="302">
        <v>0.375</v>
      </c>
      <c r="J34" s="302">
        <v>0.37</v>
      </c>
      <c r="K34" s="302">
        <v>0.36699999999999999</v>
      </c>
      <c r="L34" s="302">
        <v>0.36499999999999999</v>
      </c>
      <c r="M34" s="302">
        <v>0.36499999999999999</v>
      </c>
      <c r="N34" s="302">
        <v>0.36499999999999999</v>
      </c>
      <c r="O34" s="302">
        <v>0.36499999999999999</v>
      </c>
      <c r="P34" s="302">
        <v>0.36499999999999999</v>
      </c>
      <c r="Q34" s="302">
        <v>0.36499999999999999</v>
      </c>
      <c r="R34" s="844"/>
    </row>
    <row r="35" spans="2:20" ht="5.25" customHeight="1" x14ac:dyDescent="0.35">
      <c r="B35" s="155"/>
      <c r="E35" s="157"/>
      <c r="F35" s="157"/>
      <c r="G35" s="158"/>
      <c r="H35" s="163"/>
      <c r="I35" s="163"/>
      <c r="J35" s="163"/>
      <c r="K35" s="163"/>
      <c r="L35" s="163"/>
      <c r="M35" s="163"/>
      <c r="N35" s="163"/>
      <c r="O35" s="163"/>
      <c r="P35" s="163"/>
      <c r="Q35" s="163"/>
    </row>
    <row r="36" spans="2:20" ht="15.5" x14ac:dyDescent="0.35">
      <c r="B36" s="120" t="s">
        <v>228</v>
      </c>
      <c r="E36" s="153">
        <f>+_xlfn.XLOOKUP($B36,Inputs!$B:$B,Inputs!O:O)</f>
        <v>7532.5</v>
      </c>
      <c r="F36" s="153">
        <f>+_xlfn.XLOOKUP($B36,Inputs!$B:$B,Inputs!P:P)</f>
        <v>7877.2</v>
      </c>
      <c r="G36" s="267">
        <f>+_xlfn.XLOOKUP($B36,Inputs!$B:$B,Inputs!Q:Q)</f>
        <v>5381.4000000000005</v>
      </c>
      <c r="H36" s="160">
        <f>+H30-H33</f>
        <v>6408.32</v>
      </c>
      <c r="I36" s="160">
        <f t="shared" ref="I36:Q36" si="7">+I30-I33</f>
        <v>7275.898000000001</v>
      </c>
      <c r="J36" s="160">
        <f t="shared" si="7"/>
        <v>8046.9802078848006</v>
      </c>
      <c r="K36" s="160">
        <f t="shared" si="7"/>
        <v>8376.3699310608863</v>
      </c>
      <c r="L36" s="160">
        <f t="shared" si="7"/>
        <v>8705.3376348305119</v>
      </c>
      <c r="M36" s="160">
        <f t="shared" si="7"/>
        <v>9018.7297896844102</v>
      </c>
      <c r="N36" s="160">
        <f t="shared" si="7"/>
        <v>9343.4040621130516</v>
      </c>
      <c r="O36" s="160">
        <f t="shared" si="7"/>
        <v>9679.7666083491204</v>
      </c>
      <c r="P36" s="160">
        <f t="shared" si="7"/>
        <v>10028.238206249689</v>
      </c>
      <c r="Q36" s="160">
        <f t="shared" si="7"/>
        <v>10389.254781674677</v>
      </c>
    </row>
    <row r="37" spans="2:20" s="274" customFormat="1" ht="14.5" x14ac:dyDescent="0.35">
      <c r="B37" s="274" t="s">
        <v>31</v>
      </c>
      <c r="E37" s="276">
        <f>IFERROR(E36/E$30,"")</f>
        <v>0.62697686032961542</v>
      </c>
      <c r="F37" s="276">
        <f t="shared" ref="F37:Q37" si="8">IFERROR(F36/F$30,"")</f>
        <v>0.64013652431839418</v>
      </c>
      <c r="G37" s="280">
        <f t="shared" ref="G37" si="9">IFERROR(G36/G$30,"")</f>
        <v>0.57083757637474541</v>
      </c>
      <c r="H37" s="276">
        <f t="shared" si="8"/>
        <v>0.62</v>
      </c>
      <c r="I37" s="276">
        <f t="shared" si="8"/>
        <v>0.625</v>
      </c>
      <c r="J37" s="276">
        <f t="shared" si="8"/>
        <v>0.63</v>
      </c>
      <c r="K37" s="276">
        <f t="shared" si="8"/>
        <v>0.63300000000000001</v>
      </c>
      <c r="L37" s="276">
        <f t="shared" si="8"/>
        <v>0.63500000000000001</v>
      </c>
      <c r="M37" s="276">
        <f t="shared" si="8"/>
        <v>0.6349999999999999</v>
      </c>
      <c r="N37" s="276">
        <f t="shared" si="8"/>
        <v>0.63500000000000012</v>
      </c>
      <c r="O37" s="276">
        <f t="shared" si="8"/>
        <v>0.63500000000000001</v>
      </c>
      <c r="P37" s="276">
        <f t="shared" si="8"/>
        <v>0.63500000000000001</v>
      </c>
      <c r="Q37" s="276">
        <f t="shared" si="8"/>
        <v>0.6349999999999999</v>
      </c>
    </row>
    <row r="38" spans="2:20" ht="3.75" customHeight="1" x14ac:dyDescent="0.35">
      <c r="G38" s="161"/>
      <c r="H38" s="125"/>
      <c r="I38" s="125"/>
      <c r="J38" s="125"/>
      <c r="K38" s="125"/>
      <c r="L38" s="125"/>
      <c r="O38" s="125"/>
      <c r="P38" s="125"/>
      <c r="Q38" s="125"/>
    </row>
    <row r="39" spans="2:20" ht="14.25" customHeight="1" x14ac:dyDescent="0.35">
      <c r="B39" s="273" t="s">
        <v>401</v>
      </c>
      <c r="E39" s="153">
        <f>+_xlfn.XLOOKUP($B39,Inputs!$B:$B,Inputs!O:O)</f>
        <v>1266.2</v>
      </c>
      <c r="F39" s="153">
        <f>+_xlfn.XLOOKUP($B39,Inputs!$B:$B,Inputs!P:P)</f>
        <v>1273.5999999999999</v>
      </c>
      <c r="G39" s="267">
        <f>+_xlfn.XLOOKUP($B39,Inputs!$B:$B,Inputs!Q:Q)</f>
        <v>1068.5999999999999</v>
      </c>
      <c r="H39" s="160">
        <f>IFERROR(G39*(1+H31),"")</f>
        <v>1171.61304</v>
      </c>
      <c r="I39" s="160">
        <f t="shared" ref="I39:Q39" si="10">IFERROR(H39*(1+I31),"")</f>
        <v>1319.587766952</v>
      </c>
      <c r="J39" s="160">
        <f t="shared" si="10"/>
        <v>1447.8516978997343</v>
      </c>
      <c r="K39" s="160">
        <f t="shared" si="10"/>
        <v>1499.9743590241249</v>
      </c>
      <c r="L39" s="160">
        <f t="shared" si="10"/>
        <v>1553.9734359489935</v>
      </c>
      <c r="M39" s="160">
        <f t="shared" si="10"/>
        <v>1609.9164796431573</v>
      </c>
      <c r="N39" s="160">
        <f t="shared" si="10"/>
        <v>1667.873472910311</v>
      </c>
      <c r="O39" s="160">
        <f t="shared" si="10"/>
        <v>1727.9169179350822</v>
      </c>
      <c r="P39" s="160">
        <f t="shared" si="10"/>
        <v>1790.1219269807452</v>
      </c>
      <c r="Q39" s="160">
        <f t="shared" si="10"/>
        <v>1854.5663163520521</v>
      </c>
    </row>
    <row r="40" spans="2:20" s="274" customFormat="1" ht="14.5" x14ac:dyDescent="0.35">
      <c r="B40" s="283" t="s">
        <v>33</v>
      </c>
      <c r="E40" s="276">
        <f>IFERROR(E39/E$30,"")</f>
        <v>0.10539370734143499</v>
      </c>
      <c r="F40" s="276">
        <f t="shared" ref="F40:G40" si="11">IFERROR(F39/F$30,"")</f>
        <v>0.10349843565885172</v>
      </c>
      <c r="G40" s="281">
        <f t="shared" si="11"/>
        <v>0.1133528513238289</v>
      </c>
      <c r="H40" s="302">
        <f>IFERROR(AVERAGE(E40:G40),"")</f>
        <v>0.10741499810803855</v>
      </c>
      <c r="I40" s="302">
        <f t="shared" ref="I40:Q40" si="12">IFERROR(AVERAGE(F40:H40),"")</f>
        <v>0.1080887616969064</v>
      </c>
      <c r="J40" s="302">
        <f t="shared" si="12"/>
        <v>0.10961887037625795</v>
      </c>
      <c r="K40" s="302">
        <f t="shared" si="12"/>
        <v>0.10837421006040097</v>
      </c>
      <c r="L40" s="302">
        <f t="shared" si="12"/>
        <v>0.10869394737785511</v>
      </c>
      <c r="M40" s="302">
        <f t="shared" si="12"/>
        <v>0.10889567593817134</v>
      </c>
      <c r="N40" s="302">
        <f t="shared" si="12"/>
        <v>0.10865461112547581</v>
      </c>
      <c r="O40" s="302">
        <f t="shared" si="12"/>
        <v>0.10874807814716742</v>
      </c>
      <c r="P40" s="302">
        <f t="shared" si="12"/>
        <v>0.10876612173693818</v>
      </c>
      <c r="Q40" s="302">
        <f t="shared" si="12"/>
        <v>0.1087229370031938</v>
      </c>
    </row>
    <row r="41" spans="2:20" ht="3.75" customHeight="1" x14ac:dyDescent="0.35">
      <c r="B41" s="155"/>
      <c r="E41" s="157"/>
      <c r="F41" s="157"/>
      <c r="G41" s="158"/>
      <c r="H41" s="156"/>
      <c r="I41" s="156"/>
      <c r="J41" s="156"/>
      <c r="K41" s="156"/>
      <c r="L41" s="156"/>
      <c r="O41" s="125"/>
      <c r="P41" s="125"/>
      <c r="Q41" s="125"/>
    </row>
    <row r="42" spans="2:20" ht="15.5" x14ac:dyDescent="0.35">
      <c r="B42" s="273" t="s">
        <v>235</v>
      </c>
      <c r="E42" s="153">
        <f>+_xlfn.XLOOKUP($B42,Inputs!$B:$B,Inputs!O:O)</f>
        <v>1700.5</v>
      </c>
      <c r="F42" s="153">
        <f>+_xlfn.XLOOKUP($B42,Inputs!$B:$B,Inputs!P:P)</f>
        <v>1660.2</v>
      </c>
      <c r="G42" s="267">
        <f>+_xlfn.XLOOKUP($B42,Inputs!$B:$B,Inputs!Q:Q)</f>
        <v>1487.9</v>
      </c>
      <c r="H42" s="160">
        <f>H43*H$30</f>
        <v>1653.76</v>
      </c>
      <c r="I42" s="160">
        <f t="shared" ref="I42:Q42" si="13">I43*I$30</f>
        <v>1862.6298880000002</v>
      </c>
      <c r="J42" s="160">
        <f t="shared" si="13"/>
        <v>2043.6775131136003</v>
      </c>
      <c r="K42" s="160">
        <f t="shared" si="13"/>
        <v>2117.2499035856899</v>
      </c>
      <c r="L42" s="160">
        <f t="shared" si="13"/>
        <v>2193.4709001147748</v>
      </c>
      <c r="M42" s="160">
        <f t="shared" si="13"/>
        <v>2272.4358525189068</v>
      </c>
      <c r="N42" s="160">
        <f t="shared" si="13"/>
        <v>2354.2435432095876</v>
      </c>
      <c r="O42" s="160">
        <f t="shared" si="13"/>
        <v>2438.9963107651329</v>
      </c>
      <c r="P42" s="160">
        <f t="shared" si="13"/>
        <v>2526.8001779526776</v>
      </c>
      <c r="Q42" s="160">
        <f t="shared" si="13"/>
        <v>2617.7649843589743</v>
      </c>
    </row>
    <row r="43" spans="2:20" s="274" customFormat="1" ht="14.5" x14ac:dyDescent="0.35">
      <c r="B43" s="283" t="s">
        <v>400</v>
      </c>
      <c r="E43" s="276">
        <f>IFERROR(E42/E30,"")</f>
        <v>0.14154319960046613</v>
      </c>
      <c r="F43" s="276">
        <f>IFERROR(F42/F30,"")</f>
        <v>0.13491528178456788</v>
      </c>
      <c r="G43" s="281">
        <f>IFERROR(G42/G30,"")</f>
        <v>0.15783053292600135</v>
      </c>
      <c r="H43" s="302">
        <v>0.16</v>
      </c>
      <c r="I43" s="302">
        <v>0.16</v>
      </c>
      <c r="J43" s="302">
        <v>0.16</v>
      </c>
      <c r="K43" s="302">
        <v>0.16</v>
      </c>
      <c r="L43" s="302">
        <v>0.16</v>
      </c>
      <c r="M43" s="302">
        <v>0.16</v>
      </c>
      <c r="N43" s="302">
        <v>0.16</v>
      </c>
      <c r="O43" s="302">
        <v>0.16</v>
      </c>
      <c r="P43" s="302">
        <v>0.16</v>
      </c>
      <c r="Q43" s="302">
        <v>0.16</v>
      </c>
    </row>
    <row r="44" spans="2:20" s="243" customFormat="1" ht="5.25" customHeight="1" x14ac:dyDescent="0.35">
      <c r="B44" s="268"/>
      <c r="E44" s="269"/>
      <c r="F44" s="269"/>
      <c r="G44" s="270"/>
      <c r="H44" s="271"/>
      <c r="I44" s="271"/>
      <c r="J44" s="271"/>
      <c r="K44" s="271"/>
      <c r="L44" s="271"/>
      <c r="O44" s="272"/>
      <c r="P44" s="272"/>
      <c r="Q44" s="272"/>
    </row>
    <row r="45" spans="2:20" ht="15.5" x14ac:dyDescent="0.35">
      <c r="B45" s="489" t="s">
        <v>402</v>
      </c>
      <c r="E45" s="153">
        <f>+_xlfn.XLOOKUP($B45,Inputs!$B:$B,Inputs!O:O)</f>
        <v>0</v>
      </c>
      <c r="F45" s="153">
        <f>+_xlfn.XLOOKUP($B45,Inputs!$B:$B,Inputs!P:P)</f>
        <v>0</v>
      </c>
      <c r="G45" s="267">
        <f>+_xlfn.XLOOKUP($B45,Inputs!$B:$B,Inputs!Q:Q)</f>
        <v>0</v>
      </c>
      <c r="H45" s="160">
        <f>IFERROR(AVERAGE(E45:G45)*(1+H31),"")</f>
        <v>0</v>
      </c>
      <c r="I45" s="160">
        <f t="shared" ref="I45:Q45" si="14">IFERROR(AVERAGE(F45:H45)*(1+I31),"")</f>
        <v>0</v>
      </c>
      <c r="J45" s="160">
        <f t="shared" si="14"/>
        <v>0</v>
      </c>
      <c r="K45" s="160">
        <f t="shared" si="14"/>
        <v>0</v>
      </c>
      <c r="L45" s="160">
        <f t="shared" si="14"/>
        <v>0</v>
      </c>
      <c r="M45" s="160">
        <f t="shared" si="14"/>
        <v>0</v>
      </c>
      <c r="N45" s="160">
        <f t="shared" si="14"/>
        <v>0</v>
      </c>
      <c r="O45" s="160">
        <f t="shared" si="14"/>
        <v>0</v>
      </c>
      <c r="P45" s="160">
        <f t="shared" si="14"/>
        <v>0</v>
      </c>
      <c r="Q45" s="160">
        <f t="shared" si="14"/>
        <v>0</v>
      </c>
    </row>
    <row r="46" spans="2:20" ht="5.25" customHeight="1" x14ac:dyDescent="0.35">
      <c r="B46" s="201"/>
      <c r="E46" s="153"/>
      <c r="F46" s="153"/>
      <c r="G46" s="267"/>
      <c r="H46" s="163"/>
      <c r="I46" s="163"/>
      <c r="J46" s="163"/>
      <c r="K46" s="163"/>
      <c r="L46" s="163"/>
      <c r="O46" s="162"/>
      <c r="P46" s="162"/>
      <c r="Q46" s="162"/>
    </row>
    <row r="47" spans="2:20" ht="15.5" x14ac:dyDescent="0.35">
      <c r="B47" s="201" t="s">
        <v>176</v>
      </c>
      <c r="E47" s="153">
        <f>+_xlfn.XLOOKUP($B47,Inputs!$B:$B,Inputs!O:O)</f>
        <v>4565.8</v>
      </c>
      <c r="F47" s="153">
        <f>+_xlfn.XLOOKUP($B47,Inputs!$B:$B,Inputs!P:P)</f>
        <v>4943.4000000000005</v>
      </c>
      <c r="G47" s="267">
        <f>+_xlfn.XLOOKUP($B47,Inputs!$B:$B,Inputs!Q:Q)</f>
        <v>2824.900000000001</v>
      </c>
      <c r="H47" s="160">
        <f>IFERROR(H36-H39-H42-H45,"")</f>
        <v>3582.9469599999993</v>
      </c>
      <c r="I47" s="160">
        <f t="shared" ref="I47:Q47" si="15">IFERROR(I36-I39-I42-I45,"")</f>
        <v>4093.6803450480011</v>
      </c>
      <c r="J47" s="160">
        <f t="shared" si="15"/>
        <v>4555.4509968714665</v>
      </c>
      <c r="K47" s="160">
        <f t="shared" si="15"/>
        <v>4759.1456684510713</v>
      </c>
      <c r="L47" s="160">
        <f t="shared" si="15"/>
        <v>4957.8932987667431</v>
      </c>
      <c r="M47" s="160">
        <f t="shared" si="15"/>
        <v>5136.3774575223451</v>
      </c>
      <c r="N47" s="160">
        <f t="shared" si="15"/>
        <v>5321.2870459931528</v>
      </c>
      <c r="O47" s="160">
        <f t="shared" si="15"/>
        <v>5512.8533796489055</v>
      </c>
      <c r="P47" s="160">
        <f t="shared" si="15"/>
        <v>5711.3161013162653</v>
      </c>
      <c r="Q47" s="160">
        <f t="shared" si="15"/>
        <v>5916.9234809636519</v>
      </c>
    </row>
    <row r="48" spans="2:20" s="274" customFormat="1" ht="14.5" x14ac:dyDescent="0.35">
      <c r="B48" s="274" t="s">
        <v>29</v>
      </c>
      <c r="E48" s="276">
        <f>IFERROR(E47/E$30,"")</f>
        <v>0.38003995338771435</v>
      </c>
      <c r="F48" s="276">
        <f t="shared" ref="F48:Q48" si="16">IFERROR(F47/F$30,"")</f>
        <v>0.40172280687497464</v>
      </c>
      <c r="G48" s="280">
        <f t="shared" si="16"/>
        <v>0.29965419212491523</v>
      </c>
      <c r="H48" s="276">
        <f t="shared" si="16"/>
        <v>0.3466473452012383</v>
      </c>
      <c r="I48" s="276">
        <f t="shared" si="16"/>
        <v>0.35164734520123841</v>
      </c>
      <c r="J48" s="276">
        <f t="shared" si="16"/>
        <v>0.35664734520123842</v>
      </c>
      <c r="K48" s="276">
        <f t="shared" si="16"/>
        <v>0.35964734520123842</v>
      </c>
      <c r="L48" s="276">
        <f t="shared" si="16"/>
        <v>0.36164734520123831</v>
      </c>
      <c r="M48" s="276">
        <f t="shared" si="16"/>
        <v>0.36164734520123826</v>
      </c>
      <c r="N48" s="276">
        <f t="shared" si="16"/>
        <v>0.36164734520123848</v>
      </c>
      <c r="O48" s="276">
        <f t="shared" si="16"/>
        <v>0.36164734520123842</v>
      </c>
      <c r="P48" s="276">
        <f t="shared" si="16"/>
        <v>0.36164734520123837</v>
      </c>
      <c r="Q48" s="276">
        <f t="shared" si="16"/>
        <v>0.36164734520123837</v>
      </c>
    </row>
    <row r="49" spans="2:19" ht="3.75" customHeight="1" x14ac:dyDescent="0.35">
      <c r="B49" s="155"/>
      <c r="E49" s="157"/>
      <c r="F49" s="157"/>
      <c r="G49" s="165"/>
      <c r="H49" s="157"/>
      <c r="I49" s="157"/>
      <c r="J49" s="157"/>
      <c r="K49" s="157"/>
      <c r="L49" s="157"/>
      <c r="O49" s="162"/>
      <c r="P49" s="162"/>
      <c r="Q49" s="162"/>
    </row>
    <row r="50" spans="2:19" ht="13.5" customHeight="1" x14ac:dyDescent="0.35">
      <c r="B50" s="273" t="s">
        <v>403</v>
      </c>
      <c r="E50" s="153">
        <f>+_xlfn.XLOOKUP($B50,Inputs!$B:$B,Inputs!O:O)</f>
        <v>2297.5</v>
      </c>
      <c r="F50" s="153">
        <f>+_xlfn.XLOOKUP($B50,Inputs!$B:$B,Inputs!P:P)</f>
        <v>2293.1</v>
      </c>
      <c r="G50" s="267">
        <f>+_xlfn.XLOOKUP($B50,Inputs!$B:$B,Inputs!Q:Q)</f>
        <v>2104.3000000000002</v>
      </c>
      <c r="H50" s="177">
        <f>+IFERROR(H53+H56,"")</f>
        <v>1981.9359999999999</v>
      </c>
      <c r="I50" s="177">
        <f t="shared" ref="I50:Q50" si="17">+IFERROR(I53+I56,"")</f>
        <v>1982.1953168</v>
      </c>
      <c r="J50" s="177">
        <f t="shared" si="17"/>
        <v>2021.75990159296</v>
      </c>
      <c r="K50" s="177">
        <f t="shared" si="17"/>
        <v>1972.4632580503066</v>
      </c>
      <c r="L50" s="177">
        <f t="shared" si="17"/>
        <v>1654.8039353401177</v>
      </c>
      <c r="M50" s="177">
        <f t="shared" si="17"/>
        <v>1448.4048770123618</v>
      </c>
      <c r="N50" s="177">
        <f t="shared" si="17"/>
        <v>1287.769852584807</v>
      </c>
      <c r="O50" s="177">
        <f t="shared" si="17"/>
        <v>1163.9074872778601</v>
      </c>
      <c r="P50" s="177">
        <f t="shared" si="17"/>
        <v>1069.6304928198631</v>
      </c>
      <c r="Q50" s="177">
        <f t="shared" si="17"/>
        <v>999.19505936137818</v>
      </c>
    </row>
    <row r="51" spans="2:19" ht="13.5" customHeight="1" x14ac:dyDescent="0.35">
      <c r="B51" s="283" t="s">
        <v>404</v>
      </c>
      <c r="E51" s="295">
        <f>IFERROR(E50/AVERAGE(Inputs!O39+Inputs!O42+Inputs!O44,Inputs!N39+Inputs!N42+Inputs!N44),"")</f>
        <v>7.8935614649900371E-2</v>
      </c>
      <c r="F51" s="295">
        <f>IFERROR(F50/AVERAGE(Inputs!P39+Inputs!P42+Inputs!P44,Inputs!O39+Inputs!O42+Inputs!O44),"")</f>
        <v>8.1565070472633491E-2</v>
      </c>
      <c r="G51" s="280">
        <f>IFERROR(G50/AVERAGE(Inputs!Q39+Inputs!Q42+Inputs!Q44,Inputs!P39+Inputs!P42+Inputs!P44),"")</f>
        <v>7.8193482699743064E-2</v>
      </c>
      <c r="H51" s="157">
        <f>IFERROR(H50/(G99+G105),"")</f>
        <v>-0.11440208262382896</v>
      </c>
      <c r="I51" s="157">
        <f t="shared" ref="I51:Q51" si="18">IFERROR(I50/(H99+H105),"")</f>
        <v>-0.11184792465239712</v>
      </c>
      <c r="J51" s="157">
        <f t="shared" si="18"/>
        <v>-0.11126647828792502</v>
      </c>
      <c r="K51" s="157">
        <f t="shared" si="18"/>
        <v>-0.10569301508958387</v>
      </c>
      <c r="L51" s="157">
        <f t="shared" si="18"/>
        <v>-8.6315134532255436E-2</v>
      </c>
      <c r="M51" s="157">
        <f t="shared" si="18"/>
        <v>-7.3525111540426263E-2</v>
      </c>
      <c r="N51" s="157">
        <f t="shared" si="18"/>
        <v>-6.3605309988113076E-2</v>
      </c>
      <c r="O51" s="157">
        <f t="shared" si="18"/>
        <v>-5.5922802686000424E-2</v>
      </c>
      <c r="P51" s="157">
        <f t="shared" si="18"/>
        <v>-4.9983582029024407E-2</v>
      </c>
      <c r="Q51" s="157">
        <f t="shared" si="18"/>
        <v>-4.5402173959090734E-2</v>
      </c>
    </row>
    <row r="52" spans="2:19" ht="5.25" customHeight="1" x14ac:dyDescent="0.35">
      <c r="B52" s="155"/>
      <c r="E52" s="157"/>
      <c r="F52" s="157"/>
      <c r="G52" s="165"/>
      <c r="H52" s="157"/>
      <c r="I52" s="157"/>
      <c r="J52" s="157"/>
      <c r="K52" s="157"/>
      <c r="L52" s="157"/>
      <c r="O52" s="162"/>
      <c r="P52" s="162"/>
      <c r="Q52" s="162"/>
    </row>
    <row r="53" spans="2:19" s="155" customFormat="1" ht="15.5" x14ac:dyDescent="0.35">
      <c r="B53" s="298" t="s">
        <v>405</v>
      </c>
      <c r="E53" s="299">
        <f>+_xlfn.XLOOKUP($B53,Inputs!$B:$B,Inputs!O:O)</f>
        <v>283.3</v>
      </c>
      <c r="F53" s="299">
        <f>+_xlfn.XLOOKUP($B53,Inputs!$B:$B,Inputs!P:P)</f>
        <v>334.7</v>
      </c>
      <c r="G53" s="300">
        <f>+_xlfn.XLOOKUP($B53,Inputs!$B:$B,Inputs!Q:Q)</f>
        <v>362.8</v>
      </c>
      <c r="H53" s="894">
        <f>H30*0.0385</f>
        <v>397.93599999999998</v>
      </c>
      <c r="I53" s="894">
        <f t="shared" ref="I53:Q53" si="19">I30*0.0385</f>
        <v>448.19531680000006</v>
      </c>
      <c r="J53" s="894">
        <f t="shared" si="19"/>
        <v>491.75990159296003</v>
      </c>
      <c r="K53" s="894">
        <f t="shared" si="19"/>
        <v>509.46325805030665</v>
      </c>
      <c r="L53" s="894">
        <f t="shared" si="19"/>
        <v>527.80393534011762</v>
      </c>
      <c r="M53" s="894">
        <f t="shared" si="19"/>
        <v>546.80487701236189</v>
      </c>
      <c r="N53" s="894">
        <f t="shared" si="19"/>
        <v>566.48985258480695</v>
      </c>
      <c r="O53" s="894">
        <f t="shared" si="19"/>
        <v>586.88348727786001</v>
      </c>
      <c r="P53" s="894">
        <f t="shared" si="19"/>
        <v>608.011292819863</v>
      </c>
      <c r="Q53" s="894">
        <f t="shared" si="19"/>
        <v>629.89969936137811</v>
      </c>
    </row>
    <row r="54" spans="2:19" s="274" customFormat="1" ht="14.5" x14ac:dyDescent="0.35">
      <c r="B54" s="297" t="s">
        <v>406</v>
      </c>
      <c r="E54" s="295">
        <f>IFERROR(E53/AVERAGE(Inputs!O40+Inputs!O42,Inputs!N40+Inputs!N42),"")</f>
        <v>5.4040134289638338E-2</v>
      </c>
      <c r="F54" s="295">
        <f>IFERROR(F53/AVERAGE(Inputs!P40+Inputs!P42,Inputs!O40+Inputs!O42),"")</f>
        <v>0.1206234795927561</v>
      </c>
      <c r="G54" s="280" t="str">
        <f>IFERROR(G53/AVERAGE(Inputs!Q40+Inputs!Q42,Inputs!P40+Inputs!P42),"")</f>
        <v/>
      </c>
      <c r="H54" s="302">
        <f>IFERROR(AVERAGE(E54:G54),"")</f>
        <v>8.7331806941197215E-2</v>
      </c>
      <c r="I54" s="302">
        <f t="shared" ref="I54:Q54" si="20">IFERROR(AVERAGE(F54:H54),"")</f>
        <v>0.10397764326697666</v>
      </c>
      <c r="J54" s="302">
        <f t="shared" si="20"/>
        <v>9.565472510408693E-2</v>
      </c>
      <c r="K54" s="302">
        <f t="shared" si="20"/>
        <v>9.5654725104086943E-2</v>
      </c>
      <c r="L54" s="302">
        <f t="shared" si="20"/>
        <v>9.8429031158383515E-2</v>
      </c>
      <c r="M54" s="302">
        <f t="shared" si="20"/>
        <v>9.6579493788852458E-2</v>
      </c>
      <c r="N54" s="302">
        <f t="shared" si="20"/>
        <v>9.6887750017107643E-2</v>
      </c>
      <c r="O54" s="302">
        <f t="shared" si="20"/>
        <v>9.7298758321447867E-2</v>
      </c>
      <c r="P54" s="302">
        <f t="shared" si="20"/>
        <v>9.692200070913598E-2</v>
      </c>
      <c r="Q54" s="302">
        <f t="shared" si="20"/>
        <v>9.703616968256383E-2</v>
      </c>
    </row>
    <row r="55" spans="2:19" ht="3.75" customHeight="1" x14ac:dyDescent="0.35">
      <c r="B55" s="155"/>
      <c r="E55" s="157"/>
      <c r="F55" s="157"/>
      <c r="G55" s="165"/>
      <c r="H55" s="163"/>
      <c r="I55" s="163"/>
      <c r="J55" s="163"/>
      <c r="K55" s="163"/>
      <c r="L55" s="163"/>
      <c r="M55" s="163"/>
      <c r="N55" s="163"/>
      <c r="O55" s="163"/>
      <c r="P55" s="163"/>
      <c r="Q55" s="163"/>
    </row>
    <row r="56" spans="2:19" s="155" customFormat="1" ht="15.5" x14ac:dyDescent="0.35">
      <c r="B56" s="298" t="s">
        <v>407</v>
      </c>
      <c r="E56" s="299">
        <f>+_xlfn.XLOOKUP($B56,Inputs!$B:$B,Inputs!O:O)</f>
        <v>2014.2</v>
      </c>
      <c r="F56" s="299">
        <f>+_xlfn.XLOOKUP($B56,Inputs!$B:$B,Inputs!P:P)</f>
        <v>1958.4</v>
      </c>
      <c r="G56" s="300">
        <f>+_xlfn.XLOOKUP($B56,Inputs!$B:$B,Inputs!Q:Q)</f>
        <v>1741.5</v>
      </c>
      <c r="H56" s="177">
        <v>1584</v>
      </c>
      <c r="I56" s="177">
        <v>1534</v>
      </c>
      <c r="J56" s="177">
        <v>1530</v>
      </c>
      <c r="K56" s="177">
        <v>1463</v>
      </c>
      <c r="L56" s="177">
        <v>1127</v>
      </c>
      <c r="M56" s="177">
        <f>L56*0.8</f>
        <v>901.6</v>
      </c>
      <c r="N56" s="177">
        <f t="shared" ref="N56:Q56" si="21">M56*0.8</f>
        <v>721.28000000000009</v>
      </c>
      <c r="O56" s="177">
        <f t="shared" si="21"/>
        <v>577.02400000000011</v>
      </c>
      <c r="P56" s="177">
        <f t="shared" si="21"/>
        <v>461.61920000000009</v>
      </c>
      <c r="Q56" s="177">
        <f t="shared" si="21"/>
        <v>369.29536000000007</v>
      </c>
    </row>
    <row r="57" spans="2:19" s="274" customFormat="1" ht="14.5" x14ac:dyDescent="0.35">
      <c r="B57" s="297" t="s">
        <v>408</v>
      </c>
      <c r="E57" s="276">
        <f>IFERROR(E56/AVERAGE(Inputs!N45:O45),"")</f>
        <v>-0.1592315901814301</v>
      </c>
      <c r="F57" s="276">
        <f>IFERROR(F56/AVERAGE(Inputs!O45:P45),"")</f>
        <v>-0.13391318618199724</v>
      </c>
      <c r="G57" s="280">
        <f>IFERROR(G56/AVERAGE(Inputs!P45:Q45),"")</f>
        <v>-0.10578459183487522</v>
      </c>
      <c r="H57" s="302"/>
      <c r="I57" s="302"/>
      <c r="J57" s="302"/>
      <c r="K57" s="302"/>
      <c r="L57" s="302"/>
      <c r="M57" s="302"/>
      <c r="N57" s="302"/>
      <c r="O57" s="302"/>
      <c r="P57" s="302"/>
      <c r="Q57" s="302"/>
      <c r="S57" s="844"/>
    </row>
    <row r="58" spans="2:19" ht="4" customHeight="1" x14ac:dyDescent="0.35">
      <c r="G58" s="161"/>
    </row>
    <row r="59" spans="2:19" ht="15.5" x14ac:dyDescent="0.35">
      <c r="B59" s="120" t="s">
        <v>229</v>
      </c>
      <c r="E59" s="153">
        <f>+_xlfn.XLOOKUP($B59,Inputs!$B:$B,Inputs!O:O)</f>
        <v>2268.3000000000002</v>
      </c>
      <c r="F59" s="153">
        <f>+_xlfn.XLOOKUP($B59,Inputs!$B:$B,Inputs!P:P)</f>
        <v>2650.3000000000006</v>
      </c>
      <c r="G59" s="267">
        <f>+_xlfn.XLOOKUP($B59,Inputs!$B:$B,Inputs!Q:Q)</f>
        <v>720.60000000000082</v>
      </c>
      <c r="H59" s="164">
        <f>+IFERROR(H47-H50,"")</f>
        <v>1601.0109599999994</v>
      </c>
      <c r="I59" s="164">
        <f t="shared" ref="I59:Q59" si="22">+IFERROR(I47-I50,"")</f>
        <v>2111.4850282480011</v>
      </c>
      <c r="J59" s="164">
        <f t="shared" si="22"/>
        <v>2533.6910952785065</v>
      </c>
      <c r="K59" s="164">
        <f t="shared" si="22"/>
        <v>2786.6824104007646</v>
      </c>
      <c r="L59" s="164">
        <f t="shared" si="22"/>
        <v>3303.0893634266254</v>
      </c>
      <c r="M59" s="164">
        <f t="shared" si="22"/>
        <v>3687.9725805099833</v>
      </c>
      <c r="N59" s="164">
        <f t="shared" si="22"/>
        <v>4033.5171934083455</v>
      </c>
      <c r="O59" s="164">
        <f t="shared" si="22"/>
        <v>4348.9458923710454</v>
      </c>
      <c r="P59" s="164">
        <f t="shared" si="22"/>
        <v>4641.685608496402</v>
      </c>
      <c r="Q59" s="164">
        <f t="shared" si="22"/>
        <v>4917.7284216022736</v>
      </c>
    </row>
    <row r="60" spans="2:19" s="284" customFormat="1" ht="14.5" x14ac:dyDescent="0.35">
      <c r="B60" s="274" t="s">
        <v>187</v>
      </c>
      <c r="E60" s="276">
        <f>IFERROR(E59/E$30,"")</f>
        <v>0.1888047278175462</v>
      </c>
      <c r="F60" s="276">
        <f t="shared" ref="F60" si="23">IFERROR(F59/F$30,"")</f>
        <v>0.21537523871439607</v>
      </c>
      <c r="G60" s="280">
        <f t="shared" ref="G60" si="24">IFERROR(G59/G$30,"")</f>
        <v>7.6438391038696624E-2</v>
      </c>
      <c r="H60" s="276">
        <f t="shared" ref="H60:Q60" si="25">IFERROR(H59/H30,"")</f>
        <v>0.15489657120743028</v>
      </c>
      <c r="I60" s="276">
        <f t="shared" si="25"/>
        <v>0.18137666892182938</v>
      </c>
      <c r="J60" s="276">
        <f t="shared" si="25"/>
        <v>0.19836328023541105</v>
      </c>
      <c r="K60" s="276">
        <f t="shared" si="25"/>
        <v>0.21058883266874454</v>
      </c>
      <c r="L60" s="276">
        <f t="shared" si="25"/>
        <v>0.24093973533936844</v>
      </c>
      <c r="M60" s="276">
        <f t="shared" si="25"/>
        <v>0.25966656538512251</v>
      </c>
      <c r="N60" s="276">
        <f t="shared" si="25"/>
        <v>0.27412743800732664</v>
      </c>
      <c r="O60" s="276">
        <f t="shared" si="25"/>
        <v>0.28529413501288953</v>
      </c>
      <c r="P60" s="276">
        <f t="shared" si="25"/>
        <v>0.29391706706351722</v>
      </c>
      <c r="Q60" s="276">
        <f t="shared" si="25"/>
        <v>0.30057570185164678</v>
      </c>
    </row>
    <row r="61" spans="2:19" customFormat="1" ht="3.75" customHeight="1" x14ac:dyDescent="0.35">
      <c r="B61" s="120"/>
      <c r="E61" s="276"/>
      <c r="F61" s="276"/>
      <c r="G61" s="281"/>
      <c r="H61" s="103"/>
      <c r="I61" s="103"/>
      <c r="J61" s="103"/>
      <c r="K61" s="103"/>
      <c r="L61" s="103"/>
      <c r="M61" s="103"/>
      <c r="N61" s="103"/>
      <c r="O61" s="103"/>
      <c r="P61" s="103"/>
      <c r="Q61" s="103"/>
    </row>
    <row r="62" spans="2:19" customFormat="1" ht="13.5" customHeight="1" x14ac:dyDescent="0.35">
      <c r="B62" s="273" t="s">
        <v>230</v>
      </c>
      <c r="E62" s="153">
        <f>+_xlfn.XLOOKUP($B62,Inputs!$B:$B,Inputs!O:O)</f>
        <v>-6.9000000000000057</v>
      </c>
      <c r="F62" s="153">
        <f>+_xlfn.XLOOKUP($B62,Inputs!$B:$B,Inputs!P:P)</f>
        <v>-41.299999999999955</v>
      </c>
      <c r="G62" s="267">
        <f>+_xlfn.XLOOKUP($B62,Inputs!$B:$B,Inputs!Q:Q)</f>
        <v>-78.800000000000011</v>
      </c>
      <c r="H62" s="164">
        <f>-H65-H68</f>
        <v>0</v>
      </c>
      <c r="I62" s="164">
        <f t="shared" ref="I62:Q62" si="26">-I65-I68</f>
        <v>0</v>
      </c>
      <c r="J62" s="164">
        <f t="shared" si="26"/>
        <v>0</v>
      </c>
      <c r="K62" s="164">
        <f t="shared" si="26"/>
        <v>0</v>
      </c>
      <c r="L62" s="164">
        <f t="shared" si="26"/>
        <v>0</v>
      </c>
      <c r="M62" s="164">
        <f t="shared" si="26"/>
        <v>0</v>
      </c>
      <c r="N62" s="164">
        <f t="shared" si="26"/>
        <v>0</v>
      </c>
      <c r="O62" s="164">
        <f t="shared" si="26"/>
        <v>0</v>
      </c>
      <c r="P62" s="164">
        <f t="shared" si="26"/>
        <v>0</v>
      </c>
      <c r="Q62" s="164">
        <f t="shared" si="26"/>
        <v>0</v>
      </c>
    </row>
    <row r="63" spans="2:19" customFormat="1" ht="13.5" customHeight="1" x14ac:dyDescent="0.35">
      <c r="B63" s="297" t="s">
        <v>409</v>
      </c>
      <c r="E63" s="295">
        <f>IFERROR(E62/AVERAGE(Inputs!N116:O116),"")</f>
        <v>-1.3981904578567171E-3</v>
      </c>
      <c r="F63" s="295">
        <f>IFERROR(F62/AVERAGE(Inputs!O116:P116),"")</f>
        <v>-7.4624843025829501E-3</v>
      </c>
      <c r="G63" s="280">
        <f>IFERROR(G62/AVERAGE(Inputs!P116:Q116),"")</f>
        <v>-1.4059879384791066E-2</v>
      </c>
      <c r="H63" s="295" t="str">
        <f>IFERROR(H62/AVERAGE(G116+G118,H116+H118),"")</f>
        <v/>
      </c>
      <c r="I63" s="295" t="str">
        <f t="shared" ref="I63:Q63" si="27">IFERROR(I62/AVERAGE(H116+H118,I116+I118),"")</f>
        <v/>
      </c>
      <c r="J63" s="295" t="str">
        <f t="shared" si="27"/>
        <v/>
      </c>
      <c r="K63" s="295" t="str">
        <f t="shared" si="27"/>
        <v/>
      </c>
      <c r="L63" s="295" t="str">
        <f t="shared" si="27"/>
        <v/>
      </c>
      <c r="M63" s="295" t="str">
        <f t="shared" si="27"/>
        <v/>
      </c>
      <c r="N63" s="295" t="str">
        <f t="shared" si="27"/>
        <v/>
      </c>
      <c r="O63" s="295" t="str">
        <f t="shared" si="27"/>
        <v/>
      </c>
      <c r="P63" s="295" t="str">
        <f t="shared" si="27"/>
        <v/>
      </c>
      <c r="Q63" s="295" t="str">
        <f t="shared" si="27"/>
        <v/>
      </c>
    </row>
    <row r="64" spans="2:19" customFormat="1" ht="3.75" customHeight="1" x14ac:dyDescent="0.35">
      <c r="B64" s="120"/>
      <c r="E64" s="276"/>
      <c r="F64" s="276"/>
      <c r="G64" s="280"/>
      <c r="H64" s="103"/>
      <c r="I64" s="103"/>
      <c r="J64" s="103"/>
      <c r="K64" s="103"/>
      <c r="L64" s="103"/>
      <c r="M64" s="103"/>
      <c r="N64" s="103"/>
      <c r="O64" s="103"/>
      <c r="P64" s="103"/>
      <c r="Q64" s="103"/>
    </row>
    <row r="65" spans="2:17" customFormat="1" ht="15.5" x14ac:dyDescent="0.35">
      <c r="B65" s="296" t="s">
        <v>410</v>
      </c>
      <c r="E65" s="153">
        <f>+_xlfn.XLOOKUP($B65,Inputs!$B:$B,Inputs!O:O)</f>
        <v>200.4</v>
      </c>
      <c r="F65" s="153">
        <f>+_xlfn.XLOOKUP($B65,Inputs!$B:$B,Inputs!P:P)</f>
        <v>264.60000000000002</v>
      </c>
      <c r="G65" s="267">
        <f>+_xlfn.XLOOKUP($B65,Inputs!$B:$B,Inputs!Q:Q)</f>
        <v>322.2</v>
      </c>
      <c r="H65" s="164"/>
      <c r="I65" s="164"/>
      <c r="J65" s="164"/>
      <c r="K65" s="164"/>
      <c r="L65" s="164"/>
      <c r="M65" s="164"/>
      <c r="N65" s="164"/>
      <c r="O65" s="164"/>
      <c r="P65" s="164"/>
      <c r="Q65" s="164"/>
    </row>
    <row r="66" spans="2:17" s="284" customFormat="1" ht="14.5" x14ac:dyDescent="0.35">
      <c r="B66" s="297" t="s">
        <v>411</v>
      </c>
      <c r="E66" s="295">
        <f>+IFERROR(E65/AVERAGE(Inputs!N113:O113),"")</f>
        <v>3.0093478995382363E-2</v>
      </c>
      <c r="F66" s="295">
        <f>+IFERROR(F65/AVERAGE(Inputs!O113:P113),"")</f>
        <v>3.9207551083912454E-2</v>
      </c>
      <c r="G66" s="280">
        <f>+IFERROR(G65/AVERAGE(Inputs!P113:Q113),"")</f>
        <v>4.4348400594615422E-2</v>
      </c>
      <c r="H66" s="304">
        <v>3.6600000000000001E-2</v>
      </c>
      <c r="I66" s="304">
        <v>3.5700000000000003E-2</v>
      </c>
      <c r="J66" s="304">
        <v>3.5499999999999997E-2</v>
      </c>
      <c r="K66" s="304">
        <v>3.5499999999999997E-2</v>
      </c>
      <c r="L66" s="304">
        <v>3.5499999999999997E-2</v>
      </c>
      <c r="M66" s="304">
        <v>3.5499999999999997E-2</v>
      </c>
      <c r="N66" s="304">
        <v>3.5499999999999997E-2</v>
      </c>
      <c r="O66" s="304">
        <v>3.5499999999999997E-2</v>
      </c>
      <c r="P66" s="304">
        <v>3.5499999999999997E-2</v>
      </c>
      <c r="Q66" s="304">
        <v>3.5499999999999997E-2</v>
      </c>
    </row>
    <row r="67" spans="2:17" customFormat="1" ht="3.75" customHeight="1" x14ac:dyDescent="0.35">
      <c r="B67" s="258"/>
      <c r="E67" s="276"/>
      <c r="F67" s="276"/>
      <c r="G67" s="281"/>
      <c r="H67" s="103"/>
      <c r="I67" s="103"/>
      <c r="J67" s="103"/>
      <c r="K67" s="103"/>
      <c r="L67" s="103"/>
      <c r="M67" s="103"/>
      <c r="N67" s="103"/>
      <c r="O67" s="103"/>
      <c r="P67" s="103"/>
      <c r="Q67" s="103"/>
    </row>
    <row r="68" spans="2:17" customFormat="1" ht="15.5" x14ac:dyDescent="0.35">
      <c r="B68" s="296" t="s">
        <v>412</v>
      </c>
      <c r="E68" s="153">
        <f>+_xlfn.XLOOKUP($B68,Inputs!$B:$B,Inputs!O:O)</f>
        <v>207.3</v>
      </c>
      <c r="F68" s="153">
        <f>+_xlfn.XLOOKUP($B68,Inputs!$B:$B,Inputs!P:P)</f>
        <v>305.89999999999998</v>
      </c>
      <c r="G68" s="267">
        <f>+_xlfn.XLOOKUP($B68,Inputs!$B:$B,Inputs!Q:Q)</f>
        <v>401</v>
      </c>
      <c r="H68" s="164"/>
      <c r="I68" s="164"/>
      <c r="J68" s="164"/>
      <c r="K68" s="164"/>
      <c r="L68" s="164"/>
      <c r="M68" s="164"/>
      <c r="N68" s="164"/>
      <c r="O68" s="164"/>
      <c r="P68" s="164"/>
      <c r="Q68" s="164"/>
    </row>
    <row r="69" spans="2:17" s="284" customFormat="1" ht="14.5" x14ac:dyDescent="0.35">
      <c r="B69" s="297" t="s">
        <v>413</v>
      </c>
      <c r="E69" s="276">
        <f>IFERROR(E68/+AVERAGE(Inputs!N32:O32),"")</f>
        <v>0.12022269906628778</v>
      </c>
      <c r="F69" s="276">
        <f>IFERROR(F68/+AVERAGE(Inputs!O32:P32),"")</f>
        <v>0.25190431094824389</v>
      </c>
      <c r="G69" s="280">
        <f>IFERROR(G68/+AVERAGE(Inputs!P32:Q32),"")</f>
        <v>0.24147898349993979</v>
      </c>
      <c r="H69" s="304"/>
      <c r="I69" s="304"/>
      <c r="J69" s="304"/>
      <c r="K69" s="304"/>
      <c r="L69" s="304"/>
      <c r="M69" s="304"/>
      <c r="N69" s="304"/>
      <c r="O69" s="304"/>
      <c r="P69" s="304"/>
      <c r="Q69" s="304"/>
    </row>
    <row r="70" spans="2:17" s="284" customFormat="1" ht="3.75" customHeight="1" x14ac:dyDescent="0.35">
      <c r="B70" s="283"/>
      <c r="E70" s="276"/>
      <c r="F70" s="276"/>
      <c r="G70" s="280"/>
      <c r="H70" s="282"/>
      <c r="I70" s="282"/>
      <c r="J70" s="282"/>
      <c r="K70" s="282"/>
      <c r="L70" s="282"/>
      <c r="M70" s="282"/>
      <c r="N70" s="282"/>
      <c r="O70" s="282"/>
      <c r="P70" s="282"/>
      <c r="Q70" s="282"/>
    </row>
    <row r="71" spans="2:17" s="284" customFormat="1" ht="15.5" x14ac:dyDescent="0.35">
      <c r="B71" s="273" t="s">
        <v>414</v>
      </c>
      <c r="E71" s="292">
        <f>+_xlfn.XLOOKUP($B71,Inputs!$B:$B,Inputs!O:O)</f>
        <v>-46.3</v>
      </c>
      <c r="F71" s="292">
        <f>+_xlfn.XLOOKUP($B71,Inputs!$B:$B,Inputs!P:P)</f>
        <v>-0.4</v>
      </c>
      <c r="G71" s="293">
        <f>+_xlfn.XLOOKUP($B71,Inputs!$B:$B,Inputs!Q:Q)</f>
        <v>1</v>
      </c>
      <c r="H71" s="164">
        <f>+H72*H$17</f>
        <v>0</v>
      </c>
      <c r="I71" s="164">
        <f t="shared" ref="I71:Q71" si="28">+I72*I$17</f>
        <v>0</v>
      </c>
      <c r="J71" s="164">
        <f t="shared" si="28"/>
        <v>0</v>
      </c>
      <c r="K71" s="164">
        <f t="shared" si="28"/>
        <v>0</v>
      </c>
      <c r="L71" s="164">
        <f t="shared" si="28"/>
        <v>0</v>
      </c>
      <c r="M71" s="164">
        <f t="shared" si="28"/>
        <v>0</v>
      </c>
      <c r="N71" s="164">
        <f t="shared" si="28"/>
        <v>0</v>
      </c>
      <c r="O71" s="164">
        <f t="shared" si="28"/>
        <v>0</v>
      </c>
      <c r="P71" s="164">
        <f t="shared" si="28"/>
        <v>0</v>
      </c>
      <c r="Q71" s="164">
        <f t="shared" si="28"/>
        <v>0</v>
      </c>
    </row>
    <row r="72" spans="2:17" s="284" customFormat="1" ht="14.5" x14ac:dyDescent="0.35">
      <c r="B72" s="297" t="s">
        <v>400</v>
      </c>
      <c r="E72" s="276"/>
      <c r="F72" s="276"/>
      <c r="G72" s="280"/>
      <c r="H72" s="304"/>
      <c r="I72" s="304"/>
      <c r="J72" s="304"/>
      <c r="K72" s="304"/>
      <c r="L72" s="304"/>
      <c r="M72" s="304"/>
      <c r="N72" s="304"/>
      <c r="O72" s="304"/>
      <c r="P72" s="304"/>
      <c r="Q72" s="304"/>
    </row>
    <row r="73" spans="2:17" s="284" customFormat="1" ht="5.25" customHeight="1" x14ac:dyDescent="0.35">
      <c r="B73" s="297"/>
      <c r="E73" s="276"/>
      <c r="F73" s="276"/>
      <c r="G73" s="280"/>
      <c r="H73" s="282"/>
      <c r="I73" s="282"/>
      <c r="J73" s="282"/>
      <c r="K73" s="282"/>
      <c r="L73" s="282"/>
      <c r="M73" s="282"/>
      <c r="N73" s="282"/>
      <c r="O73" s="282"/>
      <c r="P73" s="282"/>
      <c r="Q73" s="282"/>
    </row>
    <row r="74" spans="2:17" s="284" customFormat="1" ht="15.5" x14ac:dyDescent="0.35">
      <c r="B74" s="273" t="s">
        <v>415</v>
      </c>
      <c r="E74" s="292">
        <f>+_xlfn.XLOOKUP($B74,Inputs!$B:$B,Inputs!O:O)</f>
        <v>-13.6</v>
      </c>
      <c r="F74" s="292">
        <f>+_xlfn.XLOOKUP($B74,Inputs!$B:$B,Inputs!P:P)</f>
        <v>-8.1999999999999993</v>
      </c>
      <c r="G74" s="293">
        <f>+_xlfn.XLOOKUP($B74,Inputs!$B:$B,Inputs!Q:Q)</f>
        <v>12</v>
      </c>
      <c r="H74" s="303">
        <f>IFERROR(AVERAGE(E74:G74)*(1+H31),"")</f>
        <v>-3.5815733333333326</v>
      </c>
      <c r="I74" s="303">
        <f t="shared" ref="I74:Q74" si="29">IFERROR(AVERAGE(F74:H74)*(1+I31),"")</f>
        <v>8.2004651555556099E-2</v>
      </c>
      <c r="J74" s="303">
        <f t="shared" si="29"/>
        <v>3.1088910807844741</v>
      </c>
      <c r="K74" s="303">
        <f t="shared" si="29"/>
        <v>-0.13491399820968711</v>
      </c>
      <c r="L74" s="303">
        <f t="shared" si="29"/>
        <v>1.0553323588530119</v>
      </c>
      <c r="M74" s="303">
        <f t="shared" si="29"/>
        <v>1.3914548604397332</v>
      </c>
      <c r="N74" s="303">
        <f t="shared" si="29"/>
        <v>0.7983668856806827</v>
      </c>
      <c r="O74" s="303">
        <f t="shared" si="29"/>
        <v>1.1206598842508237</v>
      </c>
      <c r="P74" s="303">
        <f t="shared" si="29"/>
        <v>1.1432196563548682</v>
      </c>
      <c r="Q74" s="303">
        <f t="shared" si="29"/>
        <v>1.0574957658775614</v>
      </c>
    </row>
    <row r="75" spans="2:17" ht="3.75" customHeight="1" x14ac:dyDescent="0.35">
      <c r="B75" s="155"/>
      <c r="G75" s="150"/>
      <c r="H75" s="125"/>
      <c r="I75" s="125"/>
      <c r="J75" s="125"/>
      <c r="K75" s="125"/>
      <c r="L75" s="125"/>
      <c r="O75" s="125"/>
      <c r="P75" s="125"/>
      <c r="Q75" s="125"/>
    </row>
    <row r="76" spans="2:17" ht="13.5" customHeight="1" x14ac:dyDescent="0.35">
      <c r="B76" s="201" t="s">
        <v>231</v>
      </c>
      <c r="E76" s="292">
        <f>+_xlfn.XLOOKUP($B76,Inputs!$B:$B,Inputs!O:O)</f>
        <v>2335.1000000000004</v>
      </c>
      <c r="F76" s="292">
        <f>+_xlfn.XLOOKUP($B76,Inputs!$B:$B,Inputs!P:P)</f>
        <v>2700.2000000000003</v>
      </c>
      <c r="G76" s="293">
        <f>+_xlfn.XLOOKUP($B76,Inputs!$B:$B,Inputs!Q:Q)</f>
        <v>786.40000000000077</v>
      </c>
      <c r="H76" s="160">
        <f>IFERROR(+H59-H62-H71-H74,"")</f>
        <v>1604.5925333333328</v>
      </c>
      <c r="I76" s="160">
        <f t="shared" ref="I76:Q76" si="30">IFERROR(+I59-I62-I71-I74,"")</f>
        <v>2111.4030235964456</v>
      </c>
      <c r="J76" s="160">
        <f t="shared" si="30"/>
        <v>2530.5822041977221</v>
      </c>
      <c r="K76" s="160">
        <f t="shared" si="30"/>
        <v>2786.8173243989745</v>
      </c>
      <c r="L76" s="160">
        <f t="shared" si="30"/>
        <v>3302.0340310677725</v>
      </c>
      <c r="M76" s="160">
        <f t="shared" si="30"/>
        <v>3686.5811256495435</v>
      </c>
      <c r="N76" s="160">
        <f t="shared" si="30"/>
        <v>4032.718826522665</v>
      </c>
      <c r="O76" s="160">
        <f t="shared" si="30"/>
        <v>4347.8252324867944</v>
      </c>
      <c r="P76" s="160">
        <f t="shared" si="30"/>
        <v>4640.5423888400474</v>
      </c>
      <c r="Q76" s="160">
        <f t="shared" si="30"/>
        <v>4916.6709258363962</v>
      </c>
    </row>
    <row r="77" spans="2:17" ht="5.25" customHeight="1" x14ac:dyDescent="0.35">
      <c r="G77" s="150"/>
      <c r="H77" s="125"/>
      <c r="I77" s="125"/>
      <c r="J77" s="125"/>
      <c r="K77" s="125"/>
      <c r="L77" s="125"/>
      <c r="O77" s="125"/>
      <c r="P77" s="125"/>
      <c r="Q77" s="125"/>
    </row>
    <row r="78" spans="2:17" ht="15.5" x14ac:dyDescent="0.35">
      <c r="B78" s="120" t="s">
        <v>232</v>
      </c>
      <c r="E78" s="153">
        <f>+_xlfn.XLOOKUP($B78,Inputs!$B:$B,Inputs!O:O)</f>
        <v>350.2</v>
      </c>
      <c r="F78" s="153">
        <f>+_xlfn.XLOOKUP($B78,Inputs!$B:$B,Inputs!P:P)</f>
        <v>293.39999999999998</v>
      </c>
      <c r="G78" s="267">
        <f>+_xlfn.XLOOKUP($B78,Inputs!$B:$B,Inputs!Q:Q)</f>
        <v>142.1</v>
      </c>
      <c r="H78" s="160">
        <f>IFERROR(H79*H$59,"")</f>
        <v>234.45611592728764</v>
      </c>
      <c r="I78" s="160">
        <f t="shared" ref="I78:Q78" si="31">IFERROR(I79*I$59,"")</f>
        <v>306.72698904216691</v>
      </c>
      <c r="J78" s="160">
        <f t="shared" si="31"/>
        <v>398.97644456518748</v>
      </c>
      <c r="K78" s="160">
        <f t="shared" si="31"/>
        <v>417.23788994068514</v>
      </c>
      <c r="L78" s="160">
        <f t="shared" si="31"/>
        <v>498.17208729222739</v>
      </c>
      <c r="M78" s="160">
        <f t="shared" si="31"/>
        <v>563.04791085413081</v>
      </c>
      <c r="N78" s="160">
        <f t="shared" si="31"/>
        <v>609.35299887614553</v>
      </c>
      <c r="O78" s="160">
        <f t="shared" si="31"/>
        <v>658.95780104460573</v>
      </c>
      <c r="P78" s="160">
        <f t="shared" si="31"/>
        <v>704.39904796066014</v>
      </c>
      <c r="Q78" s="160">
        <f t="shared" si="31"/>
        <v>744.78775457792403</v>
      </c>
    </row>
    <row r="79" spans="2:17" s="274" customFormat="1" ht="14.5" x14ac:dyDescent="0.35">
      <c r="B79" s="274" t="s">
        <v>416</v>
      </c>
      <c r="E79" s="276">
        <f>IFERROR(E78/E76,"")</f>
        <v>0.14997216393302212</v>
      </c>
      <c r="F79" s="276">
        <f t="shared" ref="F79:G79" si="32">IFERROR(F78/F76,"")</f>
        <v>0.108658617880157</v>
      </c>
      <c r="G79" s="280">
        <f t="shared" si="32"/>
        <v>0.18069684638860611</v>
      </c>
      <c r="H79" s="302">
        <f>IFERROR(AVERAGE(E79:G79),"")</f>
        <v>0.1464425427339284</v>
      </c>
      <c r="I79" s="302">
        <f t="shared" ref="I79:Q79" si="33">IFERROR(AVERAGE(F79:H79),"")</f>
        <v>0.14526600233423051</v>
      </c>
      <c r="J79" s="302">
        <f t="shared" si="33"/>
        <v>0.15746846381892166</v>
      </c>
      <c r="K79" s="302">
        <f t="shared" si="33"/>
        <v>0.14972566962902686</v>
      </c>
      <c r="L79" s="302">
        <f t="shared" si="33"/>
        <v>0.15082004526072634</v>
      </c>
      <c r="M79" s="302">
        <f t="shared" si="33"/>
        <v>0.15267139290289164</v>
      </c>
      <c r="N79" s="302">
        <f t="shared" si="33"/>
        <v>0.15107236926421497</v>
      </c>
      <c r="O79" s="302">
        <f t="shared" si="33"/>
        <v>0.15152126914261099</v>
      </c>
      <c r="P79" s="302">
        <f t="shared" si="33"/>
        <v>0.15175501043657255</v>
      </c>
      <c r="Q79" s="302">
        <f t="shared" si="33"/>
        <v>0.15144954961446619</v>
      </c>
    </row>
    <row r="80" spans="2:17" s="274" customFormat="1" ht="3.75" customHeight="1" x14ac:dyDescent="0.35">
      <c r="E80" s="276"/>
      <c r="F80" s="276"/>
      <c r="G80" s="280"/>
      <c r="H80" s="295"/>
      <c r="I80" s="295"/>
      <c r="J80" s="295"/>
      <c r="K80" s="295"/>
      <c r="L80" s="295"/>
      <c r="M80" s="295"/>
      <c r="N80" s="295"/>
      <c r="O80" s="295"/>
      <c r="P80" s="295"/>
      <c r="Q80" s="295"/>
    </row>
    <row r="81" spans="1:17" s="274" customFormat="1" ht="15.5" x14ac:dyDescent="0.35">
      <c r="B81" s="120" t="s">
        <v>233</v>
      </c>
      <c r="E81" s="153">
        <f>+_xlfn.XLOOKUP($B81,Inputs!$B:$B,Inputs!O:O)</f>
        <v>1984.9000000000003</v>
      </c>
      <c r="F81" s="153">
        <f>+_xlfn.XLOOKUP($B81,Inputs!$B:$B,Inputs!P:P)</f>
        <v>2406.8000000000002</v>
      </c>
      <c r="G81" s="267">
        <f>+_xlfn.XLOOKUP($B81,Inputs!$B:$B,Inputs!Q:Q)</f>
        <v>644.30000000000075</v>
      </c>
      <c r="H81" s="160">
        <f>IFERROR(+H76-H78,"")</f>
        <v>1370.1364174060452</v>
      </c>
      <c r="I81" s="160">
        <f t="shared" ref="I81:Q81" si="34">IFERROR(+I76-I78,"")</f>
        <v>1804.6760345542787</v>
      </c>
      <c r="J81" s="160">
        <f t="shared" si="34"/>
        <v>2131.6057596325345</v>
      </c>
      <c r="K81" s="160">
        <f t="shared" si="34"/>
        <v>2369.5794344582891</v>
      </c>
      <c r="L81" s="160">
        <f t="shared" si="34"/>
        <v>2803.8619437755451</v>
      </c>
      <c r="M81" s="160">
        <f t="shared" si="34"/>
        <v>3123.5332147954127</v>
      </c>
      <c r="N81" s="160">
        <f t="shared" si="34"/>
        <v>3423.3658276465194</v>
      </c>
      <c r="O81" s="160">
        <f t="shared" si="34"/>
        <v>3688.8674314421887</v>
      </c>
      <c r="P81" s="160">
        <f t="shared" si="34"/>
        <v>3936.1433408793873</v>
      </c>
      <c r="Q81" s="160">
        <f t="shared" si="34"/>
        <v>4171.8831712584724</v>
      </c>
    </row>
    <row r="82" spans="1:17" s="274" customFormat="1" ht="14.5" x14ac:dyDescent="0.35">
      <c r="B82" s="274" t="s">
        <v>35</v>
      </c>
      <c r="E82" s="276">
        <f>IFERROR(E81/E$30,"")</f>
        <v>0.16521558182120863</v>
      </c>
      <c r="F82" s="276">
        <f t="shared" ref="F82:Q82" si="35">IFERROR(F81/F$30,"")</f>
        <v>0.19558733899475847</v>
      </c>
      <c r="G82" s="280">
        <f t="shared" ref="G82" si="36">IFERROR(G81/G$30,"")</f>
        <v>6.8344789545146029E-2</v>
      </c>
      <c r="H82" s="276">
        <f t="shared" si="35"/>
        <v>0.13255963790693162</v>
      </c>
      <c r="I82" s="276">
        <f t="shared" si="35"/>
        <v>0.15502176110720958</v>
      </c>
      <c r="J82" s="276">
        <f t="shared" si="35"/>
        <v>0.16688392339434988</v>
      </c>
      <c r="K82" s="276">
        <f t="shared" si="35"/>
        <v>0.17906847409521295</v>
      </c>
      <c r="L82" s="276">
        <f t="shared" si="35"/>
        <v>0.20452421364724419</v>
      </c>
      <c r="M82" s="276">
        <f t="shared" si="35"/>
        <v>0.21992493817297223</v>
      </c>
      <c r="N82" s="276">
        <f t="shared" si="35"/>
        <v>0.23266009755163231</v>
      </c>
      <c r="O82" s="276">
        <f t="shared" si="35"/>
        <v>0.2419924894620254</v>
      </c>
      <c r="P82" s="276">
        <f t="shared" si="35"/>
        <v>0.24924128945209245</v>
      </c>
      <c r="Q82" s="276">
        <f t="shared" si="35"/>
        <v>0.25498901214954184</v>
      </c>
    </row>
    <row r="83" spans="1:17" ht="3.75" customHeight="1" x14ac:dyDescent="0.35">
      <c r="B83" s="155"/>
      <c r="G83" s="150"/>
    </row>
    <row r="84" spans="1:17" ht="15.5" x14ac:dyDescent="0.35">
      <c r="A84" s="120" t="s">
        <v>358</v>
      </c>
      <c r="B84" s="52" t="s">
        <v>236</v>
      </c>
      <c r="C84" s="56"/>
      <c r="D84" s="56"/>
      <c r="E84" s="131">
        <f t="shared" ref="E84:Q84" si="37">E28</f>
        <v>2022</v>
      </c>
      <c r="F84" s="131">
        <f t="shared" si="37"/>
        <v>2023</v>
      </c>
      <c r="G84" s="132">
        <f t="shared" si="37"/>
        <v>2024</v>
      </c>
      <c r="H84" s="102">
        <f t="shared" si="37"/>
        <v>2025</v>
      </c>
      <c r="I84" s="102">
        <f t="shared" si="37"/>
        <v>2026</v>
      </c>
      <c r="J84" s="102">
        <f t="shared" si="37"/>
        <v>2027</v>
      </c>
      <c r="K84" s="102">
        <f t="shared" si="37"/>
        <v>2028</v>
      </c>
      <c r="L84" s="102">
        <f t="shared" si="37"/>
        <v>2029</v>
      </c>
      <c r="M84" s="102">
        <f t="shared" si="37"/>
        <v>2030</v>
      </c>
      <c r="N84" s="102">
        <f t="shared" si="37"/>
        <v>2031</v>
      </c>
      <c r="O84" s="102">
        <f t="shared" si="37"/>
        <v>2032</v>
      </c>
      <c r="P84" s="102">
        <f t="shared" si="37"/>
        <v>2033</v>
      </c>
      <c r="Q84" s="102">
        <f t="shared" si="37"/>
        <v>2034</v>
      </c>
    </row>
    <row r="85" spans="1:17" ht="4" customHeight="1" x14ac:dyDescent="0.35">
      <c r="B85" s="167"/>
      <c r="C85" s="53"/>
      <c r="D85" s="53"/>
      <c r="E85" s="53"/>
      <c r="F85" s="53"/>
      <c r="G85" s="168"/>
      <c r="H85" s="53"/>
      <c r="I85" s="53"/>
      <c r="J85" s="53"/>
      <c r="K85" s="53"/>
      <c r="L85" s="53"/>
      <c r="M85" s="53"/>
      <c r="N85" s="53"/>
      <c r="O85" s="53"/>
      <c r="P85" s="53"/>
      <c r="Q85" s="53"/>
    </row>
    <row r="86" spans="1:17" ht="13.5" customHeight="1" x14ac:dyDescent="0.35">
      <c r="B86" s="152" t="s">
        <v>417</v>
      </c>
      <c r="G86" s="161"/>
    </row>
    <row r="87" spans="1:17" ht="5.25" customHeight="1" x14ac:dyDescent="0.35">
      <c r="B87" s="155"/>
      <c r="G87" s="161"/>
    </row>
    <row r="88" spans="1:17" ht="13.5" customHeight="1" x14ac:dyDescent="0.35">
      <c r="B88" s="120" t="s">
        <v>418</v>
      </c>
      <c r="E88" s="153">
        <f>+_xlfn.XLOOKUP($B88,Inputs!$B:$B,Inputs!O:O)</f>
        <v>1470.6</v>
      </c>
      <c r="F88" s="153">
        <f>+_xlfn.XLOOKUP($B88,Inputs!$B:$B,Inputs!P:P)</f>
        <v>958.1</v>
      </c>
      <c r="G88" s="267">
        <f>+_xlfn.XLOOKUP($B88,Inputs!$B:$B,Inputs!Q:Q)</f>
        <v>2363.1</v>
      </c>
      <c r="H88" s="171">
        <f>IFERROR(G88+H165,"")</f>
        <v>7076.73420896672</v>
      </c>
      <c r="I88" s="171">
        <f t="shared" ref="I88:Q88" si="38">IFERROR(H88+I165,"")</f>
        <v>12055.947152011344</v>
      </c>
      <c r="J88" s="171">
        <f t="shared" si="38"/>
        <v>17620.116988216658</v>
      </c>
      <c r="K88" s="171">
        <f t="shared" si="38"/>
        <v>23405.266804430808</v>
      </c>
      <c r="L88" s="171">
        <f t="shared" si="38"/>
        <v>29391.39239013895</v>
      </c>
      <c r="M88" s="171">
        <f t="shared" si="38"/>
        <v>35528.468406747299</v>
      </c>
      <c r="N88" s="171">
        <f t="shared" si="38"/>
        <v>41811.363012316731</v>
      </c>
      <c r="O88" s="171">
        <f t="shared" si="38"/>
        <v>48282.976802714053</v>
      </c>
      <c r="P88" s="171">
        <f t="shared" si="38"/>
        <v>54941.851077820058</v>
      </c>
      <c r="Q88" s="171">
        <f t="shared" si="38"/>
        <v>61796.932160058961</v>
      </c>
    </row>
    <row r="89" spans="1:17" ht="3.75" customHeight="1" x14ac:dyDescent="0.35">
      <c r="E89" s="153"/>
      <c r="F89" s="153"/>
      <c r="G89" s="267"/>
    </row>
    <row r="90" spans="1:17" ht="15.5" x14ac:dyDescent="0.35">
      <c r="B90" s="120" t="s">
        <v>238</v>
      </c>
      <c r="E90" s="153">
        <f>+_xlfn.XLOOKUP($B90,Inputs!$B:$B,Inputs!O:O)</f>
        <v>1800.5</v>
      </c>
      <c r="F90" s="153">
        <f>+_xlfn.XLOOKUP($B90,Inputs!$B:$B,Inputs!P:P)</f>
        <v>1469.7</v>
      </c>
      <c r="G90" s="267">
        <f>+_xlfn.XLOOKUP($B90,Inputs!$B:$B,Inputs!Q:Q)</f>
        <v>1336.3</v>
      </c>
      <c r="H90" s="171">
        <f>IFERROR(H91*H30/365,"")</f>
        <v>1417.5444386435538</v>
      </c>
      <c r="I90" s="171">
        <f t="shared" ref="I90:Q90" si="39">IFERROR(I91*I30/365,"")</f>
        <v>1547.2186892567822</v>
      </c>
      <c r="J90" s="171">
        <f t="shared" si="39"/>
        <v>1754.9665527111088</v>
      </c>
      <c r="K90" s="171">
        <f t="shared" si="39"/>
        <v>1797.233048690674</v>
      </c>
      <c r="L90" s="171">
        <f t="shared" si="39"/>
        <v>1855.856088924103</v>
      </c>
      <c r="M90" s="171">
        <f t="shared" si="39"/>
        <v>1934.3460268110703</v>
      </c>
      <c r="N90" s="171">
        <f t="shared" si="39"/>
        <v>1998.0903707806165</v>
      </c>
      <c r="O90" s="171">
        <f t="shared" si="39"/>
        <v>2069.9127263814203</v>
      </c>
      <c r="P90" s="171">
        <f t="shared" si="39"/>
        <v>2146.6127903452129</v>
      </c>
      <c r="Q90" s="171">
        <f t="shared" si="39"/>
        <v>2222.421943154257</v>
      </c>
    </row>
    <row r="91" spans="1:17" ht="15.5" x14ac:dyDescent="0.35">
      <c r="B91" s="155" t="s">
        <v>419</v>
      </c>
      <c r="E91" s="309">
        <f>IFERROR(E90/E30*365,"")</f>
        <v>54.701390044947559</v>
      </c>
      <c r="F91" s="309">
        <f>IFERROR(F90/F30*365,"")</f>
        <v>43.593555727113895</v>
      </c>
      <c r="G91" s="310">
        <f>IFERROR(G90/G30*366,"")</f>
        <v>51.880282586558039</v>
      </c>
      <c r="H91" s="311">
        <f>IFERROR(AVERAGE(E91:G91),"")</f>
        <v>50.058409452873171</v>
      </c>
      <c r="I91" s="311">
        <f t="shared" ref="I91:Q91" si="40">IFERROR(AVERAGE(F91:H91),"")</f>
        <v>48.510749255515037</v>
      </c>
      <c r="J91" s="311">
        <f t="shared" si="40"/>
        <v>50.149813764982078</v>
      </c>
      <c r="K91" s="311">
        <f t="shared" si="40"/>
        <v>49.57299082445676</v>
      </c>
      <c r="L91" s="311">
        <f t="shared" si="40"/>
        <v>49.41118461498462</v>
      </c>
      <c r="M91" s="311">
        <f t="shared" si="40"/>
        <v>49.711329734807826</v>
      </c>
      <c r="N91" s="311">
        <f t="shared" si="40"/>
        <v>49.5651683914164</v>
      </c>
      <c r="O91" s="311">
        <f t="shared" si="40"/>
        <v>49.562560913736284</v>
      </c>
      <c r="P91" s="311">
        <f t="shared" si="40"/>
        <v>49.613019679986841</v>
      </c>
      <c r="Q91" s="311">
        <f t="shared" si="40"/>
        <v>49.580249661713175</v>
      </c>
    </row>
    <row r="92" spans="1:17" ht="3.75" customHeight="1" x14ac:dyDescent="0.35">
      <c r="E92" s="172"/>
      <c r="F92" s="172"/>
      <c r="G92" s="173"/>
      <c r="H92" s="171"/>
      <c r="I92" s="171"/>
      <c r="J92" s="171"/>
      <c r="K92" s="171"/>
      <c r="L92" s="171"/>
      <c r="O92" s="171"/>
      <c r="P92" s="171"/>
      <c r="Q92" s="171"/>
    </row>
    <row r="93" spans="1:17" ht="15.5" x14ac:dyDescent="0.35">
      <c r="B93" s="120" t="s">
        <v>420</v>
      </c>
      <c r="E93" s="153">
        <f>+_xlfn.XLOOKUP($B93,Inputs!$B:$B,Inputs!O:O)</f>
        <v>1399.9</v>
      </c>
      <c r="F93" s="153">
        <f>+_xlfn.XLOOKUP($B93,Inputs!$B:$B,Inputs!P:P)</f>
        <v>1642.2</v>
      </c>
      <c r="G93" s="267">
        <f>+_xlfn.XLOOKUP($B93,Inputs!$B:$B,Inputs!Q:Q)</f>
        <v>1447.7</v>
      </c>
      <c r="H93" s="171">
        <f>+IFERROR(H94*H33/365,"")</f>
        <v>1362.9613145038525</v>
      </c>
      <c r="I93" s="171">
        <f t="shared" ref="I93:Q93" si="41">+IFERROR(I94*I33/365,"")</f>
        <v>1565.31385345528</v>
      </c>
      <c r="J93" s="171">
        <f t="shared" si="41"/>
        <v>1675.2167278022355</v>
      </c>
      <c r="K93" s="171">
        <f t="shared" si="41"/>
        <v>1716.0135163648972</v>
      </c>
      <c r="L93" s="171">
        <f t="shared" si="41"/>
        <v>1778.6658151238164</v>
      </c>
      <c r="M93" s="171">
        <f t="shared" si="41"/>
        <v>1837.3369035201397</v>
      </c>
      <c r="N93" s="171">
        <f t="shared" si="41"/>
        <v>1903.4041661474132</v>
      </c>
      <c r="O93" s="171">
        <f t="shared" si="41"/>
        <v>1973.8977422026439</v>
      </c>
      <c r="P93" s="171">
        <f t="shared" si="41"/>
        <v>2043.6242388676878</v>
      </c>
      <c r="Q93" s="171">
        <f t="shared" si="41"/>
        <v>2117.4107730987148</v>
      </c>
    </row>
    <row r="94" spans="1:17" ht="15.5" x14ac:dyDescent="0.35">
      <c r="B94" s="155" t="s">
        <v>421</v>
      </c>
      <c r="E94" s="309">
        <f>IFERROR(E93/E33*365,"")</f>
        <v>114.01617761910076</v>
      </c>
      <c r="F94" s="309">
        <f>IFERROR(F93/F33*365,"")</f>
        <v>135.35736061242463</v>
      </c>
      <c r="G94" s="310">
        <f>IFERROR(G93/G33*365,"")</f>
        <v>130.60717287063127</v>
      </c>
      <c r="H94" s="311">
        <f>IFERROR(AVERAGE(E94:G94),"")</f>
        <v>126.66023703405222</v>
      </c>
      <c r="I94" s="311">
        <f t="shared" ref="I94:Q94" si="42">IFERROR(AVERAGE(F94:H94),"")</f>
        <v>130.8749235057027</v>
      </c>
      <c r="J94" s="311">
        <f t="shared" si="42"/>
        <v>129.38077780346205</v>
      </c>
      <c r="K94" s="311">
        <f t="shared" si="42"/>
        <v>128.97197944773896</v>
      </c>
      <c r="L94" s="311">
        <f t="shared" si="42"/>
        <v>129.74256025230125</v>
      </c>
      <c r="M94" s="311">
        <f t="shared" si="42"/>
        <v>129.36510583450075</v>
      </c>
      <c r="N94" s="311">
        <f t="shared" si="42"/>
        <v>129.35988184484697</v>
      </c>
      <c r="O94" s="311">
        <f t="shared" si="42"/>
        <v>129.48918264388297</v>
      </c>
      <c r="P94" s="311">
        <f t="shared" si="42"/>
        <v>129.40472344107687</v>
      </c>
      <c r="Q94" s="311">
        <f t="shared" si="42"/>
        <v>129.4179293099356</v>
      </c>
    </row>
    <row r="95" spans="1:17" ht="4" customHeight="1" x14ac:dyDescent="0.35">
      <c r="G95" s="161"/>
    </row>
    <row r="96" spans="1:17" ht="15.5" x14ac:dyDescent="0.35">
      <c r="B96" s="120" t="s">
        <v>422</v>
      </c>
      <c r="E96" s="153">
        <f>+_xlfn.XLOOKUP($B96,Inputs!$B:$B,Inputs!O:O)</f>
        <v>267</v>
      </c>
      <c r="F96" s="153">
        <f>+_xlfn.XLOOKUP($B96,Inputs!$B:$B,Inputs!P:P)</f>
        <v>314</v>
      </c>
      <c r="G96" s="267">
        <f>+_xlfn.XLOOKUP($B96,Inputs!$B:$B,Inputs!Q:Q)</f>
        <v>337.59999999999991</v>
      </c>
      <c r="H96" s="171">
        <f>IFERROR(AVERAGE(E96:G96)*(1+H31),"")</f>
        <v>335.71767999999997</v>
      </c>
      <c r="I96" s="171">
        <f t="shared" ref="I96:Q96" si="43">IFERROR(AVERAGE(F96:H96)*(1+I31),"")</f>
        <v>370.67196766133333</v>
      </c>
      <c r="J96" s="171">
        <f t="shared" si="43"/>
        <v>381.82181380467159</v>
      </c>
      <c r="K96" s="171">
        <f t="shared" si="43"/>
        <v>375.79569135959372</v>
      </c>
      <c r="L96" s="171">
        <f t="shared" si="43"/>
        <v>389.63596461577345</v>
      </c>
      <c r="M96" s="171">
        <f t="shared" si="43"/>
        <v>396.18486489737342</v>
      </c>
      <c r="N96" s="171">
        <f t="shared" si="43"/>
        <v>401.1449052080531</v>
      </c>
      <c r="O96" s="171">
        <f t="shared" si="43"/>
        <v>409.89883372372111</v>
      </c>
      <c r="P96" s="171">
        <f t="shared" si="43"/>
        <v>416.89627785566569</v>
      </c>
      <c r="Q96" s="171">
        <f t="shared" si="43"/>
        <v>424.04861913059591</v>
      </c>
    </row>
    <row r="97" spans="2:17" s="274" customFormat="1" ht="14.5" x14ac:dyDescent="0.35">
      <c r="B97" s="274" t="s">
        <v>400</v>
      </c>
      <c r="E97" s="306">
        <f>IFERROR(E96/E$30,"")</f>
        <v>2.2224071916097887E-2</v>
      </c>
      <c r="F97" s="306">
        <f t="shared" ref="F97:G97" si="44">IFERROR(F96/F$30,"")</f>
        <v>2.5517045223680469E-2</v>
      </c>
      <c r="G97" s="307">
        <f t="shared" si="44"/>
        <v>3.5811269517990484E-2</v>
      </c>
      <c r="H97" s="306">
        <f>IFERROR(AVERAGE(E97:G97),"")</f>
        <v>2.7850795552589614E-2</v>
      </c>
      <c r="I97" s="306">
        <f t="shared" ref="I97:Q97" si="45">IFERROR(AVERAGE(F97:H97),"")</f>
        <v>2.9726370098086857E-2</v>
      </c>
      <c r="J97" s="306">
        <f t="shared" si="45"/>
        <v>3.1129478389555654E-2</v>
      </c>
      <c r="K97" s="306">
        <f t="shared" si="45"/>
        <v>2.9568881346744041E-2</v>
      </c>
      <c r="L97" s="306">
        <f t="shared" si="45"/>
        <v>3.0141576611462186E-2</v>
      </c>
      <c r="M97" s="306">
        <f t="shared" si="45"/>
        <v>3.0279978782587296E-2</v>
      </c>
      <c r="N97" s="306">
        <f t="shared" si="45"/>
        <v>2.9996812246931178E-2</v>
      </c>
      <c r="O97" s="306">
        <f t="shared" si="45"/>
        <v>3.0139455880326887E-2</v>
      </c>
      <c r="P97" s="306">
        <f t="shared" si="45"/>
        <v>3.0138748969948451E-2</v>
      </c>
      <c r="Q97" s="306">
        <f t="shared" si="45"/>
        <v>3.0091672365735508E-2</v>
      </c>
    </row>
    <row r="98" spans="2:17" ht="3.75" customHeight="1" x14ac:dyDescent="0.35">
      <c r="E98" s="172"/>
      <c r="F98" s="172"/>
      <c r="G98" s="173"/>
      <c r="H98" s="171"/>
      <c r="I98" s="171"/>
      <c r="J98" s="171"/>
      <c r="K98" s="171"/>
      <c r="L98" s="171"/>
      <c r="O98" s="171"/>
      <c r="P98" s="171"/>
      <c r="Q98" s="171"/>
    </row>
    <row r="99" spans="2:17" ht="15.5" x14ac:dyDescent="0.35">
      <c r="B99" s="120" t="s">
        <v>423</v>
      </c>
      <c r="E99" s="153">
        <f>+E100+E101-E103</f>
        <v>2401.3000000000002</v>
      </c>
      <c r="F99" s="153">
        <f t="shared" ref="F99:G99" si="46">+F100+F101-F103</f>
        <v>0</v>
      </c>
      <c r="G99" s="267">
        <f t="shared" si="46"/>
        <v>0</v>
      </c>
      <c r="H99" s="171">
        <f>IFERROR(H100+H101-H103,"")</f>
        <v>-397.93599999999998</v>
      </c>
      <c r="I99" s="171">
        <f t="shared" ref="I99:Q99" si="47">IFERROR(I100+I101-I103,"")</f>
        <v>-846.13131680000004</v>
      </c>
      <c r="J99" s="171">
        <f t="shared" si="47"/>
        <v>-1337.8912183929601</v>
      </c>
      <c r="K99" s="171">
        <f t="shared" si="47"/>
        <v>-1847.3544764432668</v>
      </c>
      <c r="L99" s="171">
        <f t="shared" si="47"/>
        <v>-2375.1584117833845</v>
      </c>
      <c r="M99" s="171">
        <f t="shared" si="47"/>
        <v>-2921.9632887957464</v>
      </c>
      <c r="N99" s="171">
        <f t="shared" si="47"/>
        <v>-3488.4531413805535</v>
      </c>
      <c r="O99" s="171">
        <f t="shared" si="47"/>
        <v>-4075.3366286584132</v>
      </c>
      <c r="P99" s="171">
        <f t="shared" si="47"/>
        <v>-4683.3479214782765</v>
      </c>
      <c r="Q99" s="171">
        <f t="shared" si="47"/>
        <v>-5313.2476208396547</v>
      </c>
    </row>
    <row r="100" spans="2:17" ht="15.5" x14ac:dyDescent="0.35">
      <c r="B100" s="273" t="s">
        <v>424</v>
      </c>
      <c r="E100" s="314">
        <f>+_xlfn.XLOOKUP("Gross PP&amp;E (Property, Plant and Equipment)",Inputs!$B:$B,Inputs!O:O)</f>
        <v>5549.5</v>
      </c>
      <c r="F100" s="314">
        <f>+_xlfn.XLOOKUP("Gross PP&amp;E (Property, Plant and Equipment)",Inputs!$B:$B,Inputs!P:P)</f>
        <v>0</v>
      </c>
      <c r="G100" s="321">
        <f>+_xlfn.XLOOKUP("Gross PP&amp;E (Property, Plant and Equipment)",Inputs!$B:$B,Inputs!Q:Q)</f>
        <v>0</v>
      </c>
      <c r="H100" s="319">
        <f>+IFERROR(G100-H134,"")</f>
        <v>0</v>
      </c>
      <c r="I100" s="319">
        <f t="shared" ref="I100:Q100" si="48">+IFERROR(H100-I134,"")</f>
        <v>0</v>
      </c>
      <c r="J100" s="319">
        <f t="shared" si="48"/>
        <v>0</v>
      </c>
      <c r="K100" s="319">
        <f t="shared" si="48"/>
        <v>0</v>
      </c>
      <c r="L100" s="319">
        <f t="shared" si="48"/>
        <v>0</v>
      </c>
      <c r="M100" s="319">
        <f t="shared" si="48"/>
        <v>0</v>
      </c>
      <c r="N100" s="319">
        <f t="shared" si="48"/>
        <v>0</v>
      </c>
      <c r="O100" s="319">
        <f t="shared" si="48"/>
        <v>0</v>
      </c>
      <c r="P100" s="319">
        <f t="shared" si="48"/>
        <v>0</v>
      </c>
      <c r="Q100" s="319">
        <f t="shared" si="48"/>
        <v>0</v>
      </c>
    </row>
    <row r="101" spans="2:17" ht="15.5" x14ac:dyDescent="0.35">
      <c r="B101" s="312" t="s">
        <v>425</v>
      </c>
      <c r="C101" s="155"/>
      <c r="D101" s="155"/>
      <c r="E101" s="314">
        <f>+_xlfn.XLOOKUP("Right-of-Use Assets",Inputs!$B:$B,Inputs!O:O)</f>
        <v>0</v>
      </c>
      <c r="F101" s="314">
        <f>+_xlfn.XLOOKUP("Right-of-Use Assets",Inputs!$B:$B,Inputs!P:P)</f>
        <v>0</v>
      </c>
      <c r="G101" s="321">
        <f>+_xlfn.XLOOKUP("Right-of-Use Assets",Inputs!$B:$B,Inputs!Q:Q)</f>
        <v>0</v>
      </c>
      <c r="H101" s="319">
        <f>IFERROR(H102*H$30,"")</f>
        <v>0</v>
      </c>
      <c r="I101" s="319">
        <f t="shared" ref="I101:Q101" si="49">IFERROR(I102*I$30,"")</f>
        <v>0</v>
      </c>
      <c r="J101" s="319">
        <f t="shared" si="49"/>
        <v>0</v>
      </c>
      <c r="K101" s="319">
        <f t="shared" si="49"/>
        <v>0</v>
      </c>
      <c r="L101" s="319">
        <f t="shared" si="49"/>
        <v>0</v>
      </c>
      <c r="M101" s="319">
        <f t="shared" si="49"/>
        <v>0</v>
      </c>
      <c r="N101" s="319">
        <f t="shared" si="49"/>
        <v>0</v>
      </c>
      <c r="O101" s="319">
        <f t="shared" si="49"/>
        <v>0</v>
      </c>
      <c r="P101" s="319">
        <f t="shared" si="49"/>
        <v>0</v>
      </c>
      <c r="Q101" s="319">
        <f t="shared" si="49"/>
        <v>0</v>
      </c>
    </row>
    <row r="102" spans="2:17" ht="15.5" x14ac:dyDescent="0.35">
      <c r="B102" s="322" t="s">
        <v>400</v>
      </c>
      <c r="E102" s="306">
        <f>IFERROR(E101/E$30,"")</f>
        <v>0</v>
      </c>
      <c r="F102" s="306">
        <f t="shared" ref="F102:G102" si="50">IFERROR(F101/F$30,"")</f>
        <v>0</v>
      </c>
      <c r="G102" s="307">
        <f t="shared" si="50"/>
        <v>0</v>
      </c>
      <c r="H102" s="305">
        <f>IFERROR(AVERAGE(E102:G102),"")</f>
        <v>0</v>
      </c>
      <c r="I102" s="305">
        <f t="shared" ref="I102:Q102" si="51">IFERROR(AVERAGE(F102:H102),"")</f>
        <v>0</v>
      </c>
      <c r="J102" s="305">
        <f t="shared" si="51"/>
        <v>0</v>
      </c>
      <c r="K102" s="305">
        <f t="shared" si="51"/>
        <v>0</v>
      </c>
      <c r="L102" s="305">
        <f t="shared" si="51"/>
        <v>0</v>
      </c>
      <c r="M102" s="305">
        <f t="shared" si="51"/>
        <v>0</v>
      </c>
      <c r="N102" s="305">
        <f t="shared" si="51"/>
        <v>0</v>
      </c>
      <c r="O102" s="305">
        <f t="shared" si="51"/>
        <v>0</v>
      </c>
      <c r="P102" s="305">
        <f t="shared" si="51"/>
        <v>0</v>
      </c>
      <c r="Q102" s="305">
        <f t="shared" si="51"/>
        <v>0</v>
      </c>
    </row>
    <row r="103" spans="2:17" ht="15.5" x14ac:dyDescent="0.35">
      <c r="B103" s="273" t="s">
        <v>426</v>
      </c>
      <c r="E103" s="314">
        <f>+_xlfn.XLOOKUP($B103,Inputs!$B:$B,Inputs!O:O)</f>
        <v>3148.2</v>
      </c>
      <c r="F103" s="314">
        <f>+_xlfn.XLOOKUP($B103,Inputs!$B:$B,Inputs!P:P)</f>
        <v>0</v>
      </c>
      <c r="G103" s="315">
        <f>+_xlfn.XLOOKUP($B103,Inputs!$B:$B,Inputs!Q:Q)</f>
        <v>0</v>
      </c>
      <c r="H103" s="316">
        <f>+IFERROR(G103+H53,"")</f>
        <v>397.93599999999998</v>
      </c>
      <c r="I103" s="316">
        <f t="shared" ref="I103:Q103" si="52">+IFERROR(H103+I53,"")</f>
        <v>846.13131680000004</v>
      </c>
      <c r="J103" s="316">
        <f t="shared" si="52"/>
        <v>1337.8912183929601</v>
      </c>
      <c r="K103" s="316">
        <f t="shared" si="52"/>
        <v>1847.3544764432668</v>
      </c>
      <c r="L103" s="316">
        <f t="shared" si="52"/>
        <v>2375.1584117833845</v>
      </c>
      <c r="M103" s="316">
        <f t="shared" si="52"/>
        <v>2921.9632887957464</v>
      </c>
      <c r="N103" s="316">
        <f t="shared" si="52"/>
        <v>3488.4531413805535</v>
      </c>
      <c r="O103" s="316">
        <f t="shared" si="52"/>
        <v>4075.3366286584132</v>
      </c>
      <c r="P103" s="316">
        <f t="shared" si="52"/>
        <v>4683.3479214782765</v>
      </c>
      <c r="Q103" s="316">
        <f t="shared" si="52"/>
        <v>5313.2476208396547</v>
      </c>
    </row>
    <row r="104" spans="2:17" ht="5.25" customHeight="1" x14ac:dyDescent="0.35">
      <c r="E104" s="169"/>
      <c r="F104" s="169"/>
      <c r="G104" s="170"/>
      <c r="H104" s="171"/>
      <c r="I104" s="171"/>
      <c r="J104" s="171"/>
      <c r="K104" s="171"/>
      <c r="L104" s="171"/>
      <c r="M104" s="171"/>
      <c r="N104" s="171"/>
      <c r="O104" s="171"/>
      <c r="P104" s="171"/>
      <c r="Q104" s="171"/>
    </row>
    <row r="105" spans="2:17" ht="15.5" x14ac:dyDescent="0.35">
      <c r="B105" s="120" t="s">
        <v>427</v>
      </c>
      <c r="E105" s="153">
        <f>+_xlfn.XLOOKUP($B105,Inputs!$B:$B,Inputs!O:O)</f>
        <v>-13647.699999999999</v>
      </c>
      <c r="F105" s="153">
        <f>+_xlfn.XLOOKUP($B105,Inputs!$B:$B,Inputs!P:P)</f>
        <v>-15601.099999999999</v>
      </c>
      <c r="G105" s="267">
        <f>+_xlfn.XLOOKUP($B105,Inputs!$B:$B,Inputs!Q:Q)</f>
        <v>-17324.3</v>
      </c>
      <c r="H105" s="171">
        <f t="shared" ref="H105:Q105" si="53">+G105+H106*H42</f>
        <v>-17324.3</v>
      </c>
      <c r="I105" s="171">
        <f t="shared" si="53"/>
        <v>-17324.3</v>
      </c>
      <c r="J105" s="171">
        <f t="shared" si="53"/>
        <v>-17324.3</v>
      </c>
      <c r="K105" s="171">
        <f t="shared" si="53"/>
        <v>-17324.3</v>
      </c>
      <c r="L105" s="171">
        <f t="shared" si="53"/>
        <v>-17324.3</v>
      </c>
      <c r="M105" s="171">
        <f t="shared" si="53"/>
        <v>-17324.3</v>
      </c>
      <c r="N105" s="171">
        <f t="shared" si="53"/>
        <v>-17324.3</v>
      </c>
      <c r="O105" s="171">
        <f t="shared" si="53"/>
        <v>-17324.3</v>
      </c>
      <c r="P105" s="171">
        <f t="shared" si="53"/>
        <v>-17324.3</v>
      </c>
      <c r="Q105" s="171">
        <f t="shared" si="53"/>
        <v>-17324.3</v>
      </c>
    </row>
    <row r="106" spans="2:17" s="89" customFormat="1" ht="14.5" x14ac:dyDescent="0.35">
      <c r="B106" s="89" t="s">
        <v>428</v>
      </c>
      <c r="E106" s="366">
        <f>IFERROR((E105-Inputs!N45)/E42,"")</f>
        <v>-1.1740076448103496</v>
      </c>
      <c r="F106" s="366">
        <f>IFERROR((F105-E105)/F42,"")</f>
        <v>-1.1766052282857484</v>
      </c>
      <c r="G106" s="367">
        <f>IFERROR((G105-F105)/G42,"")</f>
        <v>-1.1581423482760942</v>
      </c>
      <c r="H106" s="305"/>
      <c r="I106" s="305"/>
      <c r="J106" s="305"/>
      <c r="K106" s="305"/>
      <c r="L106" s="305"/>
      <c r="M106" s="305"/>
      <c r="N106" s="305"/>
      <c r="O106" s="305"/>
      <c r="P106" s="305"/>
      <c r="Q106" s="305"/>
    </row>
    <row r="107" spans="2:17" s="89" customFormat="1" ht="3.75" customHeight="1" x14ac:dyDescent="0.35">
      <c r="E107" s="368"/>
      <c r="F107" s="368"/>
      <c r="G107" s="369"/>
      <c r="H107" s="331"/>
      <c r="I107" s="331"/>
      <c r="J107" s="331"/>
      <c r="K107" s="331"/>
      <c r="L107" s="331"/>
      <c r="M107" s="331"/>
      <c r="N107" s="331"/>
      <c r="O107" s="331"/>
      <c r="P107" s="331"/>
      <c r="Q107" s="331"/>
    </row>
    <row r="108" spans="2:17" ht="13.5" customHeight="1" x14ac:dyDescent="0.35">
      <c r="B108" s="152" t="s">
        <v>429</v>
      </c>
      <c r="E108" s="287"/>
      <c r="F108" s="287"/>
      <c r="G108" s="286"/>
      <c r="H108" s="171"/>
      <c r="I108" s="171"/>
      <c r="J108" s="171"/>
      <c r="K108" s="171"/>
      <c r="L108" s="171"/>
      <c r="M108" s="171"/>
      <c r="N108" s="171"/>
      <c r="O108" s="171"/>
      <c r="P108" s="171"/>
      <c r="Q108" s="171"/>
    </row>
    <row r="109" spans="2:17" ht="5.25" customHeight="1" x14ac:dyDescent="0.35">
      <c r="E109" s="287"/>
      <c r="F109" s="287"/>
      <c r="G109" s="286"/>
      <c r="H109" s="171"/>
      <c r="I109" s="171"/>
      <c r="J109" s="171"/>
      <c r="K109" s="171"/>
      <c r="L109" s="171"/>
      <c r="M109" s="171"/>
      <c r="N109" s="171"/>
      <c r="O109" s="171"/>
      <c r="P109" s="171"/>
      <c r="Q109" s="171"/>
    </row>
    <row r="110" spans="2:17" ht="15.5" x14ac:dyDescent="0.35">
      <c r="B110" s="120" t="s">
        <v>244</v>
      </c>
      <c r="E110" s="153">
        <f>+_xlfn.XLOOKUP($B110,Inputs!$B:$B,Inputs!O:O)</f>
        <v>582.20000000000005</v>
      </c>
      <c r="F110" s="153">
        <f>+_xlfn.XLOOKUP($B110,Inputs!$B:$B,Inputs!P:P)</f>
        <v>493</v>
      </c>
      <c r="G110" s="267">
        <f>+_xlfn.XLOOKUP($B110,Inputs!$B:$B,Inputs!Q:Q)</f>
        <v>487.5</v>
      </c>
      <c r="H110" s="171">
        <f>+IFERROR(H111*H33/365,"")</f>
        <v>474.02740049176151</v>
      </c>
      <c r="I110" s="171">
        <f t="shared" ref="I110:Q110" si="54">+IFERROR(I111*I33/365,"")</f>
        <v>513.45104484503634</v>
      </c>
      <c r="J110" s="171">
        <f t="shared" si="54"/>
        <v>565.74830767953483</v>
      </c>
      <c r="K110" s="171">
        <f t="shared" si="54"/>
        <v>579.55668163496068</v>
      </c>
      <c r="L110" s="171">
        <f t="shared" si="54"/>
        <v>594.89495197188273</v>
      </c>
      <c r="M110" s="171">
        <f t="shared" si="54"/>
        <v>618.5104438382599</v>
      </c>
      <c r="N110" s="171">
        <f t="shared" si="54"/>
        <v>640.06415869537136</v>
      </c>
      <c r="O110" s="171">
        <f t="shared" si="54"/>
        <v>662.81185583840863</v>
      </c>
      <c r="P110" s="171">
        <f t="shared" si="54"/>
        <v>687.13152717380058</v>
      </c>
      <c r="Q110" s="171">
        <f t="shared" si="54"/>
        <v>711.65703196428842</v>
      </c>
    </row>
    <row r="111" spans="2:17" ht="15.5" x14ac:dyDescent="0.35">
      <c r="B111" s="155" t="s">
        <v>430</v>
      </c>
      <c r="E111" s="309">
        <f>IFERROR(E110/E$33*365,"")</f>
        <v>47.417828851946894</v>
      </c>
      <c r="F111" s="309">
        <f t="shared" ref="F111" si="55">IFERROR(F110/F$33*365,"")</f>
        <v>40.635232481990833</v>
      </c>
      <c r="G111" s="310">
        <f>IFERROR(G110/G$33*366,"")</f>
        <v>44.101290226901966</v>
      </c>
      <c r="H111" s="308">
        <f>IFERROR(AVERAGE(E111:G111),"")</f>
        <v>44.0514505202799</v>
      </c>
      <c r="I111" s="308">
        <f t="shared" ref="I111:Q111" si="56">IFERROR(AVERAGE(F111:H111),"")</f>
        <v>42.929324409724238</v>
      </c>
      <c r="J111" s="308">
        <f t="shared" si="56"/>
        <v>43.694021718968706</v>
      </c>
      <c r="K111" s="308">
        <f t="shared" si="56"/>
        <v>43.558265549657619</v>
      </c>
      <c r="L111" s="308">
        <f t="shared" si="56"/>
        <v>43.393870559450193</v>
      </c>
      <c r="M111" s="308">
        <f t="shared" si="56"/>
        <v>43.548719276025508</v>
      </c>
      <c r="N111" s="308">
        <f t="shared" si="56"/>
        <v>43.500285128377776</v>
      </c>
      <c r="O111" s="308">
        <f t="shared" si="56"/>
        <v>43.480958321284497</v>
      </c>
      <c r="P111" s="308">
        <f t="shared" si="56"/>
        <v>43.509987575229268</v>
      </c>
      <c r="Q111" s="308">
        <f t="shared" si="56"/>
        <v>43.497077008297175</v>
      </c>
    </row>
    <row r="112" spans="2:17" ht="3.75" customHeight="1" x14ac:dyDescent="0.35">
      <c r="E112" s="172"/>
      <c r="F112" s="172"/>
      <c r="G112" s="173"/>
      <c r="H112" s="171"/>
      <c r="I112" s="171"/>
      <c r="J112" s="171"/>
      <c r="K112" s="171"/>
      <c r="L112" s="171"/>
      <c r="O112" s="171"/>
      <c r="P112" s="171"/>
      <c r="Q112" s="171"/>
    </row>
    <row r="113" spans="1:17" ht="15.5" x14ac:dyDescent="0.35">
      <c r="B113" s="120" t="s">
        <v>431</v>
      </c>
      <c r="E113" s="153">
        <f>+_xlfn.XLOOKUP($B113,Inputs!$B:$B,Inputs!O:O)</f>
        <v>1860.4999999999998</v>
      </c>
      <c r="F113" s="153">
        <f>+_xlfn.XLOOKUP($B113,Inputs!$B:$B,Inputs!P:P)</f>
        <v>1661.6999999999998</v>
      </c>
      <c r="G113" s="267">
        <f>+_xlfn.XLOOKUP($B113,Inputs!$B:$B,Inputs!Q:Q)</f>
        <v>1553.5</v>
      </c>
      <c r="H113" s="171">
        <f>IFERROR(AVERAGE(E113:G113)*(1+H31),"")</f>
        <v>1854.9991599999998</v>
      </c>
      <c r="I113" s="171">
        <f t="shared" ref="I113:Q113" si="57">IFERROR(AVERAGE(F113:H113)*(1+I31),"")</f>
        <v>1903.5217713026668</v>
      </c>
      <c r="J113" s="171">
        <f t="shared" si="57"/>
        <v>1942.7831219417617</v>
      </c>
      <c r="K113" s="171">
        <f t="shared" si="57"/>
        <v>1968.8503330537426</v>
      </c>
      <c r="L113" s="171">
        <f t="shared" si="57"/>
        <v>2008.1669381483021</v>
      </c>
      <c r="M113" s="171">
        <f t="shared" si="57"/>
        <v>2044.3044024323281</v>
      </c>
      <c r="N113" s="171">
        <f t="shared" si="57"/>
        <v>2079.3630846284036</v>
      </c>
      <c r="O113" s="171">
        <f t="shared" si="57"/>
        <v>2117.5268215055198</v>
      </c>
      <c r="P113" s="171">
        <f t="shared" si="57"/>
        <v>2155.2924345582123</v>
      </c>
      <c r="Q113" s="171">
        <f t="shared" si="57"/>
        <v>2193.6203016523509</v>
      </c>
    </row>
    <row r="114" spans="1:17" s="327" customFormat="1" ht="15.5" x14ac:dyDescent="0.35">
      <c r="B114" s="274" t="s">
        <v>432</v>
      </c>
      <c r="E114" s="306">
        <f>IFERROR(E113/E$30,"")</f>
        <v>0.15486099550524388</v>
      </c>
      <c r="F114" s="306">
        <f t="shared" ref="F114:Q114" si="58">IFERROR(F113/F$30,"")</f>
        <v>0.13503717849741984</v>
      </c>
      <c r="G114" s="307">
        <f t="shared" si="58"/>
        <v>0.1647891208418194</v>
      </c>
      <c r="H114" s="306">
        <f>IFERROR(H113/H$30,"")</f>
        <v>0.1794697329721362</v>
      </c>
      <c r="I114" s="306">
        <f t="shared" si="58"/>
        <v>0.16351261480908152</v>
      </c>
      <c r="J114" s="306">
        <f t="shared" si="58"/>
        <v>0.15210095404783328</v>
      </c>
      <c r="K114" s="306">
        <f t="shared" si="58"/>
        <v>0.14878548477206219</v>
      </c>
      <c r="L114" s="306">
        <f t="shared" si="58"/>
        <v>0.14648323353043605</v>
      </c>
      <c r="M114" s="306">
        <f t="shared" si="58"/>
        <v>0.14393748629982553</v>
      </c>
      <c r="N114" s="306">
        <f t="shared" si="58"/>
        <v>0.141318469153353</v>
      </c>
      <c r="O114" s="306">
        <f t="shared" si="58"/>
        <v>0.13891135871976681</v>
      </c>
      <c r="P114" s="306">
        <f t="shared" si="58"/>
        <v>0.13647568673543617</v>
      </c>
      <c r="Q114" s="306">
        <f t="shared" si="58"/>
        <v>0.13407591986349465</v>
      </c>
    </row>
    <row r="115" spans="1:17" s="243" customFormat="1" ht="5.25" customHeight="1" x14ac:dyDescent="0.35">
      <c r="B115" s="268"/>
      <c r="E115" s="323"/>
      <c r="F115" s="323"/>
      <c r="G115" s="324"/>
      <c r="H115" s="325"/>
      <c r="I115" s="325"/>
      <c r="J115" s="325"/>
      <c r="K115" s="325"/>
      <c r="L115" s="325"/>
      <c r="M115" s="325"/>
      <c r="N115" s="325"/>
      <c r="O115" s="325"/>
      <c r="P115" s="325"/>
      <c r="Q115" s="325"/>
    </row>
    <row r="116" spans="1:17" ht="15.5" x14ac:dyDescent="0.35">
      <c r="B116" s="120" t="s">
        <v>433</v>
      </c>
      <c r="E116" s="292">
        <f>+_xlfn.XLOOKUP($B116,Inputs!$B:$B,Inputs!O:O)</f>
        <v>7095.8</v>
      </c>
      <c r="F116" s="292">
        <f>+_xlfn.XLOOKUP($B116,Inputs!$B:$B,Inputs!P:P)</f>
        <v>6450.2</v>
      </c>
      <c r="G116" s="293" t="str">
        <f>+_xlfn.XLOOKUP($B116,Inputs!$B:$B,Inputs!Q:Q)</f>
        <v/>
      </c>
      <c r="H116" s="171" t="str">
        <f>IFERROR(G116+H156-H158,"")</f>
        <v/>
      </c>
      <c r="I116" s="171" t="str">
        <f t="shared" ref="I116:Q116" si="59">IFERROR(H116+I156-I158,"")</f>
        <v/>
      </c>
      <c r="J116" s="171" t="str">
        <f t="shared" si="59"/>
        <v/>
      </c>
      <c r="K116" s="171" t="str">
        <f t="shared" si="59"/>
        <v/>
      </c>
      <c r="L116" s="171" t="str">
        <f t="shared" si="59"/>
        <v/>
      </c>
      <c r="M116" s="171" t="str">
        <f t="shared" si="59"/>
        <v/>
      </c>
      <c r="N116" s="171" t="str">
        <f t="shared" si="59"/>
        <v/>
      </c>
      <c r="O116" s="171" t="str">
        <f t="shared" si="59"/>
        <v/>
      </c>
      <c r="P116" s="171" t="str">
        <f t="shared" si="59"/>
        <v/>
      </c>
      <c r="Q116" s="171" t="str">
        <f t="shared" si="59"/>
        <v/>
      </c>
    </row>
    <row r="117" spans="1:17" ht="3.75" customHeight="1" x14ac:dyDescent="0.35">
      <c r="B117" s="155"/>
      <c r="E117" s="174"/>
      <c r="F117" s="174"/>
      <c r="G117" s="326"/>
      <c r="H117" s="294"/>
      <c r="I117" s="294"/>
      <c r="J117" s="294"/>
      <c r="K117" s="294"/>
      <c r="L117" s="294"/>
      <c r="M117" s="294"/>
      <c r="N117" s="294"/>
      <c r="O117" s="294"/>
      <c r="P117" s="294"/>
      <c r="Q117" s="294"/>
    </row>
    <row r="118" spans="1:17" ht="15.5" x14ac:dyDescent="0.35">
      <c r="B118" s="120" t="s">
        <v>434</v>
      </c>
      <c r="E118" s="292">
        <f>+_xlfn.XLOOKUP($B118,Inputs!$B:$B,Inputs!O:O)</f>
        <v>0</v>
      </c>
      <c r="F118" s="292">
        <f>+_xlfn.XLOOKUP($B118,Inputs!$B:$B,Inputs!P:P)</f>
        <v>499.1</v>
      </c>
      <c r="G118" s="293">
        <f>+_xlfn.XLOOKUP($B118,Inputs!$B:$B,Inputs!Q:Q)</f>
        <v>399.6</v>
      </c>
      <c r="H118" s="171">
        <f>+IFERROR(H119*H30,"")</f>
        <v>285.78035098364086</v>
      </c>
      <c r="I118" s="171">
        <f t="shared" ref="I118:Q118" si="60">+IFERROR(I119*I30,"")</f>
        <v>429.16587908383292</v>
      </c>
      <c r="J118" s="171">
        <f t="shared" si="60"/>
        <v>455.15415382556273</v>
      </c>
      <c r="K118" s="171">
        <f t="shared" si="60"/>
        <v>441.74886611719654</v>
      </c>
      <c r="L118" s="171">
        <f t="shared" si="60"/>
        <v>483.85381327161815</v>
      </c>
      <c r="M118" s="171">
        <f t="shared" si="60"/>
        <v>493.83383967283908</v>
      </c>
      <c r="N118" s="171">
        <f t="shared" si="60"/>
        <v>507.37536458488364</v>
      </c>
      <c r="O118" s="171">
        <f t="shared" si="60"/>
        <v>531.22819530330128</v>
      </c>
      <c r="P118" s="171">
        <f t="shared" si="60"/>
        <v>548.00910675983175</v>
      </c>
      <c r="Q118" s="171">
        <f t="shared" si="60"/>
        <v>567.3569277306683</v>
      </c>
    </row>
    <row r="119" spans="1:17" ht="15.5" x14ac:dyDescent="0.35">
      <c r="B119" s="155" t="s">
        <v>435</v>
      </c>
      <c r="E119" s="290">
        <f>IFERROR(E118/E$30,"")</f>
        <v>0</v>
      </c>
      <c r="F119" s="290">
        <f>IFERROR(F118/F$30,"")</f>
        <v>4.05590995896144E-2</v>
      </c>
      <c r="G119" s="291">
        <f>IFERROR(G118/G$30,"")</f>
        <v>4.2387983706720977E-2</v>
      </c>
      <c r="H119" s="145">
        <f>+IFERROR(AVERAGE(E119:G119),"")</f>
        <v>2.7649027765445127E-2</v>
      </c>
      <c r="I119" s="145">
        <f t="shared" ref="I119:Q119" si="61">+IFERROR(AVERAGE(F119:H119),"")</f>
        <v>3.6865370353926834E-2</v>
      </c>
      <c r="J119" s="145">
        <f t="shared" si="61"/>
        <v>3.5634127275364309E-2</v>
      </c>
      <c r="K119" s="145">
        <f t="shared" si="61"/>
        <v>3.3382841798245418E-2</v>
      </c>
      <c r="L119" s="145">
        <f t="shared" si="61"/>
        <v>3.5294113142512185E-2</v>
      </c>
      <c r="M119" s="145">
        <f t="shared" si="61"/>
        <v>3.4770360738707304E-2</v>
      </c>
      <c r="N119" s="145">
        <f t="shared" si="61"/>
        <v>3.4482438559821631E-2</v>
      </c>
      <c r="O119" s="145">
        <f t="shared" si="61"/>
        <v>3.4848970813680373E-2</v>
      </c>
      <c r="P119" s="145">
        <f t="shared" si="61"/>
        <v>3.4700590037403105E-2</v>
      </c>
      <c r="Q119" s="145">
        <f t="shared" si="61"/>
        <v>3.4677333136968365E-2</v>
      </c>
    </row>
    <row r="120" spans="1:17" ht="3.75" customHeight="1" x14ac:dyDescent="0.35">
      <c r="G120" s="161"/>
    </row>
    <row r="121" spans="1:17" ht="15.5" x14ac:dyDescent="0.35">
      <c r="A121" s="120" t="s">
        <v>358</v>
      </c>
      <c r="B121" s="52" t="s">
        <v>204</v>
      </c>
      <c r="C121" s="52"/>
      <c r="D121" s="52"/>
      <c r="E121" s="131">
        <f t="shared" ref="E121:Q121" si="62">E28</f>
        <v>2022</v>
      </c>
      <c r="F121" s="131">
        <f t="shared" si="62"/>
        <v>2023</v>
      </c>
      <c r="G121" s="166">
        <f t="shared" si="62"/>
        <v>2024</v>
      </c>
      <c r="H121" s="102">
        <f t="shared" si="62"/>
        <v>2025</v>
      </c>
      <c r="I121" s="102">
        <f t="shared" si="62"/>
        <v>2026</v>
      </c>
      <c r="J121" s="102">
        <f t="shared" si="62"/>
        <v>2027</v>
      </c>
      <c r="K121" s="102">
        <f t="shared" si="62"/>
        <v>2028</v>
      </c>
      <c r="L121" s="102">
        <f t="shared" si="62"/>
        <v>2029</v>
      </c>
      <c r="M121" s="102">
        <f t="shared" si="62"/>
        <v>2030</v>
      </c>
      <c r="N121" s="102">
        <f t="shared" si="62"/>
        <v>2031</v>
      </c>
      <c r="O121" s="102">
        <f t="shared" si="62"/>
        <v>2032</v>
      </c>
      <c r="P121" s="102">
        <f t="shared" si="62"/>
        <v>2033</v>
      </c>
      <c r="Q121" s="102">
        <f t="shared" si="62"/>
        <v>2034</v>
      </c>
    </row>
    <row r="122" spans="1:17" ht="4" customHeight="1" x14ac:dyDescent="0.35">
      <c r="B122" s="53"/>
      <c r="C122" s="53"/>
      <c r="D122" s="53"/>
      <c r="E122" s="175"/>
      <c r="F122" s="175"/>
      <c r="G122" s="176"/>
      <c r="H122" s="53"/>
      <c r="I122" s="53"/>
      <c r="J122" s="53"/>
      <c r="K122" s="53"/>
      <c r="L122" s="53"/>
      <c r="M122" s="53"/>
      <c r="N122" s="53"/>
      <c r="O122" s="53"/>
      <c r="P122" s="53"/>
      <c r="Q122" s="53"/>
    </row>
    <row r="123" spans="1:17" ht="15.5" x14ac:dyDescent="0.35">
      <c r="B123" s="120" t="s">
        <v>403</v>
      </c>
      <c r="E123" s="169">
        <f>+E50</f>
        <v>2297.5</v>
      </c>
      <c r="F123" s="169">
        <f t="shared" ref="F123:Q123" si="63">+F50</f>
        <v>2293.1</v>
      </c>
      <c r="G123" s="170">
        <f t="shared" si="63"/>
        <v>2104.3000000000002</v>
      </c>
      <c r="H123" s="171">
        <f t="shared" si="63"/>
        <v>1981.9359999999999</v>
      </c>
      <c r="I123" s="171">
        <f t="shared" si="63"/>
        <v>1982.1953168</v>
      </c>
      <c r="J123" s="171">
        <f t="shared" si="63"/>
        <v>2021.75990159296</v>
      </c>
      <c r="K123" s="171">
        <f t="shared" si="63"/>
        <v>1972.4632580503066</v>
      </c>
      <c r="L123" s="171">
        <f t="shared" si="63"/>
        <v>1654.8039353401177</v>
      </c>
      <c r="M123" s="171">
        <f t="shared" si="63"/>
        <v>1448.4048770123618</v>
      </c>
      <c r="N123" s="171">
        <f t="shared" si="63"/>
        <v>1287.769852584807</v>
      </c>
      <c r="O123" s="171">
        <f t="shared" si="63"/>
        <v>1163.9074872778601</v>
      </c>
      <c r="P123" s="171">
        <f t="shared" si="63"/>
        <v>1069.6304928198631</v>
      </c>
      <c r="Q123" s="171">
        <f t="shared" si="63"/>
        <v>999.19505936137818</v>
      </c>
    </row>
    <row r="124" spans="1:17" ht="4" customHeight="1" x14ac:dyDescent="0.35">
      <c r="G124" s="150"/>
    </row>
    <row r="125" spans="1:17" ht="13.5" customHeight="1" x14ac:dyDescent="0.35">
      <c r="B125" s="120" t="s">
        <v>436</v>
      </c>
      <c r="E125" s="292">
        <f>+_xlfn.XLOOKUP($B125,Inputs!$B:$B,Inputs!O:O)</f>
        <v>323.5</v>
      </c>
      <c r="F125" s="292">
        <f>+_xlfn.XLOOKUP($B125,Inputs!$B:$B,Inputs!P:P)</f>
        <v>299.8</v>
      </c>
      <c r="G125" s="293">
        <f>+_xlfn.XLOOKUP($B125,Inputs!$B:$B,Inputs!Q:Q)</f>
        <v>262.7</v>
      </c>
      <c r="H125" s="171">
        <f>IFERROR(H126*H39,"")</f>
        <v>287.71702341632016</v>
      </c>
      <c r="I125" s="171">
        <f t="shared" ref="I125:Q125" si="64">IFERROR(I126*I39,"")</f>
        <v>319.69425131604731</v>
      </c>
      <c r="J125" s="171">
        <f t="shared" si="64"/>
        <v>354.08534159381423</v>
      </c>
      <c r="K125" s="171">
        <f t="shared" si="64"/>
        <v>366.19414992228826</v>
      </c>
      <c r="L125" s="171">
        <f t="shared" si="64"/>
        <v>378.63132767202501</v>
      </c>
      <c r="M125" s="171">
        <f t="shared" si="64"/>
        <v>393.00551143432358</v>
      </c>
      <c r="N125" s="171">
        <f t="shared" si="64"/>
        <v>406.90705514469499</v>
      </c>
      <c r="O125" s="171">
        <f t="shared" si="64"/>
        <v>421.46008253871133</v>
      </c>
      <c r="P125" s="171">
        <f t="shared" si="64"/>
        <v>436.78693611050471</v>
      </c>
      <c r="Q125" s="171">
        <f t="shared" si="64"/>
        <v>452.43891431508035</v>
      </c>
    </row>
    <row r="126" spans="1:17" ht="13.5" customHeight="1" x14ac:dyDescent="0.35">
      <c r="B126" s="274" t="s">
        <v>437</v>
      </c>
      <c r="E126" s="290">
        <f>+IFERROR(E125/E39,"")</f>
        <v>0.2554888643184331</v>
      </c>
      <c r="F126" s="290">
        <f t="shared" ref="F126:G126" si="65">+IFERROR(F125/F39,"")</f>
        <v>0.23539572864321612</v>
      </c>
      <c r="G126" s="291">
        <f t="shared" si="65"/>
        <v>0.24583567284297211</v>
      </c>
      <c r="H126" s="145">
        <f>IFERROR(AVERAGE(E126:G126),"")</f>
        <v>0.24557342193487378</v>
      </c>
      <c r="I126" s="145">
        <f t="shared" ref="I126:Q126" si="66">IFERROR(AVERAGE(F126:H126),"")</f>
        <v>0.24226827447368735</v>
      </c>
      <c r="J126" s="145">
        <f t="shared" si="66"/>
        <v>0.24455912308384442</v>
      </c>
      <c r="K126" s="145">
        <f t="shared" si="66"/>
        <v>0.24413360649746851</v>
      </c>
      <c r="L126" s="145">
        <f t="shared" si="66"/>
        <v>0.24365366801833344</v>
      </c>
      <c r="M126" s="145">
        <f t="shared" si="66"/>
        <v>0.24411546586654878</v>
      </c>
      <c r="N126" s="145">
        <f t="shared" si="66"/>
        <v>0.24396758012745023</v>
      </c>
      <c r="O126" s="145">
        <f t="shared" si="66"/>
        <v>0.2439122380041108</v>
      </c>
      <c r="P126" s="145">
        <f t="shared" si="66"/>
        <v>0.24399842799936991</v>
      </c>
      <c r="Q126" s="145">
        <f t="shared" si="66"/>
        <v>0.24395941537697696</v>
      </c>
    </row>
    <row r="127" spans="1:17" ht="3.75" customHeight="1" x14ac:dyDescent="0.35">
      <c r="B127" s="274"/>
      <c r="E127" s="290"/>
      <c r="F127" s="290"/>
      <c r="G127" s="291"/>
      <c r="H127" s="145"/>
      <c r="I127" s="145"/>
      <c r="J127" s="145"/>
      <c r="K127" s="145"/>
      <c r="L127" s="145"/>
      <c r="M127" s="145"/>
      <c r="N127" s="145"/>
      <c r="O127" s="145"/>
      <c r="P127" s="145"/>
      <c r="Q127" s="145"/>
    </row>
    <row r="128" spans="1:17" ht="13.5" customHeight="1" x14ac:dyDescent="0.35">
      <c r="B128" s="120" t="s">
        <v>438</v>
      </c>
      <c r="E128" s="292">
        <f>+_xlfn.XLOOKUP($B128,Inputs!$B:$B,Inputs!O:O)</f>
        <v>-106.30000000000004</v>
      </c>
      <c r="F128" s="292">
        <f>+_xlfn.XLOOKUP($B128,Inputs!$B:$B,Inputs!P:P)</f>
        <v>-289.5</v>
      </c>
      <c r="G128" s="293">
        <f>+_xlfn.XLOOKUP($B128,Inputs!$B:$B,Inputs!Q:Q)</f>
        <v>57.099999999999994</v>
      </c>
      <c r="H128" s="177">
        <f>IFERROR(-((H90+H93+H96-H110-H113)-(G90+G93+G96-G110-G113)),"")</f>
        <v>293.40312734435474</v>
      </c>
      <c r="I128" s="177">
        <f t="shared" ref="I128:Q128" si="67">IFERROR(-((I90+I93+I96-I110-I113)-(H90+H93+H96-H110-H113)),"")</f>
        <v>-279.03482157004737</v>
      </c>
      <c r="J128" s="177">
        <f t="shared" si="67"/>
        <v>-237.24197047102689</v>
      </c>
      <c r="K128" s="177">
        <f t="shared" si="67"/>
        <v>-37.161577029742375</v>
      </c>
      <c r="L128" s="177">
        <f t="shared" si="67"/>
        <v>-80.460736817046609</v>
      </c>
      <c r="M128" s="177">
        <f t="shared" si="67"/>
        <v>-83.956970414486932</v>
      </c>
      <c r="N128" s="177">
        <f t="shared" si="67"/>
        <v>-78.159249854312293</v>
      </c>
      <c r="O128" s="177">
        <f t="shared" si="67"/>
        <v>-90.158426151549975</v>
      </c>
      <c r="P128" s="177">
        <f t="shared" si="67"/>
        <v>-91.338720372696571</v>
      </c>
      <c r="Q128" s="177">
        <f t="shared" si="67"/>
        <v>-93.894656430374198</v>
      </c>
    </row>
    <row r="129" spans="2:17" ht="3.75" customHeight="1" x14ac:dyDescent="0.35">
      <c r="G129" s="150"/>
    </row>
    <row r="130" spans="2:17" ht="13.5" customHeight="1" x14ac:dyDescent="0.35">
      <c r="B130" s="381" t="s">
        <v>439</v>
      </c>
      <c r="C130" s="381"/>
      <c r="D130" s="381"/>
      <c r="E130" s="382">
        <f>+_xlfn.XLOOKUP($B130,Inputs!$B:$B,Inputs!O:O)</f>
        <v>-24.200000000000841</v>
      </c>
      <c r="F130" s="382">
        <f>+_xlfn.XLOOKUP($B130,Inputs!$B:$B,Inputs!P:P)</f>
        <v>107.40000000000026</v>
      </c>
      <c r="G130" s="383">
        <f>+_xlfn.XLOOKUP($B130,Inputs!$B:$B,Inputs!Q:Q)</f>
        <v>784.09999999999923</v>
      </c>
      <c r="H130" s="384">
        <f>IFERROR(AVERAGE(E130:G130)*(1+H31),"")</f>
        <v>316.9692399999995</v>
      </c>
      <c r="I130" s="384">
        <f t="shared" ref="I130:Q130" si="68">IFERROR(AVERAGE(F130:H130)*(1+I31),"")</f>
        <v>453.69963500399967</v>
      </c>
      <c r="J130" s="384">
        <f t="shared" si="68"/>
        <v>568.63080321812902</v>
      </c>
      <c r="K130" s="384">
        <f t="shared" si="68"/>
        <v>462.50482221270823</v>
      </c>
      <c r="L130" s="384">
        <f t="shared" si="68"/>
        <v>512.76310993683035</v>
      </c>
      <c r="M130" s="384">
        <f t="shared" si="68"/>
        <v>533.15969661363454</v>
      </c>
      <c r="N130" s="384">
        <f t="shared" si="68"/>
        <v>520.91034113288254</v>
      </c>
      <c r="O130" s="384">
        <f t="shared" si="68"/>
        <v>541.07971366664924</v>
      </c>
      <c r="P130" s="384">
        <f t="shared" si="68"/>
        <v>550.85838082134671</v>
      </c>
      <c r="Q130" s="384">
        <f t="shared" si="68"/>
        <v>556.97032643441003</v>
      </c>
    </row>
    <row r="131" spans="2:17" ht="5.25" customHeight="1" x14ac:dyDescent="0.35">
      <c r="E131" s="320"/>
      <c r="F131" s="320"/>
      <c r="G131" s="293"/>
      <c r="H131" s="171"/>
      <c r="I131" s="171"/>
      <c r="J131" s="171"/>
      <c r="K131" s="171"/>
      <c r="L131" s="171"/>
      <c r="M131" s="171"/>
      <c r="N131" s="171"/>
      <c r="O131" s="171"/>
      <c r="P131" s="171"/>
      <c r="Q131" s="171"/>
    </row>
    <row r="132" spans="2:17" ht="13.5" customHeight="1" x14ac:dyDescent="0.35">
      <c r="B132" s="399" t="s">
        <v>250</v>
      </c>
      <c r="C132" s="152"/>
      <c r="D132" s="152"/>
      <c r="E132" s="343">
        <f>+_xlfn.XLOOKUP($B132,Inputs!$B:$B,Inputs!O:O)</f>
        <v>4475.3999999999996</v>
      </c>
      <c r="F132" s="343">
        <f>+_xlfn.XLOOKUP($B132,Inputs!$B:$B,Inputs!P:P)</f>
        <v>4817.6000000000004</v>
      </c>
      <c r="G132" s="344">
        <f>+_xlfn.XLOOKUP($B132,Inputs!$B:$B,Inputs!Q:Q)</f>
        <v>3852.5</v>
      </c>
      <c r="H132" s="490">
        <f>IFERROR(H81+H123+H125+H128+H130,"")</f>
        <v>4250.1618081667193</v>
      </c>
      <c r="I132" s="490">
        <f t="shared" ref="I132:Q132" si="69">IFERROR(I81+I123+I125+I128+I130,"")</f>
        <v>4281.2304161042784</v>
      </c>
      <c r="J132" s="490">
        <f t="shared" si="69"/>
        <v>4838.8398355664112</v>
      </c>
      <c r="K132" s="490">
        <f t="shared" si="69"/>
        <v>5133.5800876138501</v>
      </c>
      <c r="L132" s="490">
        <f t="shared" si="69"/>
        <v>5269.5995799074708</v>
      </c>
      <c r="M132" s="490">
        <f t="shared" si="69"/>
        <v>5414.1463294412461</v>
      </c>
      <c r="N132" s="490">
        <f t="shared" si="69"/>
        <v>5560.7938266545916</v>
      </c>
      <c r="O132" s="490">
        <f t="shared" si="69"/>
        <v>5725.1562887738601</v>
      </c>
      <c r="P132" s="490">
        <f t="shared" si="69"/>
        <v>5902.0804302584065</v>
      </c>
      <c r="Q132" s="490">
        <f t="shared" si="69"/>
        <v>6086.5928149389665</v>
      </c>
    </row>
    <row r="133" spans="2:17" ht="3.75" customHeight="1" x14ac:dyDescent="0.35">
      <c r="G133" s="150"/>
    </row>
    <row r="134" spans="2:17" ht="13.5" customHeight="1" x14ac:dyDescent="0.35">
      <c r="B134" s="339" t="s">
        <v>440</v>
      </c>
      <c r="C134" s="339"/>
      <c r="D134" s="339"/>
      <c r="E134" s="340">
        <f>+_xlfn.XLOOKUP($B134,Inputs!$B:$B,Inputs!O:O)</f>
        <v>-699</v>
      </c>
      <c r="F134" s="340">
        <f>+_xlfn.XLOOKUP($B134,Inputs!$B:$B,Inputs!P:P)</f>
        <v>-1261</v>
      </c>
      <c r="G134" s="341">
        <f>+_xlfn.XLOOKUP($B134,Inputs!$B:$B,Inputs!Q:Q)</f>
        <v>-730</v>
      </c>
      <c r="H134" s="342">
        <f>IFERROR(H136+H138,"")</f>
        <v>0</v>
      </c>
      <c r="I134" s="342">
        <f t="shared" ref="I134:Q134" si="70">IFERROR(I136+I138,"")</f>
        <v>0</v>
      </c>
      <c r="J134" s="342">
        <f t="shared" si="70"/>
        <v>0</v>
      </c>
      <c r="K134" s="342">
        <f t="shared" si="70"/>
        <v>0</v>
      </c>
      <c r="L134" s="342">
        <f t="shared" si="70"/>
        <v>0</v>
      </c>
      <c r="M134" s="342">
        <f t="shared" si="70"/>
        <v>0</v>
      </c>
      <c r="N134" s="342">
        <f t="shared" si="70"/>
        <v>0</v>
      </c>
      <c r="O134" s="342">
        <f t="shared" si="70"/>
        <v>0</v>
      </c>
      <c r="P134" s="342">
        <f t="shared" si="70"/>
        <v>0</v>
      </c>
      <c r="Q134" s="342">
        <f t="shared" si="70"/>
        <v>0</v>
      </c>
    </row>
    <row r="135" spans="2:17" ht="3.75" customHeight="1" x14ac:dyDescent="0.35">
      <c r="B135" s="155"/>
      <c r="E135" s="157"/>
      <c r="F135" s="157"/>
      <c r="G135" s="158"/>
      <c r="H135" s="157"/>
      <c r="I135" s="157"/>
      <c r="J135" s="157"/>
      <c r="K135" s="157"/>
      <c r="L135" s="157"/>
      <c r="M135" s="157"/>
      <c r="N135" s="157"/>
      <c r="O135" s="157"/>
      <c r="P135" s="157"/>
      <c r="Q135" s="157"/>
    </row>
    <row r="136" spans="2:17" s="155" customFormat="1" ht="15.5" x14ac:dyDescent="0.35">
      <c r="B136" s="273" t="s">
        <v>441</v>
      </c>
      <c r="E136" s="317" t="e">
        <f>+_xlfn.XLOOKUP($B136,Inputs!$B:$B,Inputs!O:O)</f>
        <v>#N/A</v>
      </c>
      <c r="F136" s="317" t="e">
        <f>+_xlfn.XLOOKUP($B136,Inputs!$B:$B,Inputs!P:P)</f>
        <v>#N/A</v>
      </c>
      <c r="G136" s="318" t="e">
        <f>+_xlfn.XLOOKUP($B136,Inputs!$B:$B,Inputs!Q:Q)</f>
        <v>#N/A</v>
      </c>
      <c r="H136" s="319">
        <f>+H19*H18</f>
        <v>0</v>
      </c>
      <c r="I136" s="319">
        <f t="shared" ref="I136:Q136" si="71">+I19*I18</f>
        <v>0</v>
      </c>
      <c r="J136" s="319">
        <f t="shared" si="71"/>
        <v>0</v>
      </c>
      <c r="K136" s="319">
        <f t="shared" si="71"/>
        <v>0</v>
      </c>
      <c r="L136" s="319">
        <f t="shared" si="71"/>
        <v>0</v>
      </c>
      <c r="M136" s="319">
        <f t="shared" si="71"/>
        <v>0</v>
      </c>
      <c r="N136" s="319">
        <f t="shared" si="71"/>
        <v>0</v>
      </c>
      <c r="O136" s="319">
        <f t="shared" si="71"/>
        <v>0</v>
      </c>
      <c r="P136" s="319">
        <f t="shared" si="71"/>
        <v>0</v>
      </c>
      <c r="Q136" s="319">
        <f t="shared" si="71"/>
        <v>0</v>
      </c>
    </row>
    <row r="137" spans="2:17" ht="3.75" customHeight="1" x14ac:dyDescent="0.35">
      <c r="B137" s="273"/>
      <c r="E137" s="157"/>
      <c r="F137" s="157"/>
      <c r="G137" s="158"/>
      <c r="H137" s="157"/>
      <c r="I137" s="157"/>
      <c r="J137" s="157"/>
      <c r="K137" s="157"/>
      <c r="L137" s="157"/>
      <c r="M137" s="157"/>
      <c r="N137" s="157"/>
      <c r="O137" s="157"/>
      <c r="P137" s="157"/>
      <c r="Q137" s="157"/>
    </row>
    <row r="138" spans="2:17" s="155" customFormat="1" ht="15.5" x14ac:dyDescent="0.35">
      <c r="B138" s="273" t="s">
        <v>442</v>
      </c>
      <c r="E138" s="317">
        <f>+_xlfn.XLOOKUP($B138,Inputs!$B:$B,Inputs!O:O)</f>
        <v>0</v>
      </c>
      <c r="F138" s="317">
        <f>+_xlfn.XLOOKUP($B138,Inputs!$B:$B,Inputs!P:P)</f>
        <v>0</v>
      </c>
      <c r="G138" s="318">
        <f>+_xlfn.XLOOKUP($B138,Inputs!$B:$B,Inputs!Q:Q)</f>
        <v>0</v>
      </c>
      <c r="H138" s="319">
        <f>IFERROR(H139*G100,"")</f>
        <v>0</v>
      </c>
      <c r="I138" s="319">
        <f t="shared" ref="I138:Q138" si="72">IFERROR(I139*H100,"")</f>
        <v>0</v>
      </c>
      <c r="J138" s="319">
        <f t="shared" si="72"/>
        <v>0</v>
      </c>
      <c r="K138" s="319">
        <f t="shared" si="72"/>
        <v>0</v>
      </c>
      <c r="L138" s="319">
        <f t="shared" si="72"/>
        <v>0</v>
      </c>
      <c r="M138" s="319">
        <f t="shared" si="72"/>
        <v>0</v>
      </c>
      <c r="N138" s="319">
        <f t="shared" si="72"/>
        <v>0</v>
      </c>
      <c r="O138" s="319">
        <f t="shared" si="72"/>
        <v>0</v>
      </c>
      <c r="P138" s="319">
        <f t="shared" si="72"/>
        <v>0</v>
      </c>
      <c r="Q138" s="319">
        <f t="shared" si="72"/>
        <v>0</v>
      </c>
    </row>
    <row r="139" spans="2:17" customFormat="1" ht="14.5" x14ac:dyDescent="0.35">
      <c r="B139" s="283" t="s">
        <v>443</v>
      </c>
      <c r="E139" s="282">
        <f>IFERROR(E138/E100,"")</f>
        <v>0</v>
      </c>
      <c r="F139" s="282" t="str">
        <f t="shared" ref="F139:G139" si="73">IFERROR(F138/F100,"")</f>
        <v/>
      </c>
      <c r="G139" s="313" t="str">
        <f t="shared" si="73"/>
        <v/>
      </c>
      <c r="H139" s="305">
        <f>IFERROR(AVERAGE(E139:G139),"")</f>
        <v>0</v>
      </c>
      <c r="I139" s="305">
        <f t="shared" ref="I139:Q139" si="74">IFERROR(AVERAGE(F139:H139),"")</f>
        <v>0</v>
      </c>
      <c r="J139" s="305">
        <f t="shared" si="74"/>
        <v>0</v>
      </c>
      <c r="K139" s="305">
        <f t="shared" si="74"/>
        <v>0</v>
      </c>
      <c r="L139" s="305">
        <f t="shared" si="74"/>
        <v>0</v>
      </c>
      <c r="M139" s="305">
        <f t="shared" si="74"/>
        <v>0</v>
      </c>
      <c r="N139" s="305">
        <f t="shared" si="74"/>
        <v>0</v>
      </c>
      <c r="O139" s="305">
        <f t="shared" si="74"/>
        <v>0</v>
      </c>
      <c r="P139" s="305">
        <f t="shared" si="74"/>
        <v>0</v>
      </c>
      <c r="Q139" s="305">
        <f t="shared" si="74"/>
        <v>0</v>
      </c>
    </row>
    <row r="140" spans="2:17" ht="3.75" customHeight="1" x14ac:dyDescent="0.35">
      <c r="B140" s="155"/>
      <c r="E140" s="157"/>
      <c r="F140" s="157"/>
      <c r="G140" s="158"/>
      <c r="H140" s="157"/>
      <c r="I140" s="157"/>
      <c r="J140" s="157"/>
      <c r="K140" s="157"/>
      <c r="L140" s="157"/>
      <c r="M140" s="157"/>
      <c r="N140" s="157"/>
      <c r="O140" s="157"/>
      <c r="P140" s="157"/>
      <c r="Q140" s="157"/>
    </row>
    <row r="141" spans="2:17" ht="13.5" customHeight="1" x14ac:dyDescent="0.35">
      <c r="B141" s="201" t="s">
        <v>444</v>
      </c>
      <c r="E141" s="317">
        <f>+_xlfn.XLOOKUP($B141,Inputs!$B:$B,Inputs!O:O)</f>
        <v>0</v>
      </c>
      <c r="F141" s="317">
        <f>+_xlfn.XLOOKUP($B141,Inputs!$B:$B,Inputs!P:P)</f>
        <v>0</v>
      </c>
      <c r="G141" s="318">
        <f>+_xlfn.XLOOKUP($B141,Inputs!$B:$B,Inputs!Q:Q)</f>
        <v>0</v>
      </c>
      <c r="H141" s="333">
        <v>0</v>
      </c>
      <c r="I141" s="333">
        <v>0</v>
      </c>
      <c r="J141" s="333">
        <v>0</v>
      </c>
      <c r="K141" s="333">
        <v>0</v>
      </c>
      <c r="L141" s="333">
        <v>0</v>
      </c>
      <c r="M141" s="333">
        <v>0</v>
      </c>
      <c r="N141" s="333">
        <v>0</v>
      </c>
      <c r="O141" s="333">
        <v>0</v>
      </c>
      <c r="P141" s="333">
        <v>0</v>
      </c>
      <c r="Q141" s="333">
        <v>0</v>
      </c>
    </row>
    <row r="142" spans="2:17" ht="3.75" customHeight="1" x14ac:dyDescent="0.35">
      <c r="B142" s="155"/>
      <c r="E142" s="157"/>
      <c r="F142" s="157"/>
      <c r="G142" s="165"/>
      <c r="H142" s="157"/>
      <c r="I142" s="157"/>
      <c r="J142" s="157"/>
      <c r="K142" s="157"/>
      <c r="L142" s="157"/>
      <c r="M142" s="157"/>
      <c r="N142" s="157"/>
      <c r="O142" s="157"/>
      <c r="P142" s="157"/>
      <c r="Q142" s="157"/>
    </row>
    <row r="143" spans="2:17" ht="13.5" customHeight="1" x14ac:dyDescent="0.35">
      <c r="B143" s="381" t="s">
        <v>445</v>
      </c>
      <c r="C143" s="381"/>
      <c r="D143" s="381"/>
      <c r="E143" s="382">
        <f>+_xlfn.XLOOKUP($B143,Inputs!$B:$B,Inputs!O:O)</f>
        <v>41.600000000000023</v>
      </c>
      <c r="F143" s="382">
        <f>+_xlfn.XLOOKUP($B143,Inputs!$B:$B,Inputs!P:P)</f>
        <v>-5.4000000000000909</v>
      </c>
      <c r="G143" s="383">
        <f>+_xlfn.XLOOKUP($B143,Inputs!$B:$B,Inputs!Q:Q)</f>
        <v>-374.90000000000009</v>
      </c>
      <c r="H143" s="384">
        <f>IFERROR(AVERAGE(E143:G143)*(1+H31),"")</f>
        <v>-123.78356000000005</v>
      </c>
      <c r="I143" s="384">
        <f t="shared" ref="I143:Q143" si="75">IFERROR(AVERAGE(F143:H143)*(1+I31),"")</f>
        <v>-189.24977120933343</v>
      </c>
      <c r="J143" s="384">
        <f t="shared" si="75"/>
        <v>-251.6001503342936</v>
      </c>
      <c r="K143" s="384">
        <f t="shared" si="75"/>
        <v>-194.98676229306591</v>
      </c>
      <c r="L143" s="384">
        <f t="shared" si="75"/>
        <v>-219.57560148493798</v>
      </c>
      <c r="M143" s="384">
        <f t="shared" si="75"/>
        <v>-230.04812154011341</v>
      </c>
      <c r="N143" s="384">
        <f t="shared" si="75"/>
        <v>-222.60548759652318</v>
      </c>
      <c r="O143" s="384">
        <f t="shared" si="75"/>
        <v>-232.14315406798377</v>
      </c>
      <c r="P143" s="384">
        <f t="shared" si="75"/>
        <v>-236.48314889332889</v>
      </c>
      <c r="Q143" s="384">
        <f t="shared" si="75"/>
        <v>-238.70537833930601</v>
      </c>
    </row>
    <row r="144" spans="2:17" ht="5.25" customHeight="1" x14ac:dyDescent="0.35">
      <c r="E144" s="334"/>
      <c r="F144" s="334"/>
      <c r="G144" s="318"/>
      <c r="H144" s="319"/>
      <c r="I144" s="319"/>
      <c r="J144" s="319"/>
      <c r="K144" s="319"/>
      <c r="L144" s="319"/>
      <c r="M144" s="319"/>
      <c r="N144" s="319"/>
      <c r="O144" s="319"/>
      <c r="P144" s="319"/>
      <c r="Q144" s="319"/>
    </row>
    <row r="145" spans="2:17" ht="13.5" customHeight="1" x14ac:dyDescent="0.35">
      <c r="B145" s="152" t="s">
        <v>251</v>
      </c>
      <c r="C145" s="152"/>
      <c r="D145" s="152"/>
      <c r="E145" s="343">
        <f>+_xlfn.XLOOKUP($B145,Inputs!$B:$B,Inputs!O:O)</f>
        <v>-657.4</v>
      </c>
      <c r="F145" s="343">
        <f>+_xlfn.XLOOKUP($B145,Inputs!$B:$B,Inputs!P:P)</f>
        <v>-1266.4000000000001</v>
      </c>
      <c r="G145" s="344">
        <f>+_xlfn.XLOOKUP($B145,Inputs!$B:$B,Inputs!Q:Q)</f>
        <v>-1104.9000000000001</v>
      </c>
      <c r="H145" s="348">
        <f>IFERROR(+H134+H141+H143,"")</f>
        <v>-123.78356000000005</v>
      </c>
      <c r="I145" s="348">
        <f t="shared" ref="I145:Q145" si="76">IFERROR(+I134+I141+I143,"")</f>
        <v>-189.24977120933343</v>
      </c>
      <c r="J145" s="348">
        <f t="shared" si="76"/>
        <v>-251.6001503342936</v>
      </c>
      <c r="K145" s="348">
        <f t="shared" si="76"/>
        <v>-194.98676229306591</v>
      </c>
      <c r="L145" s="348">
        <f t="shared" si="76"/>
        <v>-219.57560148493798</v>
      </c>
      <c r="M145" s="348">
        <f t="shared" si="76"/>
        <v>-230.04812154011341</v>
      </c>
      <c r="N145" s="348">
        <f t="shared" si="76"/>
        <v>-222.60548759652318</v>
      </c>
      <c r="O145" s="348">
        <f t="shared" si="76"/>
        <v>-232.14315406798377</v>
      </c>
      <c r="P145" s="348">
        <f t="shared" si="76"/>
        <v>-236.48314889332889</v>
      </c>
      <c r="Q145" s="348">
        <f t="shared" si="76"/>
        <v>-238.70537833930601</v>
      </c>
    </row>
    <row r="146" spans="2:17" ht="3.75" customHeight="1" x14ac:dyDescent="0.35">
      <c r="E146" s="334"/>
      <c r="F146" s="334"/>
      <c r="G146" s="318"/>
      <c r="H146" s="319"/>
      <c r="I146" s="319"/>
      <c r="J146" s="319"/>
      <c r="K146" s="319"/>
      <c r="L146" s="319"/>
      <c r="M146" s="319"/>
      <c r="N146" s="319"/>
      <c r="O146" s="319"/>
      <c r="P146" s="319"/>
      <c r="Q146" s="319"/>
    </row>
    <row r="147" spans="2:17" ht="13.5" customHeight="1" x14ac:dyDescent="0.35">
      <c r="B147" s="339" t="s">
        <v>446</v>
      </c>
      <c r="C147" s="339"/>
      <c r="D147" s="339"/>
      <c r="E147" s="340">
        <f>+_xlfn.XLOOKUP($B147,Inputs!$B:$B,Inputs!O:O)</f>
        <v>-1544.6</v>
      </c>
      <c r="F147" s="340">
        <f>+_xlfn.XLOOKUP($B147,Inputs!$B:$B,Inputs!P:P)</f>
        <v>-1679.1</v>
      </c>
      <c r="G147" s="341">
        <f>+_xlfn.XLOOKUP($B147,Inputs!$B:$B,Inputs!Q:Q)</f>
        <v>-1795.5</v>
      </c>
      <c r="H147" s="339">
        <f>+IFERROR(H148*_xlfn.XLOOKUP("Net Income",$B:$B,$H:$H),"")</f>
        <v>0</v>
      </c>
      <c r="I147" s="339">
        <f t="shared" ref="I147:Q147" si="77">+IFERROR(I148*_xlfn.XLOOKUP("Net Income",$B:$B,$H:$H),"")</f>
        <v>0</v>
      </c>
      <c r="J147" s="339">
        <f t="shared" si="77"/>
        <v>0</v>
      </c>
      <c r="K147" s="339">
        <f t="shared" si="77"/>
        <v>0</v>
      </c>
      <c r="L147" s="339">
        <f t="shared" si="77"/>
        <v>0</v>
      </c>
      <c r="M147" s="339">
        <f t="shared" si="77"/>
        <v>0</v>
      </c>
      <c r="N147" s="339">
        <f t="shared" si="77"/>
        <v>0</v>
      </c>
      <c r="O147" s="339">
        <f t="shared" si="77"/>
        <v>0</v>
      </c>
      <c r="P147" s="339">
        <f t="shared" si="77"/>
        <v>0</v>
      </c>
      <c r="Q147" s="339">
        <f t="shared" si="77"/>
        <v>0</v>
      </c>
    </row>
    <row r="148" spans="2:17" ht="13.5" customHeight="1" x14ac:dyDescent="0.35">
      <c r="B148" s="274" t="s">
        <v>447</v>
      </c>
      <c r="E148" s="335">
        <f>IFERROR(-E147/E$81,"")</f>
        <v>0.77817522293314512</v>
      </c>
      <c r="F148" s="335">
        <f t="shared" ref="F148:G148" si="78">IFERROR(-F147/F$81,"")</f>
        <v>0.69764832973242474</v>
      </c>
      <c r="G148" s="336">
        <f t="shared" si="78"/>
        <v>2.7867453049821478</v>
      </c>
      <c r="H148" s="337"/>
      <c r="I148" s="337"/>
      <c r="J148" s="337"/>
      <c r="K148" s="337"/>
      <c r="L148" s="337"/>
      <c r="M148" s="337"/>
      <c r="N148" s="337"/>
      <c r="O148" s="337"/>
      <c r="P148" s="337"/>
      <c r="Q148" s="337"/>
    </row>
    <row r="149" spans="2:17" ht="3.75" customHeight="1" x14ac:dyDescent="0.35">
      <c r="E149" s="334"/>
      <c r="F149" s="334"/>
      <c r="G149" s="318"/>
      <c r="H149" s="319"/>
      <c r="I149" s="319"/>
      <c r="J149" s="319"/>
      <c r="K149" s="319"/>
      <c r="L149" s="319"/>
      <c r="M149" s="319"/>
      <c r="N149" s="319"/>
      <c r="O149" s="319"/>
      <c r="P149" s="319"/>
      <c r="Q149" s="319"/>
    </row>
    <row r="150" spans="2:17" ht="13.5" customHeight="1" x14ac:dyDescent="0.35">
      <c r="B150" s="120" t="s">
        <v>448</v>
      </c>
      <c r="E150" s="292">
        <f>+_xlfn.XLOOKUP($B150,Inputs!$B:$B,Inputs!O:O)</f>
        <v>-2577</v>
      </c>
      <c r="F150" s="292">
        <f>+_xlfn.XLOOKUP($B150,Inputs!$B:$B,Inputs!P:P)</f>
        <v>-2964</v>
      </c>
      <c r="G150" s="293">
        <f>+_xlfn.XLOOKUP($B150,Inputs!$B:$B,Inputs!Q:Q)</f>
        <v>-615.6</v>
      </c>
      <c r="H150" s="171">
        <f>IFERROR(-H151*_xlfn.XLOOKUP("Net Income",$B:$B,H:H),"")</f>
        <v>0</v>
      </c>
      <c r="I150" s="171">
        <f t="shared" ref="I150:Q150" si="79">IFERROR(-I151*_xlfn.XLOOKUP("Net Income",$B:$B,I:I),"")</f>
        <v>0</v>
      </c>
      <c r="J150" s="171">
        <f t="shared" si="79"/>
        <v>0</v>
      </c>
      <c r="K150" s="171">
        <f t="shared" si="79"/>
        <v>0</v>
      </c>
      <c r="L150" s="171">
        <f t="shared" si="79"/>
        <v>0</v>
      </c>
      <c r="M150" s="171">
        <f t="shared" si="79"/>
        <v>0</v>
      </c>
      <c r="N150" s="171">
        <f t="shared" si="79"/>
        <v>0</v>
      </c>
      <c r="O150" s="171">
        <f t="shared" si="79"/>
        <v>0</v>
      </c>
      <c r="P150" s="171">
        <f t="shared" si="79"/>
        <v>0</v>
      </c>
      <c r="Q150" s="171">
        <f t="shared" si="79"/>
        <v>0</v>
      </c>
    </row>
    <row r="151" spans="2:17" ht="13.5" customHeight="1" x14ac:dyDescent="0.35">
      <c r="B151" s="274" t="s">
        <v>449</v>
      </c>
      <c r="E151" s="335">
        <f>IFERROR(-E150/E$81,"")</f>
        <v>1.298302181470099</v>
      </c>
      <c r="F151" s="335">
        <f t="shared" ref="F151:G151" si="80">IFERROR(-F150/F$81,"")</f>
        <v>1.2315107196277213</v>
      </c>
      <c r="G151" s="336">
        <f t="shared" si="80"/>
        <v>0.95545553313673648</v>
      </c>
      <c r="H151" s="337"/>
      <c r="I151" s="337"/>
      <c r="J151" s="337"/>
      <c r="K151" s="337"/>
      <c r="L151" s="337"/>
      <c r="M151" s="337"/>
      <c r="N151" s="337"/>
      <c r="O151" s="337"/>
      <c r="P151" s="337"/>
      <c r="Q151" s="337"/>
    </row>
    <row r="152" spans="2:17" ht="3.75" customHeight="1" x14ac:dyDescent="0.35">
      <c r="E152" s="334"/>
      <c r="F152" s="334"/>
      <c r="G152" s="318"/>
      <c r="H152" s="319"/>
      <c r="I152" s="319"/>
      <c r="J152" s="319"/>
      <c r="K152" s="319"/>
      <c r="L152" s="319"/>
      <c r="M152" s="319"/>
      <c r="N152" s="319"/>
      <c r="O152" s="319"/>
      <c r="P152" s="319"/>
      <c r="Q152" s="319"/>
    </row>
    <row r="153" spans="2:17" ht="15.5" x14ac:dyDescent="0.35">
      <c r="B153" s="120" t="s">
        <v>450</v>
      </c>
      <c r="E153" s="292">
        <f>+_xlfn.XLOOKUP($B153,Inputs!$B:$B,Inputs!O:O)</f>
        <v>0</v>
      </c>
      <c r="F153" s="292">
        <f>+_xlfn.XLOOKUP($B153,Inputs!$B:$B,Inputs!P:P)</f>
        <v>0</v>
      </c>
      <c r="G153" s="293">
        <f>+_xlfn.XLOOKUP($B153,Inputs!$B:$B,Inputs!Q:Q)</f>
        <v>0</v>
      </c>
      <c r="H153" s="171">
        <f>+IFERROR(H154*H101,"")</f>
        <v>0</v>
      </c>
      <c r="I153" s="171">
        <f t="shared" ref="I153:Q153" si="81">+IFERROR(I154*I101,"")</f>
        <v>0</v>
      </c>
      <c r="J153" s="171">
        <f t="shared" si="81"/>
        <v>0</v>
      </c>
      <c r="K153" s="171">
        <f t="shared" si="81"/>
        <v>0</v>
      </c>
      <c r="L153" s="171">
        <f t="shared" si="81"/>
        <v>0</v>
      </c>
      <c r="M153" s="171">
        <f t="shared" si="81"/>
        <v>0</v>
      </c>
      <c r="N153" s="171">
        <f t="shared" si="81"/>
        <v>0</v>
      </c>
      <c r="O153" s="171">
        <f t="shared" si="81"/>
        <v>0</v>
      </c>
      <c r="P153" s="171">
        <f t="shared" si="81"/>
        <v>0</v>
      </c>
      <c r="Q153" s="171">
        <f t="shared" si="81"/>
        <v>0</v>
      </c>
    </row>
    <row r="154" spans="2:17" ht="15.5" x14ac:dyDescent="0.35">
      <c r="B154" s="274" t="s">
        <v>451</v>
      </c>
      <c r="E154" s="276" t="str">
        <f>IFERROR(E153/E101,"")</f>
        <v/>
      </c>
      <c r="F154" s="276" t="str">
        <f t="shared" ref="F154:G154" si="82">IFERROR(F153/F101,"")</f>
        <v/>
      </c>
      <c r="G154" s="280" t="str">
        <f t="shared" si="82"/>
        <v/>
      </c>
      <c r="H154" s="305"/>
      <c r="I154" s="305"/>
      <c r="J154" s="305"/>
      <c r="K154" s="305"/>
      <c r="L154" s="305"/>
      <c r="M154" s="305"/>
      <c r="N154" s="305"/>
      <c r="O154" s="305"/>
      <c r="P154" s="305"/>
      <c r="Q154" s="305"/>
    </row>
    <row r="155" spans="2:17" ht="3.75" customHeight="1" x14ac:dyDescent="0.35">
      <c r="B155" s="274"/>
      <c r="E155" s="276"/>
      <c r="F155" s="276"/>
      <c r="G155" s="280"/>
      <c r="H155" s="331"/>
      <c r="I155" s="331"/>
      <c r="J155" s="331"/>
      <c r="K155" s="331"/>
      <c r="L155" s="331"/>
      <c r="M155" s="331"/>
      <c r="N155" s="331"/>
      <c r="O155" s="331"/>
      <c r="P155" s="331"/>
      <c r="Q155" s="331"/>
    </row>
    <row r="156" spans="2:17" ht="15.5" x14ac:dyDescent="0.35">
      <c r="B156" s="120" t="s">
        <v>252</v>
      </c>
      <c r="E156" s="153">
        <f>+_xlfn.XLOOKUP($B156,Inputs!$B:$B,Inputs!O:O)</f>
        <v>0</v>
      </c>
      <c r="F156" s="153">
        <f>+_xlfn.XLOOKUP($B156,Inputs!$B:$B,Inputs!P:P)</f>
        <v>0</v>
      </c>
      <c r="G156" s="267">
        <f>+_xlfn.XLOOKUP($B156,Inputs!$B:$B,Inputs!Q:Q)</f>
        <v>0</v>
      </c>
      <c r="H156" s="319">
        <f>IFERROR(MAX(0,-G244),"")</f>
        <v>0</v>
      </c>
      <c r="I156" s="319">
        <f t="shared" ref="I156:Q156" si="83">IFERROR(MAX(0,-H244),"")</f>
        <v>0</v>
      </c>
      <c r="J156" s="319">
        <f t="shared" si="83"/>
        <v>0</v>
      </c>
      <c r="K156" s="319">
        <f t="shared" si="83"/>
        <v>0</v>
      </c>
      <c r="L156" s="319">
        <f t="shared" si="83"/>
        <v>0</v>
      </c>
      <c r="M156" s="319">
        <f t="shared" si="83"/>
        <v>0</v>
      </c>
      <c r="N156" s="319">
        <f t="shared" si="83"/>
        <v>0</v>
      </c>
      <c r="O156" s="319">
        <f t="shared" si="83"/>
        <v>0</v>
      </c>
      <c r="P156" s="319">
        <f t="shared" si="83"/>
        <v>0</v>
      </c>
      <c r="Q156" s="319">
        <f t="shared" si="83"/>
        <v>0</v>
      </c>
    </row>
    <row r="157" spans="2:17" ht="3.75" customHeight="1" x14ac:dyDescent="0.35">
      <c r="B157" s="274"/>
      <c r="E157" s="276"/>
      <c r="F157" s="276"/>
      <c r="G157" s="280"/>
      <c r="H157" s="331"/>
      <c r="I157" s="331"/>
      <c r="J157" s="331"/>
      <c r="K157" s="331"/>
      <c r="L157" s="331"/>
      <c r="M157" s="331"/>
      <c r="N157" s="331"/>
      <c r="O157" s="331"/>
      <c r="P157" s="331"/>
      <c r="Q157" s="331"/>
    </row>
    <row r="158" spans="2:17" ht="15.5" x14ac:dyDescent="0.35">
      <c r="B158" s="120" t="s">
        <v>253</v>
      </c>
      <c r="E158" s="153">
        <f>+_xlfn.XLOOKUP($B158,Inputs!$B:$B,Inputs!O:O)</f>
        <v>0</v>
      </c>
      <c r="F158" s="153">
        <f>+_xlfn.XLOOKUP($B158,Inputs!$B:$B,Inputs!P:P)</f>
        <v>0</v>
      </c>
      <c r="G158" s="267">
        <f>+_xlfn.XLOOKUP($B158,Inputs!$B:$B,Inputs!Q:Q)</f>
        <v>-499.96600000000001</v>
      </c>
      <c r="H158" s="319">
        <f>IFERROR(MAX(0,H159*G244),"")</f>
        <v>0</v>
      </c>
      <c r="I158" s="319">
        <f t="shared" ref="I158:Q158" si="84">IFERROR(MAX(0,I159*H244),"")</f>
        <v>0</v>
      </c>
      <c r="J158" s="319">
        <f t="shared" si="84"/>
        <v>0</v>
      </c>
      <c r="K158" s="319">
        <f t="shared" si="84"/>
        <v>0</v>
      </c>
      <c r="L158" s="319">
        <f t="shared" si="84"/>
        <v>0</v>
      </c>
      <c r="M158" s="319">
        <f t="shared" si="84"/>
        <v>0</v>
      </c>
      <c r="N158" s="319">
        <f t="shared" si="84"/>
        <v>0</v>
      </c>
      <c r="O158" s="319">
        <f t="shared" si="84"/>
        <v>0</v>
      </c>
      <c r="P158" s="319">
        <f t="shared" si="84"/>
        <v>0</v>
      </c>
      <c r="Q158" s="319">
        <f t="shared" si="84"/>
        <v>0</v>
      </c>
    </row>
    <row r="159" spans="2:17" ht="15.5" x14ac:dyDescent="0.35">
      <c r="B159" s="274" t="s">
        <v>452</v>
      </c>
      <c r="E159" s="295">
        <f>IFERROR(E158/E244,"")</f>
        <v>0</v>
      </c>
      <c r="F159" s="295">
        <f t="shared" ref="F159:G159" si="85">IFERROR(F158/F244,"")</f>
        <v>0</v>
      </c>
      <c r="G159" s="280">
        <f t="shared" si="85"/>
        <v>-0.17614571200472381</v>
      </c>
      <c r="H159" s="305"/>
      <c r="I159" s="305"/>
      <c r="J159" s="305"/>
      <c r="K159" s="305"/>
      <c r="L159" s="305"/>
      <c r="M159" s="305"/>
      <c r="N159" s="305"/>
      <c r="O159" s="305"/>
      <c r="P159" s="305"/>
      <c r="Q159" s="305"/>
    </row>
    <row r="160" spans="2:17" ht="3.75" customHeight="1" x14ac:dyDescent="0.35">
      <c r="B160" s="274"/>
      <c r="E160" s="295"/>
      <c r="F160" s="295"/>
      <c r="G160" s="280"/>
      <c r="H160" s="331"/>
      <c r="I160" s="331"/>
      <c r="J160" s="331"/>
      <c r="K160" s="331"/>
      <c r="L160" s="331"/>
      <c r="M160" s="331"/>
      <c r="N160" s="331"/>
      <c r="O160" s="331"/>
      <c r="P160" s="331"/>
      <c r="Q160" s="331"/>
    </row>
    <row r="161" spans="1:17" ht="15.5" x14ac:dyDescent="0.35">
      <c r="B161" s="381" t="s">
        <v>453</v>
      </c>
      <c r="C161" s="381"/>
      <c r="D161" s="381"/>
      <c r="E161" s="382">
        <f>+_xlfn.XLOOKUP($B161,Inputs!$B:$B,Inputs!O:O)</f>
        <v>-169.09999999999991</v>
      </c>
      <c r="F161" s="382">
        <f>+_xlfn.XLOOKUP($B161,Inputs!$B:$B,Inputs!P:P)</f>
        <v>579.29999999999973</v>
      </c>
      <c r="G161" s="383">
        <f>+_xlfn.XLOOKUP($B161,Inputs!$B:$B,Inputs!Q:Q)</f>
        <v>1196.6659999999997</v>
      </c>
      <c r="H161" s="385">
        <f>IFERROR(AVERAGE(E161:G161)*(1+H31),"")</f>
        <v>587.2559607999998</v>
      </c>
      <c r="I161" s="385">
        <f t="shared" ref="I161:Q161" si="86">IFERROR(AVERAGE(F161:H161)*(1+I31),"")</f>
        <v>887.23229814967976</v>
      </c>
      <c r="J161" s="385">
        <f t="shared" si="86"/>
        <v>976.93015097319608</v>
      </c>
      <c r="K161" s="385">
        <f t="shared" si="86"/>
        <v>846.55649089336646</v>
      </c>
      <c r="L161" s="385">
        <f t="shared" si="86"/>
        <v>936.10160728560902</v>
      </c>
      <c r="M161" s="385">
        <f t="shared" si="86"/>
        <v>952.9778087072167</v>
      </c>
      <c r="N161" s="385">
        <f t="shared" si="86"/>
        <v>944.70626651136502</v>
      </c>
      <c r="O161" s="385">
        <f t="shared" si="86"/>
        <v>978.60065569144729</v>
      </c>
      <c r="P161" s="385">
        <f t="shared" si="86"/>
        <v>993.27699374093004</v>
      </c>
      <c r="Q161" s="385">
        <f t="shared" si="86"/>
        <v>1007.193645639239</v>
      </c>
    </row>
    <row r="162" spans="1:17" ht="5.25" customHeight="1" x14ac:dyDescent="0.35">
      <c r="E162" s="338"/>
      <c r="F162" s="338"/>
      <c r="G162" s="267"/>
      <c r="H162" s="319"/>
      <c r="I162" s="319"/>
      <c r="J162" s="319"/>
      <c r="K162" s="319"/>
      <c r="L162" s="319"/>
      <c r="M162" s="319"/>
      <c r="N162" s="319"/>
      <c r="O162" s="319"/>
      <c r="P162" s="319"/>
      <c r="Q162" s="319"/>
    </row>
    <row r="163" spans="1:17" ht="15.5" x14ac:dyDescent="0.35">
      <c r="B163" s="152" t="s">
        <v>254</v>
      </c>
      <c r="C163" s="152"/>
      <c r="D163" s="152"/>
      <c r="E163" s="343">
        <f>+_xlfn.XLOOKUP($B163,Inputs!$B:$B,Inputs!O:O)</f>
        <v>-4290.7</v>
      </c>
      <c r="F163" s="343">
        <f>+_xlfn.XLOOKUP($B163,Inputs!$B:$B,Inputs!P:P)</f>
        <v>-4063.8</v>
      </c>
      <c r="G163" s="344">
        <f>+_xlfn.XLOOKUP($B163,Inputs!$B:$B,Inputs!Q:Q)</f>
        <v>-1714.4</v>
      </c>
      <c r="H163" s="348">
        <f>IFERROR(+H147+H150+H153+H156+H158+H161,"")</f>
        <v>587.2559607999998</v>
      </c>
      <c r="I163" s="348">
        <f t="shared" ref="I163:Q163" si="87">IFERROR(+I147+I150+I153+I156+I158+I161,"")</f>
        <v>887.23229814967976</v>
      </c>
      <c r="J163" s="348">
        <f t="shared" si="87"/>
        <v>976.93015097319608</v>
      </c>
      <c r="K163" s="348">
        <f t="shared" si="87"/>
        <v>846.55649089336646</v>
      </c>
      <c r="L163" s="348">
        <f t="shared" si="87"/>
        <v>936.10160728560902</v>
      </c>
      <c r="M163" s="348">
        <f t="shared" si="87"/>
        <v>952.9778087072167</v>
      </c>
      <c r="N163" s="348">
        <f t="shared" si="87"/>
        <v>944.70626651136502</v>
      </c>
      <c r="O163" s="348">
        <f t="shared" si="87"/>
        <v>978.60065569144729</v>
      </c>
      <c r="P163" s="348">
        <f t="shared" si="87"/>
        <v>993.27699374093004</v>
      </c>
      <c r="Q163" s="348">
        <f t="shared" si="87"/>
        <v>1007.193645639239</v>
      </c>
    </row>
    <row r="164" spans="1:17" ht="3.75" customHeight="1" x14ac:dyDescent="0.35">
      <c r="B164" s="274"/>
      <c r="E164" s="295"/>
      <c r="F164" s="295"/>
      <c r="G164" s="280"/>
      <c r="H164" s="331"/>
      <c r="I164" s="331"/>
      <c r="J164" s="331"/>
      <c r="K164" s="331"/>
      <c r="L164" s="331"/>
      <c r="M164" s="331"/>
      <c r="N164" s="331"/>
      <c r="O164" s="331"/>
      <c r="P164" s="331"/>
      <c r="Q164" s="331"/>
    </row>
    <row r="165" spans="1:17" ht="15.5" x14ac:dyDescent="0.35">
      <c r="B165" s="491" t="s">
        <v>255</v>
      </c>
      <c r="C165" s="339"/>
      <c r="D165" s="339"/>
      <c r="E165" s="345">
        <f>+_xlfn.XLOOKUP($B165,Inputs!$B:$B,Inputs!O:O)</f>
        <v>-507.4</v>
      </c>
      <c r="F165" s="345">
        <f>+_xlfn.XLOOKUP($B165,Inputs!$B:$B,Inputs!P:P)</f>
        <v>-512.5</v>
      </c>
      <c r="G165" s="346">
        <f>+_xlfn.XLOOKUP($B165,Inputs!$B:$B,Inputs!Q:Q)</f>
        <v>1033.3</v>
      </c>
      <c r="H165" s="347">
        <f>IFERROR(+H132+H145+H163,"")</f>
        <v>4713.6342089667196</v>
      </c>
      <c r="I165" s="347">
        <f t="shared" ref="I165:Q165" si="88">IFERROR(+I132+I145+I163,"")</f>
        <v>4979.2129430446248</v>
      </c>
      <c r="J165" s="347">
        <f t="shared" si="88"/>
        <v>5564.1698362053139</v>
      </c>
      <c r="K165" s="347">
        <f t="shared" si="88"/>
        <v>5785.1498162141506</v>
      </c>
      <c r="L165" s="347">
        <f t="shared" si="88"/>
        <v>5986.1255857081424</v>
      </c>
      <c r="M165" s="347">
        <f t="shared" si="88"/>
        <v>6137.0760166083492</v>
      </c>
      <c r="N165" s="347">
        <f t="shared" si="88"/>
        <v>6282.8946055694341</v>
      </c>
      <c r="O165" s="347">
        <f t="shared" si="88"/>
        <v>6471.6137903973231</v>
      </c>
      <c r="P165" s="347">
        <f t="shared" si="88"/>
        <v>6658.8742751060081</v>
      </c>
      <c r="Q165" s="347">
        <f t="shared" si="88"/>
        <v>6855.0810822388994</v>
      </c>
    </row>
    <row r="166" spans="1:17" ht="15.5" x14ac:dyDescent="0.35">
      <c r="B166" s="274"/>
      <c r="E166" s="320"/>
      <c r="F166" s="295"/>
      <c r="G166" s="280"/>
      <c r="H166" s="331"/>
      <c r="I166" s="331"/>
      <c r="J166" s="331"/>
      <c r="K166" s="331"/>
      <c r="L166" s="331"/>
      <c r="M166" s="331"/>
      <c r="N166" s="331"/>
      <c r="O166" s="331"/>
      <c r="P166" s="331"/>
      <c r="Q166" s="331"/>
    </row>
    <row r="167" spans="1:17" ht="3.75" customHeight="1" x14ac:dyDescent="0.35">
      <c r="G167" s="150"/>
      <c r="H167" s="125"/>
      <c r="I167" s="125"/>
      <c r="J167" s="125"/>
      <c r="K167" s="125"/>
      <c r="L167" s="125"/>
      <c r="O167" s="125"/>
      <c r="P167" s="125"/>
      <c r="Q167" s="125"/>
    </row>
    <row r="168" spans="1:17" ht="15.5" x14ac:dyDescent="0.35">
      <c r="A168" s="120" t="s">
        <v>358</v>
      </c>
      <c r="B168" s="52" t="s">
        <v>454</v>
      </c>
      <c r="C168" s="52"/>
      <c r="D168" s="52"/>
      <c r="E168" s="131">
        <f t="shared" ref="E168:Q168" si="89">E28</f>
        <v>2022</v>
      </c>
      <c r="F168" s="131">
        <f t="shared" si="89"/>
        <v>2023</v>
      </c>
      <c r="G168" s="166">
        <f t="shared" si="89"/>
        <v>2024</v>
      </c>
      <c r="H168" s="102">
        <f t="shared" si="89"/>
        <v>2025</v>
      </c>
      <c r="I168" s="102">
        <f t="shared" si="89"/>
        <v>2026</v>
      </c>
      <c r="J168" s="102">
        <f t="shared" si="89"/>
        <v>2027</v>
      </c>
      <c r="K168" s="102">
        <f t="shared" si="89"/>
        <v>2028</v>
      </c>
      <c r="L168" s="102">
        <f t="shared" si="89"/>
        <v>2029</v>
      </c>
      <c r="M168" s="102">
        <f t="shared" si="89"/>
        <v>2030</v>
      </c>
      <c r="N168" s="102">
        <f t="shared" si="89"/>
        <v>2031</v>
      </c>
      <c r="O168" s="102">
        <f t="shared" si="89"/>
        <v>2032</v>
      </c>
      <c r="P168" s="102">
        <f t="shared" si="89"/>
        <v>2033</v>
      </c>
      <c r="Q168" s="102">
        <f t="shared" si="89"/>
        <v>2034</v>
      </c>
    </row>
    <row r="169" spans="1:17" ht="4" customHeight="1" x14ac:dyDescent="0.35">
      <c r="B169" s="53"/>
      <c r="C169" s="53"/>
      <c r="D169" s="53"/>
      <c r="E169" s="53"/>
      <c r="F169" s="53"/>
      <c r="G169" s="168"/>
      <c r="H169" s="53"/>
      <c r="I169" s="53"/>
      <c r="J169" s="53"/>
      <c r="K169" s="53"/>
      <c r="L169" s="53"/>
      <c r="M169" s="53"/>
      <c r="N169" s="53"/>
      <c r="O169" s="53"/>
      <c r="P169" s="53"/>
      <c r="Q169" s="53"/>
    </row>
    <row r="170" spans="1:17" ht="15.5" x14ac:dyDescent="0.35">
      <c r="B170" s="120" t="s">
        <v>124</v>
      </c>
      <c r="E170" s="154">
        <f>$E$30</f>
        <v>12014</v>
      </c>
      <c r="F170" s="154">
        <f>$F$30</f>
        <v>12305.5</v>
      </c>
      <c r="G170" s="178">
        <f>$G$30</f>
        <v>9427.2000000000007</v>
      </c>
      <c r="H170" s="154">
        <f ca="1">IFERROR(G170*(1+H171),"")</f>
        <v>10335.982080000002</v>
      </c>
      <c r="I170" s="154">
        <f t="shared" ref="I170:Q170" ca="1" si="90">IFERROR(H170*(1+I171),"")</f>
        <v>11641.416616704002</v>
      </c>
      <c r="J170" s="154">
        <f t="shared" ca="1" si="90"/>
        <v>12772.96231184763</v>
      </c>
      <c r="K170" s="154">
        <f t="shared" ca="1" si="90"/>
        <v>13232.788955074146</v>
      </c>
      <c r="L170" s="154">
        <f t="shared" ca="1" si="90"/>
        <v>13709.169357456814</v>
      </c>
      <c r="M170" s="154">
        <f t="shared" ca="1" si="90"/>
        <v>14202.69945432526</v>
      </c>
      <c r="N170" s="154">
        <f t="shared" ca="1" si="90"/>
        <v>14713.996634680971</v>
      </c>
      <c r="O170" s="154">
        <f t="shared" ca="1" si="90"/>
        <v>15243.700513529486</v>
      </c>
      <c r="P170" s="154">
        <f t="shared" ca="1" si="90"/>
        <v>15792.473732016548</v>
      </c>
      <c r="Q170" s="154">
        <f t="shared" ca="1" si="90"/>
        <v>16361.002786369145</v>
      </c>
    </row>
    <row r="171" spans="1:17" ht="15.5" x14ac:dyDescent="0.35">
      <c r="B171" s="274" t="s">
        <v>399</v>
      </c>
      <c r="C171" s="274"/>
      <c r="D171" s="274"/>
      <c r="E171" s="306">
        <f>$E$31</f>
        <v>0.64163808534768996</v>
      </c>
      <c r="F171" s="306">
        <f>$F$31</f>
        <v>2.4263359414016979E-2</v>
      </c>
      <c r="G171" s="307">
        <f>$G$31</f>
        <v>-0.2339035390678964</v>
      </c>
      <c r="H171" s="306">
        <f ca="1">+OFFSET($H$171,$C$7,0)</f>
        <v>9.64E-2</v>
      </c>
      <c r="I171" s="306">
        <f ca="1">+OFFSET($I$171,$C$7,0)</f>
        <v>0.1263</v>
      </c>
      <c r="J171" s="306">
        <f ca="1">+OFFSET($J$171,$C$7,0)</f>
        <v>9.7199999999999995E-2</v>
      </c>
      <c r="K171" s="306">
        <f ca="1">+OFFSET($K$171,$C$7,0)</f>
        <v>3.5999999999999997E-2</v>
      </c>
      <c r="L171" s="306">
        <f ca="1">+OFFSET($L$171,$C$7,0)</f>
        <v>3.5999999999999997E-2</v>
      </c>
      <c r="M171" s="306">
        <f ca="1">+OFFSET($M$171,$C$7,0)</f>
        <v>3.5999999999999997E-2</v>
      </c>
      <c r="N171" s="306">
        <f ca="1">+OFFSET($N$171,$C$7,0)</f>
        <v>3.5999999999999997E-2</v>
      </c>
      <c r="O171" s="306">
        <f ca="1">+OFFSET($O$171,$C$7,0)</f>
        <v>3.5999999999999997E-2</v>
      </c>
      <c r="P171" s="306">
        <f ca="1">+OFFSET($P$171,$C$7,0)</f>
        <v>3.5999999999999997E-2</v>
      </c>
      <c r="Q171" s="306">
        <f ca="1">+OFFSET($Q$171,$C$7,0)</f>
        <v>3.5999999999999997E-2</v>
      </c>
    </row>
    <row r="172" spans="1:17" ht="15.5" x14ac:dyDescent="0.35">
      <c r="B172" s="273" t="s">
        <v>369</v>
      </c>
      <c r="G172" s="161"/>
      <c r="H172" s="604">
        <f>IFERROR(+H173+$F$7%,"")</f>
        <v>9.6199999999999994E-2</v>
      </c>
      <c r="I172" s="604">
        <f t="shared" ref="I172:Q172" si="91">IFERROR(+I173+$F$7%,"")</f>
        <v>0.12609999999999999</v>
      </c>
      <c r="J172" s="604">
        <f t="shared" si="91"/>
        <v>9.6999999999999989E-2</v>
      </c>
      <c r="K172" s="604">
        <f t="shared" si="91"/>
        <v>3.5799999999999998E-2</v>
      </c>
      <c r="L172" s="605">
        <f t="shared" si="91"/>
        <v>3.5799999999999998E-2</v>
      </c>
      <c r="M172" s="605">
        <f t="shared" si="91"/>
        <v>3.5799999999999998E-2</v>
      </c>
      <c r="N172" s="605">
        <f t="shared" si="91"/>
        <v>3.5799999999999998E-2</v>
      </c>
      <c r="O172" s="605">
        <f t="shared" si="91"/>
        <v>3.5799999999999998E-2</v>
      </c>
      <c r="P172" s="605">
        <f t="shared" si="91"/>
        <v>3.5799999999999998E-2</v>
      </c>
      <c r="Q172" s="605">
        <f t="shared" si="91"/>
        <v>3.5799999999999998E-2</v>
      </c>
    </row>
    <row r="173" spans="1:17" ht="15.5" x14ac:dyDescent="0.35">
      <c r="B173" s="273" t="s">
        <v>370</v>
      </c>
      <c r="G173" s="161"/>
      <c r="H173" s="606">
        <f>$H$31</f>
        <v>9.64E-2</v>
      </c>
      <c r="I173" s="606">
        <f>$I$31</f>
        <v>0.1263</v>
      </c>
      <c r="J173" s="606">
        <f>$J$31</f>
        <v>9.7199999999999995E-2</v>
      </c>
      <c r="K173" s="606">
        <f>$K$31</f>
        <v>3.5999999999999997E-2</v>
      </c>
      <c r="L173" s="606">
        <f>$L$31</f>
        <v>3.5999999999999997E-2</v>
      </c>
      <c r="M173" s="606">
        <f>$M$31</f>
        <v>3.5999999999999997E-2</v>
      </c>
      <c r="N173" s="606">
        <f>$N$31</f>
        <v>3.5999999999999997E-2</v>
      </c>
      <c r="O173" s="607">
        <f>$O$31</f>
        <v>3.5999999999999997E-2</v>
      </c>
      <c r="P173" s="606">
        <f>$P$31</f>
        <v>3.5999999999999997E-2</v>
      </c>
      <c r="Q173" s="606">
        <f>$Q$31</f>
        <v>3.5999999999999997E-2</v>
      </c>
    </row>
    <row r="174" spans="1:17" ht="15.5" x14ac:dyDescent="0.35">
      <c r="B174" s="273" t="s">
        <v>371</v>
      </c>
      <c r="G174" s="161"/>
      <c r="H174" s="608">
        <f>IFERROR(+H173+$L$7%,"")</f>
        <v>9.6600000000000005E-2</v>
      </c>
      <c r="I174" s="608">
        <f t="shared" ref="I174:Q174" si="92">IFERROR(+I173+$L$7%,"")</f>
        <v>0.1265</v>
      </c>
      <c r="J174" s="608">
        <f t="shared" si="92"/>
        <v>9.74E-2</v>
      </c>
      <c r="K174" s="608">
        <f t="shared" si="92"/>
        <v>3.6199999999999996E-2</v>
      </c>
      <c r="L174" s="609">
        <f t="shared" si="92"/>
        <v>3.6199999999999996E-2</v>
      </c>
      <c r="M174" s="609">
        <f t="shared" si="92"/>
        <v>3.6199999999999996E-2</v>
      </c>
      <c r="N174" s="609">
        <f t="shared" si="92"/>
        <v>3.6199999999999996E-2</v>
      </c>
      <c r="O174" s="609">
        <f t="shared" si="92"/>
        <v>3.6199999999999996E-2</v>
      </c>
      <c r="P174" s="609">
        <f t="shared" si="92"/>
        <v>3.6199999999999996E-2</v>
      </c>
      <c r="Q174" s="609">
        <f t="shared" si="92"/>
        <v>3.6199999999999996E-2</v>
      </c>
    </row>
    <row r="175" spans="1:17" ht="3.75" customHeight="1" x14ac:dyDescent="0.35">
      <c r="G175" s="161"/>
    </row>
    <row r="176" spans="1:17" ht="15.5" x14ac:dyDescent="0.35">
      <c r="B176" s="120" t="s">
        <v>379</v>
      </c>
      <c r="E176" s="154">
        <f t="shared" ref="E176:G177" si="93">+E59</f>
        <v>2268.3000000000002</v>
      </c>
      <c r="F176" s="154">
        <f t="shared" si="93"/>
        <v>2650.3000000000006</v>
      </c>
      <c r="G176" s="178">
        <f t="shared" si="93"/>
        <v>720.60000000000082</v>
      </c>
      <c r="H176" s="179">
        <f ca="1">IFERROR(H177*H170,"")</f>
        <v>1601.0081842534435</v>
      </c>
      <c r="I176" s="179">
        <f t="shared" ref="I176:Q176" ca="1" si="94">IFERROR(I177*I170,"")</f>
        <v>2111.4813674690049</v>
      </c>
      <c r="J176" s="179">
        <f t="shared" ca="1" si="94"/>
        <v>2533.6867025013753</v>
      </c>
      <c r="K176" s="179">
        <f t="shared" ca="1" si="94"/>
        <v>2786.6775790009201</v>
      </c>
      <c r="L176" s="179">
        <f t="shared" ca="1" si="94"/>
        <v>3303.0836367082247</v>
      </c>
      <c r="M176" s="179">
        <f t="shared" ca="1" si="94"/>
        <v>3687.9661865017938</v>
      </c>
      <c r="N176" s="179">
        <f t="shared" ca="1" si="94"/>
        <v>4033.5102003135207</v>
      </c>
      <c r="O176" s="179">
        <f t="shared" ca="1" si="94"/>
        <v>4348.9383524029345</v>
      </c>
      <c r="P176" s="179">
        <f t="shared" ca="1" si="94"/>
        <v>4641.6775609919414</v>
      </c>
      <c r="Q176" s="179">
        <f t="shared" ca="1" si="94"/>
        <v>4917.7198955096546</v>
      </c>
    </row>
    <row r="177" spans="2:29" ht="15.5" x14ac:dyDescent="0.35">
      <c r="B177" s="274" t="s">
        <v>400</v>
      </c>
      <c r="C177" s="274"/>
      <c r="D177" s="274"/>
      <c r="E177" s="306">
        <f t="shared" si="93"/>
        <v>0.1888047278175462</v>
      </c>
      <c r="F177" s="306">
        <f t="shared" si="93"/>
        <v>0.21537523871439607</v>
      </c>
      <c r="G177" s="307">
        <f t="shared" si="93"/>
        <v>7.6438391038696624E-2</v>
      </c>
      <c r="H177" s="306">
        <f ca="1">OFFSET(H177,$C$8,0)</f>
        <v>0.15489657120743028</v>
      </c>
      <c r="I177" s="306">
        <f ca="1">+OFFSET(I177,$C$8,0)</f>
        <v>0.18137666892182938</v>
      </c>
      <c r="J177" s="306">
        <f ca="1">+OFFSET(J177,$C$8,0)</f>
        <v>0.19836328023541105</v>
      </c>
      <c r="K177" s="306">
        <f ca="1">+OFFSET(K177,$C$8,0)</f>
        <v>0.21058883266874454</v>
      </c>
      <c r="L177" s="306">
        <f ca="1">+OFFSET(L177,$C$8,0)</f>
        <v>0.24093973533936844</v>
      </c>
      <c r="M177" s="306">
        <f t="shared" ref="M177:Q177" ca="1" si="95">+OFFSET(M177,$C$8,0)</f>
        <v>0.25966656538512251</v>
      </c>
      <c r="N177" s="306">
        <f t="shared" ca="1" si="95"/>
        <v>0.27412743800732664</v>
      </c>
      <c r="O177" s="306">
        <f t="shared" ca="1" si="95"/>
        <v>0.28529413501288953</v>
      </c>
      <c r="P177" s="306">
        <f t="shared" ca="1" si="95"/>
        <v>0.29391706706351722</v>
      </c>
      <c r="Q177" s="306">
        <f t="shared" ca="1" si="95"/>
        <v>0.30057570185164678</v>
      </c>
    </row>
    <row r="178" spans="2:29" ht="15.5" x14ac:dyDescent="0.35">
      <c r="B178" s="273" t="s">
        <v>369</v>
      </c>
      <c r="G178" s="161"/>
      <c r="H178" s="608">
        <f>IFERROR(H179-$F$8,"")</f>
        <v>0.16489657120743029</v>
      </c>
      <c r="I178" s="608">
        <f t="shared" ref="I178:Q178" si="96">IFERROR(I179-$F$8,"")</f>
        <v>0.19137666892182939</v>
      </c>
      <c r="J178" s="608">
        <f t="shared" si="96"/>
        <v>0.20836328023541106</v>
      </c>
      <c r="K178" s="608">
        <f t="shared" si="96"/>
        <v>0.22058883266874454</v>
      </c>
      <c r="L178" s="608">
        <f t="shared" si="96"/>
        <v>0.25093973533936842</v>
      </c>
      <c r="M178" s="608">
        <f t="shared" si="96"/>
        <v>0.26966656538512251</v>
      </c>
      <c r="N178" s="608">
        <f t="shared" si="96"/>
        <v>0.28412743800732665</v>
      </c>
      <c r="O178" s="608">
        <f t="shared" si="96"/>
        <v>0.29529413501288954</v>
      </c>
      <c r="P178" s="608">
        <f t="shared" si="96"/>
        <v>0.30391706706351723</v>
      </c>
      <c r="Q178" s="608">
        <f t="shared" si="96"/>
        <v>0.31057570185164679</v>
      </c>
    </row>
    <row r="179" spans="2:29" ht="15.5" x14ac:dyDescent="0.35">
      <c r="B179" s="273" t="s">
        <v>370</v>
      </c>
      <c r="G179" s="161"/>
      <c r="H179" s="606">
        <f t="shared" ref="H179:Q179" si="97">IFERROR(VALUE(H60),"")</f>
        <v>0.15489657120743028</v>
      </c>
      <c r="I179" s="606">
        <f t="shared" si="97"/>
        <v>0.18137666892182938</v>
      </c>
      <c r="J179" s="606">
        <f t="shared" si="97"/>
        <v>0.19836328023541105</v>
      </c>
      <c r="K179" s="606">
        <f t="shared" si="97"/>
        <v>0.21058883266874454</v>
      </c>
      <c r="L179" s="606">
        <f t="shared" si="97"/>
        <v>0.24093973533936844</v>
      </c>
      <c r="M179" s="606">
        <f t="shared" si="97"/>
        <v>0.25966656538512251</v>
      </c>
      <c r="N179" s="606">
        <f t="shared" si="97"/>
        <v>0.27412743800732664</v>
      </c>
      <c r="O179" s="606">
        <f t="shared" si="97"/>
        <v>0.28529413501288953</v>
      </c>
      <c r="P179" s="606">
        <f t="shared" si="97"/>
        <v>0.29391706706351722</v>
      </c>
      <c r="Q179" s="606">
        <f t="shared" si="97"/>
        <v>0.30057570185164678</v>
      </c>
    </row>
    <row r="180" spans="2:29" ht="15.5" x14ac:dyDescent="0.35">
      <c r="B180" s="273" t="s">
        <v>371</v>
      </c>
      <c r="G180" s="161"/>
      <c r="H180" s="608">
        <f>+IFERROR(H179+$L$8%,"")</f>
        <v>0.15499657120743027</v>
      </c>
      <c r="I180" s="608">
        <f t="shared" ref="I180:Q180" si="98">+IFERROR(I179+$L$8%,"")</f>
        <v>0.18147666892182937</v>
      </c>
      <c r="J180" s="608">
        <f t="shared" si="98"/>
        <v>0.19846328023541104</v>
      </c>
      <c r="K180" s="608">
        <f t="shared" si="98"/>
        <v>0.21068883266874452</v>
      </c>
      <c r="L180" s="608">
        <f t="shared" si="98"/>
        <v>0.24103973533936843</v>
      </c>
      <c r="M180" s="608">
        <f t="shared" si="98"/>
        <v>0.25976656538512249</v>
      </c>
      <c r="N180" s="608">
        <f t="shared" si="98"/>
        <v>0.27422743800732663</v>
      </c>
      <c r="O180" s="608">
        <f t="shared" si="98"/>
        <v>0.28539413501288952</v>
      </c>
      <c r="P180" s="608">
        <f t="shared" si="98"/>
        <v>0.29401706706351721</v>
      </c>
      <c r="Q180" s="608">
        <f t="shared" si="98"/>
        <v>0.30067570185164677</v>
      </c>
    </row>
    <row r="181" spans="2:29" ht="3.75" customHeight="1" x14ac:dyDescent="0.35">
      <c r="G181" s="161"/>
    </row>
    <row r="182" spans="2:29" ht="15.5" x14ac:dyDescent="0.35">
      <c r="B182" s="181" t="s">
        <v>375</v>
      </c>
      <c r="C182" s="182"/>
      <c r="D182" s="182"/>
      <c r="E182" s="183">
        <f>+IFERROR(E176*(1-E79),"")</f>
        <v>1928.1181405507259</v>
      </c>
      <c r="F182" s="183">
        <f t="shared" ref="F182:G182" si="99">+IFERROR(F176*(1-F79),"")</f>
        <v>2362.3220650322205</v>
      </c>
      <c r="G182" s="329">
        <f t="shared" si="99"/>
        <v>590.38985249237112</v>
      </c>
      <c r="H182" s="183">
        <f ca="1">+IFERROR(H176*(1-H79),"")</f>
        <v>1366.5524748135394</v>
      </c>
      <c r="I182" s="183">
        <f t="shared" ref="I182:Q182" ca="1" si="100">+IFERROR(I176*(1-I79),"")</f>
        <v>1804.7549102135683</v>
      </c>
      <c r="J182" s="183">
        <f t="shared" ca="1" si="100"/>
        <v>2134.7109496600547</v>
      </c>
      <c r="K182" s="183">
        <f t="shared" ca="1" si="100"/>
        <v>2369.440412444812</v>
      </c>
      <c r="L182" s="183">
        <f t="shared" ca="1" si="100"/>
        <v>2804.9124131199255</v>
      </c>
      <c r="M182" s="183">
        <f t="shared" ca="1" si="100"/>
        <v>3124.9192518297996</v>
      </c>
      <c r="N182" s="183">
        <f t="shared" ca="1" si="100"/>
        <v>3424.1582579007791</v>
      </c>
      <c r="O182" s="183">
        <f t="shared" ca="1" si="100"/>
        <v>3689.9816938238664</v>
      </c>
      <c r="P182" s="183">
        <f t="shared" ca="1" si="100"/>
        <v>3937.2797342804047</v>
      </c>
      <c r="Q182" s="328">
        <f t="shared" ca="1" si="100"/>
        <v>4172.9334322046179</v>
      </c>
    </row>
    <row r="183" spans="2:29" ht="3.75" customHeight="1" x14ac:dyDescent="0.35">
      <c r="G183" s="161"/>
    </row>
    <row r="184" spans="2:29" ht="15.5" x14ac:dyDescent="0.35">
      <c r="B184" s="120" t="s">
        <v>455</v>
      </c>
      <c r="E184" s="154">
        <f t="shared" ref="E184:Q184" si="101">+E123</f>
        <v>2297.5</v>
      </c>
      <c r="F184" s="154">
        <f t="shared" si="101"/>
        <v>2293.1</v>
      </c>
      <c r="G184" s="178">
        <f t="shared" si="101"/>
        <v>2104.3000000000002</v>
      </c>
      <c r="H184" s="184">
        <f t="shared" si="101"/>
        <v>1981.9359999999999</v>
      </c>
      <c r="I184" s="184">
        <f t="shared" si="101"/>
        <v>1982.1953168</v>
      </c>
      <c r="J184" s="184">
        <f t="shared" si="101"/>
        <v>2021.75990159296</v>
      </c>
      <c r="K184" s="184">
        <f t="shared" si="101"/>
        <v>1972.4632580503066</v>
      </c>
      <c r="L184" s="184">
        <f t="shared" si="101"/>
        <v>1654.8039353401177</v>
      </c>
      <c r="M184" s="184">
        <f t="shared" si="101"/>
        <v>1448.4048770123618</v>
      </c>
      <c r="N184" s="184">
        <f t="shared" si="101"/>
        <v>1287.769852584807</v>
      </c>
      <c r="O184" s="184">
        <f t="shared" si="101"/>
        <v>1163.9074872778601</v>
      </c>
      <c r="P184" s="184">
        <f t="shared" si="101"/>
        <v>1069.6304928198631</v>
      </c>
      <c r="Q184" s="184">
        <f t="shared" si="101"/>
        <v>999.19505936137818</v>
      </c>
      <c r="R184" s="121"/>
      <c r="S184" s="121"/>
      <c r="T184" s="121"/>
      <c r="U184" s="121"/>
      <c r="V184" s="121"/>
      <c r="W184" s="121"/>
      <c r="X184" s="121"/>
      <c r="Y184" s="121"/>
      <c r="Z184" s="121"/>
      <c r="AA184" s="121"/>
      <c r="AB184" s="121"/>
      <c r="AC184" s="121"/>
    </row>
    <row r="185" spans="2:29" ht="3.75" customHeight="1" x14ac:dyDescent="0.35">
      <c r="G185" s="161"/>
      <c r="R185" s="121"/>
      <c r="S185" s="121"/>
      <c r="T185" s="121"/>
      <c r="U185" s="121"/>
      <c r="V185" s="121"/>
      <c r="W185" s="121"/>
      <c r="X185" s="121"/>
      <c r="Y185" s="121"/>
      <c r="Z185" s="121"/>
      <c r="AA185" s="121"/>
      <c r="AB185" s="121"/>
      <c r="AC185" s="121"/>
    </row>
    <row r="186" spans="2:29" ht="15.5" x14ac:dyDescent="0.35">
      <c r="B186" s="120" t="s">
        <v>436</v>
      </c>
      <c r="E186" s="154">
        <f t="shared" ref="E186:Q186" si="102">+E125</f>
        <v>323.5</v>
      </c>
      <c r="F186" s="154">
        <f t="shared" si="102"/>
        <v>299.8</v>
      </c>
      <c r="G186" s="178">
        <f t="shared" si="102"/>
        <v>262.7</v>
      </c>
      <c r="H186" s="154">
        <f t="shared" si="102"/>
        <v>287.71702341632016</v>
      </c>
      <c r="I186" s="154">
        <f t="shared" si="102"/>
        <v>319.69425131604731</v>
      </c>
      <c r="J186" s="154">
        <f t="shared" si="102"/>
        <v>354.08534159381423</v>
      </c>
      <c r="K186" s="154">
        <f t="shared" si="102"/>
        <v>366.19414992228826</v>
      </c>
      <c r="L186" s="154">
        <f t="shared" si="102"/>
        <v>378.63132767202501</v>
      </c>
      <c r="M186" s="154">
        <f t="shared" si="102"/>
        <v>393.00551143432358</v>
      </c>
      <c r="N186" s="154">
        <f t="shared" si="102"/>
        <v>406.90705514469499</v>
      </c>
      <c r="O186" s="154">
        <f t="shared" si="102"/>
        <v>421.46008253871133</v>
      </c>
      <c r="P186" s="154">
        <f t="shared" si="102"/>
        <v>436.78693611050471</v>
      </c>
      <c r="Q186" s="154">
        <f t="shared" si="102"/>
        <v>452.43891431508035</v>
      </c>
      <c r="R186" s="121"/>
      <c r="S186" s="121"/>
      <c r="T186" s="121"/>
      <c r="U186" s="121"/>
      <c r="V186" s="121"/>
      <c r="W186" s="121"/>
      <c r="X186" s="121"/>
      <c r="Y186" s="121"/>
      <c r="Z186" s="121"/>
      <c r="AA186" s="121"/>
      <c r="AB186" s="121"/>
      <c r="AC186" s="121"/>
    </row>
    <row r="187" spans="2:29" ht="3.75" customHeight="1" x14ac:dyDescent="0.35">
      <c r="G187" s="150"/>
      <c r="R187" s="121"/>
      <c r="S187" s="121"/>
      <c r="T187" s="121"/>
      <c r="U187" s="121"/>
      <c r="V187" s="121"/>
      <c r="W187" s="121"/>
      <c r="X187" s="121"/>
      <c r="Y187" s="121"/>
      <c r="Z187" s="121"/>
      <c r="AA187" s="121"/>
      <c r="AB187" s="121"/>
      <c r="AC187" s="121"/>
    </row>
    <row r="188" spans="2:29" ht="15.5" x14ac:dyDescent="0.35">
      <c r="B188" s="120" t="s">
        <v>456</v>
      </c>
      <c r="E188" s="154">
        <f t="shared" ref="E188:Q188" si="103">+E128</f>
        <v>-106.30000000000004</v>
      </c>
      <c r="F188" s="154">
        <f t="shared" si="103"/>
        <v>-289.5</v>
      </c>
      <c r="G188" s="185">
        <f t="shared" si="103"/>
        <v>57.099999999999994</v>
      </c>
      <c r="H188" s="177">
        <f t="shared" si="103"/>
        <v>293.40312734435474</v>
      </c>
      <c r="I188" s="177">
        <f t="shared" si="103"/>
        <v>-279.03482157004737</v>
      </c>
      <c r="J188" s="177">
        <f t="shared" si="103"/>
        <v>-237.24197047102689</v>
      </c>
      <c r="K188" s="177">
        <f t="shared" si="103"/>
        <v>-37.161577029742375</v>
      </c>
      <c r="L188" s="177">
        <f t="shared" si="103"/>
        <v>-80.460736817046609</v>
      </c>
      <c r="M188" s="177">
        <f t="shared" si="103"/>
        <v>-83.956970414486932</v>
      </c>
      <c r="N188" s="177">
        <f t="shared" si="103"/>
        <v>-78.159249854312293</v>
      </c>
      <c r="O188" s="177">
        <f t="shared" si="103"/>
        <v>-90.158426151549975</v>
      </c>
      <c r="P188" s="177">
        <f t="shared" si="103"/>
        <v>-91.338720372696571</v>
      </c>
      <c r="Q188" s="177">
        <f t="shared" si="103"/>
        <v>-93.894656430374198</v>
      </c>
      <c r="R188" s="121"/>
      <c r="S188" s="121"/>
      <c r="T188" s="121"/>
      <c r="U188" s="121"/>
      <c r="V188" s="121"/>
      <c r="W188" s="121"/>
      <c r="X188" s="121"/>
      <c r="Y188" s="121"/>
      <c r="Z188" s="121"/>
      <c r="AA188" s="121"/>
      <c r="AB188" s="121"/>
      <c r="AC188" s="121"/>
    </row>
    <row r="189" spans="2:29" ht="3.75" customHeight="1" x14ac:dyDescent="0.35">
      <c r="G189" s="150"/>
      <c r="R189" s="121"/>
      <c r="S189" s="121"/>
      <c r="T189" s="121"/>
      <c r="U189" s="121"/>
      <c r="V189" s="121"/>
      <c r="W189" s="121"/>
      <c r="X189" s="121"/>
      <c r="Y189" s="121"/>
      <c r="Z189" s="121"/>
      <c r="AA189" s="121"/>
      <c r="AB189" s="121"/>
      <c r="AC189" s="121"/>
    </row>
    <row r="190" spans="2:29" ht="13.5" customHeight="1" x14ac:dyDescent="0.35">
      <c r="B190" s="120" t="s">
        <v>440</v>
      </c>
      <c r="E190" s="154">
        <f t="shared" ref="E190:Q190" si="104">+E134</f>
        <v>-699</v>
      </c>
      <c r="F190" s="154">
        <f t="shared" si="104"/>
        <v>-1261</v>
      </c>
      <c r="G190" s="178">
        <f t="shared" si="104"/>
        <v>-730</v>
      </c>
      <c r="H190" s="154">
        <f t="shared" si="104"/>
        <v>0</v>
      </c>
      <c r="I190" s="154">
        <f t="shared" si="104"/>
        <v>0</v>
      </c>
      <c r="J190" s="154">
        <f t="shared" si="104"/>
        <v>0</v>
      </c>
      <c r="K190" s="154">
        <f t="shared" si="104"/>
        <v>0</v>
      </c>
      <c r="L190" s="154">
        <f t="shared" si="104"/>
        <v>0</v>
      </c>
      <c r="M190" s="154">
        <f t="shared" si="104"/>
        <v>0</v>
      </c>
      <c r="N190" s="154">
        <f t="shared" si="104"/>
        <v>0</v>
      </c>
      <c r="O190" s="154">
        <f t="shared" si="104"/>
        <v>0</v>
      </c>
      <c r="P190" s="154">
        <f t="shared" si="104"/>
        <v>0</v>
      </c>
      <c r="Q190" s="154">
        <f t="shared" si="104"/>
        <v>0</v>
      </c>
      <c r="R190" s="121"/>
      <c r="S190" s="121"/>
      <c r="T190" s="121"/>
      <c r="U190" s="121"/>
      <c r="V190" s="121"/>
      <c r="W190" s="121"/>
      <c r="X190" s="121"/>
      <c r="Y190" s="121"/>
      <c r="Z190" s="121"/>
      <c r="AA190" s="121"/>
      <c r="AB190" s="121"/>
      <c r="AC190" s="121"/>
    </row>
    <row r="191" spans="2:29" ht="3.75" customHeight="1" x14ac:dyDescent="0.35">
      <c r="B191" s="155"/>
      <c r="E191" s="157"/>
      <c r="F191" s="157"/>
      <c r="G191" s="165"/>
      <c r="H191" s="180"/>
      <c r="I191" s="180"/>
      <c r="J191" s="180"/>
      <c r="K191" s="180"/>
      <c r="L191" s="180"/>
      <c r="M191" s="180"/>
      <c r="N191" s="180"/>
      <c r="O191" s="180"/>
      <c r="P191" s="180"/>
      <c r="Q191" s="180"/>
      <c r="R191" s="121"/>
      <c r="S191" s="121"/>
      <c r="T191" s="121"/>
      <c r="U191" s="121"/>
      <c r="V191" s="121"/>
      <c r="W191" s="121"/>
      <c r="X191" s="121"/>
      <c r="Y191" s="121"/>
      <c r="Z191" s="121"/>
      <c r="AA191" s="121"/>
      <c r="AB191" s="121"/>
      <c r="AC191" s="121"/>
    </row>
    <row r="192" spans="2:29" ht="15.5" x14ac:dyDescent="0.35">
      <c r="B192" s="186" t="s">
        <v>22</v>
      </c>
      <c r="C192" s="187"/>
      <c r="D192" s="187"/>
      <c r="E192" s="188">
        <f t="shared" ref="E192:Q192" si="105">IFERROR(E182+E184+E190+E188+E186,"")</f>
        <v>3743.8181405507257</v>
      </c>
      <c r="F192" s="188">
        <f t="shared" si="105"/>
        <v>3404.7220650322206</v>
      </c>
      <c r="G192" s="189">
        <f t="shared" si="105"/>
        <v>2284.489852492371</v>
      </c>
      <c r="H192" s="188">
        <f t="shared" ca="1" si="105"/>
        <v>3929.6086255742139</v>
      </c>
      <c r="I192" s="188">
        <f t="shared" ca="1" si="105"/>
        <v>3827.6096567595682</v>
      </c>
      <c r="J192" s="188">
        <f t="shared" ca="1" si="105"/>
        <v>4273.3142223758014</v>
      </c>
      <c r="K192" s="188">
        <f t="shared" ca="1" si="105"/>
        <v>4670.9362433876649</v>
      </c>
      <c r="L192" s="188">
        <f t="shared" ca="1" si="105"/>
        <v>4757.8869393150217</v>
      </c>
      <c r="M192" s="188">
        <f t="shared" ca="1" si="105"/>
        <v>4882.3726698619976</v>
      </c>
      <c r="N192" s="188">
        <f t="shared" ca="1" si="105"/>
        <v>5040.6759157759689</v>
      </c>
      <c r="O192" s="188">
        <f t="shared" ca="1" si="105"/>
        <v>5185.1908374888881</v>
      </c>
      <c r="P192" s="188">
        <f t="shared" ca="1" si="105"/>
        <v>5352.3584428380755</v>
      </c>
      <c r="Q192" s="330">
        <f t="shared" ca="1" si="105"/>
        <v>5530.6727494507022</v>
      </c>
      <c r="R192" s="121"/>
      <c r="S192" s="121" t="s">
        <v>457</v>
      </c>
      <c r="T192" s="121"/>
      <c r="U192" s="121">
        <f ca="1">+J192/(1+$C$12)^(J195-2)</f>
        <v>4223.8913180081918</v>
      </c>
      <c r="V192" s="121">
        <f ca="1">+K192/(1+$C$12)^(K195-2)</f>
        <v>4252.9474123414002</v>
      </c>
      <c r="W192" s="121">
        <f ca="1">+L192/(1+$C$12)^(L195-2)</f>
        <v>3990.6014639227324</v>
      </c>
      <c r="X192" s="121">
        <f ca="1">+M192/(1+$C$12)^(M195-2)</f>
        <v>3772.1880253394497</v>
      </c>
      <c r="Y192" s="121">
        <f ca="1">+N192/(1+$C$12)^(N195-2)</f>
        <v>3587.4788429036348</v>
      </c>
      <c r="Z192" s="121"/>
      <c r="AA192" s="121">
        <f ca="1">+O192/(1+$C$12)^(O195-2)</f>
        <v>3399.4095017070304</v>
      </c>
      <c r="AB192" s="121">
        <f ca="1">+P192/(1+$C$12)^(P195-2)</f>
        <v>3232.3776523378547</v>
      </c>
      <c r="AC192" s="121">
        <f ca="1">+Q192/(1+$C$12)^(Q195-2)</f>
        <v>3076.7558418348121</v>
      </c>
    </row>
    <row r="193" spans="2:29" ht="15.5" x14ac:dyDescent="0.35">
      <c r="B193" s="190" t="s">
        <v>458</v>
      </c>
      <c r="C193" s="191"/>
      <c r="D193" s="191"/>
      <c r="E193" s="191"/>
      <c r="F193" s="191"/>
      <c r="G193" s="192"/>
      <c r="H193" s="193">
        <f ca="1">IFERROR(H192/(1+$C$12)^H195,"")</f>
        <v>3884.1608393367874</v>
      </c>
      <c r="I193" s="193">
        <f t="shared" ref="I193:P193" ca="1" si="106">IFERROR(I192/(1+$C$12)^I195,"")</f>
        <v>3485.0877290849621</v>
      </c>
      <c r="J193" s="193">
        <f t="shared" ca="1" si="106"/>
        <v>3584.1738589252368</v>
      </c>
      <c r="K193" s="193">
        <f t="shared" ca="1" si="106"/>
        <v>3608.8293450423994</v>
      </c>
      <c r="L193" s="193">
        <f t="shared" ca="1" si="106"/>
        <v>3386.2162568911303</v>
      </c>
      <c r="M193" s="193">
        <f t="shared" ca="1" si="106"/>
        <v>3200.8820051146604</v>
      </c>
      <c r="N193" s="193">
        <f t="shared" ca="1" si="106"/>
        <v>3044.1474271279126</v>
      </c>
      <c r="O193" s="193">
        <f t="shared" ca="1" si="106"/>
        <v>2884.5615936789536</v>
      </c>
      <c r="P193" s="193">
        <f t="shared" ca="1" si="106"/>
        <v>2742.8270785022596</v>
      </c>
      <c r="Q193" s="194">
        <f ca="1">IFERROR(Q192/(1+$C$12)^Q195,"")</f>
        <v>2610.7745271722588</v>
      </c>
      <c r="R193" s="121"/>
      <c r="S193" s="121" t="s">
        <v>459</v>
      </c>
      <c r="T193" s="365">
        <f t="shared" ref="T193:Y193" ca="1" si="107">+I192/(1+$C$12)^(I195-1)</f>
        <v>3783.3415369400536</v>
      </c>
      <c r="U193" s="365">
        <f t="shared" ca="1" si="107"/>
        <v>3890.9074577720585</v>
      </c>
      <c r="V193" s="365">
        <f t="shared" ca="1" si="107"/>
        <v>3917.6729603911281</v>
      </c>
      <c r="W193" s="365">
        <f t="shared" ca="1" si="107"/>
        <v>3676.0086441558728</v>
      </c>
      <c r="X193" s="365">
        <f t="shared" ca="1" si="107"/>
        <v>3474.8134871123734</v>
      </c>
      <c r="Y193" s="365">
        <f t="shared" ca="1" si="107"/>
        <v>3304.6655639415194</v>
      </c>
      <c r="Z193" s="365"/>
      <c r="AA193" s="365">
        <f ca="1">+O192/(1+$C$12)^(O195-1)</f>
        <v>3131.4223748659983</v>
      </c>
      <c r="AB193" s="365">
        <f ca="1">+P192/(1+$C$12)^(P195-1)</f>
        <v>2977.5582198804827</v>
      </c>
      <c r="AC193" s="365">
        <f ca="1">+Q192/(1+$C$12)^(Q195-1)</f>
        <v>2834.2046112076609</v>
      </c>
    </row>
    <row r="194" spans="2:29" ht="3.75" customHeight="1" x14ac:dyDescent="0.35">
      <c r="G194" s="150"/>
      <c r="R194" s="121"/>
      <c r="S194" s="121"/>
      <c r="T194" s="121"/>
      <c r="U194" s="121"/>
      <c r="V194" s="121"/>
      <c r="W194" s="121"/>
      <c r="X194" s="121"/>
      <c r="Y194" s="121"/>
      <c r="Z194" s="121"/>
      <c r="AA194" s="121"/>
      <c r="AB194" s="121"/>
      <c r="AC194" s="121"/>
    </row>
    <row r="195" spans="2:29" ht="15.5" x14ac:dyDescent="0.35">
      <c r="B195" s="120" t="s">
        <v>460</v>
      </c>
      <c r="G195" s="150"/>
      <c r="H195" s="195">
        <f ca="1">+H196/2</f>
        <v>0.14166666666666666</v>
      </c>
      <c r="I195" s="195">
        <f ca="1">+H195+1</f>
        <v>1.1416666666666666</v>
      </c>
      <c r="J195" s="195">
        <f t="shared" ref="J195:Q195" ca="1" si="108">+I195+1</f>
        <v>2.1416666666666666</v>
      </c>
      <c r="K195" s="195">
        <f ca="1">+J195+1</f>
        <v>3.1416666666666666</v>
      </c>
      <c r="L195" s="195">
        <f t="shared" ca="1" si="108"/>
        <v>4.1416666666666666</v>
      </c>
      <c r="M195" s="195">
        <f t="shared" ca="1" si="108"/>
        <v>5.1416666666666666</v>
      </c>
      <c r="N195" s="195">
        <f t="shared" ca="1" si="108"/>
        <v>6.1416666666666666</v>
      </c>
      <c r="O195" s="195">
        <f t="shared" ca="1" si="108"/>
        <v>7.1416666666666666</v>
      </c>
      <c r="P195" s="195">
        <f t="shared" ca="1" si="108"/>
        <v>8.1416666666666657</v>
      </c>
      <c r="Q195" s="195">
        <f t="shared" ca="1" si="108"/>
        <v>9.1416666666666657</v>
      </c>
      <c r="R195" s="121"/>
      <c r="S195" s="121"/>
      <c r="T195" s="121"/>
      <c r="U195" s="121"/>
      <c r="V195" s="121"/>
      <c r="W195" s="121"/>
      <c r="X195" s="121"/>
      <c r="Y195" s="121"/>
      <c r="Z195" s="121"/>
      <c r="AA195" s="121"/>
      <c r="AB195" s="121"/>
      <c r="AC195" s="121"/>
    </row>
    <row r="196" spans="2:29" ht="15.5" hidden="1" x14ac:dyDescent="0.35">
      <c r="B196" s="120" t="s">
        <v>461</v>
      </c>
      <c r="G196" s="150"/>
      <c r="H196" s="195">
        <f ca="1">YEARFRAC(P196,P197)</f>
        <v>0.28333333333333333</v>
      </c>
      <c r="P196" s="196">
        <f ca="1">TODAY()</f>
        <v>45919</v>
      </c>
      <c r="R196" s="121"/>
      <c r="S196" s="121"/>
      <c r="T196" s="121"/>
      <c r="U196" s="121"/>
      <c r="V196" s="121"/>
      <c r="W196" s="121"/>
      <c r="X196" s="121"/>
      <c r="Y196" s="121"/>
      <c r="Z196" s="121"/>
      <c r="AA196" s="121"/>
      <c r="AB196" s="121"/>
      <c r="AC196" s="121"/>
    </row>
    <row r="197" spans="2:29" s="121" customFormat="1" ht="3.75" customHeight="1" x14ac:dyDescent="0.35">
      <c r="G197" s="197"/>
      <c r="P197" s="196">
        <v>46022</v>
      </c>
    </row>
    <row r="198" spans="2:29" ht="15.5" x14ac:dyDescent="0.35">
      <c r="B198" s="120" t="s">
        <v>462</v>
      </c>
      <c r="G198" s="150"/>
      <c r="L198" s="198" t="str">
        <f ca="1">IFERROR((#REF!*(1+$C$13))/($C$12-$C$13),"")</f>
        <v/>
      </c>
      <c r="P198" s="199"/>
      <c r="Q198" s="200">
        <f ca="1">IFERROR(+(Q192*(1+$C$13))/($C$12-$C$13),"")</f>
        <v>64625.762438077858</v>
      </c>
      <c r="R198" s="121">
        <v>2025</v>
      </c>
      <c r="S198" s="121">
        <v>2026</v>
      </c>
      <c r="T198" s="642"/>
      <c r="U198" s="643"/>
      <c r="V198" s="643"/>
      <c r="W198" s="121"/>
      <c r="X198" s="121"/>
      <c r="Y198" s="121"/>
      <c r="Z198" s="121"/>
      <c r="AA198" s="121"/>
      <c r="AB198" s="121"/>
      <c r="AC198" s="121"/>
    </row>
    <row r="199" spans="2:29" ht="15.5" x14ac:dyDescent="0.35">
      <c r="B199" s="120" t="s">
        <v>463</v>
      </c>
      <c r="G199" s="150"/>
      <c r="L199" s="198" t="str">
        <f ca="1">IFERROR(L198/(1+$C$12)^#REF!,"")</f>
        <v/>
      </c>
      <c r="Q199" s="171">
        <f ca="1">IFERROR(Q198/(1+$C$12)^$Q$195,"")</f>
        <v>30506.830184298426</v>
      </c>
      <c r="R199" s="702">
        <f ca="1">+Q198/(1+$C$12)^$P$195</f>
        <v>33117.604711470689</v>
      </c>
      <c r="S199" s="121">
        <f ca="1">+Q198/(1+$C$12)^$O$195</f>
        <v>35951.809322678339</v>
      </c>
      <c r="T199" s="643"/>
      <c r="U199" s="128"/>
      <c r="V199" s="128"/>
      <c r="W199" s="121"/>
      <c r="X199" s="121"/>
      <c r="Y199" s="121"/>
      <c r="Z199" s="121"/>
      <c r="AA199" s="121"/>
      <c r="AB199" s="121"/>
      <c r="AC199" s="121"/>
    </row>
    <row r="200" spans="2:29" ht="15.5" x14ac:dyDescent="0.35">
      <c r="B200" s="120" t="s">
        <v>464</v>
      </c>
      <c r="G200" s="150"/>
      <c r="L200" s="201"/>
      <c r="Q200" s="171">
        <f ca="1">+SUM(H193:Q193,Q199)</f>
        <v>62938.490845174994</v>
      </c>
      <c r="R200" s="702">
        <f ca="1">+SUM(T193:AC193,R199)</f>
        <v>64108.199567737836</v>
      </c>
      <c r="S200" s="121">
        <f ca="1">+SUM(S199,U192:AC192)</f>
        <v>65487.459381073451</v>
      </c>
      <c r="T200" s="643"/>
      <c r="U200" s="128"/>
      <c r="V200" s="128"/>
      <c r="W200" s="121"/>
      <c r="X200" s="121"/>
      <c r="Y200" s="121"/>
      <c r="Z200" s="121"/>
      <c r="AA200" s="121"/>
      <c r="AB200" s="121"/>
      <c r="AC200" s="121"/>
    </row>
    <row r="201" spans="2:29" ht="15.5" x14ac:dyDescent="0.35">
      <c r="B201" s="120" t="s">
        <v>465</v>
      </c>
      <c r="G201" s="150"/>
      <c r="L201" s="201"/>
      <c r="Q201" s="332"/>
      <c r="R201" s="702">
        <f>+H88</f>
        <v>7076.73420896672</v>
      </c>
      <c r="S201" s="702">
        <f>+I88</f>
        <v>12055.947152011344</v>
      </c>
      <c r="T201" s="125"/>
      <c r="U201" s="125"/>
      <c r="V201" s="125"/>
      <c r="W201" s="121"/>
      <c r="X201" s="121"/>
      <c r="Y201" s="121"/>
      <c r="Z201" s="121"/>
      <c r="AA201" s="121"/>
      <c r="AB201" s="121"/>
      <c r="AC201" s="121"/>
    </row>
    <row r="202" spans="2:29" ht="15.5" x14ac:dyDescent="0.35">
      <c r="B202" s="120" t="s">
        <v>466</v>
      </c>
      <c r="G202" s="150"/>
      <c r="L202" s="201"/>
      <c r="Q202" s="332">
        <v>0</v>
      </c>
      <c r="R202" s="702">
        <f>+Q202</f>
        <v>0</v>
      </c>
      <c r="S202" s="702">
        <f>+Q202</f>
        <v>0</v>
      </c>
      <c r="T202" s="125"/>
      <c r="U202" s="125"/>
      <c r="V202" s="125"/>
      <c r="W202" s="121"/>
      <c r="X202" s="121"/>
      <c r="Y202" s="121"/>
      <c r="Z202" s="121"/>
      <c r="AA202" s="121"/>
      <c r="AB202" s="121"/>
      <c r="AC202" s="121"/>
    </row>
    <row r="203" spans="2:29" ht="15.5" x14ac:dyDescent="0.35">
      <c r="B203" s="120" t="s">
        <v>467</v>
      </c>
      <c r="G203" s="150"/>
      <c r="M203" s="202"/>
      <c r="Q203" s="332">
        <v>0</v>
      </c>
      <c r="R203" s="702">
        <f>+Q203</f>
        <v>0</v>
      </c>
      <c r="S203" s="702">
        <f>+Q203</f>
        <v>0</v>
      </c>
      <c r="T203" s="125"/>
      <c r="U203" s="125"/>
      <c r="V203" s="125"/>
      <c r="W203" s="121"/>
      <c r="X203" s="121"/>
      <c r="Y203" s="121"/>
      <c r="Z203" s="121"/>
      <c r="AA203" s="121"/>
      <c r="AB203" s="121"/>
      <c r="AC203" s="121"/>
    </row>
    <row r="204" spans="2:29" ht="15.5" x14ac:dyDescent="0.35">
      <c r="B204" s="120" t="s">
        <v>468</v>
      </c>
      <c r="G204" s="150"/>
      <c r="Q204" s="332">
        <v>0</v>
      </c>
      <c r="R204" s="702" t="str">
        <f>+H116</f>
        <v/>
      </c>
      <c r="S204" s="702" t="str">
        <f>+I116</f>
        <v/>
      </c>
      <c r="T204" s="125"/>
      <c r="U204" s="125"/>
      <c r="V204" s="125"/>
      <c r="W204" s="121"/>
      <c r="X204" s="121"/>
      <c r="Y204" s="121"/>
      <c r="Z204" s="121"/>
      <c r="AA204" s="121"/>
      <c r="AB204" s="121"/>
      <c r="AC204" s="121"/>
    </row>
    <row r="205" spans="2:29" ht="15.5" x14ac:dyDescent="0.35">
      <c r="B205" s="120" t="s">
        <v>172</v>
      </c>
      <c r="G205" s="150"/>
      <c r="Q205" s="171">
        <f ca="1">Q200+Q201-Q202-Q203-Q204</f>
        <v>62938.490845174994</v>
      </c>
      <c r="R205" s="702" t="e">
        <f ca="1">R200+R201-R202-R203-R204</f>
        <v>#VALUE!</v>
      </c>
      <c r="S205" s="702" t="e">
        <f ca="1">S200+S201-S202-S203-S204</f>
        <v>#VALUE!</v>
      </c>
      <c r="T205" s="125"/>
      <c r="U205" s="125"/>
      <c r="V205" s="125"/>
      <c r="W205" s="121"/>
      <c r="X205" s="121"/>
      <c r="Y205" s="121"/>
      <c r="Z205" s="121"/>
      <c r="AA205" s="121"/>
      <c r="AB205" s="121"/>
      <c r="AC205" s="121"/>
    </row>
    <row r="206" spans="2:29" ht="3.75" customHeight="1" x14ac:dyDescent="0.35">
      <c r="G206" s="150"/>
      <c r="Q206" s="203"/>
      <c r="R206" s="125"/>
      <c r="S206" s="125"/>
      <c r="T206" s="125"/>
      <c r="U206" s="125"/>
      <c r="V206" s="125"/>
      <c r="W206" s="121"/>
      <c r="X206" s="121"/>
      <c r="Y206" s="121"/>
      <c r="Z206" s="121"/>
      <c r="AA206" s="121"/>
      <c r="AB206" s="121"/>
      <c r="AC206" s="121"/>
    </row>
    <row r="207" spans="2:29" ht="15.5" x14ac:dyDescent="0.35">
      <c r="B207" s="120" t="s">
        <v>469</v>
      </c>
      <c r="G207" s="150"/>
      <c r="O207" s="155"/>
      <c r="Q207" s="200" cm="1">
        <f t="array" aca="1" ref="Q207" ca="1">IFERROR(_FV(R4,"Shares outstanding",TRUE)/1000000,"")</f>
        <v>491.9554</v>
      </c>
      <c r="R207" s="125"/>
      <c r="S207" s="125"/>
      <c r="T207" s="125"/>
      <c r="U207" s="125"/>
      <c r="V207" s="125"/>
      <c r="W207" s="121"/>
      <c r="X207" s="121"/>
      <c r="Y207" s="121"/>
      <c r="Z207" s="121"/>
      <c r="AA207" s="121"/>
      <c r="AB207" s="121"/>
      <c r="AC207" s="121"/>
    </row>
    <row r="208" spans="2:29" ht="15.5" x14ac:dyDescent="0.35">
      <c r="B208" s="152" t="s">
        <v>470</v>
      </c>
      <c r="G208" s="150"/>
      <c r="N208" s="204"/>
      <c r="Q208" s="205">
        <f ca="1">IFERROR(Q205/Q$207,"")</f>
        <v>127.9353592727613</v>
      </c>
      <c r="R208" s="125"/>
      <c r="S208" s="125"/>
      <c r="T208" s="125"/>
      <c r="U208" s="125"/>
      <c r="V208" s="125"/>
      <c r="W208" s="121"/>
      <c r="X208" s="121"/>
      <c r="Y208" s="121"/>
      <c r="Z208" s="121"/>
      <c r="AA208" s="121"/>
      <c r="AB208" s="121"/>
      <c r="AC208" s="121"/>
    </row>
    <row r="209" spans="1:29" ht="3.75" customHeight="1" x14ac:dyDescent="0.35">
      <c r="G209" s="150"/>
      <c r="R209" s="125"/>
      <c r="S209" s="125"/>
      <c r="T209" s="125"/>
      <c r="U209" s="125"/>
      <c r="V209" s="125"/>
      <c r="W209" s="121"/>
      <c r="X209" s="121"/>
      <c r="Y209" s="121"/>
      <c r="Z209" s="121"/>
      <c r="AA209" s="121"/>
      <c r="AB209" s="121"/>
      <c r="AC209" s="121"/>
    </row>
    <row r="210" spans="1:29" ht="15.5" x14ac:dyDescent="0.35">
      <c r="B210" s="120" t="s">
        <v>471</v>
      </c>
      <c r="G210" s="150"/>
      <c r="Q210" s="205" cm="1">
        <f t="array" aca="1" ref="Q210" ca="1">IFERROR(_FV(R4,"Price"),"")</f>
        <v>245.56</v>
      </c>
      <c r="R210" s="121"/>
      <c r="S210" s="121"/>
      <c r="T210" s="121"/>
      <c r="U210" s="121"/>
      <c r="V210" s="121"/>
      <c r="W210" s="121"/>
      <c r="X210" s="121"/>
      <c r="Y210" s="121"/>
      <c r="Z210" s="121"/>
      <c r="AA210" s="121"/>
      <c r="AB210" s="121"/>
      <c r="AC210" s="121"/>
    </row>
    <row r="211" spans="1:29" ht="15.5" x14ac:dyDescent="0.35">
      <c r="B211" s="152" t="s">
        <v>472</v>
      </c>
      <c r="C211" s="152"/>
      <c r="D211" s="152"/>
      <c r="E211" s="152"/>
      <c r="F211" s="152"/>
      <c r="G211" s="206"/>
      <c r="H211" s="152"/>
      <c r="I211" s="152"/>
      <c r="J211" s="152"/>
      <c r="K211" s="152"/>
      <c r="L211" s="152"/>
      <c r="M211" s="152"/>
      <c r="N211" s="152"/>
      <c r="O211" s="152"/>
      <c r="P211" s="152"/>
      <c r="Q211" s="207">
        <f ca="1">IFERROR(Q208/Q210-1,"")</f>
        <v>-0.47900570421582789</v>
      </c>
      <c r="R211" s="121"/>
      <c r="S211" s="121"/>
      <c r="T211" s="121"/>
      <c r="U211" s="121"/>
      <c r="V211" s="121"/>
      <c r="W211" s="121"/>
      <c r="X211" s="121"/>
      <c r="Y211" s="121"/>
      <c r="Z211" s="121"/>
      <c r="AA211" s="121"/>
      <c r="AB211" s="121"/>
      <c r="AC211" s="121"/>
    </row>
    <row r="212" spans="1:29" ht="5.25" customHeight="1" x14ac:dyDescent="0.35">
      <c r="B212" s="152"/>
      <c r="C212" s="152"/>
      <c r="D212" s="152"/>
      <c r="E212" s="152"/>
      <c r="F212" s="152"/>
      <c r="G212" s="206"/>
      <c r="H212" s="152"/>
      <c r="I212" s="152"/>
      <c r="J212" s="152"/>
      <c r="K212" s="152"/>
      <c r="L212" s="152"/>
      <c r="M212" s="152"/>
      <c r="N212" s="152"/>
      <c r="O212" s="152"/>
      <c r="P212" s="152"/>
      <c r="Q212" s="207"/>
      <c r="R212" s="121"/>
      <c r="S212" s="121"/>
      <c r="T212" s="121"/>
      <c r="U212" s="121"/>
      <c r="V212" s="121"/>
      <c r="W212" s="121"/>
      <c r="X212" s="121"/>
      <c r="Y212" s="121"/>
      <c r="Z212" s="121"/>
      <c r="AA212" s="121"/>
      <c r="AB212" s="121"/>
      <c r="AC212" s="121"/>
    </row>
    <row r="213" spans="1:29" ht="15.5" x14ac:dyDescent="0.35">
      <c r="A213" s="120" t="s">
        <v>358</v>
      </c>
      <c r="B213" s="52" t="s">
        <v>473</v>
      </c>
      <c r="C213" s="52"/>
      <c r="D213" s="52"/>
      <c r="E213" s="131">
        <f>E168</f>
        <v>2022</v>
      </c>
      <c r="F213" s="131">
        <f t="shared" ref="F213:Q213" si="109">F168</f>
        <v>2023</v>
      </c>
      <c r="G213" s="131">
        <f t="shared" si="109"/>
        <v>2024</v>
      </c>
      <c r="H213" s="131">
        <f t="shared" si="109"/>
        <v>2025</v>
      </c>
      <c r="I213" s="131">
        <f t="shared" si="109"/>
        <v>2026</v>
      </c>
      <c r="J213" s="131">
        <f t="shared" si="109"/>
        <v>2027</v>
      </c>
      <c r="K213" s="131">
        <f t="shared" si="109"/>
        <v>2028</v>
      </c>
      <c r="L213" s="131">
        <f t="shared" si="109"/>
        <v>2029</v>
      </c>
      <c r="M213" s="131">
        <f t="shared" si="109"/>
        <v>2030</v>
      </c>
      <c r="N213" s="131">
        <f t="shared" si="109"/>
        <v>2031</v>
      </c>
      <c r="O213" s="131">
        <f t="shared" si="109"/>
        <v>2032</v>
      </c>
      <c r="P213" s="131">
        <f t="shared" si="109"/>
        <v>2033</v>
      </c>
      <c r="Q213" s="131">
        <f t="shared" si="109"/>
        <v>2034</v>
      </c>
      <c r="R213" s="121"/>
      <c r="S213" s="121"/>
      <c r="T213" s="121"/>
      <c r="U213" s="121"/>
      <c r="V213" s="121"/>
      <c r="W213" s="121"/>
      <c r="X213" s="121"/>
      <c r="Y213" s="121"/>
      <c r="Z213" s="121"/>
      <c r="AA213" s="121"/>
      <c r="AB213" s="121"/>
      <c r="AC213" s="121"/>
    </row>
    <row r="214" spans="1:29" ht="3.75" customHeight="1" x14ac:dyDescent="0.35">
      <c r="B214" s="53"/>
      <c r="C214" s="53"/>
      <c r="D214" s="53"/>
      <c r="E214" s="53"/>
      <c r="F214" s="53"/>
      <c r="G214" s="168"/>
      <c r="H214" s="53"/>
      <c r="I214" s="53"/>
      <c r="J214" s="53"/>
      <c r="K214" s="53"/>
      <c r="L214" s="53"/>
      <c r="M214" s="53"/>
      <c r="N214" s="53"/>
      <c r="O214" s="53"/>
      <c r="P214" s="53"/>
      <c r="Q214" s="53"/>
      <c r="R214" s="121"/>
      <c r="S214" s="121"/>
      <c r="T214" s="121"/>
      <c r="U214" s="121"/>
      <c r="V214" s="121"/>
      <c r="W214" s="121"/>
      <c r="X214" s="121"/>
      <c r="Y214" s="121"/>
      <c r="Z214" s="121"/>
      <c r="AA214" s="121"/>
      <c r="AB214" s="121"/>
      <c r="AC214" s="121"/>
    </row>
    <row r="215" spans="1:29" ht="15.5" x14ac:dyDescent="0.35">
      <c r="B215" s="186" t="s">
        <v>474</v>
      </c>
      <c r="C215" s="187"/>
      <c r="D215" s="187"/>
      <c r="E215" s="188"/>
      <c r="F215" s="188"/>
      <c r="G215" s="189"/>
      <c r="H215" s="188">
        <f ca="1">IFERROR(H192/(1+WACC!$G$16)^H195,"")</f>
        <v>3886.7490230000558</v>
      </c>
      <c r="I215" s="188">
        <f ca="1">IFERROR(I192/(1+WACC!$G$16)^I195,"")</f>
        <v>3503.8465178768606</v>
      </c>
      <c r="J215" s="188">
        <f ca="1">IFERROR(J192/(1+WACC!$G$16)^J195,"")</f>
        <v>3620.4494961164842</v>
      </c>
      <c r="K215" s="188">
        <f ca="1">IFERROR(K192/(1+WACC!$G$16)^K195,"")</f>
        <v>3662.5354555415347</v>
      </c>
      <c r="L215" s="188">
        <f ca="1">IFERROR(L192/(1+WACC!$G$16)^L195,"")</f>
        <v>3452.8065661012661</v>
      </c>
      <c r="M215" s="188">
        <f ca="1">IFERROR(M192/(1+WACC!$G$16)^M195,"")</f>
        <v>3279.2104543965334</v>
      </c>
      <c r="N215" s="188">
        <f ca="1">IFERROR(N192/(1+WACC!$G$16)^N195,"")</f>
        <v>3133.3389165314493</v>
      </c>
      <c r="O215" s="188">
        <f ca="1">IFERROR(O192/(1+WACC!$G$16)^O195,"")</f>
        <v>2983.0708937379227</v>
      </c>
      <c r="P215" s="188">
        <f ca="1">IFERROR(P192/(1+WACC!$G$16)^P195,"")</f>
        <v>2849.8647700525821</v>
      </c>
      <c r="Q215" s="640">
        <f ca="1">IFERROR(Q192/(1+WACC!$G$16)^Q195,"")</f>
        <v>2725.4439652004457</v>
      </c>
      <c r="R215" s="121"/>
      <c r="S215" s="121"/>
      <c r="T215" s="121"/>
      <c r="U215" s="121"/>
      <c r="V215" s="121"/>
      <c r="W215" s="121"/>
      <c r="X215" s="121"/>
      <c r="Y215" s="121"/>
      <c r="Z215" s="121"/>
      <c r="AA215" s="121"/>
      <c r="AB215" s="121"/>
      <c r="AC215" s="121"/>
    </row>
    <row r="216" spans="1:29" ht="15.5" x14ac:dyDescent="0.35">
      <c r="B216" s="190" t="s">
        <v>475</v>
      </c>
      <c r="C216" s="191"/>
      <c r="D216" s="191"/>
      <c r="E216" s="191"/>
      <c r="F216" s="191"/>
      <c r="G216" s="192"/>
      <c r="H216" s="193">
        <f ca="1">IFERROR((H65*H79)/(1+WACC!$G$20)^H195,"")</f>
        <v>0</v>
      </c>
      <c r="I216" s="193">
        <f ca="1">IFERROR((I65*I79)/(1+WACC!$G$20)^I195,"")</f>
        <v>0</v>
      </c>
      <c r="J216" s="193">
        <f ca="1">IFERROR((J65*J79)/(1+WACC!$G$20)^J195,"")</f>
        <v>0</v>
      </c>
      <c r="K216" s="193">
        <f ca="1">IFERROR((K65*K79)/(1+WACC!$G$20)^K195,"")</f>
        <v>0</v>
      </c>
      <c r="L216" s="193">
        <f ca="1">IFERROR((L65*L79)/(1+WACC!$G$20)^L195,"")</f>
        <v>0</v>
      </c>
      <c r="M216" s="193">
        <f ca="1">IFERROR((M65*M79)/(1+WACC!$G$20)^M195,"")</f>
        <v>0</v>
      </c>
      <c r="N216" s="193">
        <f ca="1">IFERROR((N65*N79)/(1+WACC!$G$20)^N195,"")</f>
        <v>0</v>
      </c>
      <c r="O216" s="193">
        <f ca="1">IFERROR((O65*O79)/(1+WACC!$G$20)^O195,"")</f>
        <v>0</v>
      </c>
      <c r="P216" s="193">
        <f ca="1">IFERROR((P65*P79)/(1+WACC!$G$20)^P195,"")</f>
        <v>0</v>
      </c>
      <c r="Q216" s="641">
        <f ca="1">IFERROR((Q65*Q79)/(1+WACC!$G$20)^Q195,"")</f>
        <v>0</v>
      </c>
      <c r="R216" s="121"/>
      <c r="S216" s="121"/>
      <c r="T216" s="121"/>
      <c r="U216" s="121"/>
      <c r="V216" s="121"/>
      <c r="W216" s="121"/>
      <c r="X216" s="121"/>
      <c r="Y216" s="121"/>
      <c r="Z216" s="121"/>
      <c r="AA216" s="121"/>
      <c r="AB216" s="121"/>
      <c r="AC216" s="121"/>
    </row>
    <row r="217" spans="1:29" ht="3.75" customHeight="1" x14ac:dyDescent="0.35">
      <c r="B217" s="152"/>
      <c r="C217" s="152"/>
      <c r="D217" s="152"/>
      <c r="E217" s="152"/>
      <c r="F217" s="152"/>
      <c r="G217" s="206"/>
      <c r="H217" s="152"/>
      <c r="I217" s="152"/>
      <c r="J217" s="152"/>
      <c r="K217" s="152"/>
      <c r="L217" s="152"/>
      <c r="M217" s="152"/>
      <c r="N217" s="152"/>
      <c r="O217" s="152"/>
      <c r="P217" s="152"/>
      <c r="Q217" s="207"/>
      <c r="R217" s="121"/>
      <c r="S217" s="121"/>
      <c r="T217" s="121"/>
      <c r="U217" s="121"/>
      <c r="V217" s="121"/>
      <c r="W217" s="121"/>
      <c r="X217" s="121"/>
      <c r="Y217" s="121"/>
      <c r="Z217" s="121"/>
      <c r="AA217" s="121"/>
      <c r="AB217" s="121"/>
      <c r="AC217" s="121"/>
    </row>
    <row r="218" spans="1:29" ht="15.5" x14ac:dyDescent="0.35">
      <c r="B218" s="120" t="s">
        <v>476</v>
      </c>
      <c r="C218" s="152"/>
      <c r="D218" s="152"/>
      <c r="E218" s="152"/>
      <c r="F218" s="152"/>
      <c r="G218" s="206"/>
      <c r="H218" s="152"/>
      <c r="I218" s="152"/>
      <c r="J218" s="152"/>
      <c r="K218" s="152"/>
      <c r="L218" s="152"/>
      <c r="M218" s="152"/>
      <c r="N218" s="152"/>
      <c r="O218" s="152"/>
      <c r="P218" s="152"/>
      <c r="Q218" s="171">
        <f ca="1">IFERROR((Q192*(1+$C$13))/(WACC!$G$16-DCF!$C$13),"")</f>
        <v>68714.636438281304</v>
      </c>
      <c r="R218" s="121"/>
      <c r="S218" s="121"/>
      <c r="T218" s="121"/>
      <c r="U218" s="121"/>
      <c r="V218" s="121"/>
      <c r="W218" s="121"/>
      <c r="X218" s="121"/>
      <c r="Y218" s="121"/>
      <c r="Z218" s="121"/>
      <c r="AA218" s="121"/>
      <c r="AB218" s="121"/>
      <c r="AC218" s="121"/>
    </row>
    <row r="219" spans="1:29" ht="15.5" x14ac:dyDescent="0.35">
      <c r="B219" s="120" t="s">
        <v>477</v>
      </c>
      <c r="C219" s="152"/>
      <c r="D219" s="152"/>
      <c r="E219" s="152"/>
      <c r="F219" s="152"/>
      <c r="G219" s="206"/>
      <c r="H219" s="152"/>
      <c r="I219" s="152"/>
      <c r="J219" s="152"/>
      <c r="K219" s="152"/>
      <c r="L219" s="152"/>
      <c r="M219" s="152"/>
      <c r="N219" s="152"/>
      <c r="O219" s="152"/>
      <c r="P219" s="152"/>
      <c r="Q219" s="171">
        <f ca="1">IFERROR(Q218/(1+WACC!$G$16)^$Q$195,"")</f>
        <v>33861.683684006901</v>
      </c>
      <c r="R219" s="121"/>
      <c r="S219" s="121"/>
      <c r="T219" s="121"/>
      <c r="U219" s="121"/>
      <c r="V219" s="121"/>
      <c r="W219" s="121"/>
      <c r="X219" s="121"/>
      <c r="Y219" s="121"/>
      <c r="Z219" s="121"/>
      <c r="AA219" s="121"/>
      <c r="AB219" s="121"/>
      <c r="AC219" s="121"/>
    </row>
    <row r="220" spans="1:29" ht="15.5" x14ac:dyDescent="0.35">
      <c r="B220" s="120" t="s">
        <v>478</v>
      </c>
      <c r="C220" s="152"/>
      <c r="D220" s="152"/>
      <c r="E220" s="152"/>
      <c r="F220" s="152"/>
      <c r="G220" s="206"/>
      <c r="H220" s="152"/>
      <c r="I220" s="152"/>
      <c r="J220" s="152"/>
      <c r="K220" s="152"/>
      <c r="L220" s="152"/>
      <c r="M220" s="152"/>
      <c r="N220" s="152"/>
      <c r="O220" s="152"/>
      <c r="P220" s="152"/>
      <c r="Q220" s="171">
        <f ca="1">IFERROR((Q216*(1+$C$13))/(WACC!$G$16-$C$13),"")</f>
        <v>0</v>
      </c>
      <c r="R220" s="121"/>
      <c r="S220" s="121"/>
      <c r="T220" s="121"/>
      <c r="U220" s="121"/>
      <c r="V220" s="121"/>
      <c r="W220" s="121"/>
      <c r="X220" s="121"/>
      <c r="Y220" s="121"/>
      <c r="Z220" s="121"/>
      <c r="AA220" s="121"/>
      <c r="AB220" s="121"/>
      <c r="AC220" s="121"/>
    </row>
    <row r="221" spans="1:29" ht="15.5" x14ac:dyDescent="0.35">
      <c r="B221" s="120" t="s">
        <v>479</v>
      </c>
      <c r="C221" s="152"/>
      <c r="D221" s="152"/>
      <c r="E221" s="152"/>
      <c r="F221" s="152"/>
      <c r="G221" s="206"/>
      <c r="H221" s="152"/>
      <c r="I221" s="152"/>
      <c r="J221" s="152"/>
      <c r="K221" s="152"/>
      <c r="L221" s="152"/>
      <c r="M221" s="152"/>
      <c r="N221" s="152"/>
      <c r="O221" s="152"/>
      <c r="P221" s="152"/>
      <c r="Q221" s="171">
        <f ca="1">IFERROR(Q220/(1+WACC!$G$18)^$Q$195,"")</f>
        <v>0</v>
      </c>
      <c r="R221" s="121"/>
      <c r="S221" s="121"/>
      <c r="T221" s="121"/>
      <c r="U221" s="121"/>
      <c r="V221" s="121"/>
      <c r="W221" s="121"/>
      <c r="X221" s="121"/>
      <c r="Y221" s="121"/>
      <c r="Z221" s="121"/>
      <c r="AA221" s="121"/>
      <c r="AB221" s="121"/>
      <c r="AC221" s="121"/>
    </row>
    <row r="222" spans="1:29" ht="15.5" x14ac:dyDescent="0.35">
      <c r="B222" s="120" t="s">
        <v>480</v>
      </c>
      <c r="G222" s="150"/>
      <c r="Q222" s="171">
        <f ca="1">+SUM(H215:Q216,Q219,Q221)</f>
        <v>66958.999742562039</v>
      </c>
      <c r="R222" s="121"/>
      <c r="S222" s="121"/>
      <c r="T222" s="121"/>
      <c r="U222" s="121"/>
      <c r="V222" s="121"/>
      <c r="W222" s="121"/>
      <c r="X222" s="121"/>
      <c r="Y222" s="121"/>
      <c r="Z222" s="121"/>
      <c r="AA222" s="121"/>
      <c r="AB222" s="121"/>
      <c r="AC222" s="121"/>
    </row>
    <row r="223" spans="1:29" ht="15.5" x14ac:dyDescent="0.35">
      <c r="B223" s="120" t="s">
        <v>172</v>
      </c>
      <c r="G223" s="150"/>
      <c r="Q223" s="171">
        <f ca="1">+Q222-Q201+Q202+Q203+Q204</f>
        <v>66958.999742562039</v>
      </c>
      <c r="R223" s="121"/>
      <c r="S223" s="121"/>
      <c r="T223" s="121"/>
      <c r="U223" s="121"/>
      <c r="V223" s="121"/>
      <c r="W223" s="121"/>
      <c r="X223" s="121"/>
      <c r="Y223" s="121"/>
      <c r="Z223" s="121"/>
      <c r="AA223" s="121"/>
      <c r="AB223" s="121"/>
      <c r="AC223" s="121"/>
    </row>
    <row r="224" spans="1:29" ht="15.5" x14ac:dyDescent="0.35">
      <c r="B224" s="152" t="s">
        <v>470</v>
      </c>
      <c r="C224" s="152"/>
      <c r="D224" s="152"/>
      <c r="E224" s="152"/>
      <c r="F224" s="152"/>
      <c r="G224" s="206"/>
      <c r="H224" s="152"/>
      <c r="I224" s="152"/>
      <c r="J224" s="152"/>
      <c r="K224" s="152"/>
      <c r="L224" s="152"/>
      <c r="M224" s="152"/>
      <c r="N224" s="152"/>
      <c r="O224" s="152"/>
      <c r="P224" s="152"/>
      <c r="Q224" s="398">
        <f ca="1">IFERROR(Q223/Q207,"")</f>
        <v>136.10786616543297</v>
      </c>
      <c r="R224" s="121"/>
      <c r="S224" s="121"/>
      <c r="T224" s="121"/>
      <c r="U224" s="121"/>
      <c r="V224" s="121"/>
      <c r="W224" s="121"/>
      <c r="X224" s="121"/>
      <c r="Y224" s="121"/>
      <c r="Z224" s="121"/>
      <c r="AA224" s="121"/>
      <c r="AB224" s="121"/>
      <c r="AC224" s="121"/>
    </row>
    <row r="225" spans="1:29" ht="3.75" customHeight="1" x14ac:dyDescent="0.35">
      <c r="B225" s="152"/>
      <c r="C225" s="152"/>
      <c r="D225" s="152"/>
      <c r="E225" s="152"/>
      <c r="F225" s="152"/>
      <c r="G225" s="206"/>
      <c r="H225" s="152"/>
      <c r="I225" s="152"/>
      <c r="J225" s="152"/>
      <c r="K225" s="152"/>
      <c r="L225" s="152"/>
      <c r="M225" s="152"/>
      <c r="N225" s="152"/>
      <c r="O225" s="152"/>
      <c r="P225" s="152"/>
      <c r="Q225" s="398"/>
      <c r="R225" s="121"/>
      <c r="S225" s="121"/>
      <c r="T225" s="121"/>
      <c r="U225" s="121"/>
      <c r="V225" s="121"/>
      <c r="W225" s="121"/>
      <c r="X225" s="121"/>
      <c r="Y225" s="121"/>
      <c r="Z225" s="121"/>
      <c r="AA225" s="121"/>
      <c r="AB225" s="121"/>
      <c r="AC225" s="121"/>
    </row>
    <row r="226" spans="1:29" ht="15.5" x14ac:dyDescent="0.35">
      <c r="B226" s="399" t="s">
        <v>472</v>
      </c>
      <c r="C226" s="152"/>
      <c r="D226" s="152"/>
      <c r="E226" s="152"/>
      <c r="F226" s="152"/>
      <c r="G226" s="206"/>
      <c r="H226" s="152"/>
      <c r="I226" s="152"/>
      <c r="J226" s="152"/>
      <c r="K226" s="152"/>
      <c r="L226" s="152"/>
      <c r="M226" s="152"/>
      <c r="N226" s="152"/>
      <c r="O226" s="152"/>
      <c r="P226" s="152"/>
      <c r="Q226" s="207">
        <f ca="1">IFERROR(Q224/Q210-1,"")</f>
        <v>-0.4457246043108285</v>
      </c>
      <c r="R226" s="121"/>
      <c r="S226" s="121"/>
      <c r="T226" s="121"/>
      <c r="U226" s="121"/>
      <c r="V226" s="121"/>
      <c r="W226" s="121"/>
      <c r="X226" s="121"/>
      <c r="Y226" s="121"/>
      <c r="Z226" s="121"/>
      <c r="AA226" s="121"/>
      <c r="AB226" s="121"/>
      <c r="AC226" s="121"/>
    </row>
    <row r="227" spans="1:29" ht="3.75" customHeight="1" x14ac:dyDescent="0.35">
      <c r="G227" s="150"/>
    </row>
    <row r="228" spans="1:29" ht="15.5" x14ac:dyDescent="0.35">
      <c r="A228" s="120" t="s">
        <v>358</v>
      </c>
      <c r="B228" s="52" t="s">
        <v>481</v>
      </c>
      <c r="C228" s="52"/>
      <c r="D228" s="52"/>
      <c r="E228" s="131">
        <f>E28</f>
        <v>2022</v>
      </c>
      <c r="F228" s="131">
        <f>F28</f>
        <v>2023</v>
      </c>
      <c r="G228" s="132">
        <f>G28</f>
        <v>2024</v>
      </c>
      <c r="H228" s="102">
        <f t="shared" ref="H228:Q228" si="110">1+G228</f>
        <v>2025</v>
      </c>
      <c r="I228" s="102">
        <f t="shared" si="110"/>
        <v>2026</v>
      </c>
      <c r="J228" s="102">
        <f t="shared" si="110"/>
        <v>2027</v>
      </c>
      <c r="K228" s="102">
        <f t="shared" si="110"/>
        <v>2028</v>
      </c>
      <c r="L228" s="102">
        <f t="shared" si="110"/>
        <v>2029</v>
      </c>
      <c r="M228" s="102">
        <f t="shared" si="110"/>
        <v>2030</v>
      </c>
      <c r="N228" s="102">
        <f t="shared" si="110"/>
        <v>2031</v>
      </c>
      <c r="O228" s="102">
        <f t="shared" si="110"/>
        <v>2032</v>
      </c>
      <c r="P228" s="102">
        <f t="shared" si="110"/>
        <v>2033</v>
      </c>
      <c r="Q228" s="102">
        <f t="shared" si="110"/>
        <v>2034</v>
      </c>
    </row>
    <row r="229" spans="1:29" ht="3.75" customHeight="1" x14ac:dyDescent="0.35">
      <c r="B229" s="53"/>
      <c r="C229" s="53"/>
      <c r="D229" s="53"/>
      <c r="E229" s="53"/>
      <c r="F229" s="53"/>
      <c r="G229" s="208"/>
      <c r="H229" s="53"/>
      <c r="I229" s="53"/>
      <c r="J229" s="53"/>
      <c r="K229" s="53"/>
      <c r="L229" s="53"/>
      <c r="M229" s="53"/>
      <c r="N229" s="53"/>
      <c r="O229" s="53"/>
      <c r="P229" s="53"/>
      <c r="Q229" s="53"/>
    </row>
    <row r="230" spans="1:29" ht="15.5" x14ac:dyDescent="0.35">
      <c r="B230" s="120" t="s">
        <v>379</v>
      </c>
      <c r="E230" s="154">
        <f>+E59</f>
        <v>2268.3000000000002</v>
      </c>
      <c r="F230" s="154">
        <f>+F59</f>
        <v>2650.3000000000006</v>
      </c>
      <c r="G230" s="185">
        <f>+G59</f>
        <v>720.60000000000082</v>
      </c>
      <c r="H230" s="179">
        <f>+H59</f>
        <v>1601.0109599999994</v>
      </c>
      <c r="I230" s="179">
        <f>+I59</f>
        <v>2111.4850282480011</v>
      </c>
      <c r="J230" s="179">
        <f t="shared" ref="J230:Q230" si="111">+J59</f>
        <v>2533.6910952785065</v>
      </c>
      <c r="K230" s="179">
        <f t="shared" si="111"/>
        <v>2786.6824104007646</v>
      </c>
      <c r="L230" s="179">
        <f t="shared" si="111"/>
        <v>3303.0893634266254</v>
      </c>
      <c r="M230" s="179">
        <f t="shared" si="111"/>
        <v>3687.9725805099833</v>
      </c>
      <c r="N230" s="179">
        <f t="shared" si="111"/>
        <v>4033.5171934083455</v>
      </c>
      <c r="O230" s="179">
        <f t="shared" si="111"/>
        <v>4348.9458923710454</v>
      </c>
      <c r="P230" s="179">
        <f t="shared" si="111"/>
        <v>4641.685608496402</v>
      </c>
      <c r="Q230" s="179">
        <f t="shared" si="111"/>
        <v>4917.7284216022736</v>
      </c>
    </row>
    <row r="231" spans="1:29" ht="3.75" customHeight="1" x14ac:dyDescent="0.35">
      <c r="G231" s="150"/>
    </row>
    <row r="232" spans="1:29" ht="15" customHeight="1" x14ac:dyDescent="0.35">
      <c r="B232" s="120" t="s">
        <v>233</v>
      </c>
      <c r="E232" s="171">
        <f>+E81</f>
        <v>1984.9000000000003</v>
      </c>
      <c r="F232" s="171">
        <f t="shared" ref="F232:Q232" si="112">+F81</f>
        <v>2406.8000000000002</v>
      </c>
      <c r="G232" s="209">
        <f t="shared" si="112"/>
        <v>644.30000000000075</v>
      </c>
      <c r="H232" s="171">
        <f t="shared" si="112"/>
        <v>1370.1364174060452</v>
      </c>
      <c r="I232" s="171">
        <f t="shared" si="112"/>
        <v>1804.6760345542787</v>
      </c>
      <c r="J232" s="171">
        <f t="shared" si="112"/>
        <v>2131.6057596325345</v>
      </c>
      <c r="K232" s="171">
        <f t="shared" si="112"/>
        <v>2369.5794344582891</v>
      </c>
      <c r="L232" s="171">
        <f t="shared" si="112"/>
        <v>2803.8619437755451</v>
      </c>
      <c r="M232" s="171">
        <f t="shared" si="112"/>
        <v>3123.5332147954127</v>
      </c>
      <c r="N232" s="171">
        <f t="shared" si="112"/>
        <v>3423.3658276465194</v>
      </c>
      <c r="O232" s="171">
        <f t="shared" si="112"/>
        <v>3688.8674314421887</v>
      </c>
      <c r="P232" s="171">
        <f t="shared" si="112"/>
        <v>3936.1433408793873</v>
      </c>
      <c r="Q232" s="171">
        <f t="shared" si="112"/>
        <v>4171.8831712584724</v>
      </c>
    </row>
    <row r="233" spans="1:29" ht="3.75" customHeight="1" x14ac:dyDescent="0.35">
      <c r="G233" s="150"/>
    </row>
    <row r="234" spans="1:29" ht="15" customHeight="1" x14ac:dyDescent="0.35">
      <c r="B234" s="120" t="s">
        <v>403</v>
      </c>
      <c r="E234" s="210">
        <f t="shared" ref="E234:Q234" si="113">+E123</f>
        <v>2297.5</v>
      </c>
      <c r="F234" s="210">
        <f t="shared" si="113"/>
        <v>2293.1</v>
      </c>
      <c r="G234" s="211">
        <f t="shared" si="113"/>
        <v>2104.3000000000002</v>
      </c>
      <c r="H234" s="210">
        <f t="shared" si="113"/>
        <v>1981.9359999999999</v>
      </c>
      <c r="I234" s="210">
        <f t="shared" si="113"/>
        <v>1982.1953168</v>
      </c>
      <c r="J234" s="210">
        <f t="shared" si="113"/>
        <v>2021.75990159296</v>
      </c>
      <c r="K234" s="210">
        <f t="shared" si="113"/>
        <v>1972.4632580503066</v>
      </c>
      <c r="L234" s="210">
        <f t="shared" si="113"/>
        <v>1654.8039353401177</v>
      </c>
      <c r="M234" s="210">
        <f t="shared" si="113"/>
        <v>1448.4048770123618</v>
      </c>
      <c r="N234" s="210">
        <f t="shared" si="113"/>
        <v>1287.769852584807</v>
      </c>
      <c r="O234" s="210">
        <f t="shared" si="113"/>
        <v>1163.9074872778601</v>
      </c>
      <c r="P234" s="210">
        <f t="shared" si="113"/>
        <v>1069.6304928198631</v>
      </c>
      <c r="Q234" s="210">
        <f t="shared" si="113"/>
        <v>999.19505936137818</v>
      </c>
    </row>
    <row r="235" spans="1:29" ht="4" customHeight="1" x14ac:dyDescent="0.35">
      <c r="B235" s="155"/>
      <c r="E235" s="212"/>
      <c r="F235" s="212"/>
      <c r="G235" s="213"/>
      <c r="H235" s="214"/>
      <c r="I235" s="214"/>
      <c r="J235" s="214"/>
      <c r="K235" s="214"/>
      <c r="L235" s="214"/>
      <c r="M235" s="214"/>
      <c r="N235" s="214"/>
      <c r="O235" s="214"/>
      <c r="P235" s="214"/>
      <c r="Q235" s="214"/>
    </row>
    <row r="236" spans="1:29" ht="13.5" customHeight="1" x14ac:dyDescent="0.35">
      <c r="B236" s="120" t="s">
        <v>436</v>
      </c>
      <c r="E236" s="171">
        <f>+E125</f>
        <v>323.5</v>
      </c>
      <c r="F236" s="171">
        <f t="shared" ref="F236:Q236" si="114">+F125</f>
        <v>299.8</v>
      </c>
      <c r="G236" s="209">
        <f t="shared" si="114"/>
        <v>262.7</v>
      </c>
      <c r="H236" s="171">
        <f t="shared" si="114"/>
        <v>287.71702341632016</v>
      </c>
      <c r="I236" s="171">
        <f t="shared" si="114"/>
        <v>319.69425131604731</v>
      </c>
      <c r="J236" s="171">
        <f t="shared" si="114"/>
        <v>354.08534159381423</v>
      </c>
      <c r="K236" s="171">
        <f t="shared" si="114"/>
        <v>366.19414992228826</v>
      </c>
      <c r="L236" s="171">
        <f t="shared" si="114"/>
        <v>378.63132767202501</v>
      </c>
      <c r="M236" s="171">
        <f t="shared" si="114"/>
        <v>393.00551143432358</v>
      </c>
      <c r="N236" s="171">
        <f t="shared" si="114"/>
        <v>406.90705514469499</v>
      </c>
      <c r="O236" s="171">
        <f t="shared" si="114"/>
        <v>421.46008253871133</v>
      </c>
      <c r="P236" s="171">
        <f t="shared" si="114"/>
        <v>436.78693611050471</v>
      </c>
      <c r="Q236" s="171">
        <f t="shared" si="114"/>
        <v>452.43891431508035</v>
      </c>
    </row>
    <row r="237" spans="1:29" ht="4" customHeight="1" x14ac:dyDescent="0.35">
      <c r="B237" s="155"/>
      <c r="E237" s="212"/>
      <c r="F237" s="212"/>
      <c r="G237" s="213"/>
      <c r="H237" s="214"/>
      <c r="I237" s="214"/>
      <c r="J237" s="214"/>
      <c r="K237" s="214"/>
      <c r="L237" s="214"/>
      <c r="M237" s="214"/>
      <c r="N237" s="214"/>
      <c r="O237" s="214"/>
      <c r="P237" s="214"/>
      <c r="Q237" s="214"/>
    </row>
    <row r="238" spans="1:29" ht="15" customHeight="1" x14ac:dyDescent="0.35">
      <c r="B238" s="120" t="s">
        <v>456</v>
      </c>
      <c r="E238" s="171">
        <f t="shared" ref="E238:Q238" si="115">E188</f>
        <v>-106.30000000000004</v>
      </c>
      <c r="F238" s="171">
        <f t="shared" si="115"/>
        <v>-289.5</v>
      </c>
      <c r="G238" s="209">
        <f t="shared" si="115"/>
        <v>57.099999999999994</v>
      </c>
      <c r="H238" s="171">
        <f t="shared" si="115"/>
        <v>293.40312734435474</v>
      </c>
      <c r="I238" s="171">
        <f t="shared" si="115"/>
        <v>-279.03482157004737</v>
      </c>
      <c r="J238" s="171">
        <f t="shared" si="115"/>
        <v>-237.24197047102689</v>
      </c>
      <c r="K238" s="171">
        <f t="shared" si="115"/>
        <v>-37.161577029742375</v>
      </c>
      <c r="L238" s="171">
        <f t="shared" si="115"/>
        <v>-80.460736817046609</v>
      </c>
      <c r="M238" s="171">
        <f t="shared" si="115"/>
        <v>-83.956970414486932</v>
      </c>
      <c r="N238" s="171">
        <f t="shared" si="115"/>
        <v>-78.159249854312293</v>
      </c>
      <c r="O238" s="171">
        <f t="shared" si="115"/>
        <v>-90.158426151549975</v>
      </c>
      <c r="P238" s="171">
        <f t="shared" si="115"/>
        <v>-91.338720372696571</v>
      </c>
      <c r="Q238" s="171">
        <f t="shared" si="115"/>
        <v>-93.894656430374198</v>
      </c>
    </row>
    <row r="239" spans="1:29" ht="3.75" customHeight="1" x14ac:dyDescent="0.35">
      <c r="E239" s="171"/>
      <c r="F239" s="171"/>
      <c r="G239" s="209"/>
      <c r="H239" s="171"/>
      <c r="I239" s="171"/>
      <c r="J239" s="171"/>
      <c r="K239" s="171"/>
      <c r="L239" s="171"/>
      <c r="M239" s="171"/>
      <c r="N239" s="171"/>
      <c r="O239" s="171"/>
      <c r="P239" s="171"/>
      <c r="Q239" s="171"/>
    </row>
    <row r="240" spans="1:29" ht="15" customHeight="1" x14ac:dyDescent="0.35">
      <c r="B240" s="120" t="s">
        <v>23</v>
      </c>
      <c r="E240" s="154">
        <f>E134</f>
        <v>-699</v>
      </c>
      <c r="F240" s="154">
        <f t="shared" ref="F240:G240" si="116">F134</f>
        <v>-1261</v>
      </c>
      <c r="G240" s="185">
        <f t="shared" si="116"/>
        <v>-730</v>
      </c>
      <c r="H240" s="154">
        <f t="shared" ref="H240:Q240" si="117">H190</f>
        <v>0</v>
      </c>
      <c r="I240" s="154">
        <f t="shared" si="117"/>
        <v>0</v>
      </c>
      <c r="J240" s="154">
        <f t="shared" si="117"/>
        <v>0</v>
      </c>
      <c r="K240" s="154">
        <f t="shared" si="117"/>
        <v>0</v>
      </c>
      <c r="L240" s="154">
        <f t="shared" si="117"/>
        <v>0</v>
      </c>
      <c r="M240" s="154">
        <f t="shared" si="117"/>
        <v>0</v>
      </c>
      <c r="N240" s="154">
        <f t="shared" si="117"/>
        <v>0</v>
      </c>
      <c r="O240" s="154">
        <f t="shared" si="117"/>
        <v>0</v>
      </c>
      <c r="P240" s="154">
        <f t="shared" si="117"/>
        <v>0</v>
      </c>
      <c r="Q240" s="154">
        <f t="shared" si="117"/>
        <v>0</v>
      </c>
    </row>
    <row r="241" spans="1:17" ht="3.75" customHeight="1" x14ac:dyDescent="0.35">
      <c r="G241" s="150"/>
    </row>
    <row r="242" spans="1:17" ht="15" customHeight="1" x14ac:dyDescent="0.35">
      <c r="B242" s="120" t="s">
        <v>482</v>
      </c>
      <c r="E242" s="210">
        <f>+E156-E158</f>
        <v>0</v>
      </c>
      <c r="F242" s="210">
        <f t="shared" ref="F242:G242" si="118">+F156-F158</f>
        <v>0</v>
      </c>
      <c r="G242" s="211">
        <f t="shared" si="118"/>
        <v>499.96600000000001</v>
      </c>
      <c r="H242" s="210">
        <f>IFERROR(H156-H158,"")</f>
        <v>0</v>
      </c>
      <c r="I242" s="210">
        <f t="shared" ref="I242:Q242" si="119">IFERROR(I156-I158,"")</f>
        <v>0</v>
      </c>
      <c r="J242" s="210">
        <f t="shared" si="119"/>
        <v>0</v>
      </c>
      <c r="K242" s="210">
        <f t="shared" si="119"/>
        <v>0</v>
      </c>
      <c r="L242" s="210">
        <f t="shared" si="119"/>
        <v>0</v>
      </c>
      <c r="M242" s="210">
        <f t="shared" si="119"/>
        <v>0</v>
      </c>
      <c r="N242" s="210">
        <f t="shared" si="119"/>
        <v>0</v>
      </c>
      <c r="O242" s="210">
        <f t="shared" si="119"/>
        <v>0</v>
      </c>
      <c r="P242" s="210">
        <f t="shared" si="119"/>
        <v>0</v>
      </c>
      <c r="Q242" s="210">
        <f t="shared" si="119"/>
        <v>0</v>
      </c>
    </row>
    <row r="243" spans="1:17" ht="4" customHeight="1" x14ac:dyDescent="0.35">
      <c r="G243" s="150"/>
    </row>
    <row r="244" spans="1:17" ht="15" customHeight="1" x14ac:dyDescent="0.35">
      <c r="B244" s="186" t="s">
        <v>372</v>
      </c>
      <c r="C244" s="187"/>
      <c r="D244" s="187"/>
      <c r="E244" s="188">
        <f t="shared" ref="E244:G244" si="120">+E232+E234+E236+E238+E240+E242</f>
        <v>3800.6000000000004</v>
      </c>
      <c r="F244" s="188">
        <f t="shared" si="120"/>
        <v>3449.2</v>
      </c>
      <c r="G244" s="189">
        <f t="shared" si="120"/>
        <v>2838.3660000000004</v>
      </c>
      <c r="H244" s="188">
        <f>IFERROR(+H232+H234+H236+H238+H240+H242,"")</f>
        <v>3933.1925681667199</v>
      </c>
      <c r="I244" s="188">
        <f t="shared" ref="I244:Q244" si="121">IFERROR(+I232+I234+I236+I238+I240+I242,"")</f>
        <v>3827.530781100279</v>
      </c>
      <c r="J244" s="188">
        <f t="shared" si="121"/>
        <v>4270.2090323482826</v>
      </c>
      <c r="K244" s="188">
        <f t="shared" si="121"/>
        <v>4671.0752654011421</v>
      </c>
      <c r="L244" s="188">
        <f t="shared" si="121"/>
        <v>4756.8364699706408</v>
      </c>
      <c r="M244" s="188">
        <f t="shared" si="121"/>
        <v>4880.9866328276112</v>
      </c>
      <c r="N244" s="188">
        <f t="shared" si="121"/>
        <v>5039.8834855217092</v>
      </c>
      <c r="O244" s="188">
        <f t="shared" si="121"/>
        <v>5184.0765751072104</v>
      </c>
      <c r="P244" s="188">
        <f t="shared" si="121"/>
        <v>5351.2220494370595</v>
      </c>
      <c r="Q244" s="330">
        <f t="shared" si="121"/>
        <v>5529.6224885045567</v>
      </c>
    </row>
    <row r="245" spans="1:17" ht="15" customHeight="1" x14ac:dyDescent="0.35">
      <c r="B245" s="190" t="s">
        <v>483</v>
      </c>
      <c r="C245" s="191"/>
      <c r="D245" s="191"/>
      <c r="E245" s="191"/>
      <c r="F245" s="191"/>
      <c r="G245" s="192"/>
      <c r="H245" s="193">
        <f t="shared" ref="H245:Q245" ca="1" si="122">IFERROR(H244/(1+$C$12)^H$195,"")</f>
        <v>3887.7033319345605</v>
      </c>
      <c r="I245" s="193">
        <f t="shared" ca="1" si="122"/>
        <v>3485.0159117846201</v>
      </c>
      <c r="J245" s="193">
        <f t="shared" ca="1" si="122"/>
        <v>3581.5694305250618</v>
      </c>
      <c r="K245" s="193">
        <f t="shared" ca="1" si="122"/>
        <v>3608.9367553549578</v>
      </c>
      <c r="L245" s="193">
        <f t="shared" ca="1" si="122"/>
        <v>3385.4686316497828</v>
      </c>
      <c r="M245" s="193">
        <f t="shared" ca="1" si="122"/>
        <v>3199.9733196656416</v>
      </c>
      <c r="N245" s="193">
        <f t="shared" ca="1" si="122"/>
        <v>3043.6688654111927</v>
      </c>
      <c r="O245" s="193">
        <f t="shared" ca="1" si="122"/>
        <v>2883.9417209351714</v>
      </c>
      <c r="P245" s="193">
        <f t="shared" ca="1" si="122"/>
        <v>2742.244731369603</v>
      </c>
      <c r="Q245" s="194">
        <f t="shared" ca="1" si="122"/>
        <v>2610.2787476081267</v>
      </c>
    </row>
    <row r="246" spans="1:17" ht="3.75" customHeight="1" x14ac:dyDescent="0.35">
      <c r="G246" s="150"/>
    </row>
    <row r="247" spans="1:17" ht="15" customHeight="1" x14ac:dyDescent="0.35">
      <c r="B247" s="120" t="s">
        <v>462</v>
      </c>
      <c r="G247" s="150"/>
      <c r="Q247" s="171">
        <f>IFERROR((Q244*(1+$C$13))/(WACC!$G$11-$C$13),"")</f>
        <v>64613.490167148368</v>
      </c>
    </row>
    <row r="248" spans="1:17" ht="15" customHeight="1" x14ac:dyDescent="0.35">
      <c r="B248" s="120" t="s">
        <v>463</v>
      </c>
      <c r="G248" s="150"/>
      <c r="Q248" s="215">
        <f ca="1">IFERROR(Q247/(1+WACC!$G$11)^$Q$195,"")</f>
        <v>30501.037013415833</v>
      </c>
    </row>
    <row r="249" spans="1:17" ht="15" customHeight="1" x14ac:dyDescent="0.35">
      <c r="B249" s="120" t="s">
        <v>172</v>
      </c>
      <c r="G249" s="150"/>
      <c r="Q249" s="171">
        <f ca="1">+SUM(Q248,H245:Q245)</f>
        <v>62929.838459654558</v>
      </c>
    </row>
    <row r="250" spans="1:17" ht="3.75" customHeight="1" x14ac:dyDescent="0.35">
      <c r="G250" s="150"/>
    </row>
    <row r="251" spans="1:17" ht="15" customHeight="1" x14ac:dyDescent="0.35">
      <c r="B251" s="152" t="s">
        <v>470</v>
      </c>
      <c r="G251" s="150"/>
      <c r="N251" s="204"/>
      <c r="Q251" s="205">
        <f ca="1">IFERROR(Q249/Q207,"")</f>
        <v>127.9177715289934</v>
      </c>
    </row>
    <row r="252" spans="1:17" ht="3.75" customHeight="1" x14ac:dyDescent="0.35">
      <c r="G252" s="150"/>
    </row>
    <row r="253" spans="1:17" ht="15" customHeight="1" x14ac:dyDescent="0.35">
      <c r="B253" s="152" t="s">
        <v>472</v>
      </c>
      <c r="C253" s="152"/>
      <c r="D253" s="152"/>
      <c r="E253" s="152"/>
      <c r="F253" s="152"/>
      <c r="G253" s="206"/>
      <c r="H253" s="152"/>
      <c r="I253" s="152"/>
      <c r="J253" s="152"/>
      <c r="K253" s="152"/>
      <c r="L253" s="152"/>
      <c r="M253" s="152"/>
      <c r="N253" s="152"/>
      <c r="O253" s="152"/>
      <c r="P253" s="152"/>
      <c r="Q253" s="207">
        <f ca="1">IFERROR(Q251/Q210-1,"")</f>
        <v>-0.47907732721537144</v>
      </c>
    </row>
    <row r="254" spans="1:17" s="212" customFormat="1" ht="3.75" customHeight="1" x14ac:dyDescent="0.35">
      <c r="G254" s="213"/>
    </row>
    <row r="255" spans="1:17" ht="15" customHeight="1" x14ac:dyDescent="0.35">
      <c r="A255" s="120" t="s">
        <v>358</v>
      </c>
      <c r="B255" s="52" t="s">
        <v>484</v>
      </c>
      <c r="C255" s="52"/>
      <c r="D255" s="52"/>
      <c r="E255" s="131">
        <f>+E228</f>
        <v>2022</v>
      </c>
      <c r="F255" s="131">
        <f>+F228</f>
        <v>2023</v>
      </c>
      <c r="G255" s="132">
        <f>+G228</f>
        <v>2024</v>
      </c>
      <c r="H255" s="102">
        <f t="shared" ref="H255:Q255" si="123">1+G255</f>
        <v>2025</v>
      </c>
      <c r="I255" s="102">
        <f t="shared" si="123"/>
        <v>2026</v>
      </c>
      <c r="J255" s="102">
        <f t="shared" si="123"/>
        <v>2027</v>
      </c>
      <c r="K255" s="102">
        <f t="shared" si="123"/>
        <v>2028</v>
      </c>
      <c r="L255" s="102">
        <f t="shared" si="123"/>
        <v>2029</v>
      </c>
      <c r="M255" s="102">
        <f t="shared" si="123"/>
        <v>2030</v>
      </c>
      <c r="N255" s="102">
        <f t="shared" si="123"/>
        <v>2031</v>
      </c>
      <c r="O255" s="102">
        <f t="shared" si="123"/>
        <v>2032</v>
      </c>
      <c r="P255" s="102">
        <f t="shared" si="123"/>
        <v>2033</v>
      </c>
      <c r="Q255" s="102">
        <f t="shared" si="123"/>
        <v>2034</v>
      </c>
    </row>
    <row r="256" spans="1:17" ht="3.75" customHeight="1" x14ac:dyDescent="0.35">
      <c r="B256" s="53"/>
      <c r="C256" s="53"/>
      <c r="D256" s="53"/>
      <c r="E256" s="53"/>
      <c r="F256" s="53"/>
      <c r="G256" s="208"/>
      <c r="H256" s="53"/>
      <c r="I256" s="53"/>
      <c r="J256" s="53"/>
      <c r="K256" s="53"/>
      <c r="L256" s="53"/>
      <c r="M256" s="53"/>
      <c r="N256" s="53"/>
      <c r="O256" s="53"/>
      <c r="P256" s="53"/>
      <c r="Q256" s="53"/>
    </row>
    <row r="257" spans="1:17" ht="15" customHeight="1" x14ac:dyDescent="0.35">
      <c r="B257" s="120" t="s">
        <v>374</v>
      </c>
      <c r="E257" s="171">
        <f t="shared" ref="E257:G257" si="124">+E150+E147</f>
        <v>-4121.6000000000004</v>
      </c>
      <c r="F257" s="171">
        <f t="shared" si="124"/>
        <v>-4643.1000000000004</v>
      </c>
      <c r="G257" s="209">
        <f t="shared" si="124"/>
        <v>-2411.1</v>
      </c>
      <c r="H257" s="171">
        <f>IFERROR(H150+H147,"")</f>
        <v>0</v>
      </c>
      <c r="I257" s="171">
        <f t="shared" ref="I257:Q257" si="125">IFERROR(I150+I147,"")</f>
        <v>0</v>
      </c>
      <c r="J257" s="171">
        <f t="shared" si="125"/>
        <v>0</v>
      </c>
      <c r="K257" s="171">
        <f t="shared" si="125"/>
        <v>0</v>
      </c>
      <c r="L257" s="171">
        <f t="shared" si="125"/>
        <v>0</v>
      </c>
      <c r="M257" s="171">
        <f t="shared" si="125"/>
        <v>0</v>
      </c>
      <c r="N257" s="171">
        <f t="shared" si="125"/>
        <v>0</v>
      </c>
      <c r="O257" s="171">
        <f t="shared" si="125"/>
        <v>0</v>
      </c>
      <c r="P257" s="171">
        <f t="shared" si="125"/>
        <v>0</v>
      </c>
      <c r="Q257" s="171">
        <f t="shared" si="125"/>
        <v>0</v>
      </c>
    </row>
    <row r="258" spans="1:17" ht="15" customHeight="1" x14ac:dyDescent="0.35">
      <c r="B258" s="155" t="s">
        <v>485</v>
      </c>
      <c r="E258" s="212">
        <f>IFERROR(_xlfn.XLOOKUP("Repurchase payout",$B:$B,E:E)+_xlfn.XLOOKUP("Dividend payout",$B:$B,E:E),"")</f>
        <v>2.0764774044032439</v>
      </c>
      <c r="F258" s="212">
        <f t="shared" ref="F258:Q258" si="126">IFERROR(_xlfn.XLOOKUP("Repurchase payout",$B:$B,F:F)+_xlfn.XLOOKUP("Dividend payout",$B:$B,F:F),"")</f>
        <v>1.929159049360146</v>
      </c>
      <c r="G258" s="213">
        <f t="shared" si="126"/>
        <v>3.742200838118884</v>
      </c>
      <c r="H258" s="212">
        <f t="shared" si="126"/>
        <v>0</v>
      </c>
      <c r="I258" s="212">
        <f t="shared" si="126"/>
        <v>0</v>
      </c>
      <c r="J258" s="212">
        <f t="shared" si="126"/>
        <v>0</v>
      </c>
      <c r="K258" s="212">
        <f t="shared" si="126"/>
        <v>0</v>
      </c>
      <c r="L258" s="212">
        <f t="shared" si="126"/>
        <v>0</v>
      </c>
      <c r="M258" s="212">
        <f t="shared" si="126"/>
        <v>0</v>
      </c>
      <c r="N258" s="212">
        <f t="shared" si="126"/>
        <v>0</v>
      </c>
      <c r="O258" s="212">
        <f t="shared" si="126"/>
        <v>0</v>
      </c>
      <c r="P258" s="212">
        <f t="shared" si="126"/>
        <v>0</v>
      </c>
      <c r="Q258" s="212">
        <f t="shared" si="126"/>
        <v>0</v>
      </c>
    </row>
    <row r="259" spans="1:17" ht="15" customHeight="1" x14ac:dyDescent="0.35">
      <c r="B259" s="120" t="s">
        <v>486</v>
      </c>
      <c r="E259" s="212">
        <f>IFERROR(1-E258,"")</f>
        <v>-1.0764774044032439</v>
      </c>
      <c r="F259" s="212">
        <f t="shared" ref="F259:Q259" si="127">IFERROR(1-F258,"")</f>
        <v>-0.92915904936014604</v>
      </c>
      <c r="G259" s="213">
        <f t="shared" si="127"/>
        <v>-2.742200838118884</v>
      </c>
      <c r="H259" s="212">
        <f t="shared" si="127"/>
        <v>1</v>
      </c>
      <c r="I259" s="212">
        <f t="shared" si="127"/>
        <v>1</v>
      </c>
      <c r="J259" s="212">
        <f t="shared" si="127"/>
        <v>1</v>
      </c>
      <c r="K259" s="212">
        <f t="shared" si="127"/>
        <v>1</v>
      </c>
      <c r="L259" s="212">
        <f t="shared" si="127"/>
        <v>1</v>
      </c>
      <c r="M259" s="212">
        <f t="shared" si="127"/>
        <v>1</v>
      </c>
      <c r="N259" s="212">
        <f t="shared" si="127"/>
        <v>1</v>
      </c>
      <c r="O259" s="212">
        <f t="shared" si="127"/>
        <v>1</v>
      </c>
      <c r="P259" s="212">
        <f t="shared" si="127"/>
        <v>1</v>
      </c>
      <c r="Q259" s="212">
        <f t="shared" si="127"/>
        <v>1</v>
      </c>
    </row>
    <row r="260" spans="1:17" ht="3.75" customHeight="1" x14ac:dyDescent="0.35">
      <c r="G260" s="150"/>
    </row>
    <row r="261" spans="1:17" ht="15" customHeight="1" x14ac:dyDescent="0.35">
      <c r="B261" s="216" t="s">
        <v>487</v>
      </c>
      <c r="C261" s="217"/>
      <c r="D261" s="217"/>
      <c r="E261" s="217"/>
      <c r="F261" s="217"/>
      <c r="G261" s="218"/>
      <c r="H261" s="219">
        <f ca="1">IFERROR(-H257/(1+WACC!$G$11)^H$195,"")</f>
        <v>0</v>
      </c>
      <c r="I261" s="219">
        <f ca="1">IFERROR(-I257/(1+WACC!$G$11)^I$195,"")</f>
        <v>0</v>
      </c>
      <c r="J261" s="219">
        <f ca="1">IFERROR(-J257/(1+WACC!$G$11)^J$195,"")</f>
        <v>0</v>
      </c>
      <c r="K261" s="219">
        <f ca="1">IFERROR(-K257/(1+WACC!$G$11)^K$195,"")</f>
        <v>0</v>
      </c>
      <c r="L261" s="219">
        <f ca="1">IFERROR(-L257/(1+WACC!$G$11)^L$195,"")</f>
        <v>0</v>
      </c>
      <c r="M261" s="219">
        <f ca="1">IFERROR(-M257/(1+WACC!$G$11)^M$195,"")</f>
        <v>0</v>
      </c>
      <c r="N261" s="219">
        <f ca="1">IFERROR(-N257/(1+WACC!$G$11)^N$195,"")</f>
        <v>0</v>
      </c>
      <c r="O261" s="219">
        <f ca="1">IFERROR(-O257/(1+WACC!$G$11)^O$195,"")</f>
        <v>0</v>
      </c>
      <c r="P261" s="219">
        <f ca="1">IFERROR(-P257/(1+WACC!$G$11)^P$195,"")</f>
        <v>0</v>
      </c>
      <c r="Q261" s="497">
        <f ca="1">IFERROR(-Q257/(1+WACC!$G$11)^Q$195,"")</f>
        <v>0</v>
      </c>
    </row>
    <row r="262" spans="1:17" ht="3.75" customHeight="1" x14ac:dyDescent="0.35">
      <c r="G262" s="150"/>
    </row>
    <row r="263" spans="1:17" ht="13.5" customHeight="1" x14ac:dyDescent="0.35">
      <c r="B263" s="120" t="s">
        <v>462</v>
      </c>
      <c r="G263" s="150"/>
      <c r="Q263" s="171">
        <f ca="1">IFERROR(+(Q261*(1+$C$13))/(WACC!$G$11-$C$13),"")</f>
        <v>0</v>
      </c>
    </row>
    <row r="264" spans="1:17" ht="15" customHeight="1" x14ac:dyDescent="0.35">
      <c r="B264" s="120" t="s">
        <v>463</v>
      </c>
      <c r="G264" s="150"/>
      <c r="Q264" s="215">
        <f ca="1">IFERROR(Q263/(1+$C$12)^$Q$195,"")</f>
        <v>0</v>
      </c>
    </row>
    <row r="265" spans="1:17" ht="15" customHeight="1" x14ac:dyDescent="0.35">
      <c r="B265" s="120" t="s">
        <v>172</v>
      </c>
      <c r="G265" s="150"/>
      <c r="Q265" s="171">
        <f ca="1">+SUM(Q264,H261:Q261)</f>
        <v>0</v>
      </c>
    </row>
    <row r="266" spans="1:17" ht="3.75" customHeight="1" x14ac:dyDescent="0.35">
      <c r="G266" s="150"/>
      <c r="N266" s="204"/>
    </row>
    <row r="267" spans="1:17" ht="15" customHeight="1" x14ac:dyDescent="0.35">
      <c r="B267" s="152" t="s">
        <v>470</v>
      </c>
      <c r="G267" s="150"/>
      <c r="Q267" s="205">
        <f ca="1">IFERROR(Q264/Q$207,"")</f>
        <v>0</v>
      </c>
    </row>
    <row r="268" spans="1:17" ht="3.75" customHeight="1" x14ac:dyDescent="0.35">
      <c r="B268" s="152"/>
      <c r="G268" s="150"/>
    </row>
    <row r="269" spans="1:17" ht="15" customHeight="1" x14ac:dyDescent="0.35">
      <c r="B269" s="152" t="s">
        <v>472</v>
      </c>
      <c r="C269" s="152"/>
      <c r="D269" s="152"/>
      <c r="E269" s="152"/>
      <c r="F269" s="152"/>
      <c r="G269" s="206"/>
      <c r="H269" s="152"/>
      <c r="I269" s="152"/>
      <c r="J269" s="152"/>
      <c r="K269" s="152"/>
      <c r="L269" s="152"/>
      <c r="M269" s="152"/>
      <c r="N269" s="152"/>
      <c r="O269" s="152"/>
      <c r="P269" s="152"/>
      <c r="Q269" s="220">
        <f ca="1">IFERROR(Q267/Q210-1,"")</f>
        <v>-1</v>
      </c>
    </row>
    <row r="271" spans="1:17" ht="15" customHeight="1" x14ac:dyDescent="0.35">
      <c r="A271" s="120" t="s">
        <v>358</v>
      </c>
      <c r="B271" s="69" t="s">
        <v>488</v>
      </c>
      <c r="C271" s="70"/>
      <c r="D271" s="69"/>
      <c r="E271" s="70"/>
      <c r="F271" s="70"/>
      <c r="G271" s="70"/>
      <c r="H271" s="70"/>
      <c r="I271" s="70"/>
      <c r="J271" s="98"/>
      <c r="K271" s="99"/>
      <c r="L271" s="99"/>
      <c r="M271" s="99"/>
      <c r="N271" s="99"/>
      <c r="O271" s="99"/>
    </row>
    <row r="272" spans="1:17" ht="3.75" customHeight="1" x14ac:dyDescent="0.35">
      <c r="B272" s="71"/>
      <c r="C272" s="71"/>
      <c r="D272" s="71"/>
      <c r="E272" s="71"/>
      <c r="F272" s="71"/>
      <c r="G272" s="71"/>
      <c r="H272" s="71"/>
      <c r="I272" s="71"/>
      <c r="J272" s="100"/>
      <c r="K272" s="100"/>
      <c r="L272" s="100"/>
      <c r="M272" s="100"/>
      <c r="N272" s="100"/>
      <c r="O272" s="100"/>
    </row>
    <row r="273" spans="1:49" ht="39.75" customHeight="1" x14ac:dyDescent="0.35">
      <c r="B273" s="932"/>
      <c r="C273" s="932"/>
      <c r="D273" s="909"/>
      <c r="E273" s="909"/>
      <c r="F273" s="909"/>
      <c r="G273" s="909"/>
      <c r="H273" s="909"/>
      <c r="I273" s="909"/>
      <c r="J273" s="909"/>
      <c r="K273" s="909"/>
      <c r="L273" s="909"/>
      <c r="M273" s="909"/>
      <c r="N273" s="909"/>
      <c r="O273" s="909"/>
    </row>
    <row r="274" spans="1:49" ht="39.75" customHeight="1" x14ac:dyDescent="0.35">
      <c r="B274" s="932"/>
      <c r="C274" s="932"/>
      <c r="D274" s="907"/>
      <c r="E274" s="907"/>
      <c r="F274" s="907"/>
      <c r="G274" s="907"/>
      <c r="H274" s="907"/>
      <c r="I274" s="907"/>
      <c r="J274" s="907"/>
      <c r="K274" s="907"/>
      <c r="L274" s="907"/>
      <c r="M274" s="907"/>
      <c r="N274" s="907"/>
      <c r="O274"/>
    </row>
    <row r="275" spans="1:49" ht="39.75" customHeight="1" x14ac:dyDescent="0.35">
      <c r="B275" s="932"/>
      <c r="C275" s="932"/>
      <c r="D275" s="907"/>
      <c r="E275" s="907"/>
      <c r="F275" s="907"/>
      <c r="G275" s="907"/>
      <c r="H275" s="907"/>
      <c r="I275" s="907"/>
      <c r="J275" s="907"/>
      <c r="K275" s="907"/>
      <c r="L275" s="907"/>
      <c r="M275" s="907"/>
      <c r="N275" s="907"/>
      <c r="O275"/>
    </row>
    <row r="276" spans="1:49" ht="39.75" customHeight="1" x14ac:dyDescent="0.35">
      <c r="B276" s="932"/>
      <c r="C276" s="932"/>
      <c r="D276" s="907"/>
      <c r="E276" s="907"/>
      <c r="F276" s="907"/>
      <c r="G276" s="907"/>
      <c r="H276" s="907"/>
      <c r="I276" s="907"/>
      <c r="J276" s="907"/>
      <c r="K276" s="907"/>
      <c r="L276" s="907"/>
      <c r="M276" s="907"/>
      <c r="N276" s="907"/>
      <c r="O276"/>
    </row>
    <row r="277" spans="1:49" ht="39.75" customHeight="1" x14ac:dyDescent="0.35">
      <c r="B277" s="932"/>
      <c r="C277" s="932"/>
      <c r="D277" s="909"/>
      <c r="E277" s="909"/>
      <c r="F277" s="909"/>
      <c r="G277" s="909"/>
      <c r="H277" s="909"/>
      <c r="I277" s="909"/>
      <c r="J277" s="909"/>
      <c r="K277" s="909"/>
      <c r="L277" s="909"/>
      <c r="M277" s="909"/>
      <c r="N277" s="909"/>
      <c r="O277" s="909"/>
    </row>
    <row r="278" spans="1:49" ht="39.75" customHeight="1" x14ac:dyDescent="0.35">
      <c r="B278" s="932"/>
      <c r="C278" s="932"/>
      <c r="D278" s="909"/>
      <c r="E278" s="909"/>
      <c r="F278" s="909"/>
      <c r="G278" s="909"/>
      <c r="H278" s="909"/>
      <c r="I278" s="909"/>
      <c r="J278" s="909"/>
      <c r="K278" s="909"/>
      <c r="L278" s="909"/>
      <c r="M278" s="909"/>
      <c r="N278" s="909"/>
      <c r="O278" s="909"/>
    </row>
    <row r="279" spans="1:49" ht="15" customHeight="1" x14ac:dyDescent="0.35">
      <c r="D279" s="907"/>
      <c r="E279" s="907"/>
      <c r="F279" s="907"/>
      <c r="G279" s="907"/>
      <c r="H279" s="907"/>
      <c r="I279" s="907"/>
      <c r="J279" s="907"/>
      <c r="K279" s="907"/>
      <c r="L279" s="907"/>
      <c r="M279" s="907"/>
      <c r="N279" s="907"/>
      <c r="O279"/>
    </row>
    <row r="280" spans="1:49" s="41" customFormat="1" ht="20.149999999999999" customHeight="1" x14ac:dyDescent="0.4">
      <c r="A280" s="120"/>
      <c r="B280" s="906"/>
      <c r="C280" s="906"/>
      <c r="D280" s="907"/>
      <c r="E280" s="907"/>
      <c r="F280" s="907"/>
      <c r="G280" s="907"/>
      <c r="H280" s="907"/>
      <c r="I280" s="907"/>
      <c r="J280" s="907"/>
      <c r="K280" s="907"/>
      <c r="L280" s="907"/>
      <c r="M280" s="907"/>
      <c r="N280" s="907"/>
      <c r="O280"/>
      <c r="P280" s="120"/>
      <c r="Q280" s="120"/>
      <c r="R280" s="120"/>
      <c r="S280" s="120"/>
      <c r="T280" s="120"/>
      <c r="U280" s="120"/>
      <c r="V280" s="120"/>
      <c r="W280" s="120"/>
      <c r="X280" s="120"/>
      <c r="Y280" s="120"/>
      <c r="Z280" s="120"/>
      <c r="AA280" s="120"/>
      <c r="AB280" s="120"/>
      <c r="AC280" s="120"/>
      <c r="AD280" s="120"/>
      <c r="AE280" s="120"/>
      <c r="AF280" s="120"/>
      <c r="AG280" s="120"/>
      <c r="AH280" s="120"/>
      <c r="AI280" s="120"/>
      <c r="AJ280" s="120"/>
      <c r="AK280" s="120"/>
      <c r="AN280" s="736" t="s">
        <v>489</v>
      </c>
    </row>
    <row r="282" spans="1:49" ht="15" customHeight="1" x14ac:dyDescent="0.35">
      <c r="AN282" s="649" t="str">
        <f>Peers!AM286&amp;" Stock Price - Blended Discount Rate and Terminal Growth Rate"</f>
        <v xml:space="preserve"> Stock Price - Blended Discount Rate and Terminal Growth Rate</v>
      </c>
      <c r="AO282"/>
      <c r="AP282"/>
      <c r="AQ282"/>
      <c r="AR282"/>
      <c r="AS282"/>
      <c r="AT282"/>
      <c r="AW282" s="120">
        <v>1</v>
      </c>
    </row>
    <row r="283" spans="1:49" ht="15" customHeight="1" thickBot="1" x14ac:dyDescent="0.4">
      <c r="AN283" t="s">
        <v>490</v>
      </c>
      <c r="AO283"/>
      <c r="AP283"/>
      <c r="AQ283"/>
      <c r="AR283"/>
      <c r="AS283"/>
      <c r="AT283"/>
      <c r="AW283" s="120">
        <v>2</v>
      </c>
    </row>
    <row r="284" spans="1:49" ht="15" customHeight="1" x14ac:dyDescent="0.35">
      <c r="AN284" s="647"/>
      <c r="AO284" s="648"/>
      <c r="AP284" s="737"/>
      <c r="AQ284" s="647"/>
      <c r="AR284" s="738" t="s">
        <v>381</v>
      </c>
      <c r="AS284" s="647"/>
      <c r="AT284" s="647"/>
      <c r="AW284" s="120">
        <v>3</v>
      </c>
    </row>
    <row r="285" spans="1:49" ht="15" customHeight="1" thickBot="1" x14ac:dyDescent="0.4">
      <c r="AN285" s="639"/>
      <c r="AO285" s="745">
        <f ca="1">Q208</f>
        <v>127.9353592727613</v>
      </c>
      <c r="AP285" s="652"/>
      <c r="AQ285" s="652"/>
      <c r="AR285" s="652"/>
      <c r="AS285" s="652"/>
      <c r="AT285" s="652"/>
      <c r="AW285" s="120">
        <v>4</v>
      </c>
    </row>
    <row r="286" spans="1:49" ht="15" customHeight="1" x14ac:dyDescent="0.35">
      <c r="AN286"/>
      <c r="AO286" s="644">
        <v>0.01</v>
      </c>
      <c r="AP286" s="650"/>
      <c r="AQ286" s="650"/>
      <c r="AR286" s="650"/>
      <c r="AS286" s="650"/>
      <c r="AT286" s="650"/>
      <c r="AW286" s="120">
        <v>5</v>
      </c>
    </row>
    <row r="287" spans="1:49" ht="15" customHeight="1" x14ac:dyDescent="0.4">
      <c r="AN287" s="735"/>
      <c r="AO287" s="644">
        <v>0.02</v>
      </c>
      <c r="AP287" s="650"/>
      <c r="AQ287" s="650"/>
      <c r="AR287" s="650"/>
      <c r="AS287" s="650"/>
      <c r="AT287" s="650"/>
      <c r="AW287" s="120">
        <v>6</v>
      </c>
    </row>
    <row r="288" spans="1:49" ht="15" customHeight="1" x14ac:dyDescent="0.35">
      <c r="AN288" s="24" t="s">
        <v>383</v>
      </c>
      <c r="AO288" s="644">
        <v>0.03</v>
      </c>
      <c r="AP288" s="650"/>
      <c r="AQ288" s="650"/>
      <c r="AR288" s="650"/>
      <c r="AS288" s="650"/>
      <c r="AT288" s="650"/>
      <c r="AW288" s="120">
        <v>7</v>
      </c>
    </row>
    <row r="289" spans="40:49" ht="15" customHeight="1" x14ac:dyDescent="0.35">
      <c r="AN289"/>
      <c r="AO289" s="644">
        <v>0.04</v>
      </c>
      <c r="AP289" s="650"/>
      <c r="AQ289" s="650"/>
      <c r="AR289" s="650"/>
      <c r="AS289" s="650"/>
      <c r="AT289" s="650"/>
      <c r="AW289" s="120">
        <v>8</v>
      </c>
    </row>
    <row r="290" spans="40:49" ht="15" customHeight="1" thickBot="1" x14ac:dyDescent="0.4">
      <c r="AN290" s="639"/>
      <c r="AO290" s="645">
        <v>0.05</v>
      </c>
      <c r="AP290" s="651"/>
      <c r="AQ290" s="651"/>
      <c r="AR290" s="651"/>
      <c r="AS290" s="651"/>
      <c r="AT290" s="651"/>
      <c r="AW290" s="120">
        <v>9</v>
      </c>
    </row>
    <row r="291" spans="40:49" ht="15" customHeight="1" x14ac:dyDescent="0.35">
      <c r="AN291"/>
      <c r="AO291" s="747"/>
      <c r="AP291"/>
      <c r="AQ291"/>
      <c r="AR291"/>
      <c r="AS291"/>
      <c r="AT291"/>
      <c r="AW291" s="120">
        <v>10</v>
      </c>
    </row>
    <row r="292" spans="40:49" ht="15" customHeight="1" x14ac:dyDescent="0.35">
      <c r="AN292" s="649" t="str">
        <f>Peers!AM286&amp;" Stock Price - Blended Revenue Growth and Operating Margin"</f>
        <v xml:space="preserve"> Stock Price - Blended Revenue Growth and Operating Margin</v>
      </c>
      <c r="AO292"/>
      <c r="AP292"/>
      <c r="AQ292"/>
      <c r="AR292"/>
      <c r="AS292"/>
      <c r="AT292"/>
      <c r="AW292" s="120">
        <v>11</v>
      </c>
    </row>
    <row r="293" spans="40:49" ht="15" customHeight="1" thickBot="1" x14ac:dyDescent="0.4">
      <c r="AN293" t="s">
        <v>490</v>
      </c>
      <c r="AO293"/>
      <c r="AP293"/>
      <c r="AQ293"/>
      <c r="AR293"/>
      <c r="AS293"/>
      <c r="AT293"/>
      <c r="AW293" s="120">
        <v>12</v>
      </c>
    </row>
    <row r="294" spans="40:49" ht="15" customHeight="1" x14ac:dyDescent="0.35">
      <c r="AN294" s="647"/>
      <c r="AO294" s="648"/>
      <c r="AP294" s="647"/>
      <c r="AQ294" s="653" t="s">
        <v>175</v>
      </c>
      <c r="AR294" s="647"/>
      <c r="AS294"/>
      <c r="AT294"/>
      <c r="AW294" s="120">
        <v>13</v>
      </c>
    </row>
    <row r="295" spans="40:49" ht="15" customHeight="1" thickBot="1" x14ac:dyDescent="0.4">
      <c r="AN295" s="639"/>
      <c r="AO295" s="745">
        <f ca="1">Q208</f>
        <v>127.9353592727613</v>
      </c>
      <c r="AP295" s="739">
        <v>1</v>
      </c>
      <c r="AQ295" s="739">
        <v>2</v>
      </c>
      <c r="AR295" s="739">
        <v>3</v>
      </c>
      <c r="AS295"/>
      <c r="AT295"/>
      <c r="AW295" s="120">
        <v>14</v>
      </c>
    </row>
    <row r="296" spans="40:49" ht="15" customHeight="1" x14ac:dyDescent="0.35">
      <c r="AN296"/>
      <c r="AO296" s="740">
        <v>1</v>
      </c>
      <c r="AP296"/>
      <c r="AQ296"/>
      <c r="AR296"/>
      <c r="AS296"/>
      <c r="AT296"/>
      <c r="AW296" s="120">
        <v>15</v>
      </c>
    </row>
    <row r="297" spans="40:49" ht="15" customHeight="1" x14ac:dyDescent="0.35">
      <c r="AN297" s="24" t="s">
        <v>379</v>
      </c>
      <c r="AO297" s="740">
        <v>2</v>
      </c>
      <c r="AP297"/>
      <c r="AQ297"/>
      <c r="AR297"/>
      <c r="AS297"/>
      <c r="AT297"/>
      <c r="AW297" s="120">
        <v>16</v>
      </c>
    </row>
    <row r="298" spans="40:49" ht="15" customHeight="1" thickBot="1" x14ac:dyDescent="0.4">
      <c r="AN298" s="639"/>
      <c r="AO298" s="741">
        <v>3</v>
      </c>
      <c r="AP298" s="639"/>
      <c r="AQ298" s="639"/>
      <c r="AR298" s="639"/>
      <c r="AS298"/>
      <c r="AT298"/>
      <c r="AW298" s="120">
        <v>17</v>
      </c>
    </row>
    <row r="299" spans="40:49" ht="15" customHeight="1" x14ac:dyDescent="0.35">
      <c r="AN299"/>
      <c r="AO299" s="742"/>
      <c r="AP299"/>
      <c r="AQ299"/>
      <c r="AR299"/>
      <c r="AS299"/>
      <c r="AT299"/>
      <c r="AW299" s="120">
        <v>18</v>
      </c>
    </row>
    <row r="300" spans="40:49" ht="15" customHeight="1" x14ac:dyDescent="0.35">
      <c r="AN300" s="657" t="s">
        <v>491</v>
      </c>
      <c r="AO300" s="37"/>
      <c r="AP300" s="37"/>
      <c r="AQ300" s="37"/>
      <c r="AR300" s="37"/>
      <c r="AS300" s="37"/>
      <c r="AT300" s="37"/>
      <c r="AW300" s="120">
        <v>19</v>
      </c>
    </row>
    <row r="301" spans="40:49" ht="15" customHeight="1" x14ac:dyDescent="0.35">
      <c r="AW301" s="120">
        <v>20</v>
      </c>
    </row>
    <row r="302" spans="40:49" ht="15" customHeight="1" x14ac:dyDescent="0.35">
      <c r="AW302" s="120">
        <v>21</v>
      </c>
    </row>
    <row r="303" spans="40:49" ht="15" customHeight="1" x14ac:dyDescent="0.35">
      <c r="AR303" s="127"/>
      <c r="AS303" s="127"/>
      <c r="AW303" s="120">
        <v>22</v>
      </c>
    </row>
    <row r="304" spans="40:49" ht="15" customHeight="1" x14ac:dyDescent="0.35">
      <c r="AR304" s="127"/>
      <c r="AS304" s="127"/>
      <c r="AW304" s="120">
        <v>23</v>
      </c>
    </row>
    <row r="305" spans="40:49" ht="15" customHeight="1" x14ac:dyDescent="0.35">
      <c r="AR305" s="180"/>
      <c r="AS305" s="180"/>
      <c r="AW305" s="120">
        <v>24</v>
      </c>
    </row>
    <row r="306" spans="40:49" ht="15" customHeight="1" x14ac:dyDescent="0.35">
      <c r="AW306" s="120">
        <v>25</v>
      </c>
    </row>
    <row r="307" spans="40:49" ht="15" customHeight="1" x14ac:dyDescent="0.35">
      <c r="AN307" s="152"/>
      <c r="AW307" s="120">
        <v>26</v>
      </c>
    </row>
    <row r="308" spans="40:49" ht="15" customHeight="1" x14ac:dyDescent="0.35">
      <c r="AW308" s="120">
        <v>27</v>
      </c>
    </row>
    <row r="309" spans="40:49" ht="15" customHeight="1" x14ac:dyDescent="0.35">
      <c r="AW309" s="120">
        <v>28</v>
      </c>
    </row>
    <row r="310" spans="40:49" ht="15" customHeight="1" x14ac:dyDescent="0.35">
      <c r="AW310" s="120">
        <v>29</v>
      </c>
    </row>
    <row r="311" spans="40:49" ht="15" customHeight="1" x14ac:dyDescent="0.35">
      <c r="AW311" s="120">
        <v>30</v>
      </c>
    </row>
    <row r="312" spans="40:49" ht="15" customHeight="1" x14ac:dyDescent="0.35">
      <c r="AW312" s="120">
        <v>31</v>
      </c>
    </row>
    <row r="313" spans="40:49" ht="15" customHeight="1" x14ac:dyDescent="0.35">
      <c r="AW313" s="120">
        <v>32</v>
      </c>
    </row>
    <row r="314" spans="40:49" ht="15" customHeight="1" x14ac:dyDescent="0.35">
      <c r="AW314" s="120">
        <v>33</v>
      </c>
    </row>
    <row r="315" spans="40:49" ht="15" customHeight="1" x14ac:dyDescent="0.35">
      <c r="AW315" s="120">
        <v>34</v>
      </c>
    </row>
    <row r="316" spans="40:49" ht="15" customHeight="1" x14ac:dyDescent="0.35">
      <c r="AW316" s="120">
        <v>35</v>
      </c>
    </row>
    <row r="317" spans="40:49" ht="15" customHeight="1" x14ac:dyDescent="0.35">
      <c r="AW317" s="120">
        <v>36</v>
      </c>
    </row>
    <row r="318" spans="40:49" ht="15" customHeight="1" x14ac:dyDescent="0.35">
      <c r="AW318" s="120">
        <v>37</v>
      </c>
    </row>
    <row r="319" spans="40:49" ht="15" customHeight="1" x14ac:dyDescent="0.35">
      <c r="AW319" s="120">
        <v>38</v>
      </c>
    </row>
    <row r="320" spans="40:49" ht="15" customHeight="1" x14ac:dyDescent="0.35">
      <c r="AW320" s="120">
        <v>39</v>
      </c>
    </row>
    <row r="321" spans="49:49" ht="15" customHeight="1" x14ac:dyDescent="0.35">
      <c r="AW321" s="120">
        <v>40</v>
      </c>
    </row>
    <row r="322" spans="49:49" ht="15" customHeight="1" x14ac:dyDescent="0.35">
      <c r="AW322" s="120">
        <v>41</v>
      </c>
    </row>
    <row r="323" spans="49:49" ht="15" customHeight="1" x14ac:dyDescent="0.35">
      <c r="AW323" s="120">
        <v>42</v>
      </c>
    </row>
    <row r="324" spans="49:49" ht="15" customHeight="1" x14ac:dyDescent="0.35">
      <c r="AW324" s="120">
        <v>43</v>
      </c>
    </row>
    <row r="325" spans="49:49" ht="15" customHeight="1" x14ac:dyDescent="0.35">
      <c r="AW325" s="120">
        <v>44</v>
      </c>
    </row>
    <row r="326" spans="49:49" ht="15" customHeight="1" x14ac:dyDescent="0.35">
      <c r="AW326" s="120">
        <v>45</v>
      </c>
    </row>
    <row r="327" spans="49:49" ht="15" customHeight="1" x14ac:dyDescent="0.35">
      <c r="AW327" s="120">
        <v>46</v>
      </c>
    </row>
    <row r="328" spans="49:49" ht="15" customHeight="1" x14ac:dyDescent="0.35">
      <c r="AW328" s="120">
        <v>47</v>
      </c>
    </row>
    <row r="329" spans="49:49" ht="15" customHeight="1" x14ac:dyDescent="0.35">
      <c r="AW329" s="120">
        <v>48</v>
      </c>
    </row>
    <row r="330" spans="49:49" ht="15" customHeight="1" x14ac:dyDescent="0.35">
      <c r="AW330" s="120">
        <v>49</v>
      </c>
    </row>
    <row r="331" spans="49:49" ht="15" customHeight="1" x14ac:dyDescent="0.35">
      <c r="AW331" s="120">
        <v>50</v>
      </c>
    </row>
    <row r="332" spans="49:49" ht="15" customHeight="1" x14ac:dyDescent="0.35">
      <c r="AW332" s="120">
        <v>51</v>
      </c>
    </row>
    <row r="333" spans="49:49" ht="15" customHeight="1" x14ac:dyDescent="0.35">
      <c r="AW333" s="120">
        <v>52</v>
      </c>
    </row>
    <row r="334" spans="49:49" ht="15" customHeight="1" x14ac:dyDescent="0.35">
      <c r="AW334" s="120">
        <v>53</v>
      </c>
    </row>
    <row r="335" spans="49:49" ht="15" customHeight="1" x14ac:dyDescent="0.35">
      <c r="AW335" s="120">
        <v>54</v>
      </c>
    </row>
    <row r="336" spans="49:49" ht="15" customHeight="1" x14ac:dyDescent="0.35">
      <c r="AW336" s="120">
        <v>55</v>
      </c>
    </row>
    <row r="337" spans="49:49" ht="15" customHeight="1" x14ac:dyDescent="0.35">
      <c r="AW337" s="120">
        <v>56</v>
      </c>
    </row>
    <row r="338" spans="49:49" ht="15" customHeight="1" x14ac:dyDescent="0.35">
      <c r="AW338" s="120">
        <v>57</v>
      </c>
    </row>
    <row r="339" spans="49:49" ht="15" customHeight="1" x14ac:dyDescent="0.35">
      <c r="AW339" s="120">
        <v>58</v>
      </c>
    </row>
    <row r="340" spans="49:49" ht="15" customHeight="1" x14ac:dyDescent="0.35">
      <c r="AW340" s="120">
        <v>59</v>
      </c>
    </row>
    <row r="341" spans="49:49" ht="15" customHeight="1" x14ac:dyDescent="0.35">
      <c r="AW341" s="120">
        <v>60</v>
      </c>
    </row>
    <row r="342" spans="49:49" ht="15" customHeight="1" x14ac:dyDescent="0.35">
      <c r="AW342" s="120">
        <v>61</v>
      </c>
    </row>
    <row r="343" spans="49:49" ht="15" customHeight="1" x14ac:dyDescent="0.35">
      <c r="AW343" s="120">
        <v>62</v>
      </c>
    </row>
    <row r="344" spans="49:49" ht="15" customHeight="1" x14ac:dyDescent="0.35">
      <c r="AW344" s="120">
        <v>63</v>
      </c>
    </row>
    <row r="345" spans="49:49" ht="15" customHeight="1" x14ac:dyDescent="0.35">
      <c r="AW345" s="120">
        <v>64</v>
      </c>
    </row>
    <row r="346" spans="49:49" ht="15" customHeight="1" x14ac:dyDescent="0.35">
      <c r="AW346" s="120">
        <v>65</v>
      </c>
    </row>
    <row r="347" spans="49:49" ht="15" customHeight="1" x14ac:dyDescent="0.35">
      <c r="AW347" s="120">
        <v>66</v>
      </c>
    </row>
    <row r="348" spans="49:49" ht="15" customHeight="1" x14ac:dyDescent="0.35">
      <c r="AW348" s="120">
        <v>67</v>
      </c>
    </row>
    <row r="349" spans="49:49" ht="15" customHeight="1" x14ac:dyDescent="0.35">
      <c r="AW349" s="120">
        <v>68</v>
      </c>
    </row>
    <row r="350" spans="49:49" ht="15" customHeight="1" x14ac:dyDescent="0.35">
      <c r="AW350" s="120">
        <v>69</v>
      </c>
    </row>
    <row r="351" spans="49:49" ht="15" customHeight="1" x14ac:dyDescent="0.35">
      <c r="AW351" s="120">
        <v>70</v>
      </c>
    </row>
    <row r="352" spans="49:49" ht="15" customHeight="1" x14ac:dyDescent="0.35">
      <c r="AW352" s="120">
        <v>71</v>
      </c>
    </row>
    <row r="353" spans="49:49" ht="15" customHeight="1" x14ac:dyDescent="0.35">
      <c r="AW353" s="120">
        <v>72</v>
      </c>
    </row>
    <row r="354" spans="49:49" ht="15" customHeight="1" x14ac:dyDescent="0.35">
      <c r="AW354" s="120">
        <v>73</v>
      </c>
    </row>
    <row r="355" spans="49:49" ht="15" customHeight="1" x14ac:dyDescent="0.35">
      <c r="AW355" s="120">
        <v>74</v>
      </c>
    </row>
    <row r="356" spans="49:49" ht="15" customHeight="1" x14ac:dyDescent="0.35">
      <c r="AW356" s="120">
        <v>75</v>
      </c>
    </row>
    <row r="357" spans="49:49" ht="15" customHeight="1" x14ac:dyDescent="0.35">
      <c r="AW357" s="120">
        <v>76</v>
      </c>
    </row>
    <row r="358" spans="49:49" ht="15" customHeight="1" x14ac:dyDescent="0.35">
      <c r="AW358" s="120">
        <v>77</v>
      </c>
    </row>
    <row r="359" spans="49:49" ht="15" customHeight="1" x14ac:dyDescent="0.35">
      <c r="AW359" s="120">
        <v>78</v>
      </c>
    </row>
    <row r="360" spans="49:49" ht="15" customHeight="1" x14ac:dyDescent="0.35">
      <c r="AW360" s="120">
        <v>79</v>
      </c>
    </row>
    <row r="361" spans="49:49" ht="15" customHeight="1" x14ac:dyDescent="0.35">
      <c r="AW361" s="120">
        <v>80</v>
      </c>
    </row>
    <row r="362" spans="49:49" ht="15" customHeight="1" x14ac:dyDescent="0.35">
      <c r="AW362" s="120">
        <v>81</v>
      </c>
    </row>
    <row r="363" spans="49:49" ht="15" customHeight="1" x14ac:dyDescent="0.35">
      <c r="AW363" s="120">
        <v>82</v>
      </c>
    </row>
    <row r="364" spans="49:49" ht="15" customHeight="1" x14ac:dyDescent="0.35">
      <c r="AW364" s="120">
        <v>83</v>
      </c>
    </row>
    <row r="365" spans="49:49" ht="15" customHeight="1" x14ac:dyDescent="0.35">
      <c r="AW365" s="120">
        <v>84</v>
      </c>
    </row>
    <row r="366" spans="49:49" ht="15" customHeight="1" x14ac:dyDescent="0.35">
      <c r="AW366" s="120">
        <v>85</v>
      </c>
    </row>
    <row r="367" spans="49:49" ht="15" customHeight="1" x14ac:dyDescent="0.35">
      <c r="AW367" s="120">
        <v>86</v>
      </c>
    </row>
    <row r="368" spans="49:49" ht="15" customHeight="1" x14ac:dyDescent="0.35">
      <c r="AW368" s="120">
        <v>87</v>
      </c>
    </row>
    <row r="369" spans="49:49" ht="15" customHeight="1" x14ac:dyDescent="0.35">
      <c r="AW369" s="120">
        <v>88</v>
      </c>
    </row>
    <row r="370" spans="49:49" ht="15" customHeight="1" x14ac:dyDescent="0.35">
      <c r="AW370" s="120">
        <v>89</v>
      </c>
    </row>
    <row r="371" spans="49:49" ht="15" customHeight="1" x14ac:dyDescent="0.35">
      <c r="AW371" s="120">
        <v>90</v>
      </c>
    </row>
    <row r="372" spans="49:49" ht="15" customHeight="1" x14ac:dyDescent="0.35">
      <c r="AW372" s="120">
        <v>91</v>
      </c>
    </row>
    <row r="373" spans="49:49" ht="15" customHeight="1" x14ac:dyDescent="0.35">
      <c r="AW373" s="120">
        <v>92</v>
      </c>
    </row>
    <row r="374" spans="49:49" ht="15" customHeight="1" x14ac:dyDescent="0.35">
      <c r="AW374" s="120">
        <v>93</v>
      </c>
    </row>
    <row r="375" spans="49:49" ht="15" customHeight="1" x14ac:dyDescent="0.35">
      <c r="AW375" s="120">
        <v>94</v>
      </c>
    </row>
    <row r="376" spans="49:49" ht="15" customHeight="1" x14ac:dyDescent="0.35">
      <c r="AW376" s="120">
        <v>95</v>
      </c>
    </row>
    <row r="377" spans="49:49" ht="15" customHeight="1" x14ac:dyDescent="0.35">
      <c r="AW377" s="120">
        <v>96</v>
      </c>
    </row>
    <row r="378" spans="49:49" ht="15" customHeight="1" x14ac:dyDescent="0.35">
      <c r="AW378" s="120">
        <v>97</v>
      </c>
    </row>
    <row r="379" spans="49:49" ht="15" customHeight="1" x14ac:dyDescent="0.35">
      <c r="AW379" s="120">
        <v>98</v>
      </c>
    </row>
    <row r="380" spans="49:49" ht="15" customHeight="1" x14ac:dyDescent="0.35">
      <c r="AW380" s="120">
        <v>99</v>
      </c>
    </row>
    <row r="381" spans="49:49" ht="15" customHeight="1" x14ac:dyDescent="0.35">
      <c r="AW381" s="120">
        <v>100</v>
      </c>
    </row>
    <row r="382" spans="49:49" ht="15" customHeight="1" x14ac:dyDescent="0.35">
      <c r="AW382" s="120">
        <v>101</v>
      </c>
    </row>
    <row r="383" spans="49:49" ht="15" customHeight="1" x14ac:dyDescent="0.35">
      <c r="AW383" s="120">
        <v>102</v>
      </c>
    </row>
    <row r="384" spans="49:49" ht="15" customHeight="1" x14ac:dyDescent="0.35">
      <c r="AW384" s="120">
        <v>103</v>
      </c>
    </row>
    <row r="385" spans="49:49" ht="15" customHeight="1" x14ac:dyDescent="0.35">
      <c r="AW385" s="120">
        <v>104</v>
      </c>
    </row>
    <row r="386" spans="49:49" ht="15" customHeight="1" x14ac:dyDescent="0.35">
      <c r="AW386" s="120">
        <v>105</v>
      </c>
    </row>
    <row r="387" spans="49:49" ht="15" customHeight="1" x14ac:dyDescent="0.35">
      <c r="AW387" s="120">
        <v>106</v>
      </c>
    </row>
    <row r="388" spans="49:49" ht="15" customHeight="1" x14ac:dyDescent="0.35">
      <c r="AW388" s="120">
        <v>107</v>
      </c>
    </row>
    <row r="389" spans="49:49" ht="15" customHeight="1" x14ac:dyDescent="0.35">
      <c r="AW389" s="120">
        <v>108</v>
      </c>
    </row>
    <row r="390" spans="49:49" ht="15" customHeight="1" x14ac:dyDescent="0.35">
      <c r="AW390" s="120">
        <v>109</v>
      </c>
    </row>
    <row r="391" spans="49:49" ht="15" customHeight="1" x14ac:dyDescent="0.35">
      <c r="AW391" s="120">
        <v>110</v>
      </c>
    </row>
    <row r="392" spans="49:49" ht="15" customHeight="1" x14ac:dyDescent="0.35">
      <c r="AW392" s="120">
        <v>111</v>
      </c>
    </row>
    <row r="393" spans="49:49" ht="15" customHeight="1" x14ac:dyDescent="0.35">
      <c r="AW393" s="120">
        <v>112</v>
      </c>
    </row>
    <row r="394" spans="49:49" ht="15" customHeight="1" x14ac:dyDescent="0.35">
      <c r="AW394" s="120">
        <v>113</v>
      </c>
    </row>
    <row r="395" spans="49:49" ht="15" customHeight="1" x14ac:dyDescent="0.35">
      <c r="AW395" s="120">
        <v>114</v>
      </c>
    </row>
    <row r="396" spans="49:49" ht="15" customHeight="1" x14ac:dyDescent="0.35">
      <c r="AW396" s="120">
        <v>115</v>
      </c>
    </row>
    <row r="397" spans="49:49" ht="15" customHeight="1" x14ac:dyDescent="0.35">
      <c r="AW397" s="120">
        <v>116</v>
      </c>
    </row>
    <row r="398" spans="49:49" ht="15" customHeight="1" x14ac:dyDescent="0.35">
      <c r="AW398" s="120">
        <v>117</v>
      </c>
    </row>
    <row r="399" spans="49:49" ht="15" customHeight="1" x14ac:dyDescent="0.35">
      <c r="AW399" s="120">
        <v>118</v>
      </c>
    </row>
    <row r="400" spans="49:49" ht="15" customHeight="1" x14ac:dyDescent="0.35">
      <c r="AW400" s="120">
        <v>119</v>
      </c>
    </row>
    <row r="401" spans="49:49" ht="15" customHeight="1" x14ac:dyDescent="0.35">
      <c r="AW401" s="120">
        <v>120</v>
      </c>
    </row>
    <row r="402" spans="49:49" ht="15" customHeight="1" x14ac:dyDescent="0.35">
      <c r="AW402" s="120">
        <v>121</v>
      </c>
    </row>
    <row r="403" spans="49:49" ht="15" customHeight="1" x14ac:dyDescent="0.35">
      <c r="AW403" s="120">
        <v>122</v>
      </c>
    </row>
    <row r="404" spans="49:49" ht="15" customHeight="1" x14ac:dyDescent="0.35">
      <c r="AW404" s="120">
        <v>123</v>
      </c>
    </row>
    <row r="405" spans="49:49" ht="15" customHeight="1" x14ac:dyDescent="0.35">
      <c r="AW405" s="120">
        <v>124</v>
      </c>
    </row>
    <row r="406" spans="49:49" ht="15" customHeight="1" x14ac:dyDescent="0.35">
      <c r="AW406" s="120">
        <v>125</v>
      </c>
    </row>
    <row r="407" spans="49:49" ht="15" customHeight="1" x14ac:dyDescent="0.35">
      <c r="AW407" s="120">
        <v>126</v>
      </c>
    </row>
    <row r="408" spans="49:49" ht="15" customHeight="1" x14ac:dyDescent="0.35">
      <c r="AW408" s="120">
        <v>127</v>
      </c>
    </row>
    <row r="409" spans="49:49" ht="15" customHeight="1" x14ac:dyDescent="0.35">
      <c r="AW409" s="120">
        <v>128</v>
      </c>
    </row>
    <row r="410" spans="49:49" ht="15" customHeight="1" x14ac:dyDescent="0.35">
      <c r="AW410" s="120">
        <v>129</v>
      </c>
    </row>
    <row r="411" spans="49:49" ht="15" customHeight="1" x14ac:dyDescent="0.35">
      <c r="AW411" s="120">
        <v>130</v>
      </c>
    </row>
    <row r="412" spans="49:49" ht="15" customHeight="1" x14ac:dyDescent="0.35">
      <c r="AW412" s="120">
        <v>131</v>
      </c>
    </row>
    <row r="413" spans="49:49" ht="15" customHeight="1" x14ac:dyDescent="0.35">
      <c r="AW413" s="120">
        <v>132</v>
      </c>
    </row>
    <row r="414" spans="49:49" ht="15" customHeight="1" x14ac:dyDescent="0.35">
      <c r="AW414" s="120">
        <v>133</v>
      </c>
    </row>
    <row r="415" spans="49:49" ht="15" customHeight="1" x14ac:dyDescent="0.35">
      <c r="AW415" s="120">
        <v>134</v>
      </c>
    </row>
    <row r="416" spans="49:49" ht="15" customHeight="1" x14ac:dyDescent="0.35">
      <c r="AW416" s="120">
        <v>135</v>
      </c>
    </row>
    <row r="417" spans="49:49" ht="15" customHeight="1" x14ac:dyDescent="0.35">
      <c r="AW417" s="120">
        <v>136</v>
      </c>
    </row>
    <row r="418" spans="49:49" ht="15" customHeight="1" x14ac:dyDescent="0.35">
      <c r="AW418" s="120">
        <v>137</v>
      </c>
    </row>
    <row r="419" spans="49:49" ht="15" customHeight="1" x14ac:dyDescent="0.35">
      <c r="AW419" s="120">
        <v>138</v>
      </c>
    </row>
    <row r="420" spans="49:49" ht="15" customHeight="1" x14ac:dyDescent="0.35">
      <c r="AW420" s="120">
        <v>139</v>
      </c>
    </row>
    <row r="421" spans="49:49" ht="15" customHeight="1" x14ac:dyDescent="0.35">
      <c r="AW421" s="120">
        <v>140</v>
      </c>
    </row>
    <row r="422" spans="49:49" ht="15" customHeight="1" x14ac:dyDescent="0.35">
      <c r="AW422" s="120">
        <v>141</v>
      </c>
    </row>
    <row r="423" spans="49:49" ht="15" customHeight="1" x14ac:dyDescent="0.35">
      <c r="AW423" s="120">
        <v>142</v>
      </c>
    </row>
    <row r="424" spans="49:49" ht="15" customHeight="1" x14ac:dyDescent="0.35">
      <c r="AW424" s="120">
        <v>143</v>
      </c>
    </row>
    <row r="425" spans="49:49" ht="15" customHeight="1" x14ac:dyDescent="0.35">
      <c r="AW425" s="120">
        <v>144</v>
      </c>
    </row>
    <row r="426" spans="49:49" ht="15" customHeight="1" x14ac:dyDescent="0.35">
      <c r="AW426" s="120">
        <v>145</v>
      </c>
    </row>
    <row r="427" spans="49:49" ht="15" customHeight="1" x14ac:dyDescent="0.35">
      <c r="AW427" s="120">
        <v>146</v>
      </c>
    </row>
    <row r="428" spans="49:49" ht="15" customHeight="1" x14ac:dyDescent="0.35">
      <c r="AW428" s="120">
        <v>147</v>
      </c>
    </row>
    <row r="429" spans="49:49" ht="15" customHeight="1" x14ac:dyDescent="0.35">
      <c r="AW429" s="120">
        <v>148</v>
      </c>
    </row>
    <row r="430" spans="49:49" ht="15" customHeight="1" x14ac:dyDescent="0.35">
      <c r="AW430" s="120">
        <v>149</v>
      </c>
    </row>
    <row r="431" spans="49:49" ht="15" customHeight="1" x14ac:dyDescent="0.35">
      <c r="AW431" s="120">
        <v>150</v>
      </c>
    </row>
    <row r="432" spans="49:49" ht="15" customHeight="1" x14ac:dyDescent="0.35">
      <c r="AW432" s="120">
        <v>151</v>
      </c>
    </row>
    <row r="433" spans="49:49" ht="15" customHeight="1" x14ac:dyDescent="0.35">
      <c r="AW433" s="120">
        <v>152</v>
      </c>
    </row>
    <row r="434" spans="49:49" ht="15" customHeight="1" x14ac:dyDescent="0.35">
      <c r="AW434" s="120">
        <v>153</v>
      </c>
    </row>
    <row r="435" spans="49:49" ht="15" customHeight="1" x14ac:dyDescent="0.35">
      <c r="AW435" s="120">
        <v>154</v>
      </c>
    </row>
    <row r="436" spans="49:49" ht="15" customHeight="1" x14ac:dyDescent="0.35">
      <c r="AW436" s="120">
        <v>155</v>
      </c>
    </row>
    <row r="437" spans="49:49" ht="15" customHeight="1" x14ac:dyDescent="0.35">
      <c r="AW437" s="120">
        <v>156</v>
      </c>
    </row>
    <row r="438" spans="49:49" ht="15" customHeight="1" x14ac:dyDescent="0.35">
      <c r="AW438" s="120">
        <v>157</v>
      </c>
    </row>
    <row r="439" spans="49:49" ht="15" customHeight="1" x14ac:dyDescent="0.35">
      <c r="AW439" s="120">
        <v>158</v>
      </c>
    </row>
    <row r="440" spans="49:49" ht="15" customHeight="1" x14ac:dyDescent="0.35">
      <c r="AW440" s="120">
        <v>159</v>
      </c>
    </row>
    <row r="441" spans="49:49" ht="15" customHeight="1" x14ac:dyDescent="0.35">
      <c r="AW441" s="120">
        <v>160</v>
      </c>
    </row>
    <row r="442" spans="49:49" ht="15" customHeight="1" x14ac:dyDescent="0.35">
      <c r="AW442" s="120">
        <v>161</v>
      </c>
    </row>
    <row r="443" spans="49:49" ht="15" customHeight="1" x14ac:dyDescent="0.35">
      <c r="AW443" s="120">
        <v>162</v>
      </c>
    </row>
    <row r="444" spans="49:49" ht="15" customHeight="1" x14ac:dyDescent="0.35">
      <c r="AW444" s="120">
        <v>163</v>
      </c>
    </row>
    <row r="445" spans="49:49" ht="15" customHeight="1" x14ac:dyDescent="0.35">
      <c r="AW445" s="120">
        <v>164</v>
      </c>
    </row>
    <row r="446" spans="49:49" ht="15" customHeight="1" x14ac:dyDescent="0.35">
      <c r="AW446" s="120">
        <v>165</v>
      </c>
    </row>
    <row r="447" spans="49:49" ht="15" customHeight="1" x14ac:dyDescent="0.35">
      <c r="AW447" s="120">
        <v>166</v>
      </c>
    </row>
    <row r="448" spans="49:49" ht="15" customHeight="1" x14ac:dyDescent="0.35">
      <c r="AW448" s="120">
        <v>167</v>
      </c>
    </row>
    <row r="449" spans="49:49" ht="15" customHeight="1" x14ac:dyDescent="0.35">
      <c r="AW449" s="120">
        <v>168</v>
      </c>
    </row>
    <row r="450" spans="49:49" ht="15" customHeight="1" x14ac:dyDescent="0.35">
      <c r="AW450" s="120">
        <v>169</v>
      </c>
    </row>
    <row r="451" spans="49:49" ht="15" customHeight="1" x14ac:dyDescent="0.35">
      <c r="AW451" s="120">
        <v>170</v>
      </c>
    </row>
    <row r="452" spans="49:49" ht="15" customHeight="1" x14ac:dyDescent="0.35">
      <c r="AW452" s="120">
        <v>171</v>
      </c>
    </row>
    <row r="453" spans="49:49" ht="15" customHeight="1" x14ac:dyDescent="0.35">
      <c r="AW453" s="120">
        <v>172</v>
      </c>
    </row>
    <row r="454" spans="49:49" ht="15" customHeight="1" x14ac:dyDescent="0.35">
      <c r="AW454" s="120">
        <v>173</v>
      </c>
    </row>
    <row r="455" spans="49:49" ht="15" customHeight="1" x14ac:dyDescent="0.35">
      <c r="AW455" s="120">
        <v>174</v>
      </c>
    </row>
    <row r="456" spans="49:49" ht="15" customHeight="1" x14ac:dyDescent="0.35">
      <c r="AW456" s="120">
        <v>175</v>
      </c>
    </row>
    <row r="457" spans="49:49" ht="15" customHeight="1" x14ac:dyDescent="0.35">
      <c r="AW457" s="120">
        <v>176</v>
      </c>
    </row>
    <row r="458" spans="49:49" ht="15" customHeight="1" x14ac:dyDescent="0.35">
      <c r="AW458" s="120">
        <v>177</v>
      </c>
    </row>
    <row r="459" spans="49:49" ht="15" customHeight="1" x14ac:dyDescent="0.35">
      <c r="AW459" s="120">
        <v>178</v>
      </c>
    </row>
    <row r="460" spans="49:49" ht="15" customHeight="1" x14ac:dyDescent="0.35">
      <c r="AW460" s="120">
        <v>179</v>
      </c>
    </row>
    <row r="461" spans="49:49" ht="15" customHeight="1" x14ac:dyDescent="0.35">
      <c r="AW461" s="120">
        <v>180</v>
      </c>
    </row>
    <row r="462" spans="49:49" ht="15" customHeight="1" x14ac:dyDescent="0.35">
      <c r="AW462" s="120">
        <v>181</v>
      </c>
    </row>
    <row r="463" spans="49:49" ht="15" customHeight="1" x14ac:dyDescent="0.35">
      <c r="AW463" s="120">
        <v>182</v>
      </c>
    </row>
    <row r="464" spans="49:49" ht="15" customHeight="1" x14ac:dyDescent="0.35">
      <c r="AW464" s="120">
        <v>183</v>
      </c>
    </row>
    <row r="465" spans="49:49" ht="15" customHeight="1" x14ac:dyDescent="0.35">
      <c r="AW465" s="120">
        <v>184</v>
      </c>
    </row>
    <row r="466" spans="49:49" ht="15" customHeight="1" x14ac:dyDescent="0.35">
      <c r="AW466" s="120">
        <v>185</v>
      </c>
    </row>
    <row r="467" spans="49:49" ht="15" customHeight="1" x14ac:dyDescent="0.35">
      <c r="AW467" s="120">
        <v>186</v>
      </c>
    </row>
    <row r="468" spans="49:49" ht="15" customHeight="1" x14ac:dyDescent="0.35">
      <c r="AW468" s="120">
        <v>187</v>
      </c>
    </row>
    <row r="469" spans="49:49" ht="15" customHeight="1" x14ac:dyDescent="0.35">
      <c r="AW469" s="120">
        <v>188</v>
      </c>
    </row>
    <row r="470" spans="49:49" ht="15" customHeight="1" x14ac:dyDescent="0.35">
      <c r="AW470" s="120">
        <v>189</v>
      </c>
    </row>
    <row r="471" spans="49:49" ht="15" customHeight="1" x14ac:dyDescent="0.35">
      <c r="AW471" s="120">
        <v>190</v>
      </c>
    </row>
    <row r="472" spans="49:49" ht="15" customHeight="1" x14ac:dyDescent="0.35">
      <c r="AW472" s="120">
        <v>191</v>
      </c>
    </row>
    <row r="473" spans="49:49" ht="15" customHeight="1" x14ac:dyDescent="0.35">
      <c r="AW473" s="120">
        <v>192</v>
      </c>
    </row>
    <row r="474" spans="49:49" ht="15" customHeight="1" x14ac:dyDescent="0.35">
      <c r="AW474" s="120">
        <v>193</v>
      </c>
    </row>
    <row r="475" spans="49:49" ht="15" customHeight="1" x14ac:dyDescent="0.35">
      <c r="AW475" s="120">
        <v>194</v>
      </c>
    </row>
    <row r="476" spans="49:49" ht="15" customHeight="1" x14ac:dyDescent="0.35">
      <c r="AW476" s="120">
        <v>195</v>
      </c>
    </row>
    <row r="477" spans="49:49" ht="15" customHeight="1" x14ac:dyDescent="0.35">
      <c r="AW477" s="120">
        <v>196</v>
      </c>
    </row>
    <row r="478" spans="49:49" ht="15" customHeight="1" x14ac:dyDescent="0.35">
      <c r="AW478" s="120">
        <v>197</v>
      </c>
    </row>
    <row r="479" spans="49:49" ht="15" customHeight="1" x14ac:dyDescent="0.35">
      <c r="AW479" s="120">
        <v>198</v>
      </c>
    </row>
    <row r="480" spans="49:49" ht="15" customHeight="1" x14ac:dyDescent="0.35">
      <c r="AW480" s="120">
        <v>199</v>
      </c>
    </row>
    <row r="481" spans="49:49" ht="15" customHeight="1" x14ac:dyDescent="0.35">
      <c r="AW481" s="120">
        <v>200</v>
      </c>
    </row>
    <row r="482" spans="49:49" ht="15" customHeight="1" x14ac:dyDescent="0.35">
      <c r="AW482" s="120">
        <v>201</v>
      </c>
    </row>
    <row r="483" spans="49:49" ht="15" customHeight="1" x14ac:dyDescent="0.35">
      <c r="AW483" s="120">
        <v>202</v>
      </c>
    </row>
    <row r="484" spans="49:49" ht="15" customHeight="1" x14ac:dyDescent="0.35">
      <c r="AW484" s="120">
        <v>203</v>
      </c>
    </row>
    <row r="485" spans="49:49" ht="15" customHeight="1" x14ac:dyDescent="0.35">
      <c r="AW485" s="120">
        <v>204</v>
      </c>
    </row>
    <row r="486" spans="49:49" ht="15" customHeight="1" x14ac:dyDescent="0.35">
      <c r="AW486" s="120">
        <v>205</v>
      </c>
    </row>
    <row r="487" spans="49:49" ht="15" customHeight="1" x14ac:dyDescent="0.35">
      <c r="AW487" s="120">
        <v>206</v>
      </c>
    </row>
    <row r="488" spans="49:49" ht="15" customHeight="1" x14ac:dyDescent="0.35">
      <c r="AW488" s="120">
        <v>207</v>
      </c>
    </row>
    <row r="489" spans="49:49" ht="15" customHeight="1" x14ac:dyDescent="0.35">
      <c r="AW489" s="120">
        <v>208</v>
      </c>
    </row>
    <row r="490" spans="49:49" ht="15" customHeight="1" x14ac:dyDescent="0.35">
      <c r="AW490" s="120">
        <v>209</v>
      </c>
    </row>
    <row r="491" spans="49:49" ht="15" customHeight="1" x14ac:dyDescent="0.35">
      <c r="AW491" s="120">
        <v>210</v>
      </c>
    </row>
    <row r="492" spans="49:49" ht="15" customHeight="1" x14ac:dyDescent="0.35">
      <c r="AW492" s="120">
        <v>211</v>
      </c>
    </row>
    <row r="493" spans="49:49" ht="15" customHeight="1" x14ac:dyDescent="0.35">
      <c r="AW493" s="120">
        <v>212</v>
      </c>
    </row>
    <row r="494" spans="49:49" ht="15" customHeight="1" x14ac:dyDescent="0.35">
      <c r="AW494" s="120">
        <v>213</v>
      </c>
    </row>
    <row r="495" spans="49:49" ht="15" customHeight="1" x14ac:dyDescent="0.35">
      <c r="AW495" s="120">
        <v>214</v>
      </c>
    </row>
    <row r="496" spans="49:49" ht="15" customHeight="1" x14ac:dyDescent="0.35">
      <c r="AW496" s="120">
        <v>215</v>
      </c>
    </row>
    <row r="497" spans="49:49" ht="15" customHeight="1" x14ac:dyDescent="0.35">
      <c r="AW497" s="120">
        <v>216</v>
      </c>
    </row>
    <row r="498" spans="49:49" ht="15" customHeight="1" x14ac:dyDescent="0.35">
      <c r="AW498" s="120">
        <v>217</v>
      </c>
    </row>
    <row r="499" spans="49:49" ht="15" customHeight="1" x14ac:dyDescent="0.35">
      <c r="AW499" s="120">
        <v>218</v>
      </c>
    </row>
    <row r="500" spans="49:49" ht="15" customHeight="1" x14ac:dyDescent="0.35">
      <c r="AW500" s="120">
        <v>219</v>
      </c>
    </row>
    <row r="501" spans="49:49" ht="15" customHeight="1" x14ac:dyDescent="0.35">
      <c r="AW501" s="120">
        <v>220</v>
      </c>
    </row>
    <row r="502" spans="49:49" ht="15" customHeight="1" x14ac:dyDescent="0.35">
      <c r="AW502" s="120">
        <v>221</v>
      </c>
    </row>
    <row r="503" spans="49:49" ht="15" customHeight="1" x14ac:dyDescent="0.35">
      <c r="AW503" s="120">
        <v>222</v>
      </c>
    </row>
    <row r="504" spans="49:49" ht="15" customHeight="1" x14ac:dyDescent="0.35">
      <c r="AW504" s="120">
        <v>223</v>
      </c>
    </row>
    <row r="505" spans="49:49" ht="15" customHeight="1" x14ac:dyDescent="0.35">
      <c r="AW505" s="120">
        <v>224</v>
      </c>
    </row>
    <row r="506" spans="49:49" ht="15" customHeight="1" x14ac:dyDescent="0.35">
      <c r="AW506" s="120">
        <v>225</v>
      </c>
    </row>
    <row r="507" spans="49:49" ht="15" customHeight="1" x14ac:dyDescent="0.35">
      <c r="AW507" s="120">
        <v>226</v>
      </c>
    </row>
    <row r="508" spans="49:49" ht="15" customHeight="1" x14ac:dyDescent="0.35">
      <c r="AW508" s="120">
        <v>227</v>
      </c>
    </row>
    <row r="509" spans="49:49" ht="15" customHeight="1" x14ac:dyDescent="0.35">
      <c r="AW509" s="120">
        <v>228</v>
      </c>
    </row>
    <row r="510" spans="49:49" ht="15" customHeight="1" x14ac:dyDescent="0.35">
      <c r="AW510" s="120">
        <v>229</v>
      </c>
    </row>
    <row r="511" spans="49:49" ht="15" customHeight="1" x14ac:dyDescent="0.35">
      <c r="AW511" s="120">
        <v>230</v>
      </c>
    </row>
    <row r="512" spans="49:49" ht="15" customHeight="1" x14ac:dyDescent="0.35">
      <c r="AW512" s="120">
        <v>231</v>
      </c>
    </row>
    <row r="513" spans="49:49" ht="15" customHeight="1" x14ac:dyDescent="0.35">
      <c r="AW513" s="120">
        <v>232</v>
      </c>
    </row>
    <row r="514" spans="49:49" ht="15" customHeight="1" x14ac:dyDescent="0.35">
      <c r="AW514" s="120">
        <v>233</v>
      </c>
    </row>
    <row r="515" spans="49:49" ht="15" customHeight="1" x14ac:dyDescent="0.35">
      <c r="AW515" s="120">
        <v>234</v>
      </c>
    </row>
    <row r="516" spans="49:49" ht="15" customHeight="1" x14ac:dyDescent="0.35">
      <c r="AW516" s="120">
        <v>235</v>
      </c>
    </row>
    <row r="517" spans="49:49" ht="15" customHeight="1" x14ac:dyDescent="0.35">
      <c r="AW517" s="120">
        <v>236</v>
      </c>
    </row>
    <row r="518" spans="49:49" ht="15" customHeight="1" x14ac:dyDescent="0.35">
      <c r="AW518" s="120">
        <v>237</v>
      </c>
    </row>
    <row r="519" spans="49:49" ht="15" customHeight="1" x14ac:dyDescent="0.35">
      <c r="AW519" s="120">
        <v>238</v>
      </c>
    </row>
    <row r="520" spans="49:49" ht="15" customHeight="1" x14ac:dyDescent="0.35">
      <c r="AW520" s="120">
        <v>239</v>
      </c>
    </row>
    <row r="521" spans="49:49" ht="15" customHeight="1" x14ac:dyDescent="0.35">
      <c r="AW521" s="120">
        <v>240</v>
      </c>
    </row>
    <row r="522" spans="49:49" ht="15" customHeight="1" x14ac:dyDescent="0.35">
      <c r="AW522" s="120">
        <v>241</v>
      </c>
    </row>
    <row r="523" spans="49:49" ht="15" customHeight="1" x14ac:dyDescent="0.35">
      <c r="AW523" s="120">
        <v>242</v>
      </c>
    </row>
    <row r="524" spans="49:49" ht="15" customHeight="1" x14ac:dyDescent="0.35">
      <c r="AW524" s="120">
        <v>243</v>
      </c>
    </row>
    <row r="525" spans="49:49" ht="15" customHeight="1" x14ac:dyDescent="0.35">
      <c r="AW525" s="120">
        <v>244</v>
      </c>
    </row>
    <row r="526" spans="49:49" ht="15" customHeight="1" x14ac:dyDescent="0.35">
      <c r="AW526" s="120">
        <v>245</v>
      </c>
    </row>
    <row r="527" spans="49:49" ht="15" customHeight="1" x14ac:dyDescent="0.35">
      <c r="AW527" s="120">
        <v>246</v>
      </c>
    </row>
    <row r="528" spans="49:49" ht="15" customHeight="1" x14ac:dyDescent="0.35">
      <c r="AW528" s="120">
        <v>247</v>
      </c>
    </row>
    <row r="529" spans="49:49" ht="15" customHeight="1" x14ac:dyDescent="0.35">
      <c r="AW529" s="120">
        <v>248</v>
      </c>
    </row>
    <row r="530" spans="49:49" ht="15" customHeight="1" x14ac:dyDescent="0.35">
      <c r="AW530" s="120">
        <v>249</v>
      </c>
    </row>
    <row r="531" spans="49:49" ht="15" customHeight="1" x14ac:dyDescent="0.35">
      <c r="AW531" s="120">
        <v>250</v>
      </c>
    </row>
    <row r="532" spans="49:49" ht="15" customHeight="1" x14ac:dyDescent="0.35">
      <c r="AW532" s="120">
        <v>251</v>
      </c>
    </row>
    <row r="533" spans="49:49" ht="15" customHeight="1" x14ac:dyDescent="0.35">
      <c r="AW533" s="120">
        <v>252</v>
      </c>
    </row>
    <row r="534" spans="49:49" ht="15" customHeight="1" x14ac:dyDescent="0.35">
      <c r="AW534" s="120">
        <v>253</v>
      </c>
    </row>
    <row r="535" spans="49:49" ht="15" customHeight="1" x14ac:dyDescent="0.35">
      <c r="AW535" s="120">
        <v>254</v>
      </c>
    </row>
    <row r="536" spans="49:49" ht="15" customHeight="1" x14ac:dyDescent="0.35">
      <c r="AW536" s="120">
        <v>255</v>
      </c>
    </row>
    <row r="537" spans="49:49" ht="15" customHeight="1" x14ac:dyDescent="0.35">
      <c r="AW537" s="120">
        <v>256</v>
      </c>
    </row>
    <row r="538" spans="49:49" ht="15" customHeight="1" x14ac:dyDescent="0.35">
      <c r="AW538" s="120">
        <v>257</v>
      </c>
    </row>
    <row r="539" spans="49:49" ht="15" customHeight="1" x14ac:dyDescent="0.35">
      <c r="AW539" s="120">
        <v>258</v>
      </c>
    </row>
    <row r="540" spans="49:49" ht="15" customHeight="1" x14ac:dyDescent="0.35">
      <c r="AW540" s="120">
        <v>259</v>
      </c>
    </row>
    <row r="541" spans="49:49" ht="15" customHeight="1" x14ac:dyDescent="0.35">
      <c r="AW541" s="120">
        <v>260</v>
      </c>
    </row>
    <row r="542" spans="49:49" ht="15" customHeight="1" x14ac:dyDescent="0.35">
      <c r="AW542" s="120">
        <v>261</v>
      </c>
    </row>
    <row r="543" spans="49:49" ht="15" customHeight="1" x14ac:dyDescent="0.35">
      <c r="AW543" s="120">
        <v>262</v>
      </c>
    </row>
    <row r="544" spans="49:49" ht="15" customHeight="1" x14ac:dyDescent="0.35">
      <c r="AW544" s="120">
        <v>263</v>
      </c>
    </row>
    <row r="545" spans="49:49" ht="15" customHeight="1" x14ac:dyDescent="0.35">
      <c r="AW545" s="120">
        <v>264</v>
      </c>
    </row>
    <row r="546" spans="49:49" ht="15" customHeight="1" x14ac:dyDescent="0.35">
      <c r="AW546" s="120">
        <v>265</v>
      </c>
    </row>
    <row r="547" spans="49:49" ht="15" customHeight="1" x14ac:dyDescent="0.35">
      <c r="AW547" s="120">
        <v>266</v>
      </c>
    </row>
    <row r="548" spans="49:49" ht="15" customHeight="1" x14ac:dyDescent="0.35">
      <c r="AW548" s="120">
        <v>267</v>
      </c>
    </row>
    <row r="549" spans="49:49" ht="15" customHeight="1" x14ac:dyDescent="0.35">
      <c r="AW549" s="120">
        <v>268</v>
      </c>
    </row>
    <row r="550" spans="49:49" ht="15" customHeight="1" x14ac:dyDescent="0.35">
      <c r="AW550" s="120">
        <v>269</v>
      </c>
    </row>
    <row r="551" spans="49:49" ht="15" customHeight="1" x14ac:dyDescent="0.35">
      <c r="AW551" s="120">
        <v>270</v>
      </c>
    </row>
    <row r="552" spans="49:49" ht="15" customHeight="1" x14ac:dyDescent="0.35">
      <c r="AW552" s="120">
        <v>271</v>
      </c>
    </row>
    <row r="553" spans="49:49" ht="15" customHeight="1" x14ac:dyDescent="0.35">
      <c r="AW553" s="120">
        <v>272</v>
      </c>
    </row>
    <row r="554" spans="49:49" ht="15" customHeight="1" x14ac:dyDescent="0.35">
      <c r="AW554" s="120">
        <v>273</v>
      </c>
    </row>
    <row r="555" spans="49:49" ht="15" customHeight="1" x14ac:dyDescent="0.35">
      <c r="AW555" s="120">
        <v>274</v>
      </c>
    </row>
    <row r="556" spans="49:49" ht="15" customHeight="1" x14ac:dyDescent="0.35">
      <c r="AW556" s="120">
        <v>275</v>
      </c>
    </row>
    <row r="557" spans="49:49" ht="15" customHeight="1" x14ac:dyDescent="0.35">
      <c r="AW557" s="120">
        <v>276</v>
      </c>
    </row>
    <row r="558" spans="49:49" ht="15" customHeight="1" x14ac:dyDescent="0.35">
      <c r="AW558" s="120">
        <v>277</v>
      </c>
    </row>
    <row r="559" spans="49:49" ht="15" customHeight="1" x14ac:dyDescent="0.35">
      <c r="AW559" s="120">
        <v>278</v>
      </c>
    </row>
    <row r="560" spans="49:49" ht="15" customHeight="1" x14ac:dyDescent="0.35">
      <c r="AW560" s="120">
        <v>279</v>
      </c>
    </row>
    <row r="561" spans="49:49" ht="15" customHeight="1" x14ac:dyDescent="0.35">
      <c r="AW561" s="120">
        <v>280</v>
      </c>
    </row>
    <row r="562" spans="49:49" ht="15" customHeight="1" x14ac:dyDescent="0.35">
      <c r="AW562" s="120">
        <v>281</v>
      </c>
    </row>
    <row r="563" spans="49:49" ht="15" customHeight="1" x14ac:dyDescent="0.35">
      <c r="AW563" s="120">
        <v>282</v>
      </c>
    </row>
    <row r="564" spans="49:49" ht="15" customHeight="1" x14ac:dyDescent="0.35">
      <c r="AW564" s="120">
        <v>283</v>
      </c>
    </row>
    <row r="565" spans="49:49" ht="15" customHeight="1" x14ac:dyDescent="0.35">
      <c r="AW565" s="120">
        <v>284</v>
      </c>
    </row>
    <row r="566" spans="49:49" ht="15" customHeight="1" x14ac:dyDescent="0.35">
      <c r="AW566" s="120">
        <v>285</v>
      </c>
    </row>
    <row r="567" spans="49:49" ht="15" customHeight="1" x14ac:dyDescent="0.35">
      <c r="AW567" s="120">
        <v>286</v>
      </c>
    </row>
    <row r="568" spans="49:49" ht="15" customHeight="1" x14ac:dyDescent="0.35">
      <c r="AW568" s="120">
        <v>287</v>
      </c>
    </row>
    <row r="569" spans="49:49" ht="15" customHeight="1" x14ac:dyDescent="0.35">
      <c r="AW569" s="120">
        <v>288</v>
      </c>
    </row>
    <row r="570" spans="49:49" ht="15" customHeight="1" x14ac:dyDescent="0.35">
      <c r="AW570" s="120">
        <v>289</v>
      </c>
    </row>
    <row r="571" spans="49:49" ht="15" customHeight="1" x14ac:dyDescent="0.35">
      <c r="AW571" s="120">
        <v>290</v>
      </c>
    </row>
    <row r="572" spans="49:49" ht="15" customHeight="1" x14ac:dyDescent="0.35">
      <c r="AW572" s="120">
        <v>291</v>
      </c>
    </row>
    <row r="573" spans="49:49" ht="15" customHeight="1" x14ac:dyDescent="0.35">
      <c r="AW573" s="120">
        <v>292</v>
      </c>
    </row>
    <row r="574" spans="49:49" ht="15" customHeight="1" x14ac:dyDescent="0.35">
      <c r="AW574" s="120">
        <v>293</v>
      </c>
    </row>
    <row r="575" spans="49:49" ht="15" customHeight="1" x14ac:dyDescent="0.35">
      <c r="AW575" s="120">
        <v>294</v>
      </c>
    </row>
    <row r="576" spans="49:49" ht="15" customHeight="1" x14ac:dyDescent="0.35">
      <c r="AW576" s="120">
        <v>295</v>
      </c>
    </row>
    <row r="577" spans="49:49" ht="15" customHeight="1" x14ac:dyDescent="0.35">
      <c r="AW577" s="120">
        <v>296</v>
      </c>
    </row>
    <row r="578" spans="49:49" ht="15" customHeight="1" x14ac:dyDescent="0.35">
      <c r="AW578" s="120">
        <v>297</v>
      </c>
    </row>
    <row r="579" spans="49:49" ht="15" customHeight="1" x14ac:dyDescent="0.35">
      <c r="AW579" s="120">
        <v>298</v>
      </c>
    </row>
    <row r="580" spans="49:49" ht="15" customHeight="1" x14ac:dyDescent="0.35">
      <c r="AW580" s="120">
        <v>299</v>
      </c>
    </row>
    <row r="581" spans="49:49" ht="15" customHeight="1" x14ac:dyDescent="0.35">
      <c r="AW581" s="120">
        <v>300</v>
      </c>
    </row>
    <row r="582" spans="49:49" ht="15" customHeight="1" x14ac:dyDescent="0.35">
      <c r="AW582" s="120">
        <v>301</v>
      </c>
    </row>
    <row r="583" spans="49:49" ht="15" customHeight="1" x14ac:dyDescent="0.35">
      <c r="AW583" s="120">
        <v>302</v>
      </c>
    </row>
    <row r="584" spans="49:49" ht="15" customHeight="1" x14ac:dyDescent="0.35">
      <c r="AW584" s="120">
        <v>303</v>
      </c>
    </row>
    <row r="585" spans="49:49" ht="15" customHeight="1" x14ac:dyDescent="0.35">
      <c r="AW585" s="120">
        <v>304</v>
      </c>
    </row>
    <row r="586" spans="49:49" ht="15" customHeight="1" x14ac:dyDescent="0.35">
      <c r="AW586" s="120">
        <v>305</v>
      </c>
    </row>
    <row r="587" spans="49:49" ht="15" customHeight="1" x14ac:dyDescent="0.35">
      <c r="AW587" s="120">
        <v>306</v>
      </c>
    </row>
    <row r="588" spans="49:49" ht="15" customHeight="1" x14ac:dyDescent="0.35">
      <c r="AW588" s="120">
        <v>307</v>
      </c>
    </row>
    <row r="589" spans="49:49" ht="15" customHeight="1" x14ac:dyDescent="0.35">
      <c r="AW589" s="120">
        <v>308</v>
      </c>
    </row>
    <row r="590" spans="49:49" ht="15" customHeight="1" x14ac:dyDescent="0.35">
      <c r="AW590" s="120">
        <v>309</v>
      </c>
    </row>
    <row r="591" spans="49:49" ht="15" customHeight="1" x14ac:dyDescent="0.35">
      <c r="AW591" s="120">
        <v>310</v>
      </c>
    </row>
    <row r="592" spans="49:49" ht="15" customHeight="1" x14ac:dyDescent="0.35">
      <c r="AW592" s="120">
        <v>311</v>
      </c>
    </row>
    <row r="593" spans="49:49" ht="15" customHeight="1" x14ac:dyDescent="0.35">
      <c r="AW593" s="120">
        <v>312</v>
      </c>
    </row>
    <row r="594" spans="49:49" ht="15" customHeight="1" x14ac:dyDescent="0.35">
      <c r="AW594" s="120">
        <v>313</v>
      </c>
    </row>
    <row r="595" spans="49:49" ht="15" customHeight="1" x14ac:dyDescent="0.35">
      <c r="AW595" s="120">
        <v>314</v>
      </c>
    </row>
    <row r="596" spans="49:49" ht="15" customHeight="1" x14ac:dyDescent="0.35">
      <c r="AW596" s="120">
        <v>315</v>
      </c>
    </row>
    <row r="597" spans="49:49" ht="15" customHeight="1" x14ac:dyDescent="0.35">
      <c r="AW597" s="120">
        <v>316</v>
      </c>
    </row>
    <row r="598" spans="49:49" ht="15" customHeight="1" x14ac:dyDescent="0.35">
      <c r="AW598" s="120">
        <v>317</v>
      </c>
    </row>
    <row r="599" spans="49:49" ht="15" customHeight="1" x14ac:dyDescent="0.35">
      <c r="AW599" s="120">
        <v>318</v>
      </c>
    </row>
    <row r="600" spans="49:49" ht="15" customHeight="1" x14ac:dyDescent="0.35">
      <c r="AW600" s="120">
        <v>319</v>
      </c>
    </row>
    <row r="601" spans="49:49" ht="15" customHeight="1" x14ac:dyDescent="0.35">
      <c r="AW601" s="120">
        <v>320</v>
      </c>
    </row>
    <row r="602" spans="49:49" ht="15" customHeight="1" x14ac:dyDescent="0.35">
      <c r="AW602" s="120">
        <v>321</v>
      </c>
    </row>
    <row r="603" spans="49:49" ht="15" customHeight="1" x14ac:dyDescent="0.35">
      <c r="AW603" s="120">
        <v>322</v>
      </c>
    </row>
    <row r="604" spans="49:49" ht="15" customHeight="1" x14ac:dyDescent="0.35">
      <c r="AW604" s="120">
        <v>323</v>
      </c>
    </row>
    <row r="605" spans="49:49" ht="15" customHeight="1" x14ac:dyDescent="0.35">
      <c r="AW605" s="120">
        <v>324</v>
      </c>
    </row>
    <row r="606" spans="49:49" ht="15" customHeight="1" x14ac:dyDescent="0.35">
      <c r="AW606" s="120">
        <v>325</v>
      </c>
    </row>
    <row r="607" spans="49:49" ht="15" customHeight="1" x14ac:dyDescent="0.35">
      <c r="AW607" s="120">
        <v>326</v>
      </c>
    </row>
    <row r="608" spans="49:49" ht="15" customHeight="1" x14ac:dyDescent="0.35">
      <c r="AW608" s="120">
        <v>327</v>
      </c>
    </row>
    <row r="609" spans="49:49" ht="15" customHeight="1" x14ac:dyDescent="0.35">
      <c r="AW609" s="120">
        <v>328</v>
      </c>
    </row>
    <row r="610" spans="49:49" ht="15" customHeight="1" x14ac:dyDescent="0.35">
      <c r="AW610" s="120">
        <v>329</v>
      </c>
    </row>
    <row r="611" spans="49:49" ht="15" customHeight="1" x14ac:dyDescent="0.35">
      <c r="AW611" s="120">
        <v>330</v>
      </c>
    </row>
    <row r="612" spans="49:49" ht="15" customHeight="1" x14ac:dyDescent="0.35">
      <c r="AW612" s="120">
        <v>331</v>
      </c>
    </row>
    <row r="613" spans="49:49" ht="15" customHeight="1" x14ac:dyDescent="0.35">
      <c r="AW613" s="120">
        <v>332</v>
      </c>
    </row>
    <row r="614" spans="49:49" ht="15" customHeight="1" x14ac:dyDescent="0.35">
      <c r="AW614" s="120">
        <v>333</v>
      </c>
    </row>
    <row r="615" spans="49:49" ht="15" customHeight="1" x14ac:dyDescent="0.35">
      <c r="AW615" s="120">
        <v>334</v>
      </c>
    </row>
    <row r="616" spans="49:49" ht="15" customHeight="1" x14ac:dyDescent="0.35">
      <c r="AW616" s="120">
        <v>335</v>
      </c>
    </row>
    <row r="617" spans="49:49" ht="15" customHeight="1" x14ac:dyDescent="0.35">
      <c r="AW617" s="120">
        <v>336</v>
      </c>
    </row>
    <row r="618" spans="49:49" ht="15" customHeight="1" x14ac:dyDescent="0.35">
      <c r="AW618" s="120">
        <v>337</v>
      </c>
    </row>
    <row r="619" spans="49:49" ht="15" customHeight="1" x14ac:dyDescent="0.35">
      <c r="AW619" s="120">
        <v>338</v>
      </c>
    </row>
    <row r="620" spans="49:49" ht="15" customHeight="1" x14ac:dyDescent="0.35">
      <c r="AW620" s="120">
        <v>339</v>
      </c>
    </row>
    <row r="621" spans="49:49" ht="15" customHeight="1" x14ac:dyDescent="0.35">
      <c r="AW621" s="120">
        <v>340</v>
      </c>
    </row>
    <row r="622" spans="49:49" ht="15" customHeight="1" x14ac:dyDescent="0.35">
      <c r="AW622" s="120">
        <v>341</v>
      </c>
    </row>
    <row r="623" spans="49:49" ht="15" customHeight="1" x14ac:dyDescent="0.35">
      <c r="AW623" s="120">
        <v>342</v>
      </c>
    </row>
    <row r="624" spans="49:49" ht="15" customHeight="1" x14ac:dyDescent="0.35">
      <c r="AW624" s="120">
        <v>343</v>
      </c>
    </row>
    <row r="625" spans="49:49" ht="15" customHeight="1" x14ac:dyDescent="0.35">
      <c r="AW625" s="120">
        <v>344</v>
      </c>
    </row>
    <row r="626" spans="49:49" ht="15" customHeight="1" x14ac:dyDescent="0.35">
      <c r="AW626" s="120">
        <v>345</v>
      </c>
    </row>
    <row r="627" spans="49:49" ht="15" customHeight="1" x14ac:dyDescent="0.35">
      <c r="AW627" s="120">
        <v>346</v>
      </c>
    </row>
    <row r="628" spans="49:49" ht="15" customHeight="1" x14ac:dyDescent="0.35">
      <c r="AW628" s="120">
        <v>347</v>
      </c>
    </row>
    <row r="629" spans="49:49" ht="15" customHeight="1" x14ac:dyDescent="0.35">
      <c r="AW629" s="120">
        <v>348</v>
      </c>
    </row>
    <row r="630" spans="49:49" ht="15" customHeight="1" x14ac:dyDescent="0.35">
      <c r="AW630" s="120">
        <v>349</v>
      </c>
    </row>
    <row r="631" spans="49:49" ht="15" customHeight="1" x14ac:dyDescent="0.35">
      <c r="AW631" s="120">
        <v>350</v>
      </c>
    </row>
    <row r="632" spans="49:49" ht="15" customHeight="1" x14ac:dyDescent="0.35">
      <c r="AW632" s="120">
        <v>351</v>
      </c>
    </row>
    <row r="633" spans="49:49" ht="15" customHeight="1" x14ac:dyDescent="0.35">
      <c r="AW633" s="120">
        <v>352</v>
      </c>
    </row>
    <row r="634" spans="49:49" ht="15" customHeight="1" x14ac:dyDescent="0.35">
      <c r="AW634" s="120">
        <v>353</v>
      </c>
    </row>
    <row r="635" spans="49:49" ht="15" customHeight="1" x14ac:dyDescent="0.35">
      <c r="AW635" s="120">
        <v>354</v>
      </c>
    </row>
    <row r="636" spans="49:49" ht="15" customHeight="1" x14ac:dyDescent="0.35">
      <c r="AW636" s="120">
        <v>355</v>
      </c>
    </row>
    <row r="637" spans="49:49" ht="15" customHeight="1" x14ac:dyDescent="0.35">
      <c r="AW637" s="120">
        <v>356</v>
      </c>
    </row>
    <row r="638" spans="49:49" ht="15" customHeight="1" x14ac:dyDescent="0.35">
      <c r="AW638" s="120">
        <v>357</v>
      </c>
    </row>
    <row r="639" spans="49:49" ht="15" customHeight="1" x14ac:dyDescent="0.35">
      <c r="AW639" s="120">
        <v>358</v>
      </c>
    </row>
    <row r="640" spans="49:49" ht="15" customHeight="1" x14ac:dyDescent="0.35">
      <c r="AW640" s="120">
        <v>359</v>
      </c>
    </row>
    <row r="641" spans="49:49" ht="15" customHeight="1" x14ac:dyDescent="0.35">
      <c r="AW641" s="120">
        <v>360</v>
      </c>
    </row>
    <row r="642" spans="49:49" ht="15" customHeight="1" x14ac:dyDescent="0.35">
      <c r="AW642" s="120">
        <v>361</v>
      </c>
    </row>
    <row r="643" spans="49:49" ht="15" customHeight="1" x14ac:dyDescent="0.35">
      <c r="AW643" s="120">
        <v>362</v>
      </c>
    </row>
    <row r="644" spans="49:49" ht="15" customHeight="1" x14ac:dyDescent="0.35">
      <c r="AW644" s="120">
        <v>363</v>
      </c>
    </row>
    <row r="645" spans="49:49" ht="15" customHeight="1" x14ac:dyDescent="0.35">
      <c r="AW645" s="120">
        <v>364</v>
      </c>
    </row>
    <row r="646" spans="49:49" ht="15" customHeight="1" x14ac:dyDescent="0.35">
      <c r="AW646" s="120">
        <v>365</v>
      </c>
    </row>
    <row r="647" spans="49:49" ht="15" customHeight="1" x14ac:dyDescent="0.35">
      <c r="AW647" s="120">
        <v>366</v>
      </c>
    </row>
    <row r="648" spans="49:49" ht="15" customHeight="1" x14ac:dyDescent="0.35">
      <c r="AW648" s="120">
        <v>367</v>
      </c>
    </row>
    <row r="649" spans="49:49" ht="15" customHeight="1" x14ac:dyDescent="0.35">
      <c r="AW649" s="120">
        <v>368</v>
      </c>
    </row>
    <row r="650" spans="49:49" ht="15" customHeight="1" x14ac:dyDescent="0.35">
      <c r="AW650" s="120">
        <v>369</v>
      </c>
    </row>
    <row r="651" spans="49:49" ht="15" customHeight="1" x14ac:dyDescent="0.35">
      <c r="AW651" s="120">
        <v>370</v>
      </c>
    </row>
    <row r="652" spans="49:49" ht="15" customHeight="1" x14ac:dyDescent="0.35">
      <c r="AW652" s="120">
        <v>371</v>
      </c>
    </row>
    <row r="653" spans="49:49" ht="15" customHeight="1" x14ac:dyDescent="0.35">
      <c r="AW653" s="120">
        <v>372</v>
      </c>
    </row>
    <row r="654" spans="49:49" ht="15" customHeight="1" x14ac:dyDescent="0.35">
      <c r="AW654" s="120">
        <v>373</v>
      </c>
    </row>
    <row r="655" spans="49:49" ht="15" customHeight="1" x14ac:dyDescent="0.35">
      <c r="AW655" s="120">
        <v>374</v>
      </c>
    </row>
    <row r="656" spans="49:49" ht="15" customHeight="1" x14ac:dyDescent="0.35">
      <c r="AW656" s="120">
        <v>375</v>
      </c>
    </row>
    <row r="657" spans="49:49" ht="15" customHeight="1" x14ac:dyDescent="0.35">
      <c r="AW657" s="120">
        <v>376</v>
      </c>
    </row>
    <row r="658" spans="49:49" ht="15" customHeight="1" x14ac:dyDescent="0.35">
      <c r="AW658" s="120">
        <v>377</v>
      </c>
    </row>
    <row r="659" spans="49:49" ht="15" customHeight="1" x14ac:dyDescent="0.35">
      <c r="AW659" s="120">
        <v>378</v>
      </c>
    </row>
    <row r="660" spans="49:49" ht="15" customHeight="1" x14ac:dyDescent="0.35">
      <c r="AW660" s="120">
        <v>379</v>
      </c>
    </row>
    <row r="661" spans="49:49" ht="15" customHeight="1" x14ac:dyDescent="0.35">
      <c r="AW661" s="120">
        <v>380</v>
      </c>
    </row>
    <row r="662" spans="49:49" ht="15" customHeight="1" x14ac:dyDescent="0.35">
      <c r="AW662" s="120">
        <v>381</v>
      </c>
    </row>
    <row r="663" spans="49:49" ht="15" customHeight="1" x14ac:dyDescent="0.35">
      <c r="AW663" s="120">
        <v>382</v>
      </c>
    </row>
    <row r="664" spans="49:49" ht="15" customHeight="1" x14ac:dyDescent="0.35">
      <c r="AW664" s="120">
        <v>383</v>
      </c>
    </row>
    <row r="665" spans="49:49" ht="15" customHeight="1" x14ac:dyDescent="0.35">
      <c r="AW665" s="120">
        <v>384</v>
      </c>
    </row>
    <row r="666" spans="49:49" ht="15" customHeight="1" x14ac:dyDescent="0.35">
      <c r="AW666" s="120">
        <v>385</v>
      </c>
    </row>
    <row r="667" spans="49:49" ht="15" customHeight="1" x14ac:dyDescent="0.35">
      <c r="AW667" s="120">
        <v>386</v>
      </c>
    </row>
    <row r="668" spans="49:49" ht="15" customHeight="1" x14ac:dyDescent="0.35">
      <c r="AW668" s="120">
        <v>387</v>
      </c>
    </row>
    <row r="669" spans="49:49" ht="15" customHeight="1" x14ac:dyDescent="0.35">
      <c r="AW669" s="120">
        <v>388</v>
      </c>
    </row>
    <row r="670" spans="49:49" ht="15" customHeight="1" x14ac:dyDescent="0.35">
      <c r="AW670" s="120">
        <v>389</v>
      </c>
    </row>
    <row r="671" spans="49:49" ht="15" customHeight="1" x14ac:dyDescent="0.35">
      <c r="AW671" s="120">
        <v>390</v>
      </c>
    </row>
    <row r="672" spans="49:49" ht="15" customHeight="1" x14ac:dyDescent="0.35">
      <c r="AW672" s="120">
        <v>391</v>
      </c>
    </row>
    <row r="673" spans="49:49" ht="15" customHeight="1" x14ac:dyDescent="0.35">
      <c r="AW673" s="120">
        <v>392</v>
      </c>
    </row>
    <row r="674" spans="49:49" ht="15" customHeight="1" x14ac:dyDescent="0.35">
      <c r="AW674" s="120">
        <v>393</v>
      </c>
    </row>
    <row r="675" spans="49:49" ht="15" customHeight="1" x14ac:dyDescent="0.35">
      <c r="AW675" s="120">
        <v>394</v>
      </c>
    </row>
    <row r="676" spans="49:49" ht="15" customHeight="1" x14ac:dyDescent="0.35">
      <c r="AW676" s="120">
        <v>395</v>
      </c>
    </row>
    <row r="677" spans="49:49" ht="15" customHeight="1" x14ac:dyDescent="0.35">
      <c r="AW677" s="120">
        <v>396</v>
      </c>
    </row>
    <row r="678" spans="49:49" ht="15" customHeight="1" x14ac:dyDescent="0.35">
      <c r="AW678" s="120">
        <v>397</v>
      </c>
    </row>
    <row r="679" spans="49:49" ht="15" customHeight="1" x14ac:dyDescent="0.35">
      <c r="AW679" s="120">
        <v>398</v>
      </c>
    </row>
    <row r="680" spans="49:49" ht="15" customHeight="1" x14ac:dyDescent="0.35">
      <c r="AW680" s="120">
        <v>399</v>
      </c>
    </row>
    <row r="681" spans="49:49" ht="15" customHeight="1" x14ac:dyDescent="0.35">
      <c r="AW681" s="120">
        <v>400</v>
      </c>
    </row>
    <row r="682" spans="49:49" ht="15" customHeight="1" x14ac:dyDescent="0.35">
      <c r="AW682" s="120">
        <v>401</v>
      </c>
    </row>
    <row r="683" spans="49:49" ht="15" customHeight="1" x14ac:dyDescent="0.35">
      <c r="AW683" s="120">
        <v>402</v>
      </c>
    </row>
    <row r="684" spans="49:49" ht="15" customHeight="1" x14ac:dyDescent="0.35">
      <c r="AW684" s="120">
        <v>403</v>
      </c>
    </row>
    <row r="685" spans="49:49" ht="15" customHeight="1" x14ac:dyDescent="0.35">
      <c r="AW685" s="120">
        <v>404</v>
      </c>
    </row>
    <row r="686" spans="49:49" ht="15" customHeight="1" x14ac:dyDescent="0.35">
      <c r="AW686" s="120">
        <v>405</v>
      </c>
    </row>
    <row r="687" spans="49:49" ht="15" customHeight="1" x14ac:dyDescent="0.35">
      <c r="AW687" s="120">
        <v>406</v>
      </c>
    </row>
    <row r="688" spans="49:49" ht="15" customHeight="1" x14ac:dyDescent="0.35">
      <c r="AW688" s="120">
        <v>407</v>
      </c>
    </row>
    <row r="689" spans="49:49" ht="15" customHeight="1" x14ac:dyDescent="0.35">
      <c r="AW689" s="120">
        <v>408</v>
      </c>
    </row>
    <row r="690" spans="49:49" ht="15" customHeight="1" x14ac:dyDescent="0.35">
      <c r="AW690" s="120">
        <v>409</v>
      </c>
    </row>
    <row r="691" spans="49:49" ht="15" customHeight="1" x14ac:dyDescent="0.35">
      <c r="AW691" s="120">
        <v>410</v>
      </c>
    </row>
    <row r="692" spans="49:49" ht="15" customHeight="1" x14ac:dyDescent="0.35">
      <c r="AW692" s="120">
        <v>411</v>
      </c>
    </row>
    <row r="693" spans="49:49" ht="15" customHeight="1" x14ac:dyDescent="0.35">
      <c r="AW693" s="120">
        <v>412</v>
      </c>
    </row>
    <row r="694" spans="49:49" ht="15" customHeight="1" x14ac:dyDescent="0.35">
      <c r="AW694" s="120">
        <v>413</v>
      </c>
    </row>
    <row r="695" spans="49:49" ht="15" customHeight="1" x14ac:dyDescent="0.35">
      <c r="AW695" s="120">
        <v>414</v>
      </c>
    </row>
    <row r="696" spans="49:49" ht="15" customHeight="1" x14ac:dyDescent="0.35">
      <c r="AW696" s="120">
        <v>415</v>
      </c>
    </row>
    <row r="697" spans="49:49" ht="15" customHeight="1" x14ac:dyDescent="0.35">
      <c r="AW697" s="120">
        <v>416</v>
      </c>
    </row>
    <row r="698" spans="49:49" ht="15" customHeight="1" x14ac:dyDescent="0.35">
      <c r="AW698" s="120">
        <v>417</v>
      </c>
    </row>
    <row r="699" spans="49:49" ht="15" customHeight="1" x14ac:dyDescent="0.35">
      <c r="AW699" s="120">
        <v>418</v>
      </c>
    </row>
    <row r="700" spans="49:49" ht="15" customHeight="1" x14ac:dyDescent="0.35">
      <c r="AW700" s="120">
        <v>419</v>
      </c>
    </row>
    <row r="701" spans="49:49" ht="15" customHeight="1" x14ac:dyDescent="0.35">
      <c r="AW701" s="120">
        <v>420</v>
      </c>
    </row>
    <row r="702" spans="49:49" ht="15" customHeight="1" x14ac:dyDescent="0.35">
      <c r="AW702" s="120">
        <v>421</v>
      </c>
    </row>
    <row r="703" spans="49:49" ht="15" customHeight="1" x14ac:dyDescent="0.35">
      <c r="AW703" s="120">
        <v>422</v>
      </c>
    </row>
    <row r="704" spans="49:49" ht="15" customHeight="1" x14ac:dyDescent="0.35">
      <c r="AW704" s="120">
        <v>423</v>
      </c>
    </row>
    <row r="705" spans="49:49" ht="15" customHeight="1" x14ac:dyDescent="0.35">
      <c r="AW705" s="120">
        <v>424</v>
      </c>
    </row>
    <row r="706" spans="49:49" ht="15" customHeight="1" x14ac:dyDescent="0.35">
      <c r="AW706" s="120">
        <v>425</v>
      </c>
    </row>
    <row r="707" spans="49:49" ht="15" customHeight="1" x14ac:dyDescent="0.35">
      <c r="AW707" s="120">
        <v>426</v>
      </c>
    </row>
    <row r="708" spans="49:49" ht="15" customHeight="1" x14ac:dyDescent="0.35">
      <c r="AW708" s="120">
        <v>427</v>
      </c>
    </row>
    <row r="709" spans="49:49" ht="15" customHeight="1" x14ac:dyDescent="0.35">
      <c r="AW709" s="120">
        <v>428</v>
      </c>
    </row>
    <row r="710" spans="49:49" ht="15" customHeight="1" x14ac:dyDescent="0.35">
      <c r="AW710" s="120">
        <v>429</v>
      </c>
    </row>
    <row r="711" spans="49:49" ht="15" customHeight="1" x14ac:dyDescent="0.35">
      <c r="AW711" s="120">
        <v>430</v>
      </c>
    </row>
    <row r="712" spans="49:49" ht="15" customHeight="1" x14ac:dyDescent="0.35">
      <c r="AW712" s="120">
        <v>431</v>
      </c>
    </row>
    <row r="713" spans="49:49" ht="15" customHeight="1" x14ac:dyDescent="0.35">
      <c r="AW713" s="120">
        <v>432</v>
      </c>
    </row>
    <row r="714" spans="49:49" ht="15" customHeight="1" x14ac:dyDescent="0.35">
      <c r="AW714" s="120">
        <v>433</v>
      </c>
    </row>
    <row r="715" spans="49:49" ht="15" customHeight="1" x14ac:dyDescent="0.35">
      <c r="AW715" s="120">
        <v>434</v>
      </c>
    </row>
    <row r="716" spans="49:49" ht="15" customHeight="1" x14ac:dyDescent="0.35">
      <c r="AW716" s="120">
        <v>435</v>
      </c>
    </row>
    <row r="717" spans="49:49" ht="15" customHeight="1" x14ac:dyDescent="0.35">
      <c r="AW717" s="120">
        <v>436</v>
      </c>
    </row>
    <row r="718" spans="49:49" ht="15" customHeight="1" x14ac:dyDescent="0.35">
      <c r="AW718" s="120">
        <v>437</v>
      </c>
    </row>
    <row r="719" spans="49:49" ht="15" customHeight="1" x14ac:dyDescent="0.35">
      <c r="AW719" s="120">
        <v>438</v>
      </c>
    </row>
    <row r="720" spans="49:49" ht="15" customHeight="1" x14ac:dyDescent="0.35">
      <c r="AW720" s="120">
        <v>439</v>
      </c>
    </row>
    <row r="721" spans="49:49" ht="15" customHeight="1" x14ac:dyDescent="0.35">
      <c r="AW721" s="120">
        <v>440</v>
      </c>
    </row>
    <row r="722" spans="49:49" ht="15" customHeight="1" x14ac:dyDescent="0.35">
      <c r="AW722" s="120">
        <v>441</v>
      </c>
    </row>
    <row r="723" spans="49:49" ht="15" customHeight="1" x14ac:dyDescent="0.35">
      <c r="AW723" s="120">
        <v>442</v>
      </c>
    </row>
    <row r="724" spans="49:49" ht="15" customHeight="1" x14ac:dyDescent="0.35">
      <c r="AW724" s="120">
        <v>443</v>
      </c>
    </row>
    <row r="725" spans="49:49" ht="15" customHeight="1" x14ac:dyDescent="0.35">
      <c r="AW725" s="120">
        <v>444</v>
      </c>
    </row>
    <row r="726" spans="49:49" ht="15" customHeight="1" x14ac:dyDescent="0.35">
      <c r="AW726" s="120">
        <v>445</v>
      </c>
    </row>
    <row r="727" spans="49:49" ht="15" customHeight="1" x14ac:dyDescent="0.35">
      <c r="AW727" s="120">
        <v>446</v>
      </c>
    </row>
    <row r="728" spans="49:49" ht="15" customHeight="1" x14ac:dyDescent="0.35">
      <c r="AW728" s="120">
        <v>447</v>
      </c>
    </row>
    <row r="729" spans="49:49" ht="15" customHeight="1" x14ac:dyDescent="0.35">
      <c r="AW729" s="120">
        <v>448</v>
      </c>
    </row>
    <row r="730" spans="49:49" ht="15" customHeight="1" x14ac:dyDescent="0.35">
      <c r="AW730" s="120">
        <v>449</v>
      </c>
    </row>
    <row r="731" spans="49:49" ht="15" customHeight="1" x14ac:dyDescent="0.35">
      <c r="AW731" s="120">
        <v>450</v>
      </c>
    </row>
    <row r="732" spans="49:49" ht="15" customHeight="1" x14ac:dyDescent="0.35">
      <c r="AW732" s="120">
        <v>451</v>
      </c>
    </row>
    <row r="733" spans="49:49" ht="15" customHeight="1" x14ac:dyDescent="0.35">
      <c r="AW733" s="120">
        <v>452</v>
      </c>
    </row>
    <row r="734" spans="49:49" ht="15" customHeight="1" x14ac:dyDescent="0.35">
      <c r="AW734" s="120">
        <v>453</v>
      </c>
    </row>
    <row r="735" spans="49:49" ht="15" customHeight="1" x14ac:dyDescent="0.35">
      <c r="AW735" s="120">
        <v>454</v>
      </c>
    </row>
    <row r="736" spans="49:49" ht="15" customHeight="1" x14ac:dyDescent="0.35">
      <c r="AW736" s="120">
        <v>455</v>
      </c>
    </row>
    <row r="737" spans="49:49" ht="15" customHeight="1" x14ac:dyDescent="0.35">
      <c r="AW737" s="120">
        <v>456</v>
      </c>
    </row>
    <row r="738" spans="49:49" ht="15" customHeight="1" x14ac:dyDescent="0.35">
      <c r="AW738" s="120">
        <v>457</v>
      </c>
    </row>
    <row r="739" spans="49:49" ht="15" customHeight="1" x14ac:dyDescent="0.35">
      <c r="AW739" s="120">
        <v>458</v>
      </c>
    </row>
    <row r="740" spans="49:49" ht="15" customHeight="1" x14ac:dyDescent="0.35">
      <c r="AW740" s="120">
        <v>459</v>
      </c>
    </row>
    <row r="741" spans="49:49" ht="15" customHeight="1" x14ac:dyDescent="0.35">
      <c r="AW741" s="120">
        <v>460</v>
      </c>
    </row>
    <row r="742" spans="49:49" ht="15" customHeight="1" x14ac:dyDescent="0.35">
      <c r="AW742" s="120">
        <v>461</v>
      </c>
    </row>
    <row r="743" spans="49:49" ht="15" customHeight="1" x14ac:dyDescent="0.35">
      <c r="AW743" s="120">
        <v>462</v>
      </c>
    </row>
    <row r="744" spans="49:49" ht="15" customHeight="1" x14ac:dyDescent="0.35">
      <c r="AW744" s="120">
        <v>463</v>
      </c>
    </row>
    <row r="745" spans="49:49" ht="15" customHeight="1" x14ac:dyDescent="0.35">
      <c r="AW745" s="120">
        <v>464</v>
      </c>
    </row>
    <row r="746" spans="49:49" ht="15" customHeight="1" x14ac:dyDescent="0.35">
      <c r="AW746" s="120">
        <v>465</v>
      </c>
    </row>
    <row r="747" spans="49:49" ht="15" customHeight="1" x14ac:dyDescent="0.35">
      <c r="AW747" s="120">
        <v>466</v>
      </c>
    </row>
    <row r="748" spans="49:49" ht="15" customHeight="1" x14ac:dyDescent="0.35">
      <c r="AW748" s="120">
        <v>467</v>
      </c>
    </row>
    <row r="749" spans="49:49" ht="15" customHeight="1" x14ac:dyDescent="0.35">
      <c r="AW749" s="120">
        <v>468</v>
      </c>
    </row>
    <row r="750" spans="49:49" ht="15" customHeight="1" x14ac:dyDescent="0.35">
      <c r="AW750" s="120">
        <v>469</v>
      </c>
    </row>
    <row r="751" spans="49:49" ht="15" customHeight="1" x14ac:dyDescent="0.35">
      <c r="AW751" s="120">
        <v>470</v>
      </c>
    </row>
    <row r="752" spans="49:49" ht="15" customHeight="1" x14ac:dyDescent="0.35">
      <c r="AW752" s="120">
        <v>471</v>
      </c>
    </row>
    <row r="753" spans="49:49" ht="15" customHeight="1" x14ac:dyDescent="0.35">
      <c r="AW753" s="120">
        <v>472</v>
      </c>
    </row>
    <row r="754" spans="49:49" ht="15" customHeight="1" x14ac:dyDescent="0.35">
      <c r="AW754" s="120">
        <v>473</v>
      </c>
    </row>
    <row r="755" spans="49:49" ht="15" customHeight="1" x14ac:dyDescent="0.35">
      <c r="AW755" s="120">
        <v>474</v>
      </c>
    </row>
    <row r="756" spans="49:49" ht="15" customHeight="1" x14ac:dyDescent="0.35">
      <c r="AW756" s="120">
        <v>475</v>
      </c>
    </row>
    <row r="757" spans="49:49" ht="15" customHeight="1" x14ac:dyDescent="0.35">
      <c r="AW757" s="120">
        <v>476</v>
      </c>
    </row>
    <row r="758" spans="49:49" ht="15" customHeight="1" x14ac:dyDescent="0.35">
      <c r="AW758" s="120">
        <v>477</v>
      </c>
    </row>
    <row r="759" spans="49:49" ht="15" customHeight="1" x14ac:dyDescent="0.35">
      <c r="AW759" s="120">
        <v>478</v>
      </c>
    </row>
    <row r="760" spans="49:49" ht="15" customHeight="1" x14ac:dyDescent="0.35">
      <c r="AW760" s="120">
        <v>479</v>
      </c>
    </row>
    <row r="761" spans="49:49" ht="15" customHeight="1" x14ac:dyDescent="0.35">
      <c r="AW761" s="120">
        <v>480</v>
      </c>
    </row>
    <row r="762" spans="49:49" ht="15" customHeight="1" x14ac:dyDescent="0.35">
      <c r="AW762" s="120">
        <v>481</v>
      </c>
    </row>
    <row r="763" spans="49:49" ht="15" customHeight="1" x14ac:dyDescent="0.35">
      <c r="AW763" s="120">
        <v>482</v>
      </c>
    </row>
    <row r="764" spans="49:49" ht="15" customHeight="1" x14ac:dyDescent="0.35">
      <c r="AW764" s="120">
        <v>483</v>
      </c>
    </row>
    <row r="765" spans="49:49" ht="15" customHeight="1" x14ac:dyDescent="0.35">
      <c r="AW765" s="120">
        <v>484</v>
      </c>
    </row>
    <row r="766" spans="49:49" ht="15" customHeight="1" x14ac:dyDescent="0.35">
      <c r="AW766" s="120">
        <v>485</v>
      </c>
    </row>
    <row r="767" spans="49:49" ht="15" customHeight="1" x14ac:dyDescent="0.35">
      <c r="AW767" s="120">
        <v>486</v>
      </c>
    </row>
    <row r="768" spans="49:49" ht="15" customHeight="1" x14ac:dyDescent="0.35">
      <c r="AW768" s="120">
        <v>487</v>
      </c>
    </row>
    <row r="769" spans="49:49" ht="15" customHeight="1" x14ac:dyDescent="0.35">
      <c r="AW769" s="120">
        <v>488</v>
      </c>
    </row>
    <row r="770" spans="49:49" ht="15" customHeight="1" x14ac:dyDescent="0.35">
      <c r="AW770" s="120">
        <v>489</v>
      </c>
    </row>
    <row r="771" spans="49:49" ht="15" customHeight="1" x14ac:dyDescent="0.35">
      <c r="AW771" s="120">
        <v>490</v>
      </c>
    </row>
    <row r="772" spans="49:49" ht="15" customHeight="1" x14ac:dyDescent="0.35">
      <c r="AW772" s="120">
        <v>491</v>
      </c>
    </row>
    <row r="773" spans="49:49" ht="15" customHeight="1" x14ac:dyDescent="0.35">
      <c r="AW773" s="120">
        <v>492</v>
      </c>
    </row>
    <row r="774" spans="49:49" ht="15" customHeight="1" x14ac:dyDescent="0.35">
      <c r="AW774" s="120">
        <v>493</v>
      </c>
    </row>
    <row r="775" spans="49:49" ht="15" customHeight="1" x14ac:dyDescent="0.35">
      <c r="AW775" s="120">
        <v>494</v>
      </c>
    </row>
    <row r="776" spans="49:49" ht="15" customHeight="1" x14ac:dyDescent="0.35">
      <c r="AW776" s="120">
        <v>495</v>
      </c>
    </row>
    <row r="777" spans="49:49" ht="15" customHeight="1" x14ac:dyDescent="0.35">
      <c r="AW777" s="120">
        <v>496</v>
      </c>
    </row>
    <row r="778" spans="49:49" ht="15" customHeight="1" x14ac:dyDescent="0.35">
      <c r="AW778" s="120">
        <v>497</v>
      </c>
    </row>
    <row r="779" spans="49:49" ht="15" customHeight="1" x14ac:dyDescent="0.35">
      <c r="AW779" s="120">
        <v>498</v>
      </c>
    </row>
    <row r="780" spans="49:49" ht="15" customHeight="1" x14ac:dyDescent="0.35">
      <c r="AW780" s="120">
        <v>499</v>
      </c>
    </row>
    <row r="781" spans="49:49" ht="15" customHeight="1" x14ac:dyDescent="0.35">
      <c r="AW781" s="120">
        <v>500</v>
      </c>
    </row>
    <row r="782" spans="49:49" ht="15" customHeight="1" x14ac:dyDescent="0.35">
      <c r="AW782" s="120">
        <v>501</v>
      </c>
    </row>
    <row r="783" spans="49:49" ht="15" customHeight="1" x14ac:dyDescent="0.35">
      <c r="AW783" s="120">
        <v>502</v>
      </c>
    </row>
    <row r="784" spans="49:49" ht="15" customHeight="1" x14ac:dyDescent="0.35">
      <c r="AW784" s="120">
        <v>503</v>
      </c>
    </row>
    <row r="785" spans="49:49" ht="15" customHeight="1" x14ac:dyDescent="0.35">
      <c r="AW785" s="120">
        <v>504</v>
      </c>
    </row>
    <row r="786" spans="49:49" ht="15" customHeight="1" x14ac:dyDescent="0.35">
      <c r="AW786" s="120">
        <v>505</v>
      </c>
    </row>
    <row r="787" spans="49:49" ht="15" customHeight="1" x14ac:dyDescent="0.35">
      <c r="AW787" s="120">
        <v>506</v>
      </c>
    </row>
    <row r="788" spans="49:49" ht="15" customHeight="1" x14ac:dyDescent="0.35">
      <c r="AW788" s="120">
        <v>507</v>
      </c>
    </row>
    <row r="789" spans="49:49" ht="15" customHeight="1" x14ac:dyDescent="0.35">
      <c r="AW789" s="120">
        <v>508</v>
      </c>
    </row>
    <row r="790" spans="49:49" ht="15" customHeight="1" x14ac:dyDescent="0.35">
      <c r="AW790" s="120">
        <v>509</v>
      </c>
    </row>
    <row r="791" spans="49:49" ht="15" customHeight="1" x14ac:dyDescent="0.35">
      <c r="AW791" s="120">
        <v>510</v>
      </c>
    </row>
    <row r="792" spans="49:49" ht="15" customHeight="1" x14ac:dyDescent="0.35">
      <c r="AW792" s="120">
        <v>511</v>
      </c>
    </row>
    <row r="793" spans="49:49" ht="15" customHeight="1" x14ac:dyDescent="0.35">
      <c r="AW793" s="120">
        <v>512</v>
      </c>
    </row>
    <row r="794" spans="49:49" ht="15" customHeight="1" x14ac:dyDescent="0.35">
      <c r="AW794" s="120">
        <v>513</v>
      </c>
    </row>
    <row r="795" spans="49:49" ht="15" customHeight="1" x14ac:dyDescent="0.35">
      <c r="AW795" s="120">
        <v>514</v>
      </c>
    </row>
    <row r="796" spans="49:49" ht="15" customHeight="1" x14ac:dyDescent="0.35">
      <c r="AW796" s="120">
        <v>515</v>
      </c>
    </row>
    <row r="797" spans="49:49" ht="15" customHeight="1" x14ac:dyDescent="0.35">
      <c r="AW797" s="120">
        <v>516</v>
      </c>
    </row>
    <row r="798" spans="49:49" ht="15" customHeight="1" x14ac:dyDescent="0.35">
      <c r="AW798" s="120">
        <v>517</v>
      </c>
    </row>
    <row r="799" spans="49:49" ht="15" customHeight="1" x14ac:dyDescent="0.35">
      <c r="AW799" s="120">
        <v>518</v>
      </c>
    </row>
    <row r="800" spans="49:49" ht="15" customHeight="1" x14ac:dyDescent="0.35">
      <c r="AW800" s="120">
        <v>519</v>
      </c>
    </row>
    <row r="801" spans="49:49" ht="15" customHeight="1" x14ac:dyDescent="0.35">
      <c r="AW801" s="120">
        <v>520</v>
      </c>
    </row>
    <row r="802" spans="49:49" ht="15" customHeight="1" x14ac:dyDescent="0.35">
      <c r="AW802" s="120">
        <v>521</v>
      </c>
    </row>
    <row r="803" spans="49:49" ht="15" customHeight="1" x14ac:dyDescent="0.35">
      <c r="AW803" s="120">
        <v>522</v>
      </c>
    </row>
    <row r="804" spans="49:49" ht="15" customHeight="1" x14ac:dyDescent="0.35">
      <c r="AW804" s="120">
        <v>523</v>
      </c>
    </row>
    <row r="805" spans="49:49" ht="15" customHeight="1" x14ac:dyDescent="0.35">
      <c r="AW805" s="120">
        <v>524</v>
      </c>
    </row>
    <row r="806" spans="49:49" ht="15" customHeight="1" x14ac:dyDescent="0.35">
      <c r="AW806" s="120">
        <v>525</v>
      </c>
    </row>
    <row r="807" spans="49:49" ht="15" customHeight="1" x14ac:dyDescent="0.35">
      <c r="AW807" s="120">
        <v>526</v>
      </c>
    </row>
    <row r="808" spans="49:49" ht="15" customHeight="1" x14ac:dyDescent="0.35">
      <c r="AW808" s="120">
        <v>527</v>
      </c>
    </row>
    <row r="809" spans="49:49" ht="15" customHeight="1" x14ac:dyDescent="0.35">
      <c r="AW809" s="120">
        <v>528</v>
      </c>
    </row>
    <row r="810" spans="49:49" ht="15" customHeight="1" x14ac:dyDescent="0.35">
      <c r="AW810" s="120">
        <v>529</v>
      </c>
    </row>
    <row r="811" spans="49:49" ht="15" customHeight="1" x14ac:dyDescent="0.35">
      <c r="AW811" s="120">
        <v>530</v>
      </c>
    </row>
    <row r="812" spans="49:49" ht="15" customHeight="1" x14ac:dyDescent="0.35">
      <c r="AW812" s="120">
        <v>531</v>
      </c>
    </row>
    <row r="813" spans="49:49" ht="15" customHeight="1" x14ac:dyDescent="0.35">
      <c r="AW813" s="120">
        <v>532</v>
      </c>
    </row>
    <row r="814" spans="49:49" ht="15" customHeight="1" x14ac:dyDescent="0.35">
      <c r="AW814" s="120">
        <v>533</v>
      </c>
    </row>
    <row r="815" spans="49:49" ht="15" customHeight="1" x14ac:dyDescent="0.35">
      <c r="AW815" s="120">
        <v>534</v>
      </c>
    </row>
    <row r="816" spans="49:49" ht="15" customHeight="1" x14ac:dyDescent="0.35">
      <c r="AW816" s="120">
        <v>535</v>
      </c>
    </row>
    <row r="817" spans="49:49" ht="15" customHeight="1" x14ac:dyDescent="0.35">
      <c r="AW817" s="120">
        <v>536</v>
      </c>
    </row>
    <row r="818" spans="49:49" ht="15" customHeight="1" x14ac:dyDescent="0.35">
      <c r="AW818" s="120">
        <v>537</v>
      </c>
    </row>
    <row r="819" spans="49:49" ht="15" customHeight="1" x14ac:dyDescent="0.35">
      <c r="AW819" s="120">
        <v>538</v>
      </c>
    </row>
    <row r="820" spans="49:49" ht="15" customHeight="1" x14ac:dyDescent="0.35">
      <c r="AW820" s="120">
        <v>539</v>
      </c>
    </row>
    <row r="821" spans="49:49" ht="15" customHeight="1" x14ac:dyDescent="0.35">
      <c r="AW821" s="120">
        <v>540</v>
      </c>
    </row>
    <row r="822" spans="49:49" ht="15" customHeight="1" x14ac:dyDescent="0.35">
      <c r="AW822" s="120">
        <v>541</v>
      </c>
    </row>
    <row r="823" spans="49:49" ht="15" customHeight="1" x14ac:dyDescent="0.35">
      <c r="AW823" s="120">
        <v>542</v>
      </c>
    </row>
    <row r="824" spans="49:49" ht="15" customHeight="1" x14ac:dyDescent="0.35">
      <c r="AW824" s="120">
        <v>543</v>
      </c>
    </row>
    <row r="825" spans="49:49" ht="15" customHeight="1" x14ac:dyDescent="0.35">
      <c r="AW825" s="120">
        <v>544</v>
      </c>
    </row>
    <row r="826" spans="49:49" ht="15" customHeight="1" x14ac:dyDescent="0.35">
      <c r="AW826" s="120">
        <v>545</v>
      </c>
    </row>
    <row r="827" spans="49:49" ht="15" customHeight="1" x14ac:dyDescent="0.35">
      <c r="AW827" s="120">
        <v>546</v>
      </c>
    </row>
    <row r="828" spans="49:49" ht="15" customHeight="1" x14ac:dyDescent="0.35">
      <c r="AW828" s="120">
        <v>547</v>
      </c>
    </row>
    <row r="829" spans="49:49" ht="15" customHeight="1" x14ac:dyDescent="0.35">
      <c r="AW829" s="120">
        <v>548</v>
      </c>
    </row>
    <row r="830" spans="49:49" ht="15" customHeight="1" x14ac:dyDescent="0.35">
      <c r="AW830" s="120">
        <v>549</v>
      </c>
    </row>
    <row r="831" spans="49:49" ht="15" customHeight="1" x14ac:dyDescent="0.35">
      <c r="AW831" s="120">
        <v>550</v>
      </c>
    </row>
    <row r="832" spans="49:49" ht="15" customHeight="1" x14ac:dyDescent="0.35">
      <c r="AW832" s="120">
        <v>551</v>
      </c>
    </row>
    <row r="833" spans="49:49" ht="15" customHeight="1" x14ac:dyDescent="0.35">
      <c r="AW833" s="120">
        <v>552</v>
      </c>
    </row>
    <row r="834" spans="49:49" ht="15" customHeight="1" x14ac:dyDescent="0.35">
      <c r="AW834" s="120">
        <v>553</v>
      </c>
    </row>
    <row r="835" spans="49:49" ht="15" customHeight="1" x14ac:dyDescent="0.35">
      <c r="AW835" s="120">
        <v>554</v>
      </c>
    </row>
    <row r="836" spans="49:49" ht="15" customHeight="1" x14ac:dyDescent="0.35">
      <c r="AW836" s="120">
        <v>555</v>
      </c>
    </row>
    <row r="837" spans="49:49" ht="15" customHeight="1" x14ac:dyDescent="0.35">
      <c r="AW837" s="120">
        <v>556</v>
      </c>
    </row>
    <row r="838" spans="49:49" ht="15" customHeight="1" x14ac:dyDescent="0.35">
      <c r="AW838" s="120">
        <v>557</v>
      </c>
    </row>
    <row r="839" spans="49:49" ht="15" customHeight="1" x14ac:dyDescent="0.35">
      <c r="AW839" s="120">
        <v>558</v>
      </c>
    </row>
    <row r="840" spans="49:49" ht="15" customHeight="1" x14ac:dyDescent="0.35">
      <c r="AW840" s="120">
        <v>559</v>
      </c>
    </row>
    <row r="841" spans="49:49" ht="15" customHeight="1" x14ac:dyDescent="0.35">
      <c r="AW841" s="120">
        <v>560</v>
      </c>
    </row>
    <row r="842" spans="49:49" ht="15" customHeight="1" x14ac:dyDescent="0.35">
      <c r="AW842" s="120">
        <v>561</v>
      </c>
    </row>
    <row r="843" spans="49:49" ht="15" customHeight="1" x14ac:dyDescent="0.35">
      <c r="AW843" s="120">
        <v>562</v>
      </c>
    </row>
    <row r="844" spans="49:49" ht="15" customHeight="1" x14ac:dyDescent="0.35">
      <c r="AW844" s="120">
        <v>563</v>
      </c>
    </row>
    <row r="845" spans="49:49" ht="15" customHeight="1" x14ac:dyDescent="0.35">
      <c r="AW845" s="120">
        <v>564</v>
      </c>
    </row>
    <row r="846" spans="49:49" ht="15" customHeight="1" x14ac:dyDescent="0.35">
      <c r="AW846" s="120">
        <v>565</v>
      </c>
    </row>
    <row r="847" spans="49:49" ht="15" customHeight="1" x14ac:dyDescent="0.35">
      <c r="AW847" s="120">
        <v>566</v>
      </c>
    </row>
    <row r="848" spans="49:49" ht="15" customHeight="1" x14ac:dyDescent="0.35">
      <c r="AW848" s="120">
        <v>567</v>
      </c>
    </row>
    <row r="849" spans="49:49" ht="15" customHeight="1" x14ac:dyDescent="0.35">
      <c r="AW849" s="120">
        <v>568</v>
      </c>
    </row>
    <row r="850" spans="49:49" ht="15" customHeight="1" x14ac:dyDescent="0.35">
      <c r="AW850" s="120">
        <v>569</v>
      </c>
    </row>
    <row r="851" spans="49:49" ht="15" customHeight="1" x14ac:dyDescent="0.35">
      <c r="AW851" s="120">
        <v>570</v>
      </c>
    </row>
    <row r="852" spans="49:49" ht="15" customHeight="1" x14ac:dyDescent="0.35">
      <c r="AW852" s="120">
        <v>571</v>
      </c>
    </row>
    <row r="853" spans="49:49" ht="15" customHeight="1" x14ac:dyDescent="0.35">
      <c r="AW853" s="120">
        <v>572</v>
      </c>
    </row>
    <row r="854" spans="49:49" ht="15" customHeight="1" x14ac:dyDescent="0.35">
      <c r="AW854" s="120">
        <v>573</v>
      </c>
    </row>
    <row r="855" spans="49:49" ht="15" customHeight="1" x14ac:dyDescent="0.35">
      <c r="AW855" s="120">
        <v>574</v>
      </c>
    </row>
    <row r="856" spans="49:49" ht="15" customHeight="1" x14ac:dyDescent="0.35">
      <c r="AW856" s="120">
        <v>575</v>
      </c>
    </row>
    <row r="857" spans="49:49" ht="15" customHeight="1" x14ac:dyDescent="0.35">
      <c r="AW857" s="120">
        <v>576</v>
      </c>
    </row>
    <row r="858" spans="49:49" ht="15" customHeight="1" x14ac:dyDescent="0.35">
      <c r="AW858" s="120">
        <v>577</v>
      </c>
    </row>
    <row r="859" spans="49:49" ht="15" customHeight="1" x14ac:dyDescent="0.35">
      <c r="AW859" s="120">
        <v>578</v>
      </c>
    </row>
    <row r="860" spans="49:49" ht="15" customHeight="1" x14ac:dyDescent="0.35">
      <c r="AW860" s="120">
        <v>579</v>
      </c>
    </row>
    <row r="861" spans="49:49" ht="15" customHeight="1" x14ac:dyDescent="0.35">
      <c r="AW861" s="120">
        <v>580</v>
      </c>
    </row>
    <row r="862" spans="49:49" ht="15" customHeight="1" x14ac:dyDescent="0.35">
      <c r="AW862" s="120">
        <v>581</v>
      </c>
    </row>
    <row r="863" spans="49:49" ht="15" customHeight="1" x14ac:dyDescent="0.35">
      <c r="AW863" s="120">
        <v>582</v>
      </c>
    </row>
    <row r="864" spans="49:49" ht="15" customHeight="1" x14ac:dyDescent="0.35">
      <c r="AW864" s="120">
        <v>583</v>
      </c>
    </row>
    <row r="865" spans="49:49" ht="15" customHeight="1" x14ac:dyDescent="0.35">
      <c r="AW865" s="120">
        <v>584</v>
      </c>
    </row>
    <row r="866" spans="49:49" ht="15" customHeight="1" x14ac:dyDescent="0.35">
      <c r="AW866" s="120">
        <v>585</v>
      </c>
    </row>
    <row r="867" spans="49:49" ht="15" customHeight="1" x14ac:dyDescent="0.35">
      <c r="AW867" s="120">
        <v>586</v>
      </c>
    </row>
    <row r="868" spans="49:49" ht="15" customHeight="1" x14ac:dyDescent="0.35">
      <c r="AW868" s="120">
        <v>587</v>
      </c>
    </row>
    <row r="869" spans="49:49" ht="15" customHeight="1" x14ac:dyDescent="0.35">
      <c r="AW869" s="120">
        <v>588</v>
      </c>
    </row>
    <row r="870" spans="49:49" ht="15" customHeight="1" x14ac:dyDescent="0.35">
      <c r="AW870" s="120">
        <v>589</v>
      </c>
    </row>
    <row r="871" spans="49:49" ht="15" customHeight="1" x14ac:dyDescent="0.35">
      <c r="AW871" s="120">
        <v>590</v>
      </c>
    </row>
    <row r="872" spans="49:49" ht="15" customHeight="1" x14ac:dyDescent="0.35">
      <c r="AW872" s="120">
        <v>591</v>
      </c>
    </row>
    <row r="873" spans="49:49" ht="15" customHeight="1" x14ac:dyDescent="0.35">
      <c r="AW873" s="120">
        <v>592</v>
      </c>
    </row>
    <row r="874" spans="49:49" ht="15" customHeight="1" x14ac:dyDescent="0.35">
      <c r="AW874" s="120">
        <v>593</v>
      </c>
    </row>
    <row r="875" spans="49:49" ht="15" customHeight="1" x14ac:dyDescent="0.35">
      <c r="AW875" s="120">
        <v>594</v>
      </c>
    </row>
    <row r="876" spans="49:49" ht="15" customHeight="1" x14ac:dyDescent="0.35">
      <c r="AW876" s="120">
        <v>595</v>
      </c>
    </row>
    <row r="877" spans="49:49" ht="15" customHeight="1" x14ac:dyDescent="0.35">
      <c r="AW877" s="120">
        <v>596</v>
      </c>
    </row>
    <row r="878" spans="49:49" ht="15" customHeight="1" x14ac:dyDescent="0.35">
      <c r="AW878" s="120">
        <v>597</v>
      </c>
    </row>
    <row r="879" spans="49:49" ht="15" customHeight="1" x14ac:dyDescent="0.35">
      <c r="AW879" s="120">
        <v>598</v>
      </c>
    </row>
    <row r="880" spans="49:49" ht="15" customHeight="1" x14ac:dyDescent="0.35">
      <c r="AW880" s="120">
        <v>599</v>
      </c>
    </row>
    <row r="881" spans="49:49" ht="15" customHeight="1" x14ac:dyDescent="0.35">
      <c r="AW881" s="120">
        <v>600</v>
      </c>
    </row>
    <row r="882" spans="49:49" ht="15" customHeight="1" x14ac:dyDescent="0.35">
      <c r="AW882" s="120">
        <v>601</v>
      </c>
    </row>
    <row r="883" spans="49:49" ht="15" customHeight="1" x14ac:dyDescent="0.35">
      <c r="AW883" s="120">
        <v>602</v>
      </c>
    </row>
    <row r="884" spans="49:49" ht="15" customHeight="1" x14ac:dyDescent="0.35">
      <c r="AW884" s="120">
        <v>603</v>
      </c>
    </row>
    <row r="885" spans="49:49" ht="15" customHeight="1" x14ac:dyDescent="0.35">
      <c r="AW885" s="120">
        <v>604</v>
      </c>
    </row>
    <row r="886" spans="49:49" ht="15" customHeight="1" x14ac:dyDescent="0.35">
      <c r="AW886" s="120">
        <v>605</v>
      </c>
    </row>
    <row r="887" spans="49:49" ht="15" customHeight="1" x14ac:dyDescent="0.35">
      <c r="AW887" s="120">
        <v>606</v>
      </c>
    </row>
    <row r="888" spans="49:49" ht="15" customHeight="1" x14ac:dyDescent="0.35">
      <c r="AW888" s="120">
        <v>607</v>
      </c>
    </row>
    <row r="889" spans="49:49" ht="15" customHeight="1" x14ac:dyDescent="0.35">
      <c r="AW889" s="120">
        <v>608</v>
      </c>
    </row>
    <row r="890" spans="49:49" ht="15" customHeight="1" x14ac:dyDescent="0.35">
      <c r="AW890" s="120">
        <v>609</v>
      </c>
    </row>
    <row r="891" spans="49:49" ht="15" customHeight="1" x14ac:dyDescent="0.35">
      <c r="AW891" s="120">
        <v>610</v>
      </c>
    </row>
    <row r="892" spans="49:49" ht="15" customHeight="1" x14ac:dyDescent="0.35">
      <c r="AW892" s="120">
        <v>611</v>
      </c>
    </row>
    <row r="893" spans="49:49" ht="15" customHeight="1" x14ac:dyDescent="0.35">
      <c r="AW893" s="120">
        <v>612</v>
      </c>
    </row>
    <row r="894" spans="49:49" ht="15" customHeight="1" x14ac:dyDescent="0.35">
      <c r="AW894" s="120">
        <v>613</v>
      </c>
    </row>
    <row r="895" spans="49:49" ht="15" customHeight="1" x14ac:dyDescent="0.35">
      <c r="AW895" s="120">
        <v>614</v>
      </c>
    </row>
    <row r="896" spans="49:49" ht="15" customHeight="1" x14ac:dyDescent="0.35">
      <c r="AW896" s="120">
        <v>615</v>
      </c>
    </row>
    <row r="897" spans="49:49" ht="15" customHeight="1" x14ac:dyDescent="0.35">
      <c r="AW897" s="120">
        <v>616</v>
      </c>
    </row>
    <row r="898" spans="49:49" ht="15" customHeight="1" x14ac:dyDescent="0.35">
      <c r="AW898" s="120">
        <v>617</v>
      </c>
    </row>
    <row r="899" spans="49:49" ht="15" customHeight="1" x14ac:dyDescent="0.35">
      <c r="AW899" s="120">
        <v>618</v>
      </c>
    </row>
    <row r="900" spans="49:49" ht="15" customHeight="1" x14ac:dyDescent="0.35">
      <c r="AW900" s="120">
        <v>619</v>
      </c>
    </row>
    <row r="901" spans="49:49" ht="15" customHeight="1" x14ac:dyDescent="0.35">
      <c r="AW901" s="120">
        <v>620</v>
      </c>
    </row>
    <row r="902" spans="49:49" ht="15" customHeight="1" x14ac:dyDescent="0.35">
      <c r="AW902" s="120">
        <v>621</v>
      </c>
    </row>
    <row r="903" spans="49:49" ht="15" customHeight="1" x14ac:dyDescent="0.35">
      <c r="AW903" s="120">
        <v>622</v>
      </c>
    </row>
    <row r="904" spans="49:49" ht="15" customHeight="1" x14ac:dyDescent="0.35">
      <c r="AW904" s="120">
        <v>623</v>
      </c>
    </row>
    <row r="905" spans="49:49" ht="15" customHeight="1" x14ac:dyDescent="0.35">
      <c r="AW905" s="120">
        <v>624</v>
      </c>
    </row>
    <row r="906" spans="49:49" ht="15" customHeight="1" x14ac:dyDescent="0.35">
      <c r="AW906" s="120">
        <v>625</v>
      </c>
    </row>
    <row r="907" spans="49:49" ht="15" customHeight="1" x14ac:dyDescent="0.35">
      <c r="AW907" s="120">
        <v>626</v>
      </c>
    </row>
    <row r="908" spans="49:49" ht="15" customHeight="1" x14ac:dyDescent="0.35">
      <c r="AW908" s="120">
        <v>627</v>
      </c>
    </row>
    <row r="909" spans="49:49" ht="15" customHeight="1" x14ac:dyDescent="0.35">
      <c r="AW909" s="120">
        <v>628</v>
      </c>
    </row>
    <row r="910" spans="49:49" ht="15" customHeight="1" x14ac:dyDescent="0.35">
      <c r="AW910" s="120">
        <v>629</v>
      </c>
    </row>
    <row r="911" spans="49:49" ht="15" customHeight="1" x14ac:dyDescent="0.35">
      <c r="AW911" s="120">
        <v>630</v>
      </c>
    </row>
    <row r="912" spans="49:49" ht="15" customHeight="1" x14ac:dyDescent="0.35">
      <c r="AW912" s="120">
        <v>631</v>
      </c>
    </row>
    <row r="913" spans="49:49" ht="15" customHeight="1" x14ac:dyDescent="0.35">
      <c r="AW913" s="120">
        <v>632</v>
      </c>
    </row>
    <row r="914" spans="49:49" ht="15" customHeight="1" x14ac:dyDescent="0.35">
      <c r="AW914" s="120">
        <v>633</v>
      </c>
    </row>
    <row r="915" spans="49:49" ht="15" customHeight="1" x14ac:dyDescent="0.35">
      <c r="AW915" s="120">
        <v>634</v>
      </c>
    </row>
    <row r="916" spans="49:49" ht="15" customHeight="1" x14ac:dyDescent="0.35">
      <c r="AW916" s="120">
        <v>635</v>
      </c>
    </row>
    <row r="917" spans="49:49" ht="15" customHeight="1" x14ac:dyDescent="0.35">
      <c r="AW917" s="120">
        <v>636</v>
      </c>
    </row>
    <row r="918" spans="49:49" ht="15" customHeight="1" x14ac:dyDescent="0.35">
      <c r="AW918" s="120">
        <v>637</v>
      </c>
    </row>
    <row r="919" spans="49:49" ht="15" customHeight="1" x14ac:dyDescent="0.35">
      <c r="AW919" s="120">
        <v>638</v>
      </c>
    </row>
    <row r="920" spans="49:49" ht="15" customHeight="1" x14ac:dyDescent="0.35">
      <c r="AW920" s="120">
        <v>639</v>
      </c>
    </row>
    <row r="921" spans="49:49" ht="15" customHeight="1" x14ac:dyDescent="0.35">
      <c r="AW921" s="120">
        <v>640</v>
      </c>
    </row>
    <row r="922" spans="49:49" ht="15" customHeight="1" x14ac:dyDescent="0.35">
      <c r="AW922" s="120">
        <v>641</v>
      </c>
    </row>
    <row r="923" spans="49:49" ht="15" customHeight="1" x14ac:dyDescent="0.35">
      <c r="AW923" s="120">
        <v>642</v>
      </c>
    </row>
    <row r="924" spans="49:49" ht="15" customHeight="1" x14ac:dyDescent="0.35">
      <c r="AW924" s="120">
        <v>643</v>
      </c>
    </row>
    <row r="925" spans="49:49" ht="15" customHeight="1" x14ac:dyDescent="0.35">
      <c r="AW925" s="120">
        <v>644</v>
      </c>
    </row>
    <row r="926" spans="49:49" ht="15" customHeight="1" x14ac:dyDescent="0.35">
      <c r="AW926" s="120">
        <v>645</v>
      </c>
    </row>
    <row r="927" spans="49:49" ht="15" customHeight="1" x14ac:dyDescent="0.35">
      <c r="AW927" s="120">
        <v>646</v>
      </c>
    </row>
    <row r="928" spans="49:49" ht="15" customHeight="1" x14ac:dyDescent="0.35">
      <c r="AW928" s="120">
        <v>647</v>
      </c>
    </row>
    <row r="929" spans="49:49" ht="15" customHeight="1" x14ac:dyDescent="0.35">
      <c r="AW929" s="120">
        <v>648</v>
      </c>
    </row>
    <row r="930" spans="49:49" ht="15" customHeight="1" x14ac:dyDescent="0.35">
      <c r="AW930" s="120">
        <v>649</v>
      </c>
    </row>
    <row r="931" spans="49:49" ht="15" customHeight="1" x14ac:dyDescent="0.35">
      <c r="AW931" s="120">
        <v>650</v>
      </c>
    </row>
    <row r="932" spans="49:49" ht="15" customHeight="1" x14ac:dyDescent="0.35">
      <c r="AW932" s="120">
        <v>651</v>
      </c>
    </row>
    <row r="933" spans="49:49" ht="15" customHeight="1" x14ac:dyDescent="0.35">
      <c r="AW933" s="120">
        <v>652</v>
      </c>
    </row>
    <row r="934" spans="49:49" ht="15" customHeight="1" x14ac:dyDescent="0.35">
      <c r="AW934" s="120">
        <v>653</v>
      </c>
    </row>
    <row r="935" spans="49:49" ht="15" customHeight="1" x14ac:dyDescent="0.35">
      <c r="AW935" s="120">
        <v>654</v>
      </c>
    </row>
    <row r="936" spans="49:49" ht="15" customHeight="1" x14ac:dyDescent="0.35">
      <c r="AW936" s="120">
        <v>655</v>
      </c>
    </row>
    <row r="937" spans="49:49" ht="15" customHeight="1" x14ac:dyDescent="0.35">
      <c r="AW937" s="120">
        <v>656</v>
      </c>
    </row>
    <row r="938" spans="49:49" ht="15" customHeight="1" x14ac:dyDescent="0.35">
      <c r="AW938" s="120">
        <v>657</v>
      </c>
    </row>
    <row r="939" spans="49:49" ht="15" customHeight="1" x14ac:dyDescent="0.35">
      <c r="AW939" s="120">
        <v>658</v>
      </c>
    </row>
    <row r="940" spans="49:49" ht="15" customHeight="1" x14ac:dyDescent="0.35">
      <c r="AW940" s="120">
        <v>659</v>
      </c>
    </row>
    <row r="941" spans="49:49" ht="15" customHeight="1" x14ac:dyDescent="0.35">
      <c r="AW941" s="120">
        <v>660</v>
      </c>
    </row>
    <row r="942" spans="49:49" ht="15" customHeight="1" x14ac:dyDescent="0.35">
      <c r="AW942" s="120">
        <v>661</v>
      </c>
    </row>
    <row r="943" spans="49:49" ht="15" customHeight="1" x14ac:dyDescent="0.35">
      <c r="AW943" s="120">
        <v>662</v>
      </c>
    </row>
    <row r="944" spans="49:49" ht="15" customHeight="1" x14ac:dyDescent="0.35">
      <c r="AW944" s="120">
        <v>663</v>
      </c>
    </row>
    <row r="945" spans="49:49" ht="15" customHeight="1" x14ac:dyDescent="0.35">
      <c r="AW945" s="120">
        <v>664</v>
      </c>
    </row>
    <row r="946" spans="49:49" ht="15" customHeight="1" x14ac:dyDescent="0.35">
      <c r="AW946" s="120">
        <v>665</v>
      </c>
    </row>
    <row r="947" spans="49:49" ht="15" customHeight="1" x14ac:dyDescent="0.35">
      <c r="AW947" s="120">
        <v>666</v>
      </c>
    </row>
    <row r="948" spans="49:49" ht="15" customHeight="1" x14ac:dyDescent="0.35">
      <c r="AW948" s="120">
        <v>667</v>
      </c>
    </row>
    <row r="949" spans="49:49" ht="15" customHeight="1" x14ac:dyDescent="0.35">
      <c r="AW949" s="120">
        <v>668</v>
      </c>
    </row>
    <row r="950" spans="49:49" ht="15" customHeight="1" x14ac:dyDescent="0.35">
      <c r="AW950" s="120">
        <v>669</v>
      </c>
    </row>
    <row r="951" spans="49:49" ht="15" customHeight="1" x14ac:dyDescent="0.35">
      <c r="AW951" s="120">
        <v>670</v>
      </c>
    </row>
    <row r="952" spans="49:49" ht="15" customHeight="1" x14ac:dyDescent="0.35">
      <c r="AW952" s="120">
        <v>671</v>
      </c>
    </row>
    <row r="953" spans="49:49" ht="15" customHeight="1" x14ac:dyDescent="0.35">
      <c r="AW953" s="120">
        <v>672</v>
      </c>
    </row>
    <row r="954" spans="49:49" ht="15" customHeight="1" x14ac:dyDescent="0.35">
      <c r="AW954" s="120">
        <v>673</v>
      </c>
    </row>
    <row r="955" spans="49:49" ht="15" customHeight="1" x14ac:dyDescent="0.35">
      <c r="AW955" s="120">
        <v>674</v>
      </c>
    </row>
    <row r="956" spans="49:49" ht="15" customHeight="1" x14ac:dyDescent="0.35">
      <c r="AW956" s="120">
        <v>675</v>
      </c>
    </row>
    <row r="957" spans="49:49" ht="15" customHeight="1" x14ac:dyDescent="0.35">
      <c r="AW957" s="120">
        <v>676</v>
      </c>
    </row>
    <row r="958" spans="49:49" ht="15" customHeight="1" x14ac:dyDescent="0.35">
      <c r="AW958" s="120">
        <v>677</v>
      </c>
    </row>
    <row r="959" spans="49:49" ht="15" customHeight="1" x14ac:dyDescent="0.35">
      <c r="AW959" s="120">
        <v>678</v>
      </c>
    </row>
    <row r="960" spans="49:49" ht="15" customHeight="1" x14ac:dyDescent="0.35">
      <c r="AW960" s="120">
        <v>679</v>
      </c>
    </row>
    <row r="961" spans="49:49" ht="15" customHeight="1" x14ac:dyDescent="0.35">
      <c r="AW961" s="120">
        <v>680</v>
      </c>
    </row>
    <row r="962" spans="49:49" ht="15" customHeight="1" x14ac:dyDescent="0.35">
      <c r="AW962" s="120">
        <v>681</v>
      </c>
    </row>
    <row r="963" spans="49:49" ht="15" customHeight="1" x14ac:dyDescent="0.35">
      <c r="AW963" s="120">
        <v>682</v>
      </c>
    </row>
    <row r="964" spans="49:49" ht="15" customHeight="1" x14ac:dyDescent="0.35">
      <c r="AW964" s="120">
        <v>683</v>
      </c>
    </row>
    <row r="965" spans="49:49" ht="15" customHeight="1" x14ac:dyDescent="0.35">
      <c r="AW965" s="120">
        <v>684</v>
      </c>
    </row>
    <row r="966" spans="49:49" ht="15" customHeight="1" x14ac:dyDescent="0.35">
      <c r="AW966" s="120">
        <v>685</v>
      </c>
    </row>
    <row r="967" spans="49:49" ht="15" customHeight="1" x14ac:dyDescent="0.35">
      <c r="AW967" s="120">
        <v>686</v>
      </c>
    </row>
    <row r="968" spans="49:49" ht="15" customHeight="1" x14ac:dyDescent="0.35">
      <c r="AW968" s="120">
        <v>687</v>
      </c>
    </row>
    <row r="969" spans="49:49" ht="15" customHeight="1" x14ac:dyDescent="0.35">
      <c r="AW969" s="120">
        <v>688</v>
      </c>
    </row>
    <row r="970" spans="49:49" ht="15" customHeight="1" x14ac:dyDescent="0.35">
      <c r="AW970" s="120">
        <v>689</v>
      </c>
    </row>
    <row r="971" spans="49:49" ht="15" customHeight="1" x14ac:dyDescent="0.35">
      <c r="AW971" s="120">
        <v>690</v>
      </c>
    </row>
    <row r="972" spans="49:49" ht="15" customHeight="1" x14ac:dyDescent="0.35">
      <c r="AW972" s="120">
        <v>691</v>
      </c>
    </row>
    <row r="973" spans="49:49" ht="15" customHeight="1" x14ac:dyDescent="0.35">
      <c r="AW973" s="120">
        <v>692</v>
      </c>
    </row>
    <row r="974" spans="49:49" ht="15" customHeight="1" x14ac:dyDescent="0.35">
      <c r="AW974" s="120">
        <v>693</v>
      </c>
    </row>
    <row r="975" spans="49:49" ht="15" customHeight="1" x14ac:dyDescent="0.35">
      <c r="AW975" s="120">
        <v>694</v>
      </c>
    </row>
    <row r="976" spans="49:49" ht="15" customHeight="1" x14ac:dyDescent="0.35">
      <c r="AW976" s="120">
        <v>695</v>
      </c>
    </row>
    <row r="977" spans="49:49" ht="15" customHeight="1" x14ac:dyDescent="0.35">
      <c r="AW977" s="120">
        <v>696</v>
      </c>
    </row>
    <row r="978" spans="49:49" ht="15" customHeight="1" x14ac:dyDescent="0.35">
      <c r="AW978" s="120">
        <v>697</v>
      </c>
    </row>
    <row r="979" spans="49:49" ht="15" customHeight="1" x14ac:dyDescent="0.35">
      <c r="AW979" s="120">
        <v>698</v>
      </c>
    </row>
    <row r="980" spans="49:49" ht="15" customHeight="1" x14ac:dyDescent="0.35">
      <c r="AW980" s="120">
        <v>699</v>
      </c>
    </row>
    <row r="981" spans="49:49" ht="15" customHeight="1" x14ac:dyDescent="0.35">
      <c r="AW981" s="120">
        <v>700</v>
      </c>
    </row>
    <row r="982" spans="49:49" ht="15" customHeight="1" x14ac:dyDescent="0.35">
      <c r="AW982" s="120">
        <v>701</v>
      </c>
    </row>
    <row r="983" spans="49:49" ht="15" customHeight="1" x14ac:dyDescent="0.35">
      <c r="AW983" s="120">
        <v>702</v>
      </c>
    </row>
    <row r="984" spans="49:49" ht="15" customHeight="1" x14ac:dyDescent="0.35">
      <c r="AW984" s="120">
        <v>703</v>
      </c>
    </row>
    <row r="985" spans="49:49" ht="15" customHeight="1" x14ac:dyDescent="0.35">
      <c r="AW985" s="120">
        <v>704</v>
      </c>
    </row>
    <row r="986" spans="49:49" ht="15" customHeight="1" x14ac:dyDescent="0.35">
      <c r="AW986" s="120">
        <v>705</v>
      </c>
    </row>
    <row r="987" spans="49:49" ht="15" customHeight="1" x14ac:dyDescent="0.35">
      <c r="AW987" s="120">
        <v>706</v>
      </c>
    </row>
    <row r="988" spans="49:49" ht="15" customHeight="1" x14ac:dyDescent="0.35">
      <c r="AW988" s="120">
        <v>707</v>
      </c>
    </row>
    <row r="989" spans="49:49" ht="15" customHeight="1" x14ac:dyDescent="0.35">
      <c r="AW989" s="120">
        <v>708</v>
      </c>
    </row>
    <row r="990" spans="49:49" ht="15" customHeight="1" x14ac:dyDescent="0.35">
      <c r="AW990" s="120">
        <v>709</v>
      </c>
    </row>
    <row r="991" spans="49:49" ht="15" customHeight="1" x14ac:dyDescent="0.35">
      <c r="AW991" s="120">
        <v>710</v>
      </c>
    </row>
    <row r="992" spans="49:49" ht="15" customHeight="1" x14ac:dyDescent="0.35">
      <c r="AW992" s="120">
        <v>711</v>
      </c>
    </row>
    <row r="993" spans="49:49" ht="15" customHeight="1" x14ac:dyDescent="0.35">
      <c r="AW993" s="120">
        <v>712</v>
      </c>
    </row>
    <row r="994" spans="49:49" ht="15" customHeight="1" x14ac:dyDescent="0.35">
      <c r="AW994" s="120">
        <v>713</v>
      </c>
    </row>
    <row r="995" spans="49:49" ht="15" customHeight="1" x14ac:dyDescent="0.35">
      <c r="AW995" s="120">
        <v>714</v>
      </c>
    </row>
    <row r="996" spans="49:49" ht="15" customHeight="1" x14ac:dyDescent="0.35">
      <c r="AW996" s="120">
        <v>715</v>
      </c>
    </row>
    <row r="997" spans="49:49" ht="15" customHeight="1" x14ac:dyDescent="0.35">
      <c r="AW997" s="120">
        <v>716</v>
      </c>
    </row>
    <row r="998" spans="49:49" ht="15" customHeight="1" x14ac:dyDescent="0.35">
      <c r="AW998" s="120">
        <v>717</v>
      </c>
    </row>
    <row r="999" spans="49:49" ht="15" customHeight="1" x14ac:dyDescent="0.35">
      <c r="AW999" s="120">
        <v>718</v>
      </c>
    </row>
    <row r="1000" spans="49:49" ht="15" customHeight="1" x14ac:dyDescent="0.35">
      <c r="AW1000" s="120">
        <v>719</v>
      </c>
    </row>
    <row r="1001" spans="49:49" ht="15" customHeight="1" x14ac:dyDescent="0.35">
      <c r="AW1001" s="120">
        <v>720</v>
      </c>
    </row>
    <row r="1002" spans="49:49" ht="15" customHeight="1" x14ac:dyDescent="0.35">
      <c r="AW1002" s="120">
        <v>721</v>
      </c>
    </row>
    <row r="1003" spans="49:49" ht="15" customHeight="1" x14ac:dyDescent="0.35">
      <c r="AW1003" s="120">
        <v>722</v>
      </c>
    </row>
    <row r="1004" spans="49:49" ht="15" customHeight="1" x14ac:dyDescent="0.35">
      <c r="AW1004" s="120">
        <v>723</v>
      </c>
    </row>
    <row r="1005" spans="49:49" ht="15" customHeight="1" x14ac:dyDescent="0.35">
      <c r="AW1005" s="120">
        <v>724</v>
      </c>
    </row>
    <row r="1006" spans="49:49" ht="15" customHeight="1" x14ac:dyDescent="0.35">
      <c r="AW1006" s="120">
        <v>725</v>
      </c>
    </row>
    <row r="1007" spans="49:49" ht="15" customHeight="1" x14ac:dyDescent="0.35">
      <c r="AW1007" s="120">
        <v>726</v>
      </c>
    </row>
    <row r="1008" spans="49:49" ht="15" customHeight="1" x14ac:dyDescent="0.35">
      <c r="AW1008" s="120">
        <v>727</v>
      </c>
    </row>
    <row r="1009" spans="49:49" ht="15" customHeight="1" x14ac:dyDescent="0.35">
      <c r="AW1009" s="120">
        <v>728</v>
      </c>
    </row>
    <row r="1010" spans="49:49" ht="15" customHeight="1" x14ac:dyDescent="0.35">
      <c r="AW1010" s="120">
        <v>729</v>
      </c>
    </row>
    <row r="1011" spans="49:49" ht="15" customHeight="1" x14ac:dyDescent="0.35">
      <c r="AW1011" s="120">
        <v>730</v>
      </c>
    </row>
    <row r="1012" spans="49:49" ht="15" customHeight="1" x14ac:dyDescent="0.35">
      <c r="AW1012" s="120">
        <v>731</v>
      </c>
    </row>
    <row r="1013" spans="49:49" ht="15" customHeight="1" x14ac:dyDescent="0.35">
      <c r="AW1013" s="120">
        <v>732</v>
      </c>
    </row>
    <row r="1014" spans="49:49" ht="15" customHeight="1" x14ac:dyDescent="0.35">
      <c r="AW1014" s="120">
        <v>733</v>
      </c>
    </row>
    <row r="1015" spans="49:49" ht="15" customHeight="1" x14ac:dyDescent="0.35">
      <c r="AW1015" s="120">
        <v>734</v>
      </c>
    </row>
    <row r="1016" spans="49:49" ht="15" customHeight="1" x14ac:dyDescent="0.35">
      <c r="AW1016" s="120">
        <v>735</v>
      </c>
    </row>
    <row r="1017" spans="49:49" ht="15" customHeight="1" x14ac:dyDescent="0.35">
      <c r="AW1017" s="120">
        <v>736</v>
      </c>
    </row>
    <row r="1018" spans="49:49" ht="15" customHeight="1" x14ac:dyDescent="0.35">
      <c r="AW1018" s="120">
        <v>737</v>
      </c>
    </row>
    <row r="1019" spans="49:49" ht="15" customHeight="1" x14ac:dyDescent="0.35">
      <c r="AW1019" s="120">
        <v>738</v>
      </c>
    </row>
    <row r="1020" spans="49:49" ht="15" customHeight="1" x14ac:dyDescent="0.35">
      <c r="AW1020" s="120">
        <v>739</v>
      </c>
    </row>
    <row r="1021" spans="49:49" ht="15" customHeight="1" x14ac:dyDescent="0.35">
      <c r="AW1021" s="120">
        <v>740</v>
      </c>
    </row>
    <row r="1022" spans="49:49" ht="15" customHeight="1" x14ac:dyDescent="0.35">
      <c r="AW1022" s="120">
        <v>741</v>
      </c>
    </row>
    <row r="1023" spans="49:49" ht="15" customHeight="1" x14ac:dyDescent="0.35">
      <c r="AW1023" s="120">
        <v>742</v>
      </c>
    </row>
    <row r="1024" spans="49:49" ht="15" customHeight="1" x14ac:dyDescent="0.35">
      <c r="AW1024" s="120">
        <v>743</v>
      </c>
    </row>
    <row r="1025" spans="49:49" ht="15" customHeight="1" x14ac:dyDescent="0.35">
      <c r="AW1025" s="120">
        <v>744</v>
      </c>
    </row>
    <row r="1026" spans="49:49" ht="15" customHeight="1" x14ac:dyDescent="0.35">
      <c r="AW1026" s="120">
        <v>745</v>
      </c>
    </row>
    <row r="1027" spans="49:49" ht="15" customHeight="1" x14ac:dyDescent="0.35">
      <c r="AW1027" s="120">
        <v>746</v>
      </c>
    </row>
    <row r="1028" spans="49:49" ht="15" customHeight="1" x14ac:dyDescent="0.35">
      <c r="AW1028" s="120">
        <v>747</v>
      </c>
    </row>
    <row r="1029" spans="49:49" ht="15" customHeight="1" x14ac:dyDescent="0.35">
      <c r="AW1029" s="120">
        <v>748</v>
      </c>
    </row>
    <row r="1030" spans="49:49" ht="15" customHeight="1" x14ac:dyDescent="0.35">
      <c r="AW1030" s="120">
        <v>749</v>
      </c>
    </row>
    <row r="1031" spans="49:49" ht="15" customHeight="1" x14ac:dyDescent="0.35">
      <c r="AW1031" s="120">
        <v>750</v>
      </c>
    </row>
    <row r="1032" spans="49:49" ht="15" customHeight="1" x14ac:dyDescent="0.35">
      <c r="AW1032" s="120">
        <v>751</v>
      </c>
    </row>
    <row r="1033" spans="49:49" ht="15" customHeight="1" x14ac:dyDescent="0.35">
      <c r="AW1033" s="120">
        <v>752</v>
      </c>
    </row>
    <row r="1034" spans="49:49" ht="15" customHeight="1" x14ac:dyDescent="0.35">
      <c r="AW1034" s="120">
        <v>753</v>
      </c>
    </row>
    <row r="1035" spans="49:49" ht="15" customHeight="1" x14ac:dyDescent="0.35">
      <c r="AW1035" s="120">
        <v>754</v>
      </c>
    </row>
    <row r="1036" spans="49:49" ht="15" customHeight="1" x14ac:dyDescent="0.35">
      <c r="AW1036" s="120">
        <v>755</v>
      </c>
    </row>
    <row r="1037" spans="49:49" ht="15" customHeight="1" x14ac:dyDescent="0.35">
      <c r="AW1037" s="120">
        <v>756</v>
      </c>
    </row>
    <row r="1038" spans="49:49" ht="15" customHeight="1" x14ac:dyDescent="0.35">
      <c r="AW1038" s="120">
        <v>757</v>
      </c>
    </row>
    <row r="1039" spans="49:49" ht="15" customHeight="1" x14ac:dyDescent="0.35">
      <c r="AW1039" s="120">
        <v>758</v>
      </c>
    </row>
    <row r="1040" spans="49:49" ht="15" customHeight="1" x14ac:dyDescent="0.35">
      <c r="AW1040" s="120">
        <v>759</v>
      </c>
    </row>
    <row r="1041" spans="49:49" ht="15" customHeight="1" x14ac:dyDescent="0.35">
      <c r="AW1041" s="120">
        <v>760</v>
      </c>
    </row>
    <row r="1042" spans="49:49" ht="15" customHeight="1" x14ac:dyDescent="0.35">
      <c r="AW1042" s="120">
        <v>761</v>
      </c>
    </row>
    <row r="1043" spans="49:49" ht="15" customHeight="1" x14ac:dyDescent="0.35">
      <c r="AW1043" s="120">
        <v>762</v>
      </c>
    </row>
    <row r="1044" spans="49:49" ht="15" customHeight="1" x14ac:dyDescent="0.35">
      <c r="AW1044" s="120">
        <v>763</v>
      </c>
    </row>
    <row r="1045" spans="49:49" ht="15" customHeight="1" x14ac:dyDescent="0.35">
      <c r="AW1045" s="120">
        <v>764</v>
      </c>
    </row>
    <row r="1046" spans="49:49" ht="15" customHeight="1" x14ac:dyDescent="0.35">
      <c r="AW1046" s="120">
        <v>765</v>
      </c>
    </row>
    <row r="1047" spans="49:49" ht="15" customHeight="1" x14ac:dyDescent="0.35">
      <c r="AW1047" s="120">
        <v>766</v>
      </c>
    </row>
    <row r="1048" spans="49:49" ht="15" customHeight="1" x14ac:dyDescent="0.35">
      <c r="AW1048" s="120">
        <v>767</v>
      </c>
    </row>
    <row r="1049" spans="49:49" ht="15" customHeight="1" x14ac:dyDescent="0.35">
      <c r="AW1049" s="120">
        <v>768</v>
      </c>
    </row>
    <row r="1050" spans="49:49" ht="15" customHeight="1" x14ac:dyDescent="0.35">
      <c r="AW1050" s="120">
        <v>769</v>
      </c>
    </row>
    <row r="1051" spans="49:49" ht="15" customHeight="1" x14ac:dyDescent="0.35">
      <c r="AW1051" s="120">
        <v>770</v>
      </c>
    </row>
    <row r="1052" spans="49:49" ht="15" customHeight="1" x14ac:dyDescent="0.35">
      <c r="AW1052" s="120">
        <v>771</v>
      </c>
    </row>
    <row r="1053" spans="49:49" ht="15" customHeight="1" x14ac:dyDescent="0.35">
      <c r="AW1053" s="120">
        <v>772</v>
      </c>
    </row>
    <row r="1054" spans="49:49" ht="15" customHeight="1" x14ac:dyDescent="0.35">
      <c r="AW1054" s="120">
        <v>773</v>
      </c>
    </row>
    <row r="1055" spans="49:49" ht="15" customHeight="1" x14ac:dyDescent="0.35">
      <c r="AW1055" s="120">
        <v>774</v>
      </c>
    </row>
    <row r="1056" spans="49:49" ht="15" customHeight="1" x14ac:dyDescent="0.35">
      <c r="AW1056" s="120">
        <v>775</v>
      </c>
    </row>
    <row r="1057" spans="49:49" ht="15" customHeight="1" x14ac:dyDescent="0.35">
      <c r="AW1057" s="120">
        <v>776</v>
      </c>
    </row>
    <row r="1058" spans="49:49" ht="15" customHeight="1" x14ac:dyDescent="0.35">
      <c r="AW1058" s="120">
        <v>777</v>
      </c>
    </row>
    <row r="1059" spans="49:49" ht="15" customHeight="1" x14ac:dyDescent="0.35">
      <c r="AW1059" s="120">
        <v>778</v>
      </c>
    </row>
    <row r="1060" spans="49:49" ht="15" customHeight="1" x14ac:dyDescent="0.35">
      <c r="AW1060" s="120">
        <v>779</v>
      </c>
    </row>
    <row r="1061" spans="49:49" ht="15" customHeight="1" x14ac:dyDescent="0.35">
      <c r="AW1061" s="120">
        <v>780</v>
      </c>
    </row>
    <row r="1062" spans="49:49" ht="15" customHeight="1" x14ac:dyDescent="0.35">
      <c r="AW1062" s="120">
        <v>781</v>
      </c>
    </row>
    <row r="1063" spans="49:49" ht="15" customHeight="1" x14ac:dyDescent="0.35">
      <c r="AW1063" s="120">
        <v>782</v>
      </c>
    </row>
    <row r="1064" spans="49:49" ht="15" customHeight="1" x14ac:dyDescent="0.35">
      <c r="AW1064" s="120">
        <v>783</v>
      </c>
    </row>
    <row r="1065" spans="49:49" ht="15" customHeight="1" x14ac:dyDescent="0.35">
      <c r="AW1065" s="120">
        <v>784</v>
      </c>
    </row>
    <row r="1066" spans="49:49" ht="15" customHeight="1" x14ac:dyDescent="0.35">
      <c r="AW1066" s="120">
        <v>785</v>
      </c>
    </row>
    <row r="1067" spans="49:49" ht="15" customHeight="1" x14ac:dyDescent="0.35">
      <c r="AW1067" s="120">
        <v>786</v>
      </c>
    </row>
    <row r="1068" spans="49:49" ht="15" customHeight="1" x14ac:dyDescent="0.35">
      <c r="AW1068" s="120">
        <v>787</v>
      </c>
    </row>
    <row r="1069" spans="49:49" ht="15" customHeight="1" x14ac:dyDescent="0.35">
      <c r="AW1069" s="120">
        <v>788</v>
      </c>
    </row>
    <row r="1070" spans="49:49" ht="15" customHeight="1" x14ac:dyDescent="0.35">
      <c r="AW1070" s="120">
        <v>789</v>
      </c>
    </row>
    <row r="1071" spans="49:49" ht="15" customHeight="1" x14ac:dyDescent="0.35">
      <c r="AW1071" s="120">
        <v>790</v>
      </c>
    </row>
    <row r="1072" spans="49:49" ht="15" customHeight="1" x14ac:dyDescent="0.35">
      <c r="AW1072" s="120">
        <v>791</v>
      </c>
    </row>
    <row r="1073" spans="49:49" ht="15" customHeight="1" x14ac:dyDescent="0.35">
      <c r="AW1073" s="120">
        <v>792</v>
      </c>
    </row>
    <row r="1074" spans="49:49" ht="15" customHeight="1" x14ac:dyDescent="0.35">
      <c r="AW1074" s="120">
        <v>793</v>
      </c>
    </row>
    <row r="1075" spans="49:49" ht="15" customHeight="1" x14ac:dyDescent="0.35">
      <c r="AW1075" s="120">
        <v>794</v>
      </c>
    </row>
    <row r="1076" spans="49:49" ht="15" customHeight="1" x14ac:dyDescent="0.35">
      <c r="AW1076" s="120">
        <v>795</v>
      </c>
    </row>
    <row r="1077" spans="49:49" ht="15" customHeight="1" x14ac:dyDescent="0.35">
      <c r="AW1077" s="120">
        <v>796</v>
      </c>
    </row>
    <row r="1078" spans="49:49" ht="15" customHeight="1" x14ac:dyDescent="0.35">
      <c r="AW1078" s="120">
        <v>797</v>
      </c>
    </row>
    <row r="1079" spans="49:49" ht="15" customHeight="1" x14ac:dyDescent="0.35">
      <c r="AW1079" s="120">
        <v>798</v>
      </c>
    </row>
    <row r="1080" spans="49:49" ht="15" customHeight="1" x14ac:dyDescent="0.35">
      <c r="AW1080" s="120">
        <v>799</v>
      </c>
    </row>
    <row r="1081" spans="49:49" ht="15" customHeight="1" x14ac:dyDescent="0.35">
      <c r="AW1081" s="120">
        <v>800</v>
      </c>
    </row>
    <row r="1082" spans="49:49" ht="15" customHeight="1" x14ac:dyDescent="0.35">
      <c r="AW1082" s="120">
        <v>801</v>
      </c>
    </row>
    <row r="1083" spans="49:49" ht="15" customHeight="1" x14ac:dyDescent="0.35">
      <c r="AW1083" s="120">
        <v>802</v>
      </c>
    </row>
    <row r="1084" spans="49:49" ht="15" customHeight="1" x14ac:dyDescent="0.35">
      <c r="AW1084" s="120">
        <v>803</v>
      </c>
    </row>
    <row r="1085" spans="49:49" ht="15" customHeight="1" x14ac:dyDescent="0.35">
      <c r="AW1085" s="120">
        <v>804</v>
      </c>
    </row>
    <row r="1086" spans="49:49" ht="15" customHeight="1" x14ac:dyDescent="0.35">
      <c r="AW1086" s="120">
        <v>805</v>
      </c>
    </row>
    <row r="1087" spans="49:49" ht="15" customHeight="1" x14ac:dyDescent="0.35">
      <c r="AW1087" s="120">
        <v>806</v>
      </c>
    </row>
    <row r="1088" spans="49:49" ht="15" customHeight="1" x14ac:dyDescent="0.35">
      <c r="AW1088" s="120">
        <v>807</v>
      </c>
    </row>
    <row r="1089" spans="49:49" ht="15" customHeight="1" x14ac:dyDescent="0.35">
      <c r="AW1089" s="120">
        <v>808</v>
      </c>
    </row>
    <row r="1090" spans="49:49" ht="15" customHeight="1" x14ac:dyDescent="0.35">
      <c r="AW1090" s="120">
        <v>809</v>
      </c>
    </row>
    <row r="1091" spans="49:49" ht="15" customHeight="1" x14ac:dyDescent="0.35">
      <c r="AW1091" s="120">
        <v>810</v>
      </c>
    </row>
    <row r="1092" spans="49:49" ht="15" customHeight="1" x14ac:dyDescent="0.35">
      <c r="AW1092" s="120">
        <v>811</v>
      </c>
    </row>
    <row r="1093" spans="49:49" ht="15" customHeight="1" x14ac:dyDescent="0.35">
      <c r="AW1093" s="120">
        <v>812</v>
      </c>
    </row>
    <row r="1094" spans="49:49" ht="15" customHeight="1" x14ac:dyDescent="0.35">
      <c r="AW1094" s="120">
        <v>813</v>
      </c>
    </row>
    <row r="1095" spans="49:49" ht="15" customHeight="1" x14ac:dyDescent="0.35">
      <c r="AW1095" s="120">
        <v>814</v>
      </c>
    </row>
    <row r="1096" spans="49:49" ht="15" customHeight="1" x14ac:dyDescent="0.35">
      <c r="AW1096" s="120">
        <v>815</v>
      </c>
    </row>
    <row r="1097" spans="49:49" ht="15" customHeight="1" x14ac:dyDescent="0.35">
      <c r="AW1097" s="120">
        <v>816</v>
      </c>
    </row>
    <row r="1098" spans="49:49" ht="15" customHeight="1" x14ac:dyDescent="0.35">
      <c r="AW1098" s="120">
        <v>817</v>
      </c>
    </row>
    <row r="1099" spans="49:49" ht="15" customHeight="1" x14ac:dyDescent="0.35">
      <c r="AW1099" s="120">
        <v>818</v>
      </c>
    </row>
    <row r="1100" spans="49:49" ht="15" customHeight="1" x14ac:dyDescent="0.35">
      <c r="AW1100" s="120">
        <v>819</v>
      </c>
    </row>
    <row r="1101" spans="49:49" ht="15" customHeight="1" x14ac:dyDescent="0.35">
      <c r="AW1101" s="120">
        <v>820</v>
      </c>
    </row>
    <row r="1102" spans="49:49" ht="15" customHeight="1" x14ac:dyDescent="0.35">
      <c r="AW1102" s="120">
        <v>821</v>
      </c>
    </row>
    <row r="1103" spans="49:49" ht="15" customHeight="1" x14ac:dyDescent="0.35">
      <c r="AW1103" s="120">
        <v>822</v>
      </c>
    </row>
    <row r="1104" spans="49:49" ht="15" customHeight="1" x14ac:dyDescent="0.35">
      <c r="AW1104" s="120">
        <v>823</v>
      </c>
    </row>
    <row r="1105" spans="49:49" ht="15" customHeight="1" x14ac:dyDescent="0.35">
      <c r="AW1105" s="120">
        <v>824</v>
      </c>
    </row>
    <row r="1106" spans="49:49" ht="15" customHeight="1" x14ac:dyDescent="0.35">
      <c r="AW1106" s="120">
        <v>825</v>
      </c>
    </row>
    <row r="1107" spans="49:49" ht="15" customHeight="1" x14ac:dyDescent="0.35">
      <c r="AW1107" s="120">
        <v>826</v>
      </c>
    </row>
    <row r="1108" spans="49:49" ht="15" customHeight="1" x14ac:dyDescent="0.35">
      <c r="AW1108" s="120">
        <v>827</v>
      </c>
    </row>
    <row r="1109" spans="49:49" ht="15" customHeight="1" x14ac:dyDescent="0.35">
      <c r="AW1109" s="120">
        <v>828</v>
      </c>
    </row>
    <row r="1110" spans="49:49" ht="15" customHeight="1" x14ac:dyDescent="0.35">
      <c r="AW1110" s="120">
        <v>829</v>
      </c>
    </row>
    <row r="1111" spans="49:49" ht="15" customHeight="1" x14ac:dyDescent="0.35">
      <c r="AW1111" s="120">
        <v>830</v>
      </c>
    </row>
    <row r="1112" spans="49:49" ht="15" customHeight="1" x14ac:dyDescent="0.35">
      <c r="AW1112" s="120">
        <v>831</v>
      </c>
    </row>
    <row r="1113" spans="49:49" ht="15" customHeight="1" x14ac:dyDescent="0.35">
      <c r="AW1113" s="120">
        <v>832</v>
      </c>
    </row>
    <row r="1114" spans="49:49" ht="15" customHeight="1" x14ac:dyDescent="0.35">
      <c r="AW1114" s="120">
        <v>833</v>
      </c>
    </row>
    <row r="1115" spans="49:49" ht="15" customHeight="1" x14ac:dyDescent="0.35">
      <c r="AW1115" s="120">
        <v>834</v>
      </c>
    </row>
    <row r="1116" spans="49:49" ht="15" customHeight="1" x14ac:dyDescent="0.35">
      <c r="AW1116" s="120">
        <v>835</v>
      </c>
    </row>
    <row r="1117" spans="49:49" ht="15" customHeight="1" x14ac:dyDescent="0.35">
      <c r="AW1117" s="120">
        <v>836</v>
      </c>
    </row>
    <row r="1118" spans="49:49" ht="15" customHeight="1" x14ac:dyDescent="0.35">
      <c r="AW1118" s="120">
        <v>837</v>
      </c>
    </row>
    <row r="1119" spans="49:49" ht="15" customHeight="1" x14ac:dyDescent="0.35">
      <c r="AW1119" s="120">
        <v>838</v>
      </c>
    </row>
    <row r="1120" spans="49:49" ht="15" customHeight="1" x14ac:dyDescent="0.35">
      <c r="AW1120" s="120">
        <v>839</v>
      </c>
    </row>
    <row r="1121" spans="49:49" ht="15" customHeight="1" x14ac:dyDescent="0.35">
      <c r="AW1121" s="120">
        <v>840</v>
      </c>
    </row>
    <row r="1122" spans="49:49" ht="15" customHeight="1" x14ac:dyDescent="0.35">
      <c r="AW1122" s="120">
        <v>841</v>
      </c>
    </row>
    <row r="1123" spans="49:49" ht="15" customHeight="1" x14ac:dyDescent="0.35">
      <c r="AW1123" s="120">
        <v>842</v>
      </c>
    </row>
    <row r="1124" spans="49:49" ht="15" customHeight="1" x14ac:dyDescent="0.35">
      <c r="AW1124" s="120">
        <v>843</v>
      </c>
    </row>
    <row r="1125" spans="49:49" ht="15" customHeight="1" x14ac:dyDescent="0.35">
      <c r="AW1125" s="120">
        <v>844</v>
      </c>
    </row>
    <row r="1126" spans="49:49" ht="15" customHeight="1" x14ac:dyDescent="0.35">
      <c r="AW1126" s="120">
        <v>845</v>
      </c>
    </row>
    <row r="1127" spans="49:49" ht="15" customHeight="1" x14ac:dyDescent="0.35">
      <c r="AW1127" s="120">
        <v>846</v>
      </c>
    </row>
    <row r="1128" spans="49:49" ht="15" customHeight="1" x14ac:dyDescent="0.35">
      <c r="AW1128" s="120">
        <v>847</v>
      </c>
    </row>
    <row r="1129" spans="49:49" ht="15" customHeight="1" x14ac:dyDescent="0.35">
      <c r="AW1129" s="120">
        <v>848</v>
      </c>
    </row>
    <row r="1130" spans="49:49" ht="15" customHeight="1" x14ac:dyDescent="0.35">
      <c r="AW1130" s="120">
        <v>849</v>
      </c>
    </row>
    <row r="1131" spans="49:49" ht="15" customHeight="1" x14ac:dyDescent="0.35">
      <c r="AW1131" s="120">
        <v>850</v>
      </c>
    </row>
    <row r="1132" spans="49:49" ht="15" customHeight="1" x14ac:dyDescent="0.35">
      <c r="AW1132" s="120">
        <v>851</v>
      </c>
    </row>
    <row r="1133" spans="49:49" ht="15" customHeight="1" x14ac:dyDescent="0.35">
      <c r="AW1133" s="120">
        <v>852</v>
      </c>
    </row>
    <row r="1134" spans="49:49" ht="15" customHeight="1" x14ac:dyDescent="0.35">
      <c r="AW1134" s="120">
        <v>853</v>
      </c>
    </row>
    <row r="1135" spans="49:49" ht="15" customHeight="1" x14ac:dyDescent="0.35">
      <c r="AW1135" s="120">
        <v>854</v>
      </c>
    </row>
    <row r="1136" spans="49:49" ht="15" customHeight="1" x14ac:dyDescent="0.35">
      <c r="AW1136" s="120">
        <v>855</v>
      </c>
    </row>
    <row r="1137" spans="49:49" ht="15" customHeight="1" x14ac:dyDescent="0.35">
      <c r="AW1137" s="120">
        <v>856</v>
      </c>
    </row>
    <row r="1138" spans="49:49" ht="15" customHeight="1" x14ac:dyDescent="0.35">
      <c r="AW1138" s="120">
        <v>857</v>
      </c>
    </row>
    <row r="1139" spans="49:49" ht="15" customHeight="1" x14ac:dyDescent="0.35">
      <c r="AW1139" s="120">
        <v>858</v>
      </c>
    </row>
    <row r="1140" spans="49:49" ht="15" customHeight="1" x14ac:dyDescent="0.35">
      <c r="AW1140" s="120">
        <v>859</v>
      </c>
    </row>
    <row r="1141" spans="49:49" ht="15" customHeight="1" x14ac:dyDescent="0.35">
      <c r="AW1141" s="120">
        <v>860</v>
      </c>
    </row>
    <row r="1142" spans="49:49" ht="15" customHeight="1" x14ac:dyDescent="0.35">
      <c r="AW1142" s="120">
        <v>861</v>
      </c>
    </row>
    <row r="1143" spans="49:49" ht="15" customHeight="1" x14ac:dyDescent="0.35">
      <c r="AW1143" s="120">
        <v>862</v>
      </c>
    </row>
    <row r="1144" spans="49:49" ht="15" customHeight="1" x14ac:dyDescent="0.35">
      <c r="AW1144" s="120">
        <v>863</v>
      </c>
    </row>
    <row r="1145" spans="49:49" ht="15" customHeight="1" x14ac:dyDescent="0.35">
      <c r="AW1145" s="120">
        <v>864</v>
      </c>
    </row>
    <row r="1146" spans="49:49" ht="15" customHeight="1" x14ac:dyDescent="0.35">
      <c r="AW1146" s="120">
        <v>865</v>
      </c>
    </row>
    <row r="1147" spans="49:49" ht="15" customHeight="1" x14ac:dyDescent="0.35">
      <c r="AW1147" s="120">
        <v>866</v>
      </c>
    </row>
    <row r="1148" spans="49:49" ht="15" customHeight="1" x14ac:dyDescent="0.35">
      <c r="AW1148" s="120">
        <v>867</v>
      </c>
    </row>
    <row r="1149" spans="49:49" ht="15" customHeight="1" x14ac:dyDescent="0.35">
      <c r="AW1149" s="120">
        <v>868</v>
      </c>
    </row>
    <row r="1150" spans="49:49" ht="15" customHeight="1" x14ac:dyDescent="0.35">
      <c r="AW1150" s="120">
        <v>869</v>
      </c>
    </row>
    <row r="1151" spans="49:49" ht="15" customHeight="1" x14ac:dyDescent="0.35">
      <c r="AW1151" s="120">
        <v>870</v>
      </c>
    </row>
    <row r="1152" spans="49:49" ht="15" customHeight="1" x14ac:dyDescent="0.35">
      <c r="AW1152" s="120">
        <v>871</v>
      </c>
    </row>
    <row r="1153" spans="49:49" ht="15" customHeight="1" x14ac:dyDescent="0.35">
      <c r="AW1153" s="120">
        <v>872</v>
      </c>
    </row>
    <row r="1154" spans="49:49" ht="15" customHeight="1" x14ac:dyDescent="0.35">
      <c r="AW1154" s="120">
        <v>873</v>
      </c>
    </row>
    <row r="1155" spans="49:49" ht="15" customHeight="1" x14ac:dyDescent="0.35">
      <c r="AW1155" s="120">
        <v>874</v>
      </c>
    </row>
    <row r="1156" spans="49:49" ht="15" customHeight="1" x14ac:dyDescent="0.35">
      <c r="AW1156" s="120">
        <v>875</v>
      </c>
    </row>
    <row r="1157" spans="49:49" ht="15" customHeight="1" x14ac:dyDescent="0.35">
      <c r="AW1157" s="120">
        <v>876</v>
      </c>
    </row>
    <row r="1158" spans="49:49" ht="15" customHeight="1" x14ac:dyDescent="0.35">
      <c r="AW1158" s="120">
        <v>877</v>
      </c>
    </row>
    <row r="1159" spans="49:49" ht="15" customHeight="1" x14ac:dyDescent="0.35">
      <c r="AW1159" s="120">
        <v>878</v>
      </c>
    </row>
    <row r="1160" spans="49:49" ht="15" customHeight="1" x14ac:dyDescent="0.35">
      <c r="AW1160" s="120">
        <v>879</v>
      </c>
    </row>
    <row r="1161" spans="49:49" ht="15" customHeight="1" x14ac:dyDescent="0.35">
      <c r="AW1161" s="120">
        <v>880</v>
      </c>
    </row>
    <row r="1162" spans="49:49" ht="15" customHeight="1" x14ac:dyDescent="0.35">
      <c r="AW1162" s="120">
        <v>881</v>
      </c>
    </row>
    <row r="1163" spans="49:49" ht="15" customHeight="1" x14ac:dyDescent="0.35">
      <c r="AW1163" s="120">
        <v>882</v>
      </c>
    </row>
    <row r="1164" spans="49:49" ht="15" customHeight="1" x14ac:dyDescent="0.35">
      <c r="AW1164" s="120">
        <v>883</v>
      </c>
    </row>
    <row r="1165" spans="49:49" ht="15" customHeight="1" x14ac:dyDescent="0.35">
      <c r="AW1165" s="120">
        <v>884</v>
      </c>
    </row>
    <row r="1166" spans="49:49" ht="15" customHeight="1" x14ac:dyDescent="0.35">
      <c r="AW1166" s="120">
        <v>885</v>
      </c>
    </row>
    <row r="1167" spans="49:49" ht="15" customHeight="1" x14ac:dyDescent="0.35">
      <c r="AW1167" s="120">
        <v>886</v>
      </c>
    </row>
    <row r="1168" spans="49:49" ht="15" customHeight="1" x14ac:dyDescent="0.35">
      <c r="AW1168" s="120">
        <v>887</v>
      </c>
    </row>
    <row r="1169" spans="49:49" ht="15" customHeight="1" x14ac:dyDescent="0.35">
      <c r="AW1169" s="120">
        <v>888</v>
      </c>
    </row>
    <row r="1170" spans="49:49" ht="15" customHeight="1" x14ac:dyDescent="0.35">
      <c r="AW1170" s="120">
        <v>889</v>
      </c>
    </row>
    <row r="1171" spans="49:49" ht="15" customHeight="1" x14ac:dyDescent="0.35">
      <c r="AW1171" s="120">
        <v>890</v>
      </c>
    </row>
    <row r="1172" spans="49:49" ht="15" customHeight="1" x14ac:dyDescent="0.35">
      <c r="AW1172" s="120">
        <v>891</v>
      </c>
    </row>
    <row r="1173" spans="49:49" ht="15" customHeight="1" x14ac:dyDescent="0.35">
      <c r="AW1173" s="120">
        <v>892</v>
      </c>
    </row>
    <row r="1174" spans="49:49" ht="15" customHeight="1" x14ac:dyDescent="0.35">
      <c r="AW1174" s="120">
        <v>893</v>
      </c>
    </row>
    <row r="1175" spans="49:49" ht="15" customHeight="1" x14ac:dyDescent="0.35">
      <c r="AW1175" s="120">
        <v>894</v>
      </c>
    </row>
    <row r="1176" spans="49:49" ht="15" customHeight="1" x14ac:dyDescent="0.35">
      <c r="AW1176" s="120">
        <v>895</v>
      </c>
    </row>
    <row r="1177" spans="49:49" ht="15" customHeight="1" x14ac:dyDescent="0.35">
      <c r="AW1177" s="120">
        <v>896</v>
      </c>
    </row>
    <row r="1178" spans="49:49" ht="15" customHeight="1" x14ac:dyDescent="0.35">
      <c r="AW1178" s="120">
        <v>897</v>
      </c>
    </row>
    <row r="1179" spans="49:49" ht="15" customHeight="1" x14ac:dyDescent="0.35">
      <c r="AW1179" s="120">
        <v>898</v>
      </c>
    </row>
    <row r="1180" spans="49:49" ht="15" customHeight="1" x14ac:dyDescent="0.35">
      <c r="AW1180" s="120">
        <v>899</v>
      </c>
    </row>
    <row r="1181" spans="49:49" ht="15" customHeight="1" x14ac:dyDescent="0.35">
      <c r="AW1181" s="120">
        <v>900</v>
      </c>
    </row>
    <row r="1182" spans="49:49" ht="15" customHeight="1" x14ac:dyDescent="0.35">
      <c r="AW1182" s="120">
        <v>901</v>
      </c>
    </row>
    <row r="1183" spans="49:49" ht="15" customHeight="1" x14ac:dyDescent="0.35">
      <c r="AW1183" s="120">
        <v>902</v>
      </c>
    </row>
    <row r="1184" spans="49:49" ht="15" customHeight="1" x14ac:dyDescent="0.35">
      <c r="AW1184" s="120">
        <v>903</v>
      </c>
    </row>
    <row r="1185" spans="49:49" ht="15" customHeight="1" x14ac:dyDescent="0.35">
      <c r="AW1185" s="120">
        <v>904</v>
      </c>
    </row>
    <row r="1186" spans="49:49" ht="15" customHeight="1" x14ac:dyDescent="0.35">
      <c r="AW1186" s="120">
        <v>905</v>
      </c>
    </row>
    <row r="1187" spans="49:49" ht="15" customHeight="1" x14ac:dyDescent="0.35">
      <c r="AW1187" s="120">
        <v>906</v>
      </c>
    </row>
    <row r="1188" spans="49:49" ht="15" customHeight="1" x14ac:dyDescent="0.35">
      <c r="AW1188" s="120">
        <v>907</v>
      </c>
    </row>
    <row r="1189" spans="49:49" ht="15" customHeight="1" x14ac:dyDescent="0.35">
      <c r="AW1189" s="120">
        <v>908</v>
      </c>
    </row>
    <row r="1190" spans="49:49" ht="15" customHeight="1" x14ac:dyDescent="0.35">
      <c r="AW1190" s="120">
        <v>909</v>
      </c>
    </row>
    <row r="1191" spans="49:49" ht="15" customHeight="1" x14ac:dyDescent="0.35">
      <c r="AW1191" s="120">
        <v>910</v>
      </c>
    </row>
    <row r="1192" spans="49:49" ht="15" customHeight="1" x14ac:dyDescent="0.35">
      <c r="AW1192" s="120">
        <v>911</v>
      </c>
    </row>
    <row r="1193" spans="49:49" ht="15" customHeight="1" x14ac:dyDescent="0.35">
      <c r="AW1193" s="120">
        <v>912</v>
      </c>
    </row>
    <row r="1194" spans="49:49" ht="15" customHeight="1" x14ac:dyDescent="0.35">
      <c r="AW1194" s="120">
        <v>913</v>
      </c>
    </row>
    <row r="1195" spans="49:49" ht="15" customHeight="1" x14ac:dyDescent="0.35">
      <c r="AW1195" s="120">
        <v>914</v>
      </c>
    </row>
    <row r="1196" spans="49:49" ht="15" customHeight="1" x14ac:dyDescent="0.35">
      <c r="AW1196" s="120">
        <v>915</v>
      </c>
    </row>
    <row r="1197" spans="49:49" ht="15" customHeight="1" x14ac:dyDescent="0.35">
      <c r="AW1197" s="120">
        <v>916</v>
      </c>
    </row>
    <row r="1198" spans="49:49" ht="15" customHeight="1" x14ac:dyDescent="0.35">
      <c r="AW1198" s="120">
        <v>917</v>
      </c>
    </row>
    <row r="1199" spans="49:49" ht="15" customHeight="1" x14ac:dyDescent="0.35">
      <c r="AW1199" s="120">
        <v>918</v>
      </c>
    </row>
    <row r="1200" spans="49:49" ht="15" customHeight="1" x14ac:dyDescent="0.35">
      <c r="AW1200" s="120">
        <v>919</v>
      </c>
    </row>
    <row r="1201" spans="49:49" ht="15" customHeight="1" x14ac:dyDescent="0.35">
      <c r="AW1201" s="120">
        <v>920</v>
      </c>
    </row>
    <row r="1202" spans="49:49" ht="15" customHeight="1" x14ac:dyDescent="0.35">
      <c r="AW1202" s="120">
        <v>921</v>
      </c>
    </row>
    <row r="1203" spans="49:49" ht="15" customHeight="1" x14ac:dyDescent="0.35">
      <c r="AW1203" s="120">
        <v>922</v>
      </c>
    </row>
    <row r="1204" spans="49:49" ht="15" customHeight="1" x14ac:dyDescent="0.35">
      <c r="AW1204" s="120">
        <v>923</v>
      </c>
    </row>
    <row r="1205" spans="49:49" ht="15" customHeight="1" x14ac:dyDescent="0.35">
      <c r="AW1205" s="120">
        <v>924</v>
      </c>
    </row>
    <row r="1206" spans="49:49" ht="15" customHeight="1" x14ac:dyDescent="0.35">
      <c r="AW1206" s="120">
        <v>925</v>
      </c>
    </row>
    <row r="1207" spans="49:49" ht="15" customHeight="1" x14ac:dyDescent="0.35">
      <c r="AW1207" s="120">
        <v>926</v>
      </c>
    </row>
    <row r="1208" spans="49:49" ht="15" customHeight="1" x14ac:dyDescent="0.35">
      <c r="AW1208" s="120">
        <v>927</v>
      </c>
    </row>
    <row r="1209" spans="49:49" ht="15" customHeight="1" x14ac:dyDescent="0.35">
      <c r="AW1209" s="120">
        <v>928</v>
      </c>
    </row>
    <row r="1210" spans="49:49" ht="15" customHeight="1" x14ac:dyDescent="0.35">
      <c r="AW1210" s="120">
        <v>929</v>
      </c>
    </row>
    <row r="1211" spans="49:49" ht="15" customHeight="1" x14ac:dyDescent="0.35">
      <c r="AW1211" s="120">
        <v>930</v>
      </c>
    </row>
    <row r="1212" spans="49:49" ht="15" customHeight="1" x14ac:dyDescent="0.35">
      <c r="AW1212" s="120">
        <v>931</v>
      </c>
    </row>
    <row r="1213" spans="49:49" ht="15" customHeight="1" x14ac:dyDescent="0.35">
      <c r="AW1213" s="120">
        <v>932</v>
      </c>
    </row>
    <row r="1214" spans="49:49" ht="15" customHeight="1" x14ac:dyDescent="0.35">
      <c r="AW1214" s="120">
        <v>933</v>
      </c>
    </row>
    <row r="1215" spans="49:49" ht="15" customHeight="1" x14ac:dyDescent="0.35">
      <c r="AW1215" s="120">
        <v>934</v>
      </c>
    </row>
    <row r="1216" spans="49:49" ht="15" customHeight="1" x14ac:dyDescent="0.35">
      <c r="AW1216" s="120">
        <v>935</v>
      </c>
    </row>
    <row r="1217" spans="49:49" ht="15" customHeight="1" x14ac:dyDescent="0.35">
      <c r="AW1217" s="120">
        <v>936</v>
      </c>
    </row>
    <row r="1218" spans="49:49" ht="15" customHeight="1" x14ac:dyDescent="0.35">
      <c r="AW1218" s="120">
        <v>937</v>
      </c>
    </row>
    <row r="1219" spans="49:49" ht="15" customHeight="1" x14ac:dyDescent="0.35">
      <c r="AW1219" s="120">
        <v>938</v>
      </c>
    </row>
    <row r="1220" spans="49:49" ht="15" customHeight="1" x14ac:dyDescent="0.35">
      <c r="AW1220" s="120">
        <v>939</v>
      </c>
    </row>
    <row r="1221" spans="49:49" ht="15" customHeight="1" x14ac:dyDescent="0.35">
      <c r="AW1221" s="120">
        <v>940</v>
      </c>
    </row>
    <row r="1222" spans="49:49" ht="15" customHeight="1" x14ac:dyDescent="0.35">
      <c r="AW1222" s="120">
        <v>941</v>
      </c>
    </row>
    <row r="1223" spans="49:49" ht="15" customHeight="1" x14ac:dyDescent="0.35">
      <c r="AW1223" s="120">
        <v>942</v>
      </c>
    </row>
    <row r="1224" spans="49:49" ht="15" customHeight="1" x14ac:dyDescent="0.35">
      <c r="AW1224" s="120">
        <v>943</v>
      </c>
    </row>
    <row r="1225" spans="49:49" ht="15" customHeight="1" x14ac:dyDescent="0.35">
      <c r="AW1225" s="120">
        <v>944</v>
      </c>
    </row>
    <row r="1226" spans="49:49" ht="15" customHeight="1" x14ac:dyDescent="0.35">
      <c r="AW1226" s="120">
        <v>945</v>
      </c>
    </row>
    <row r="1227" spans="49:49" ht="15" customHeight="1" x14ac:dyDescent="0.35">
      <c r="AW1227" s="120">
        <v>946</v>
      </c>
    </row>
    <row r="1228" spans="49:49" ht="15" customHeight="1" x14ac:dyDescent="0.35">
      <c r="AW1228" s="120">
        <v>947</v>
      </c>
    </row>
    <row r="1229" spans="49:49" ht="15" customHeight="1" x14ac:dyDescent="0.35">
      <c r="AW1229" s="120">
        <v>948</v>
      </c>
    </row>
    <row r="1230" spans="49:49" ht="15" customHeight="1" x14ac:dyDescent="0.35">
      <c r="AW1230" s="120">
        <v>949</v>
      </c>
    </row>
    <row r="1231" spans="49:49" ht="15" customHeight="1" x14ac:dyDescent="0.35">
      <c r="AW1231" s="120">
        <v>950</v>
      </c>
    </row>
    <row r="1232" spans="49:49" ht="15" customHeight="1" x14ac:dyDescent="0.35">
      <c r="AW1232" s="120">
        <v>951</v>
      </c>
    </row>
    <row r="1233" spans="49:49" ht="15" customHeight="1" x14ac:dyDescent="0.35">
      <c r="AW1233" s="120">
        <v>952</v>
      </c>
    </row>
    <row r="1234" spans="49:49" ht="15" customHeight="1" x14ac:dyDescent="0.35">
      <c r="AW1234" s="120">
        <v>953</v>
      </c>
    </row>
    <row r="1235" spans="49:49" ht="15" customHeight="1" x14ac:dyDescent="0.35">
      <c r="AW1235" s="120">
        <v>954</v>
      </c>
    </row>
    <row r="1236" spans="49:49" ht="15" customHeight="1" x14ac:dyDescent="0.35">
      <c r="AW1236" s="120">
        <v>955</v>
      </c>
    </row>
    <row r="1237" spans="49:49" ht="15" customHeight="1" x14ac:dyDescent="0.35">
      <c r="AW1237" s="120">
        <v>956</v>
      </c>
    </row>
    <row r="1238" spans="49:49" ht="15" customHeight="1" x14ac:dyDescent="0.35">
      <c r="AW1238" s="120">
        <v>957</v>
      </c>
    </row>
    <row r="1239" spans="49:49" ht="15" customHeight="1" x14ac:dyDescent="0.35">
      <c r="AW1239" s="120">
        <v>958</v>
      </c>
    </row>
    <row r="1240" spans="49:49" ht="15" customHeight="1" x14ac:dyDescent="0.35">
      <c r="AW1240" s="120">
        <v>959</v>
      </c>
    </row>
    <row r="1241" spans="49:49" ht="15" customHeight="1" x14ac:dyDescent="0.35">
      <c r="AW1241" s="120">
        <v>960</v>
      </c>
    </row>
    <row r="1242" spans="49:49" ht="15" customHeight="1" x14ac:dyDescent="0.35">
      <c r="AW1242" s="120">
        <v>961</v>
      </c>
    </row>
    <row r="1243" spans="49:49" ht="15" customHeight="1" x14ac:dyDescent="0.35">
      <c r="AW1243" s="120">
        <v>962</v>
      </c>
    </row>
    <row r="1244" spans="49:49" ht="15" customHeight="1" x14ac:dyDescent="0.35">
      <c r="AW1244" s="120">
        <v>963</v>
      </c>
    </row>
    <row r="1245" spans="49:49" ht="15" customHeight="1" x14ac:dyDescent="0.35">
      <c r="AW1245" s="120">
        <v>964</v>
      </c>
    </row>
    <row r="1246" spans="49:49" ht="15" customHeight="1" x14ac:dyDescent="0.35">
      <c r="AW1246" s="120">
        <v>965</v>
      </c>
    </row>
    <row r="1247" spans="49:49" ht="15" customHeight="1" x14ac:dyDescent="0.35">
      <c r="AW1247" s="120">
        <v>966</v>
      </c>
    </row>
    <row r="1248" spans="49:49" ht="15" customHeight="1" x14ac:dyDescent="0.35">
      <c r="AW1248" s="120">
        <v>967</v>
      </c>
    </row>
    <row r="1249" spans="49:49" ht="15" customHeight="1" x14ac:dyDescent="0.35">
      <c r="AW1249" s="120">
        <v>968</v>
      </c>
    </row>
    <row r="1250" spans="49:49" ht="15" customHeight="1" x14ac:dyDescent="0.35">
      <c r="AW1250" s="120">
        <v>969</v>
      </c>
    </row>
    <row r="1251" spans="49:49" ht="15" customHeight="1" x14ac:dyDescent="0.35">
      <c r="AW1251" s="120">
        <v>970</v>
      </c>
    </row>
    <row r="1252" spans="49:49" ht="15" customHeight="1" x14ac:dyDescent="0.35">
      <c r="AW1252" s="120">
        <v>971</v>
      </c>
    </row>
    <row r="1253" spans="49:49" ht="15" customHeight="1" x14ac:dyDescent="0.35">
      <c r="AW1253" s="120">
        <v>972</v>
      </c>
    </row>
    <row r="1254" spans="49:49" ht="15" customHeight="1" x14ac:dyDescent="0.35">
      <c r="AW1254" s="120">
        <v>973</v>
      </c>
    </row>
    <row r="1255" spans="49:49" ht="15" customHeight="1" x14ac:dyDescent="0.35">
      <c r="AW1255" s="120">
        <v>974</v>
      </c>
    </row>
    <row r="1256" spans="49:49" ht="15" customHeight="1" x14ac:dyDescent="0.35">
      <c r="AW1256" s="120">
        <v>975</v>
      </c>
    </row>
    <row r="1257" spans="49:49" ht="15" customHeight="1" x14ac:dyDescent="0.35">
      <c r="AW1257" s="120">
        <v>976</v>
      </c>
    </row>
    <row r="1258" spans="49:49" ht="15" customHeight="1" x14ac:dyDescent="0.35">
      <c r="AW1258" s="120">
        <v>977</v>
      </c>
    </row>
    <row r="1259" spans="49:49" ht="15" customHeight="1" x14ac:dyDescent="0.35">
      <c r="AW1259" s="120">
        <v>978</v>
      </c>
    </row>
    <row r="1260" spans="49:49" ht="15" customHeight="1" x14ac:dyDescent="0.35">
      <c r="AW1260" s="120">
        <v>979</v>
      </c>
    </row>
    <row r="1261" spans="49:49" ht="15" customHeight="1" x14ac:dyDescent="0.35">
      <c r="AW1261" s="120">
        <v>980</v>
      </c>
    </row>
    <row r="1262" spans="49:49" ht="15" customHeight="1" x14ac:dyDescent="0.35">
      <c r="AW1262" s="120">
        <v>981</v>
      </c>
    </row>
    <row r="1263" spans="49:49" ht="15" customHeight="1" x14ac:dyDescent="0.35">
      <c r="AW1263" s="120">
        <v>982</v>
      </c>
    </row>
    <row r="1264" spans="49:49" ht="15" customHeight="1" x14ac:dyDescent="0.35">
      <c r="AW1264" s="120">
        <v>983</v>
      </c>
    </row>
    <row r="1265" spans="49:49" ht="15" customHeight="1" x14ac:dyDescent="0.35">
      <c r="AW1265" s="120">
        <v>984</v>
      </c>
    </row>
    <row r="1266" spans="49:49" ht="15" customHeight="1" x14ac:dyDescent="0.35">
      <c r="AW1266" s="120">
        <v>985</v>
      </c>
    </row>
    <row r="1267" spans="49:49" ht="15" customHeight="1" x14ac:dyDescent="0.35">
      <c r="AW1267" s="120">
        <v>986</v>
      </c>
    </row>
    <row r="1268" spans="49:49" ht="15" customHeight="1" x14ac:dyDescent="0.35">
      <c r="AW1268" s="120">
        <v>987</v>
      </c>
    </row>
    <row r="1269" spans="49:49" ht="15" customHeight="1" x14ac:dyDescent="0.35">
      <c r="AW1269" s="120">
        <v>988</v>
      </c>
    </row>
    <row r="1270" spans="49:49" ht="15" customHeight="1" x14ac:dyDescent="0.35">
      <c r="AW1270" s="120">
        <v>989</v>
      </c>
    </row>
    <row r="1271" spans="49:49" ht="15" customHeight="1" x14ac:dyDescent="0.35">
      <c r="AW1271" s="120">
        <v>990</v>
      </c>
    </row>
    <row r="1272" spans="49:49" ht="15" customHeight="1" x14ac:dyDescent="0.35">
      <c r="AW1272" s="120">
        <v>991</v>
      </c>
    </row>
    <row r="1273" spans="49:49" ht="15" customHeight="1" x14ac:dyDescent="0.35">
      <c r="AW1273" s="120">
        <v>992</v>
      </c>
    </row>
    <row r="1274" spans="49:49" ht="15" customHeight="1" x14ac:dyDescent="0.35">
      <c r="AW1274" s="120">
        <v>993</v>
      </c>
    </row>
    <row r="1275" spans="49:49" ht="15" customHeight="1" x14ac:dyDescent="0.35">
      <c r="AW1275" s="120">
        <v>994</v>
      </c>
    </row>
    <row r="1276" spans="49:49" ht="15" customHeight="1" x14ac:dyDescent="0.35">
      <c r="AW1276" s="120">
        <v>995</v>
      </c>
    </row>
    <row r="1277" spans="49:49" ht="15" customHeight="1" x14ac:dyDescent="0.35">
      <c r="AW1277" s="120">
        <v>996</v>
      </c>
    </row>
    <row r="1278" spans="49:49" ht="15" customHeight="1" x14ac:dyDescent="0.35">
      <c r="AW1278" s="120">
        <v>997</v>
      </c>
    </row>
    <row r="1279" spans="49:49" ht="15" customHeight="1" x14ac:dyDescent="0.35">
      <c r="AW1279" s="120">
        <v>998</v>
      </c>
    </row>
    <row r="1280" spans="49:49" ht="15" customHeight="1" x14ac:dyDescent="0.35">
      <c r="AW1280" s="120">
        <v>999</v>
      </c>
    </row>
    <row r="1281" spans="49:49" ht="15" customHeight="1" x14ac:dyDescent="0.35">
      <c r="AW1281" s="120">
        <v>1000</v>
      </c>
    </row>
    <row r="1282" spans="49:49" ht="15" customHeight="1" x14ac:dyDescent="0.35">
      <c r="AW1282" s="120">
        <v>1001</v>
      </c>
    </row>
    <row r="1283" spans="49:49" ht="15" customHeight="1" x14ac:dyDescent="0.35">
      <c r="AW1283" s="120">
        <v>1002</v>
      </c>
    </row>
    <row r="1284" spans="49:49" ht="15" customHeight="1" x14ac:dyDescent="0.35">
      <c r="AW1284" s="120">
        <v>1003</v>
      </c>
    </row>
    <row r="1285" spans="49:49" ht="15" customHeight="1" x14ac:dyDescent="0.35">
      <c r="AW1285" s="120">
        <v>1004</v>
      </c>
    </row>
    <row r="1286" spans="49:49" ht="15" customHeight="1" x14ac:dyDescent="0.35">
      <c r="AW1286" s="120">
        <v>1005</v>
      </c>
    </row>
    <row r="1287" spans="49:49" ht="15" customHeight="1" x14ac:dyDescent="0.35">
      <c r="AW1287" s="120">
        <v>1006</v>
      </c>
    </row>
    <row r="1288" spans="49:49" ht="15" customHeight="1" x14ac:dyDescent="0.35">
      <c r="AW1288" s="120">
        <v>1007</v>
      </c>
    </row>
    <row r="1289" spans="49:49" ht="15" customHeight="1" x14ac:dyDescent="0.35">
      <c r="AW1289" s="120">
        <v>1008</v>
      </c>
    </row>
    <row r="1290" spans="49:49" ht="15" customHeight="1" x14ac:dyDescent="0.35">
      <c r="AW1290" s="120">
        <v>1009</v>
      </c>
    </row>
    <row r="1291" spans="49:49" ht="15" customHeight="1" x14ac:dyDescent="0.35">
      <c r="AW1291" s="120">
        <v>1010</v>
      </c>
    </row>
    <row r="1292" spans="49:49" ht="15" customHeight="1" x14ac:dyDescent="0.35">
      <c r="AW1292" s="120">
        <v>1011</v>
      </c>
    </row>
    <row r="1293" spans="49:49" ht="15" customHeight="1" x14ac:dyDescent="0.35">
      <c r="AW1293" s="120">
        <v>1012</v>
      </c>
    </row>
    <row r="1294" spans="49:49" ht="15" customHeight="1" x14ac:dyDescent="0.35">
      <c r="AW1294" s="120">
        <v>1013</v>
      </c>
    </row>
    <row r="1295" spans="49:49" ht="15" customHeight="1" x14ac:dyDescent="0.35">
      <c r="AW1295" s="120">
        <v>1014</v>
      </c>
    </row>
    <row r="1296" spans="49:49" ht="15" customHeight="1" x14ac:dyDescent="0.35">
      <c r="AW1296" s="120">
        <v>1015</v>
      </c>
    </row>
    <row r="1297" spans="49:49" ht="15" customHeight="1" x14ac:dyDescent="0.35">
      <c r="AW1297" s="120">
        <v>1016</v>
      </c>
    </row>
    <row r="1298" spans="49:49" ht="15" customHeight="1" x14ac:dyDescent="0.35">
      <c r="AW1298" s="120">
        <v>1017</v>
      </c>
    </row>
    <row r="1299" spans="49:49" ht="15" customHeight="1" x14ac:dyDescent="0.35">
      <c r="AW1299" s="120">
        <v>1018</v>
      </c>
    </row>
    <row r="1300" spans="49:49" ht="15" customHeight="1" x14ac:dyDescent="0.35">
      <c r="AW1300" s="120">
        <v>1019</v>
      </c>
    </row>
    <row r="1301" spans="49:49" ht="15" customHeight="1" x14ac:dyDescent="0.35">
      <c r="AW1301" s="120">
        <v>1020</v>
      </c>
    </row>
    <row r="1302" spans="49:49" ht="15" customHeight="1" x14ac:dyDescent="0.35">
      <c r="AW1302" s="120">
        <v>1021</v>
      </c>
    </row>
    <row r="1303" spans="49:49" ht="15" customHeight="1" x14ac:dyDescent="0.35">
      <c r="AW1303" s="120">
        <v>1022</v>
      </c>
    </row>
    <row r="1304" spans="49:49" ht="15" customHeight="1" x14ac:dyDescent="0.35">
      <c r="AW1304" s="120">
        <v>1023</v>
      </c>
    </row>
    <row r="1305" spans="49:49" ht="15" customHeight="1" x14ac:dyDescent="0.35">
      <c r="AW1305" s="120">
        <v>1024</v>
      </c>
    </row>
    <row r="1306" spans="49:49" ht="15" customHeight="1" x14ac:dyDescent="0.35">
      <c r="AW1306" s="120">
        <v>1025</v>
      </c>
    </row>
    <row r="1307" spans="49:49" ht="15" customHeight="1" x14ac:dyDescent="0.35">
      <c r="AW1307" s="120">
        <v>1026</v>
      </c>
    </row>
    <row r="1308" spans="49:49" ht="15" customHeight="1" x14ac:dyDescent="0.35">
      <c r="AW1308" s="120">
        <v>1027</v>
      </c>
    </row>
    <row r="1309" spans="49:49" ht="15" customHeight="1" x14ac:dyDescent="0.35">
      <c r="AW1309" s="120">
        <v>1028</v>
      </c>
    </row>
    <row r="1310" spans="49:49" ht="15" customHeight="1" x14ac:dyDescent="0.35">
      <c r="AW1310" s="120">
        <v>1029</v>
      </c>
    </row>
    <row r="1311" spans="49:49" ht="15" customHeight="1" x14ac:dyDescent="0.35">
      <c r="AW1311" s="120">
        <v>1030</v>
      </c>
    </row>
    <row r="1312" spans="49:49" ht="15" customHeight="1" x14ac:dyDescent="0.35">
      <c r="AW1312" s="120">
        <v>1031</v>
      </c>
    </row>
    <row r="1313" spans="49:49" ht="15" customHeight="1" x14ac:dyDescent="0.35">
      <c r="AW1313" s="120">
        <v>1032</v>
      </c>
    </row>
    <row r="1314" spans="49:49" ht="15" customHeight="1" x14ac:dyDescent="0.35">
      <c r="AW1314" s="120">
        <v>1033</v>
      </c>
    </row>
    <row r="1315" spans="49:49" ht="15" customHeight="1" x14ac:dyDescent="0.35">
      <c r="AW1315" s="120">
        <v>1034</v>
      </c>
    </row>
    <row r="1316" spans="49:49" ht="15" customHeight="1" x14ac:dyDescent="0.35">
      <c r="AW1316" s="120">
        <v>1035</v>
      </c>
    </row>
    <row r="1317" spans="49:49" ht="15" customHeight="1" x14ac:dyDescent="0.35">
      <c r="AW1317" s="120">
        <v>1036</v>
      </c>
    </row>
    <row r="1318" spans="49:49" ht="15" customHeight="1" x14ac:dyDescent="0.35">
      <c r="AW1318" s="120">
        <v>1037</v>
      </c>
    </row>
    <row r="1319" spans="49:49" ht="15" customHeight="1" x14ac:dyDescent="0.35">
      <c r="AW1319" s="120">
        <v>1038</v>
      </c>
    </row>
    <row r="1320" spans="49:49" ht="15" customHeight="1" x14ac:dyDescent="0.35">
      <c r="AW1320" s="120">
        <v>1039</v>
      </c>
    </row>
    <row r="1321" spans="49:49" ht="15" customHeight="1" x14ac:dyDescent="0.35">
      <c r="AW1321" s="120">
        <v>1040</v>
      </c>
    </row>
    <row r="1322" spans="49:49" ht="15" customHeight="1" x14ac:dyDescent="0.35">
      <c r="AW1322" s="120">
        <v>1041</v>
      </c>
    </row>
    <row r="1323" spans="49:49" ht="15" customHeight="1" x14ac:dyDescent="0.35">
      <c r="AW1323" s="120">
        <v>1042</v>
      </c>
    </row>
    <row r="1324" spans="49:49" ht="15" customHeight="1" x14ac:dyDescent="0.35">
      <c r="AW1324" s="120">
        <v>1043</v>
      </c>
    </row>
    <row r="1325" spans="49:49" ht="15" customHeight="1" x14ac:dyDescent="0.35">
      <c r="AW1325" s="120">
        <v>1044</v>
      </c>
    </row>
    <row r="1326" spans="49:49" ht="15" customHeight="1" x14ac:dyDescent="0.35">
      <c r="AW1326" s="120">
        <v>1045</v>
      </c>
    </row>
    <row r="1327" spans="49:49" ht="15" customHeight="1" x14ac:dyDescent="0.35">
      <c r="AW1327" s="120">
        <v>1046</v>
      </c>
    </row>
    <row r="1328" spans="49:49" ht="15" customHeight="1" x14ac:dyDescent="0.35">
      <c r="AW1328" s="120">
        <v>1047</v>
      </c>
    </row>
    <row r="1329" spans="49:49" ht="15" customHeight="1" x14ac:dyDescent="0.35">
      <c r="AW1329" s="120">
        <v>1048</v>
      </c>
    </row>
    <row r="1330" spans="49:49" ht="15" customHeight="1" x14ac:dyDescent="0.35">
      <c r="AW1330" s="120">
        <v>1049</v>
      </c>
    </row>
    <row r="1331" spans="49:49" ht="15" customHeight="1" x14ac:dyDescent="0.35">
      <c r="AW1331" s="120">
        <v>1050</v>
      </c>
    </row>
    <row r="1332" spans="49:49" ht="15" customHeight="1" x14ac:dyDescent="0.35">
      <c r="AW1332" s="120">
        <v>1051</v>
      </c>
    </row>
    <row r="1333" spans="49:49" ht="15" customHeight="1" x14ac:dyDescent="0.35">
      <c r="AW1333" s="120">
        <v>1052</v>
      </c>
    </row>
    <row r="1334" spans="49:49" ht="15" customHeight="1" x14ac:dyDescent="0.35">
      <c r="AW1334" s="120">
        <v>1053</v>
      </c>
    </row>
    <row r="1335" spans="49:49" ht="15" customHeight="1" x14ac:dyDescent="0.35">
      <c r="AW1335" s="120">
        <v>1054</v>
      </c>
    </row>
    <row r="1336" spans="49:49" ht="15" customHeight="1" x14ac:dyDescent="0.35">
      <c r="AW1336" s="120">
        <v>1055</v>
      </c>
    </row>
    <row r="1337" spans="49:49" ht="15" customHeight="1" x14ac:dyDescent="0.35">
      <c r="AW1337" s="120">
        <v>1056</v>
      </c>
    </row>
    <row r="1338" spans="49:49" ht="15" customHeight="1" x14ac:dyDescent="0.35">
      <c r="AW1338" s="120">
        <v>1057</v>
      </c>
    </row>
    <row r="1339" spans="49:49" ht="15" customHeight="1" x14ac:dyDescent="0.35">
      <c r="AW1339" s="120">
        <v>1058</v>
      </c>
    </row>
    <row r="1340" spans="49:49" ht="15" customHeight="1" x14ac:dyDescent="0.35">
      <c r="AW1340" s="120">
        <v>1059</v>
      </c>
    </row>
    <row r="1341" spans="49:49" ht="15" customHeight="1" x14ac:dyDescent="0.35">
      <c r="AW1341" s="120">
        <v>1060</v>
      </c>
    </row>
    <row r="1342" spans="49:49" ht="15" customHeight="1" x14ac:dyDescent="0.35">
      <c r="AW1342" s="120">
        <v>1061</v>
      </c>
    </row>
    <row r="1343" spans="49:49" ht="15" customHeight="1" x14ac:dyDescent="0.35">
      <c r="AW1343" s="120">
        <v>1062</v>
      </c>
    </row>
    <row r="1344" spans="49:49" ht="15" customHeight="1" x14ac:dyDescent="0.35">
      <c r="AW1344" s="120">
        <v>1063</v>
      </c>
    </row>
    <row r="1345" spans="49:49" ht="15" customHeight="1" x14ac:dyDescent="0.35">
      <c r="AW1345" s="120">
        <v>1064</v>
      </c>
    </row>
    <row r="1346" spans="49:49" ht="15" customHeight="1" x14ac:dyDescent="0.35">
      <c r="AW1346" s="120">
        <v>1065</v>
      </c>
    </row>
    <row r="1347" spans="49:49" ht="15" customHeight="1" x14ac:dyDescent="0.35">
      <c r="AW1347" s="120">
        <v>1066</v>
      </c>
    </row>
    <row r="1348" spans="49:49" ht="15" customHeight="1" x14ac:dyDescent="0.35">
      <c r="AW1348" s="120">
        <v>1067</v>
      </c>
    </row>
    <row r="1349" spans="49:49" ht="15" customHeight="1" x14ac:dyDescent="0.35">
      <c r="AW1349" s="120">
        <v>1068</v>
      </c>
    </row>
    <row r="1350" spans="49:49" ht="15" customHeight="1" x14ac:dyDescent="0.35">
      <c r="AW1350" s="120">
        <v>1069</v>
      </c>
    </row>
    <row r="1351" spans="49:49" ht="15" customHeight="1" x14ac:dyDescent="0.35">
      <c r="AW1351" s="120">
        <v>1070</v>
      </c>
    </row>
    <row r="1352" spans="49:49" ht="15" customHeight="1" x14ac:dyDescent="0.35">
      <c r="AW1352" s="120">
        <v>1071</v>
      </c>
    </row>
    <row r="1353" spans="49:49" ht="15" customHeight="1" x14ac:dyDescent="0.35">
      <c r="AW1353" s="120">
        <v>1072</v>
      </c>
    </row>
    <row r="1354" spans="49:49" ht="15" customHeight="1" x14ac:dyDescent="0.35">
      <c r="AW1354" s="120">
        <v>1073</v>
      </c>
    </row>
    <row r="1355" spans="49:49" ht="15" customHeight="1" x14ac:dyDescent="0.35">
      <c r="AW1355" s="120">
        <v>1074</v>
      </c>
    </row>
    <row r="1356" spans="49:49" ht="15" customHeight="1" x14ac:dyDescent="0.35">
      <c r="AW1356" s="120">
        <v>1075</v>
      </c>
    </row>
    <row r="1357" spans="49:49" ht="15" customHeight="1" x14ac:dyDescent="0.35">
      <c r="AW1357" s="120">
        <v>1076</v>
      </c>
    </row>
    <row r="1358" spans="49:49" ht="15" customHeight="1" x14ac:dyDescent="0.35">
      <c r="AW1358" s="120">
        <v>1077</v>
      </c>
    </row>
    <row r="1359" spans="49:49" ht="15" customHeight="1" x14ac:dyDescent="0.35">
      <c r="AW1359" s="120">
        <v>1078</v>
      </c>
    </row>
    <row r="1360" spans="49:49" ht="15" customHeight="1" x14ac:dyDescent="0.35">
      <c r="AW1360" s="120">
        <v>1079</v>
      </c>
    </row>
    <row r="1361" spans="49:49" ht="15" customHeight="1" x14ac:dyDescent="0.35">
      <c r="AW1361" s="120">
        <v>1080</v>
      </c>
    </row>
    <row r="1362" spans="49:49" ht="15" customHeight="1" x14ac:dyDescent="0.35">
      <c r="AW1362" s="120">
        <v>1081</v>
      </c>
    </row>
    <row r="1363" spans="49:49" ht="15" customHeight="1" x14ac:dyDescent="0.35">
      <c r="AW1363" s="120">
        <v>1082</v>
      </c>
    </row>
    <row r="1364" spans="49:49" ht="15" customHeight="1" x14ac:dyDescent="0.35">
      <c r="AW1364" s="120">
        <v>1083</v>
      </c>
    </row>
    <row r="1365" spans="49:49" ht="15" customHeight="1" x14ac:dyDescent="0.35">
      <c r="AW1365" s="120">
        <v>1084</v>
      </c>
    </row>
    <row r="1366" spans="49:49" ht="15" customHeight="1" x14ac:dyDescent="0.35">
      <c r="AW1366" s="120">
        <v>1085</v>
      </c>
    </row>
    <row r="1367" spans="49:49" ht="15" customHeight="1" x14ac:dyDescent="0.35">
      <c r="AW1367" s="120">
        <v>1086</v>
      </c>
    </row>
    <row r="1368" spans="49:49" ht="15" customHeight="1" x14ac:dyDescent="0.35">
      <c r="AW1368" s="120">
        <v>1087</v>
      </c>
    </row>
    <row r="1369" spans="49:49" ht="15" customHeight="1" x14ac:dyDescent="0.35">
      <c r="AW1369" s="120">
        <v>1088</v>
      </c>
    </row>
    <row r="1370" spans="49:49" ht="15" customHeight="1" x14ac:dyDescent="0.35">
      <c r="AW1370" s="120">
        <v>1089</v>
      </c>
    </row>
    <row r="1371" spans="49:49" ht="15" customHeight="1" x14ac:dyDescent="0.35">
      <c r="AW1371" s="120">
        <v>1090</v>
      </c>
    </row>
    <row r="1372" spans="49:49" ht="15" customHeight="1" x14ac:dyDescent="0.35">
      <c r="AW1372" s="120">
        <v>1091</v>
      </c>
    </row>
    <row r="1373" spans="49:49" ht="15" customHeight="1" x14ac:dyDescent="0.35">
      <c r="AW1373" s="120">
        <v>1092</v>
      </c>
    </row>
    <row r="1374" spans="49:49" ht="15" customHeight="1" x14ac:dyDescent="0.35">
      <c r="AW1374" s="120">
        <v>1093</v>
      </c>
    </row>
    <row r="1375" spans="49:49" ht="15" customHeight="1" x14ac:dyDescent="0.35">
      <c r="AW1375" s="120">
        <v>1094</v>
      </c>
    </row>
    <row r="1376" spans="49:49" ht="15" customHeight="1" x14ac:dyDescent="0.35">
      <c r="AW1376" s="120">
        <v>1095</v>
      </c>
    </row>
    <row r="1377" spans="49:49" ht="15" customHeight="1" x14ac:dyDescent="0.35">
      <c r="AW1377" s="120">
        <v>1096</v>
      </c>
    </row>
    <row r="1378" spans="49:49" ht="15" customHeight="1" x14ac:dyDescent="0.35">
      <c r="AW1378" s="120">
        <v>1097</v>
      </c>
    </row>
    <row r="1379" spans="49:49" ht="15" customHeight="1" x14ac:dyDescent="0.35">
      <c r="AW1379" s="120">
        <v>1098</v>
      </c>
    </row>
    <row r="1380" spans="49:49" ht="15" customHeight="1" x14ac:dyDescent="0.35">
      <c r="AW1380" s="120">
        <v>1099</v>
      </c>
    </row>
    <row r="1381" spans="49:49" ht="15" customHeight="1" x14ac:dyDescent="0.35">
      <c r="AW1381" s="120">
        <v>1100</v>
      </c>
    </row>
    <row r="1382" spans="49:49" ht="15" customHeight="1" x14ac:dyDescent="0.35">
      <c r="AW1382" s="120">
        <v>1101</v>
      </c>
    </row>
    <row r="1383" spans="49:49" ht="15" customHeight="1" x14ac:dyDescent="0.35">
      <c r="AW1383" s="120">
        <v>1102</v>
      </c>
    </row>
    <row r="1384" spans="49:49" ht="15" customHeight="1" x14ac:dyDescent="0.35">
      <c r="AW1384" s="120">
        <v>1103</v>
      </c>
    </row>
    <row r="1385" spans="49:49" ht="15" customHeight="1" x14ac:dyDescent="0.35">
      <c r="AW1385" s="120">
        <v>1104</v>
      </c>
    </row>
    <row r="1386" spans="49:49" ht="15" customHeight="1" x14ac:dyDescent="0.35">
      <c r="AW1386" s="120">
        <v>1105</v>
      </c>
    </row>
    <row r="1387" spans="49:49" ht="15" customHeight="1" x14ac:dyDescent="0.35">
      <c r="AW1387" s="120">
        <v>1106</v>
      </c>
    </row>
    <row r="1388" spans="49:49" ht="15" customHeight="1" x14ac:dyDescent="0.35">
      <c r="AW1388" s="120">
        <v>1107</v>
      </c>
    </row>
    <row r="1389" spans="49:49" ht="15" customHeight="1" x14ac:dyDescent="0.35">
      <c r="AW1389" s="120">
        <v>1108</v>
      </c>
    </row>
    <row r="1390" spans="49:49" ht="15" customHeight="1" x14ac:dyDescent="0.35">
      <c r="AW1390" s="120">
        <v>1109</v>
      </c>
    </row>
    <row r="1391" spans="49:49" ht="15" customHeight="1" x14ac:dyDescent="0.35">
      <c r="AW1391" s="120">
        <v>1110</v>
      </c>
    </row>
    <row r="1392" spans="49:49" ht="15" customHeight="1" x14ac:dyDescent="0.35">
      <c r="AW1392" s="120">
        <v>1111</v>
      </c>
    </row>
    <row r="1393" spans="49:49" ht="15" customHeight="1" x14ac:dyDescent="0.35">
      <c r="AW1393" s="120">
        <v>1112</v>
      </c>
    </row>
    <row r="1394" spans="49:49" ht="15" customHeight="1" x14ac:dyDescent="0.35">
      <c r="AW1394" s="120">
        <v>1113</v>
      </c>
    </row>
    <row r="1395" spans="49:49" ht="15" customHeight="1" x14ac:dyDescent="0.35">
      <c r="AW1395" s="120">
        <v>1114</v>
      </c>
    </row>
    <row r="1396" spans="49:49" ht="15" customHeight="1" x14ac:dyDescent="0.35">
      <c r="AW1396" s="120">
        <v>1115</v>
      </c>
    </row>
    <row r="1397" spans="49:49" ht="15" customHeight="1" x14ac:dyDescent="0.35">
      <c r="AW1397" s="120">
        <v>1116</v>
      </c>
    </row>
    <row r="1398" spans="49:49" ht="15" customHeight="1" x14ac:dyDescent="0.35">
      <c r="AW1398" s="120">
        <v>1117</v>
      </c>
    </row>
    <row r="1399" spans="49:49" ht="15" customHeight="1" x14ac:dyDescent="0.35">
      <c r="AW1399" s="120">
        <v>1118</v>
      </c>
    </row>
    <row r="1400" spans="49:49" ht="15" customHeight="1" x14ac:dyDescent="0.35">
      <c r="AW1400" s="120">
        <v>1119</v>
      </c>
    </row>
    <row r="1401" spans="49:49" ht="15" customHeight="1" x14ac:dyDescent="0.35">
      <c r="AW1401" s="120">
        <v>1120</v>
      </c>
    </row>
    <row r="1402" spans="49:49" ht="15" customHeight="1" x14ac:dyDescent="0.35">
      <c r="AW1402" s="120">
        <v>1121</v>
      </c>
    </row>
    <row r="1403" spans="49:49" ht="15" customHeight="1" x14ac:dyDescent="0.35">
      <c r="AW1403" s="120">
        <v>1122</v>
      </c>
    </row>
    <row r="1404" spans="49:49" ht="15" customHeight="1" x14ac:dyDescent="0.35">
      <c r="AW1404" s="120">
        <v>1123</v>
      </c>
    </row>
    <row r="1405" spans="49:49" ht="15" customHeight="1" x14ac:dyDescent="0.35">
      <c r="AW1405" s="120">
        <v>1124</v>
      </c>
    </row>
    <row r="1406" spans="49:49" ht="15" customHeight="1" x14ac:dyDescent="0.35">
      <c r="AW1406" s="120">
        <v>1125</v>
      </c>
    </row>
    <row r="1407" spans="49:49" ht="15" customHeight="1" x14ac:dyDescent="0.35">
      <c r="AW1407" s="120">
        <v>1126</v>
      </c>
    </row>
    <row r="1408" spans="49:49" ht="15" customHeight="1" x14ac:dyDescent="0.35">
      <c r="AW1408" s="120">
        <v>1127</v>
      </c>
    </row>
    <row r="1409" spans="49:49" ht="15" customHeight="1" x14ac:dyDescent="0.35">
      <c r="AW1409" s="120">
        <v>1128</v>
      </c>
    </row>
    <row r="1410" spans="49:49" ht="15" customHeight="1" x14ac:dyDescent="0.35">
      <c r="AW1410" s="120">
        <v>1129</v>
      </c>
    </row>
    <row r="1411" spans="49:49" ht="15" customHeight="1" x14ac:dyDescent="0.35">
      <c r="AW1411" s="120">
        <v>1130</v>
      </c>
    </row>
    <row r="1412" spans="49:49" ht="15" customHeight="1" x14ac:dyDescent="0.35">
      <c r="AW1412" s="120">
        <v>1131</v>
      </c>
    </row>
    <row r="1413" spans="49:49" ht="15" customHeight="1" x14ac:dyDescent="0.35">
      <c r="AW1413" s="120">
        <v>1132</v>
      </c>
    </row>
    <row r="1414" spans="49:49" ht="15" customHeight="1" x14ac:dyDescent="0.35">
      <c r="AW1414" s="120">
        <v>1133</v>
      </c>
    </row>
    <row r="1415" spans="49:49" ht="15" customHeight="1" x14ac:dyDescent="0.35">
      <c r="AW1415" s="120">
        <v>1134</v>
      </c>
    </row>
    <row r="1416" spans="49:49" ht="15" customHeight="1" x14ac:dyDescent="0.35">
      <c r="AW1416" s="120">
        <v>1135</v>
      </c>
    </row>
    <row r="1417" spans="49:49" ht="15" customHeight="1" x14ac:dyDescent="0.35">
      <c r="AW1417" s="120">
        <v>1136</v>
      </c>
    </row>
    <row r="1418" spans="49:49" ht="15" customHeight="1" x14ac:dyDescent="0.35">
      <c r="AW1418" s="120">
        <v>1137</v>
      </c>
    </row>
    <row r="1419" spans="49:49" ht="15" customHeight="1" x14ac:dyDescent="0.35">
      <c r="AW1419" s="120">
        <v>1138</v>
      </c>
    </row>
    <row r="1420" spans="49:49" ht="15" customHeight="1" x14ac:dyDescent="0.35">
      <c r="AW1420" s="120">
        <v>1139</v>
      </c>
    </row>
    <row r="1421" spans="49:49" ht="15" customHeight="1" x14ac:dyDescent="0.35">
      <c r="AW1421" s="120">
        <v>1140</v>
      </c>
    </row>
    <row r="1422" spans="49:49" ht="15" customHeight="1" x14ac:dyDescent="0.35">
      <c r="AW1422" s="120">
        <v>1141</v>
      </c>
    </row>
    <row r="1423" spans="49:49" ht="15" customHeight="1" x14ac:dyDescent="0.35">
      <c r="AW1423" s="120">
        <v>1142</v>
      </c>
    </row>
    <row r="1424" spans="49:49" ht="15" customHeight="1" x14ac:dyDescent="0.35">
      <c r="AW1424" s="120">
        <v>1143</v>
      </c>
    </row>
    <row r="1425" spans="49:49" ht="15" customHeight="1" x14ac:dyDescent="0.35">
      <c r="AW1425" s="120">
        <v>1144</v>
      </c>
    </row>
    <row r="1426" spans="49:49" ht="15" customHeight="1" x14ac:dyDescent="0.35">
      <c r="AW1426" s="120">
        <v>1145</v>
      </c>
    </row>
    <row r="1427" spans="49:49" ht="15" customHeight="1" x14ac:dyDescent="0.35">
      <c r="AW1427" s="120">
        <v>1146</v>
      </c>
    </row>
    <row r="1428" spans="49:49" ht="15" customHeight="1" x14ac:dyDescent="0.35">
      <c r="AW1428" s="120">
        <v>1147</v>
      </c>
    </row>
    <row r="1429" spans="49:49" ht="15" customHeight="1" x14ac:dyDescent="0.35">
      <c r="AW1429" s="120">
        <v>1148</v>
      </c>
    </row>
    <row r="1430" spans="49:49" ht="15" customHeight="1" x14ac:dyDescent="0.35">
      <c r="AW1430" s="120">
        <v>1149</v>
      </c>
    </row>
    <row r="1431" spans="49:49" ht="15" customHeight="1" x14ac:dyDescent="0.35">
      <c r="AW1431" s="120">
        <v>1150</v>
      </c>
    </row>
    <row r="1432" spans="49:49" ht="15" customHeight="1" x14ac:dyDescent="0.35">
      <c r="AW1432" s="120">
        <v>1151</v>
      </c>
    </row>
    <row r="1433" spans="49:49" ht="15" customHeight="1" x14ac:dyDescent="0.35">
      <c r="AW1433" s="120">
        <v>1152</v>
      </c>
    </row>
    <row r="1434" spans="49:49" ht="15" customHeight="1" x14ac:dyDescent="0.35">
      <c r="AW1434" s="120">
        <v>1153</v>
      </c>
    </row>
    <row r="1435" spans="49:49" ht="15" customHeight="1" x14ac:dyDescent="0.35">
      <c r="AW1435" s="120">
        <v>1154</v>
      </c>
    </row>
    <row r="1436" spans="49:49" ht="15" customHeight="1" x14ac:dyDescent="0.35">
      <c r="AW1436" s="120">
        <v>1155</v>
      </c>
    </row>
    <row r="1437" spans="49:49" ht="15" customHeight="1" x14ac:dyDescent="0.35">
      <c r="AW1437" s="120">
        <v>1156</v>
      </c>
    </row>
    <row r="1438" spans="49:49" ht="15" customHeight="1" x14ac:dyDescent="0.35">
      <c r="AW1438" s="120">
        <v>1157</v>
      </c>
    </row>
    <row r="1439" spans="49:49" ht="15" customHeight="1" x14ac:dyDescent="0.35">
      <c r="AW1439" s="120">
        <v>1158</v>
      </c>
    </row>
    <row r="1440" spans="49:49" ht="15" customHeight="1" x14ac:dyDescent="0.35">
      <c r="AW1440" s="120">
        <v>1159</v>
      </c>
    </row>
    <row r="1441" spans="49:49" ht="15" customHeight="1" x14ac:dyDescent="0.35">
      <c r="AW1441" s="120">
        <v>1160</v>
      </c>
    </row>
    <row r="1442" spans="49:49" ht="15" customHeight="1" x14ac:dyDescent="0.35">
      <c r="AW1442" s="120">
        <v>1161</v>
      </c>
    </row>
    <row r="1443" spans="49:49" ht="15" customHeight="1" x14ac:dyDescent="0.35">
      <c r="AW1443" s="120">
        <v>1162</v>
      </c>
    </row>
    <row r="1444" spans="49:49" ht="15" customHeight="1" x14ac:dyDescent="0.35">
      <c r="AW1444" s="120">
        <v>1163</v>
      </c>
    </row>
    <row r="1445" spans="49:49" ht="15" customHeight="1" x14ac:dyDescent="0.35">
      <c r="AW1445" s="120">
        <v>1164</v>
      </c>
    </row>
    <row r="1446" spans="49:49" ht="15" customHeight="1" x14ac:dyDescent="0.35">
      <c r="AW1446" s="120">
        <v>1165</v>
      </c>
    </row>
    <row r="1447" spans="49:49" ht="15" customHeight="1" x14ac:dyDescent="0.35">
      <c r="AW1447" s="120">
        <v>1166</v>
      </c>
    </row>
    <row r="1448" spans="49:49" ht="15" customHeight="1" x14ac:dyDescent="0.35">
      <c r="AW1448" s="120">
        <v>1167</v>
      </c>
    </row>
    <row r="1449" spans="49:49" ht="15" customHeight="1" x14ac:dyDescent="0.35">
      <c r="AW1449" s="120">
        <v>1168</v>
      </c>
    </row>
    <row r="1450" spans="49:49" ht="15" customHeight="1" x14ac:dyDescent="0.35">
      <c r="AW1450" s="120">
        <v>1169</v>
      </c>
    </row>
    <row r="1451" spans="49:49" ht="15" customHeight="1" x14ac:dyDescent="0.35">
      <c r="AW1451" s="120">
        <v>1170</v>
      </c>
    </row>
    <row r="1452" spans="49:49" ht="15" customHeight="1" x14ac:dyDescent="0.35">
      <c r="AW1452" s="120">
        <v>1171</v>
      </c>
    </row>
    <row r="1453" spans="49:49" ht="15" customHeight="1" x14ac:dyDescent="0.35">
      <c r="AW1453" s="120">
        <v>1172</v>
      </c>
    </row>
    <row r="1454" spans="49:49" ht="15" customHeight="1" x14ac:dyDescent="0.35">
      <c r="AW1454" s="120">
        <v>1173</v>
      </c>
    </row>
    <row r="1455" spans="49:49" ht="15" customHeight="1" x14ac:dyDescent="0.35">
      <c r="AW1455" s="120">
        <v>1174</v>
      </c>
    </row>
    <row r="1456" spans="49:49" ht="15" customHeight="1" x14ac:dyDescent="0.35">
      <c r="AW1456" s="120">
        <v>1175</v>
      </c>
    </row>
    <row r="1457" spans="49:49" ht="15" customHeight="1" x14ac:dyDescent="0.35">
      <c r="AW1457" s="120">
        <v>1176</v>
      </c>
    </row>
    <row r="1458" spans="49:49" ht="15" customHeight="1" x14ac:dyDescent="0.35">
      <c r="AW1458" s="120">
        <v>1177</v>
      </c>
    </row>
    <row r="1459" spans="49:49" ht="15" customHeight="1" x14ac:dyDescent="0.35">
      <c r="AW1459" s="120">
        <v>1178</v>
      </c>
    </row>
    <row r="1460" spans="49:49" ht="15" customHeight="1" x14ac:dyDescent="0.35">
      <c r="AW1460" s="120">
        <v>1179</v>
      </c>
    </row>
    <row r="1461" spans="49:49" ht="15" customHeight="1" x14ac:dyDescent="0.35">
      <c r="AW1461" s="120">
        <v>1180</v>
      </c>
    </row>
    <row r="1462" spans="49:49" ht="15" customHeight="1" x14ac:dyDescent="0.35">
      <c r="AW1462" s="120">
        <v>1181</v>
      </c>
    </row>
    <row r="1463" spans="49:49" ht="15" customHeight="1" x14ac:dyDescent="0.35">
      <c r="AW1463" s="120">
        <v>1182</v>
      </c>
    </row>
    <row r="1464" spans="49:49" ht="15" customHeight="1" x14ac:dyDescent="0.35">
      <c r="AW1464" s="120">
        <v>1183</v>
      </c>
    </row>
    <row r="1465" spans="49:49" ht="15" customHeight="1" x14ac:dyDescent="0.35">
      <c r="AW1465" s="120">
        <v>1184</v>
      </c>
    </row>
    <row r="1466" spans="49:49" ht="15" customHeight="1" x14ac:dyDescent="0.35">
      <c r="AW1466" s="120">
        <v>1185</v>
      </c>
    </row>
    <row r="1467" spans="49:49" ht="15" customHeight="1" x14ac:dyDescent="0.35">
      <c r="AW1467" s="120">
        <v>1186</v>
      </c>
    </row>
    <row r="1468" spans="49:49" ht="15" customHeight="1" x14ac:dyDescent="0.35">
      <c r="AW1468" s="120">
        <v>1187</v>
      </c>
    </row>
    <row r="1469" spans="49:49" ht="15" customHeight="1" x14ac:dyDescent="0.35">
      <c r="AW1469" s="120">
        <v>1188</v>
      </c>
    </row>
    <row r="1470" spans="49:49" ht="15" customHeight="1" x14ac:dyDescent="0.35">
      <c r="AW1470" s="120">
        <v>1189</v>
      </c>
    </row>
    <row r="1471" spans="49:49" ht="15" customHeight="1" x14ac:dyDescent="0.35">
      <c r="AW1471" s="120">
        <v>1190</v>
      </c>
    </row>
    <row r="1472" spans="49:49" ht="15" customHeight="1" x14ac:dyDescent="0.35">
      <c r="AW1472" s="120">
        <v>1191</v>
      </c>
    </row>
    <row r="1473" spans="49:49" ht="15" customHeight="1" x14ac:dyDescent="0.35">
      <c r="AW1473" s="120">
        <v>1192</v>
      </c>
    </row>
    <row r="1474" spans="49:49" ht="15" customHeight="1" x14ac:dyDescent="0.35">
      <c r="AW1474" s="120">
        <v>1193</v>
      </c>
    </row>
    <row r="1475" spans="49:49" ht="15" customHeight="1" x14ac:dyDescent="0.35">
      <c r="AW1475" s="120">
        <v>1194</v>
      </c>
    </row>
    <row r="1476" spans="49:49" ht="15" customHeight="1" x14ac:dyDescent="0.35">
      <c r="AW1476" s="120">
        <v>1195</v>
      </c>
    </row>
    <row r="1477" spans="49:49" ht="15" customHeight="1" x14ac:dyDescent="0.35">
      <c r="AW1477" s="120">
        <v>1196</v>
      </c>
    </row>
    <row r="1478" spans="49:49" ht="15" customHeight="1" x14ac:dyDescent="0.35">
      <c r="AW1478" s="120">
        <v>1197</v>
      </c>
    </row>
    <row r="1479" spans="49:49" ht="15" customHeight="1" x14ac:dyDescent="0.35">
      <c r="AW1479" s="120">
        <v>1198</v>
      </c>
    </row>
    <row r="1480" spans="49:49" ht="15" customHeight="1" x14ac:dyDescent="0.35">
      <c r="AW1480" s="120">
        <v>1199</v>
      </c>
    </row>
    <row r="1481" spans="49:49" ht="15" customHeight="1" x14ac:dyDescent="0.35">
      <c r="AW1481" s="120">
        <v>1200</v>
      </c>
    </row>
    <row r="1482" spans="49:49" ht="15" customHeight="1" x14ac:dyDescent="0.35">
      <c r="AW1482" s="120">
        <v>1201</v>
      </c>
    </row>
    <row r="1483" spans="49:49" ht="15" customHeight="1" x14ac:dyDescent="0.35">
      <c r="AW1483" s="120">
        <v>1202</v>
      </c>
    </row>
    <row r="1484" spans="49:49" ht="15" customHeight="1" x14ac:dyDescent="0.35">
      <c r="AW1484" s="120">
        <v>1203</v>
      </c>
    </row>
    <row r="1485" spans="49:49" ht="15" customHeight="1" x14ac:dyDescent="0.35">
      <c r="AW1485" s="120">
        <v>1204</v>
      </c>
    </row>
    <row r="1486" spans="49:49" ht="15" customHeight="1" x14ac:dyDescent="0.35">
      <c r="AW1486" s="120">
        <v>1205</v>
      </c>
    </row>
    <row r="1487" spans="49:49" ht="15" customHeight="1" x14ac:dyDescent="0.35">
      <c r="AW1487" s="120">
        <v>1206</v>
      </c>
    </row>
    <row r="1488" spans="49:49" ht="15" customHeight="1" x14ac:dyDescent="0.35">
      <c r="AW1488" s="120">
        <v>1207</v>
      </c>
    </row>
    <row r="1489" spans="49:49" ht="15" customHeight="1" x14ac:dyDescent="0.35">
      <c r="AW1489" s="120">
        <v>1208</v>
      </c>
    </row>
    <row r="1490" spans="49:49" ht="15" customHeight="1" x14ac:dyDescent="0.35">
      <c r="AW1490" s="120">
        <v>1209</v>
      </c>
    </row>
    <row r="1491" spans="49:49" ht="15" customHeight="1" x14ac:dyDescent="0.35">
      <c r="AW1491" s="120">
        <v>1210</v>
      </c>
    </row>
    <row r="1492" spans="49:49" ht="15" customHeight="1" x14ac:dyDescent="0.35">
      <c r="AW1492" s="120">
        <v>1211</v>
      </c>
    </row>
    <row r="1493" spans="49:49" ht="15" customHeight="1" x14ac:dyDescent="0.35">
      <c r="AW1493" s="120">
        <v>1212</v>
      </c>
    </row>
    <row r="1494" spans="49:49" ht="15" customHeight="1" x14ac:dyDescent="0.35">
      <c r="AW1494" s="120">
        <v>1213</v>
      </c>
    </row>
    <row r="1495" spans="49:49" ht="15" customHeight="1" x14ac:dyDescent="0.35">
      <c r="AW1495" s="120">
        <v>1214</v>
      </c>
    </row>
    <row r="1496" spans="49:49" ht="15" customHeight="1" x14ac:dyDescent="0.35">
      <c r="AW1496" s="120">
        <v>1215</v>
      </c>
    </row>
    <row r="1497" spans="49:49" ht="15" customHeight="1" x14ac:dyDescent="0.35">
      <c r="AW1497" s="120">
        <v>1216</v>
      </c>
    </row>
    <row r="1498" spans="49:49" ht="15" customHeight="1" x14ac:dyDescent="0.35">
      <c r="AW1498" s="120">
        <v>1217</v>
      </c>
    </row>
    <row r="1499" spans="49:49" ht="15" customHeight="1" x14ac:dyDescent="0.35">
      <c r="AW1499" s="120">
        <v>1218</v>
      </c>
    </row>
    <row r="1500" spans="49:49" ht="15" customHeight="1" x14ac:dyDescent="0.35">
      <c r="AW1500" s="120">
        <v>1219</v>
      </c>
    </row>
    <row r="1501" spans="49:49" ht="15" customHeight="1" x14ac:dyDescent="0.35">
      <c r="AW1501" s="120">
        <v>1220</v>
      </c>
    </row>
    <row r="1502" spans="49:49" ht="15" customHeight="1" x14ac:dyDescent="0.35">
      <c r="AW1502" s="120">
        <v>1221</v>
      </c>
    </row>
    <row r="1503" spans="49:49" ht="15" customHeight="1" x14ac:dyDescent="0.35">
      <c r="AW1503" s="120">
        <v>1222</v>
      </c>
    </row>
    <row r="1504" spans="49:49" ht="15" customHeight="1" x14ac:dyDescent="0.35">
      <c r="AW1504" s="120">
        <v>1223</v>
      </c>
    </row>
    <row r="1505" spans="49:49" ht="15" customHeight="1" x14ac:dyDescent="0.35">
      <c r="AW1505" s="120">
        <v>1224</v>
      </c>
    </row>
    <row r="1506" spans="49:49" ht="15" customHeight="1" x14ac:dyDescent="0.35">
      <c r="AW1506" s="120">
        <v>1225</v>
      </c>
    </row>
    <row r="1507" spans="49:49" ht="15" customHeight="1" x14ac:dyDescent="0.35">
      <c r="AW1507" s="120">
        <v>1226</v>
      </c>
    </row>
    <row r="1508" spans="49:49" ht="15" customHeight="1" x14ac:dyDescent="0.35">
      <c r="AW1508" s="120">
        <v>1227</v>
      </c>
    </row>
    <row r="1509" spans="49:49" ht="15" customHeight="1" x14ac:dyDescent="0.35">
      <c r="AW1509" s="120">
        <v>1228</v>
      </c>
    </row>
    <row r="1510" spans="49:49" ht="15" customHeight="1" x14ac:dyDescent="0.35">
      <c r="AW1510" s="120">
        <v>1229</v>
      </c>
    </row>
    <row r="1511" spans="49:49" ht="15" customHeight="1" x14ac:dyDescent="0.35">
      <c r="AW1511" s="120">
        <v>1230</v>
      </c>
    </row>
    <row r="1512" spans="49:49" ht="15" customHeight="1" x14ac:dyDescent="0.35">
      <c r="AW1512" s="120">
        <v>1231</v>
      </c>
    </row>
    <row r="1513" spans="49:49" ht="15" customHeight="1" x14ac:dyDescent="0.35">
      <c r="AW1513" s="120">
        <v>1232</v>
      </c>
    </row>
    <row r="1514" spans="49:49" ht="15" customHeight="1" x14ac:dyDescent="0.35">
      <c r="AW1514" s="120">
        <v>1233</v>
      </c>
    </row>
    <row r="1515" spans="49:49" ht="15" customHeight="1" x14ac:dyDescent="0.35">
      <c r="AW1515" s="120">
        <v>1234</v>
      </c>
    </row>
    <row r="1516" spans="49:49" ht="15" customHeight="1" x14ac:dyDescent="0.35">
      <c r="AW1516" s="120">
        <v>1235</v>
      </c>
    </row>
    <row r="1517" spans="49:49" ht="15" customHeight="1" x14ac:dyDescent="0.35">
      <c r="AW1517" s="120">
        <v>1236</v>
      </c>
    </row>
    <row r="1518" spans="49:49" ht="15" customHeight="1" x14ac:dyDescent="0.35">
      <c r="AW1518" s="120">
        <v>1237</v>
      </c>
    </row>
    <row r="1519" spans="49:49" ht="15" customHeight="1" x14ac:dyDescent="0.35">
      <c r="AW1519" s="120">
        <v>1238</v>
      </c>
    </row>
    <row r="1520" spans="49:49" ht="15" customHeight="1" x14ac:dyDescent="0.35">
      <c r="AW1520" s="120">
        <v>1239</v>
      </c>
    </row>
    <row r="1521" spans="49:49" ht="15" customHeight="1" x14ac:dyDescent="0.35">
      <c r="AW1521" s="120">
        <v>1240</v>
      </c>
    </row>
    <row r="1522" spans="49:49" ht="15" customHeight="1" x14ac:dyDescent="0.35">
      <c r="AW1522" s="120">
        <v>1241</v>
      </c>
    </row>
    <row r="1523" spans="49:49" ht="15" customHeight="1" x14ac:dyDescent="0.35">
      <c r="AW1523" s="120">
        <v>1242</v>
      </c>
    </row>
    <row r="1524" spans="49:49" ht="15" customHeight="1" x14ac:dyDescent="0.35">
      <c r="AW1524" s="120">
        <v>1243</v>
      </c>
    </row>
    <row r="1525" spans="49:49" ht="15" customHeight="1" x14ac:dyDescent="0.35">
      <c r="AW1525" s="120">
        <v>1244</v>
      </c>
    </row>
    <row r="1526" spans="49:49" ht="15" customHeight="1" x14ac:dyDescent="0.35">
      <c r="AW1526" s="120">
        <v>1245</v>
      </c>
    </row>
    <row r="1527" spans="49:49" ht="15" customHeight="1" x14ac:dyDescent="0.35">
      <c r="AW1527" s="120">
        <v>1246</v>
      </c>
    </row>
    <row r="1528" spans="49:49" ht="15" customHeight="1" x14ac:dyDescent="0.35">
      <c r="AW1528" s="120">
        <v>1247</v>
      </c>
    </row>
    <row r="1529" spans="49:49" ht="15" customHeight="1" x14ac:dyDescent="0.35">
      <c r="AW1529" s="120">
        <v>1248</v>
      </c>
    </row>
    <row r="1530" spans="49:49" ht="15" customHeight="1" x14ac:dyDescent="0.35">
      <c r="AW1530" s="120">
        <v>1249</v>
      </c>
    </row>
    <row r="1531" spans="49:49" ht="15" customHeight="1" x14ac:dyDescent="0.35">
      <c r="AW1531" s="120">
        <v>1250</v>
      </c>
    </row>
    <row r="1532" spans="49:49" ht="15" customHeight="1" x14ac:dyDescent="0.35">
      <c r="AW1532" s="120">
        <v>1251</v>
      </c>
    </row>
    <row r="1533" spans="49:49" ht="15" customHeight="1" x14ac:dyDescent="0.35">
      <c r="AW1533" s="120">
        <v>1252</v>
      </c>
    </row>
    <row r="1534" spans="49:49" ht="15" customHeight="1" x14ac:dyDescent="0.35">
      <c r="AW1534" s="120">
        <v>1253</v>
      </c>
    </row>
    <row r="1535" spans="49:49" ht="15" customHeight="1" x14ac:dyDescent="0.35">
      <c r="AW1535" s="120">
        <v>1254</v>
      </c>
    </row>
    <row r="1536" spans="49:49" ht="15" customHeight="1" x14ac:dyDescent="0.35">
      <c r="AW1536" s="120">
        <v>1255</v>
      </c>
    </row>
    <row r="1537" spans="49:49" ht="15" customHeight="1" x14ac:dyDescent="0.35">
      <c r="AW1537" s="120">
        <v>1256</v>
      </c>
    </row>
    <row r="1538" spans="49:49" ht="15" customHeight="1" x14ac:dyDescent="0.35">
      <c r="AW1538" s="120">
        <v>1257</v>
      </c>
    </row>
    <row r="1539" spans="49:49" ht="15" customHeight="1" x14ac:dyDescent="0.35">
      <c r="AW1539" s="120">
        <v>1258</v>
      </c>
    </row>
    <row r="1540" spans="49:49" ht="15" customHeight="1" x14ac:dyDescent="0.35">
      <c r="AW1540" s="120">
        <v>1259</v>
      </c>
    </row>
    <row r="1541" spans="49:49" ht="15" customHeight="1" x14ac:dyDescent="0.35">
      <c r="AW1541" s="120">
        <v>1260</v>
      </c>
    </row>
    <row r="1542" spans="49:49" ht="15" customHeight="1" x14ac:dyDescent="0.35">
      <c r="AW1542" s="120">
        <v>1261</v>
      </c>
    </row>
    <row r="1543" spans="49:49" ht="15" customHeight="1" x14ac:dyDescent="0.35">
      <c r="AW1543" s="120">
        <v>1262</v>
      </c>
    </row>
    <row r="1544" spans="49:49" ht="15" customHeight="1" x14ac:dyDescent="0.35">
      <c r="AW1544" s="120">
        <v>1263</v>
      </c>
    </row>
    <row r="1545" spans="49:49" ht="15" customHeight="1" x14ac:dyDescent="0.35">
      <c r="AW1545" s="120">
        <v>1264</v>
      </c>
    </row>
    <row r="1546" spans="49:49" ht="15" customHeight="1" x14ac:dyDescent="0.35">
      <c r="AW1546" s="120">
        <v>1265</v>
      </c>
    </row>
    <row r="1547" spans="49:49" ht="15" customHeight="1" x14ac:dyDescent="0.35">
      <c r="AW1547" s="120">
        <v>1266</v>
      </c>
    </row>
    <row r="1548" spans="49:49" ht="15" customHeight="1" x14ac:dyDescent="0.35">
      <c r="AW1548" s="120">
        <v>1267</v>
      </c>
    </row>
    <row r="1549" spans="49:49" ht="15" customHeight="1" x14ac:dyDescent="0.35">
      <c r="AW1549" s="120">
        <v>1268</v>
      </c>
    </row>
    <row r="1550" spans="49:49" ht="15" customHeight="1" x14ac:dyDescent="0.35">
      <c r="AW1550" s="120">
        <v>1269</v>
      </c>
    </row>
    <row r="1551" spans="49:49" ht="15" customHeight="1" x14ac:dyDescent="0.35">
      <c r="AW1551" s="120">
        <v>1270</v>
      </c>
    </row>
    <row r="1552" spans="49:49" ht="15" customHeight="1" x14ac:dyDescent="0.35">
      <c r="AW1552" s="120">
        <v>1271</v>
      </c>
    </row>
    <row r="1553" spans="49:49" ht="15" customHeight="1" x14ac:dyDescent="0.35">
      <c r="AW1553" s="120">
        <v>1272</v>
      </c>
    </row>
    <row r="1554" spans="49:49" ht="15" customHeight="1" x14ac:dyDescent="0.35">
      <c r="AW1554" s="120">
        <v>1273</v>
      </c>
    </row>
    <row r="1555" spans="49:49" ht="15" customHeight="1" x14ac:dyDescent="0.35">
      <c r="AW1555" s="120">
        <v>1274</v>
      </c>
    </row>
    <row r="1556" spans="49:49" ht="15" customHeight="1" x14ac:dyDescent="0.35">
      <c r="AW1556" s="120">
        <v>1275</v>
      </c>
    </row>
    <row r="1557" spans="49:49" ht="15" customHeight="1" x14ac:dyDescent="0.35">
      <c r="AW1557" s="120">
        <v>1276</v>
      </c>
    </row>
    <row r="1558" spans="49:49" ht="15" customHeight="1" x14ac:dyDescent="0.35">
      <c r="AW1558" s="120">
        <v>1277</v>
      </c>
    </row>
    <row r="1559" spans="49:49" ht="15" customHeight="1" x14ac:dyDescent="0.35">
      <c r="AW1559" s="120">
        <v>1278</v>
      </c>
    </row>
    <row r="1560" spans="49:49" ht="15" customHeight="1" x14ac:dyDescent="0.35">
      <c r="AW1560" s="120">
        <v>1279</v>
      </c>
    </row>
    <row r="1561" spans="49:49" ht="15" customHeight="1" x14ac:dyDescent="0.35">
      <c r="AW1561" s="120">
        <v>1280</v>
      </c>
    </row>
    <row r="1562" spans="49:49" ht="15" customHeight="1" x14ac:dyDescent="0.35">
      <c r="AW1562" s="120">
        <v>1281</v>
      </c>
    </row>
    <row r="1563" spans="49:49" ht="15" customHeight="1" x14ac:dyDescent="0.35">
      <c r="AW1563" s="120">
        <v>1282</v>
      </c>
    </row>
    <row r="1564" spans="49:49" ht="15" customHeight="1" x14ac:dyDescent="0.35">
      <c r="AW1564" s="120">
        <v>1283</v>
      </c>
    </row>
    <row r="1565" spans="49:49" ht="15" customHeight="1" x14ac:dyDescent="0.35">
      <c r="AW1565" s="120">
        <v>1284</v>
      </c>
    </row>
    <row r="1566" spans="49:49" ht="15" customHeight="1" x14ac:dyDescent="0.35">
      <c r="AW1566" s="120">
        <v>1285</v>
      </c>
    </row>
    <row r="1567" spans="49:49" ht="15" customHeight="1" x14ac:dyDescent="0.35">
      <c r="AW1567" s="120">
        <v>1286</v>
      </c>
    </row>
    <row r="1568" spans="49:49" ht="15" customHeight="1" x14ac:dyDescent="0.35">
      <c r="AW1568" s="120">
        <v>1287</v>
      </c>
    </row>
    <row r="1569" spans="49:49" ht="15" customHeight="1" x14ac:dyDescent="0.35">
      <c r="AW1569" s="120">
        <v>1288</v>
      </c>
    </row>
    <row r="1570" spans="49:49" ht="15" customHeight="1" x14ac:dyDescent="0.35">
      <c r="AW1570" s="120">
        <v>1289</v>
      </c>
    </row>
    <row r="1571" spans="49:49" ht="15" customHeight="1" x14ac:dyDescent="0.35">
      <c r="AW1571" s="120">
        <v>1290</v>
      </c>
    </row>
    <row r="1572" spans="49:49" ht="15" customHeight="1" x14ac:dyDescent="0.35">
      <c r="AW1572" s="120">
        <v>1291</v>
      </c>
    </row>
    <row r="1573" spans="49:49" ht="15" customHeight="1" x14ac:dyDescent="0.35">
      <c r="AW1573" s="120">
        <v>1292</v>
      </c>
    </row>
    <row r="1574" spans="49:49" ht="15" customHeight="1" x14ac:dyDescent="0.35">
      <c r="AW1574" s="120">
        <v>1293</v>
      </c>
    </row>
    <row r="1575" spans="49:49" ht="15" customHeight="1" x14ac:dyDescent="0.35">
      <c r="AW1575" s="120">
        <v>1294</v>
      </c>
    </row>
    <row r="1576" spans="49:49" ht="15" customHeight="1" x14ac:dyDescent="0.35">
      <c r="AW1576" s="120">
        <v>1295</v>
      </c>
    </row>
    <row r="1577" spans="49:49" ht="15" customHeight="1" x14ac:dyDescent="0.35">
      <c r="AW1577" s="120">
        <v>1296</v>
      </c>
    </row>
    <row r="1578" spans="49:49" ht="15" customHeight="1" x14ac:dyDescent="0.35">
      <c r="AW1578" s="120">
        <v>1297</v>
      </c>
    </row>
    <row r="1579" spans="49:49" ht="15" customHeight="1" x14ac:dyDescent="0.35">
      <c r="AW1579" s="120">
        <v>1298</v>
      </c>
    </row>
    <row r="1580" spans="49:49" ht="15" customHeight="1" x14ac:dyDescent="0.35">
      <c r="AW1580" s="120">
        <v>1299</v>
      </c>
    </row>
    <row r="1581" spans="49:49" ht="15" customHeight="1" x14ac:dyDescent="0.35">
      <c r="AW1581" s="120">
        <v>1300</v>
      </c>
    </row>
    <row r="1582" spans="49:49" ht="15" customHeight="1" x14ac:dyDescent="0.35">
      <c r="AW1582" s="120">
        <v>1301</v>
      </c>
    </row>
    <row r="1583" spans="49:49" ht="15" customHeight="1" x14ac:dyDescent="0.35">
      <c r="AW1583" s="120">
        <v>1302</v>
      </c>
    </row>
    <row r="1584" spans="49:49" ht="15" customHeight="1" x14ac:dyDescent="0.35">
      <c r="AW1584" s="120">
        <v>1303</v>
      </c>
    </row>
    <row r="1585" spans="49:49" ht="15" customHeight="1" x14ac:dyDescent="0.35">
      <c r="AW1585" s="120">
        <v>1304</v>
      </c>
    </row>
    <row r="1586" spans="49:49" ht="15" customHeight="1" x14ac:dyDescent="0.35">
      <c r="AW1586" s="120">
        <v>1305</v>
      </c>
    </row>
    <row r="1587" spans="49:49" ht="15" customHeight="1" x14ac:dyDescent="0.35">
      <c r="AW1587" s="120">
        <v>1306</v>
      </c>
    </row>
    <row r="1588" spans="49:49" ht="15" customHeight="1" x14ac:dyDescent="0.35">
      <c r="AW1588" s="120">
        <v>1307</v>
      </c>
    </row>
    <row r="1589" spans="49:49" ht="15" customHeight="1" x14ac:dyDescent="0.35">
      <c r="AW1589" s="120">
        <v>1308</v>
      </c>
    </row>
    <row r="1590" spans="49:49" ht="15" customHeight="1" x14ac:dyDescent="0.35">
      <c r="AW1590" s="120">
        <v>1309</v>
      </c>
    </row>
    <row r="1591" spans="49:49" ht="15" customHeight="1" x14ac:dyDescent="0.35">
      <c r="AW1591" s="120">
        <v>1310</v>
      </c>
    </row>
    <row r="1592" spans="49:49" ht="15" customHeight="1" x14ac:dyDescent="0.35">
      <c r="AW1592" s="120">
        <v>1311</v>
      </c>
    </row>
    <row r="1593" spans="49:49" ht="15" customHeight="1" x14ac:dyDescent="0.35">
      <c r="AW1593" s="120">
        <v>1312</v>
      </c>
    </row>
    <row r="1594" spans="49:49" ht="15" customHeight="1" x14ac:dyDescent="0.35">
      <c r="AW1594" s="120">
        <v>1313</v>
      </c>
    </row>
    <row r="1595" spans="49:49" ht="15" customHeight="1" x14ac:dyDescent="0.35">
      <c r="AW1595" s="120">
        <v>1314</v>
      </c>
    </row>
    <row r="1596" spans="49:49" ht="15" customHeight="1" x14ac:dyDescent="0.35">
      <c r="AW1596" s="120">
        <v>1315</v>
      </c>
    </row>
    <row r="1597" spans="49:49" ht="15" customHeight="1" x14ac:dyDescent="0.35">
      <c r="AW1597" s="120">
        <v>1316</v>
      </c>
    </row>
    <row r="1598" spans="49:49" ht="15" customHeight="1" x14ac:dyDescent="0.35">
      <c r="AW1598" s="120">
        <v>1317</v>
      </c>
    </row>
    <row r="1599" spans="49:49" ht="15" customHeight="1" x14ac:dyDescent="0.35">
      <c r="AW1599" s="120">
        <v>1318</v>
      </c>
    </row>
    <row r="1600" spans="49:49" ht="15" customHeight="1" x14ac:dyDescent="0.35">
      <c r="AW1600" s="120">
        <v>1319</v>
      </c>
    </row>
    <row r="1601" spans="49:49" ht="15" customHeight="1" x14ac:dyDescent="0.35">
      <c r="AW1601" s="120">
        <v>1320</v>
      </c>
    </row>
    <row r="1602" spans="49:49" ht="15" customHeight="1" x14ac:dyDescent="0.35">
      <c r="AW1602" s="120">
        <v>1321</v>
      </c>
    </row>
    <row r="1603" spans="49:49" ht="15" customHeight="1" x14ac:dyDescent="0.35">
      <c r="AW1603" s="120">
        <v>1322</v>
      </c>
    </row>
    <row r="1604" spans="49:49" ht="15" customHeight="1" x14ac:dyDescent="0.35">
      <c r="AW1604" s="120">
        <v>1323</v>
      </c>
    </row>
    <row r="1605" spans="49:49" ht="15" customHeight="1" x14ac:dyDescent="0.35">
      <c r="AW1605" s="120">
        <v>1324</v>
      </c>
    </row>
    <row r="1606" spans="49:49" ht="15" customHeight="1" x14ac:dyDescent="0.35">
      <c r="AW1606" s="120">
        <v>1325</v>
      </c>
    </row>
    <row r="1607" spans="49:49" ht="15" customHeight="1" x14ac:dyDescent="0.35">
      <c r="AW1607" s="120">
        <v>1326</v>
      </c>
    </row>
    <row r="1608" spans="49:49" ht="15" customHeight="1" x14ac:dyDescent="0.35">
      <c r="AW1608" s="120">
        <v>1327</v>
      </c>
    </row>
    <row r="1609" spans="49:49" ht="15" customHeight="1" x14ac:dyDescent="0.35">
      <c r="AW1609" s="120">
        <v>1328</v>
      </c>
    </row>
    <row r="1610" spans="49:49" ht="15" customHeight="1" x14ac:dyDescent="0.35">
      <c r="AW1610" s="120">
        <v>1329</v>
      </c>
    </row>
    <row r="1611" spans="49:49" ht="15" customHeight="1" x14ac:dyDescent="0.35">
      <c r="AW1611" s="120">
        <v>1330</v>
      </c>
    </row>
    <row r="1612" spans="49:49" ht="15" customHeight="1" x14ac:dyDescent="0.35">
      <c r="AW1612" s="120">
        <v>1331</v>
      </c>
    </row>
    <row r="1613" spans="49:49" ht="15" customHeight="1" x14ac:dyDescent="0.35">
      <c r="AW1613" s="120">
        <v>1332</v>
      </c>
    </row>
    <row r="1614" spans="49:49" ht="15" customHeight="1" x14ac:dyDescent="0.35">
      <c r="AW1614" s="120">
        <v>1333</v>
      </c>
    </row>
    <row r="1615" spans="49:49" ht="15" customHeight="1" x14ac:dyDescent="0.35">
      <c r="AW1615" s="120">
        <v>1334</v>
      </c>
    </row>
    <row r="1616" spans="49:49" ht="15" customHeight="1" x14ac:dyDescent="0.35">
      <c r="AW1616" s="120">
        <v>1335</v>
      </c>
    </row>
    <row r="1617" spans="49:49" ht="15" customHeight="1" x14ac:dyDescent="0.35">
      <c r="AW1617" s="120">
        <v>1336</v>
      </c>
    </row>
    <row r="1618" spans="49:49" ht="15" customHeight="1" x14ac:dyDescent="0.35">
      <c r="AW1618" s="120">
        <v>1337</v>
      </c>
    </row>
    <row r="1619" spans="49:49" ht="15" customHeight="1" x14ac:dyDescent="0.35">
      <c r="AW1619" s="120">
        <v>1338</v>
      </c>
    </row>
    <row r="1620" spans="49:49" ht="15" customHeight="1" x14ac:dyDescent="0.35">
      <c r="AW1620" s="120">
        <v>1339</v>
      </c>
    </row>
    <row r="1621" spans="49:49" ht="15" customHeight="1" x14ac:dyDescent="0.35">
      <c r="AW1621" s="120">
        <v>1340</v>
      </c>
    </row>
    <row r="1622" spans="49:49" ht="15" customHeight="1" x14ac:dyDescent="0.35">
      <c r="AW1622" s="120">
        <v>1341</v>
      </c>
    </row>
    <row r="1623" spans="49:49" ht="15" customHeight="1" x14ac:dyDescent="0.35">
      <c r="AW1623" s="120">
        <v>1342</v>
      </c>
    </row>
    <row r="1624" spans="49:49" ht="15" customHeight="1" x14ac:dyDescent="0.35">
      <c r="AW1624" s="120">
        <v>1343</v>
      </c>
    </row>
    <row r="1625" spans="49:49" ht="15" customHeight="1" x14ac:dyDescent="0.35">
      <c r="AW1625" s="120">
        <v>1344</v>
      </c>
    </row>
    <row r="1626" spans="49:49" ht="15" customHeight="1" x14ac:dyDescent="0.35">
      <c r="AW1626" s="120">
        <v>1345</v>
      </c>
    </row>
    <row r="1627" spans="49:49" ht="15" customHeight="1" x14ac:dyDescent="0.35">
      <c r="AW1627" s="120">
        <v>1346</v>
      </c>
    </row>
    <row r="1628" spans="49:49" ht="15" customHeight="1" x14ac:dyDescent="0.35">
      <c r="AW1628" s="120">
        <v>1347</v>
      </c>
    </row>
    <row r="1629" spans="49:49" ht="15" customHeight="1" x14ac:dyDescent="0.35">
      <c r="AW1629" s="120">
        <v>1348</v>
      </c>
    </row>
    <row r="1630" spans="49:49" ht="15" customHeight="1" x14ac:dyDescent="0.35">
      <c r="AW1630" s="120">
        <v>1349</v>
      </c>
    </row>
    <row r="1631" spans="49:49" ht="15" customHeight="1" x14ac:dyDescent="0.35">
      <c r="AW1631" s="120">
        <v>1350</v>
      </c>
    </row>
    <row r="1632" spans="49:49" ht="15" customHeight="1" x14ac:dyDescent="0.35">
      <c r="AW1632" s="120">
        <v>1351</v>
      </c>
    </row>
    <row r="1633" spans="49:49" ht="15" customHeight="1" x14ac:dyDescent="0.35">
      <c r="AW1633" s="120">
        <v>1352</v>
      </c>
    </row>
    <row r="1634" spans="49:49" ht="15" customHeight="1" x14ac:dyDescent="0.35">
      <c r="AW1634" s="120">
        <v>1353</v>
      </c>
    </row>
    <row r="1635" spans="49:49" ht="15" customHeight="1" x14ac:dyDescent="0.35">
      <c r="AW1635" s="120">
        <v>1354</v>
      </c>
    </row>
    <row r="1636" spans="49:49" ht="15" customHeight="1" x14ac:dyDescent="0.35">
      <c r="AW1636" s="120">
        <v>1355</v>
      </c>
    </row>
    <row r="1637" spans="49:49" ht="15" customHeight="1" x14ac:dyDescent="0.35">
      <c r="AW1637" s="120">
        <v>1356</v>
      </c>
    </row>
    <row r="1638" spans="49:49" ht="15" customHeight="1" x14ac:dyDescent="0.35">
      <c r="AW1638" s="120">
        <v>1357</v>
      </c>
    </row>
    <row r="1639" spans="49:49" ht="15" customHeight="1" x14ac:dyDescent="0.35">
      <c r="AW1639" s="120">
        <v>1358</v>
      </c>
    </row>
    <row r="1640" spans="49:49" ht="15" customHeight="1" x14ac:dyDescent="0.35">
      <c r="AW1640" s="120">
        <v>1359</v>
      </c>
    </row>
    <row r="1641" spans="49:49" ht="15" customHeight="1" x14ac:dyDescent="0.35">
      <c r="AW1641" s="120">
        <v>1360</v>
      </c>
    </row>
    <row r="1642" spans="49:49" ht="15" customHeight="1" x14ac:dyDescent="0.35">
      <c r="AW1642" s="120">
        <v>1361</v>
      </c>
    </row>
    <row r="1643" spans="49:49" ht="15" customHeight="1" x14ac:dyDescent="0.35">
      <c r="AW1643" s="120">
        <v>1362</v>
      </c>
    </row>
    <row r="1644" spans="49:49" ht="15" customHeight="1" x14ac:dyDescent="0.35">
      <c r="AW1644" s="120">
        <v>1363</v>
      </c>
    </row>
    <row r="1645" spans="49:49" ht="15" customHeight="1" x14ac:dyDescent="0.35">
      <c r="AW1645" s="120">
        <v>1364</v>
      </c>
    </row>
    <row r="1646" spans="49:49" ht="15" customHeight="1" x14ac:dyDescent="0.35">
      <c r="AW1646" s="120">
        <v>1365</v>
      </c>
    </row>
    <row r="1647" spans="49:49" ht="15" customHeight="1" x14ac:dyDescent="0.35">
      <c r="AW1647" s="120">
        <v>1366</v>
      </c>
    </row>
    <row r="1648" spans="49:49" ht="15" customHeight="1" x14ac:dyDescent="0.35">
      <c r="AW1648" s="120">
        <v>1367</v>
      </c>
    </row>
    <row r="1649" spans="49:49" ht="15" customHeight="1" x14ac:dyDescent="0.35">
      <c r="AW1649" s="120">
        <v>1368</v>
      </c>
    </row>
    <row r="1650" spans="49:49" ht="15" customHeight="1" x14ac:dyDescent="0.35">
      <c r="AW1650" s="120">
        <v>1369</v>
      </c>
    </row>
    <row r="1651" spans="49:49" ht="15" customHeight="1" x14ac:dyDescent="0.35">
      <c r="AW1651" s="120">
        <v>1370</v>
      </c>
    </row>
    <row r="1652" spans="49:49" ht="15" customHeight="1" x14ac:dyDescent="0.35">
      <c r="AW1652" s="120">
        <v>1371</v>
      </c>
    </row>
    <row r="1653" spans="49:49" ht="15" customHeight="1" x14ac:dyDescent="0.35">
      <c r="AW1653" s="120">
        <v>1372</v>
      </c>
    </row>
    <row r="1654" spans="49:49" ht="15" customHeight="1" x14ac:dyDescent="0.35">
      <c r="AW1654" s="120">
        <v>1373</v>
      </c>
    </row>
    <row r="1655" spans="49:49" ht="15" customHeight="1" x14ac:dyDescent="0.35">
      <c r="AW1655" s="120">
        <v>1374</v>
      </c>
    </row>
    <row r="1656" spans="49:49" ht="15" customHeight="1" x14ac:dyDescent="0.35">
      <c r="AW1656" s="120">
        <v>1375</v>
      </c>
    </row>
    <row r="1657" spans="49:49" ht="15" customHeight="1" x14ac:dyDescent="0.35">
      <c r="AW1657" s="120">
        <v>1376</v>
      </c>
    </row>
    <row r="1658" spans="49:49" ht="15" customHeight="1" x14ac:dyDescent="0.35">
      <c r="AW1658" s="120">
        <v>1377</v>
      </c>
    </row>
    <row r="1659" spans="49:49" ht="15" customHeight="1" x14ac:dyDescent="0.35">
      <c r="AW1659" s="120">
        <v>1378</v>
      </c>
    </row>
    <row r="1660" spans="49:49" ht="15" customHeight="1" x14ac:dyDescent="0.35">
      <c r="AW1660" s="120">
        <v>1379</v>
      </c>
    </row>
    <row r="1661" spans="49:49" ht="15" customHeight="1" x14ac:dyDescent="0.35">
      <c r="AW1661" s="120">
        <v>1380</v>
      </c>
    </row>
    <row r="1662" spans="49:49" ht="15" customHeight="1" x14ac:dyDescent="0.35">
      <c r="AW1662" s="120">
        <v>1381</v>
      </c>
    </row>
    <row r="1663" spans="49:49" ht="15" customHeight="1" x14ac:dyDescent="0.35">
      <c r="AW1663" s="120">
        <v>1382</v>
      </c>
    </row>
    <row r="1664" spans="49:49" ht="15" customHeight="1" x14ac:dyDescent="0.35">
      <c r="AW1664" s="120">
        <v>1383</v>
      </c>
    </row>
    <row r="1665" spans="49:49" ht="15" customHeight="1" x14ac:dyDescent="0.35">
      <c r="AW1665" s="120">
        <v>1384</v>
      </c>
    </row>
    <row r="1666" spans="49:49" ht="15" customHeight="1" x14ac:dyDescent="0.35">
      <c r="AW1666" s="120">
        <v>1385</v>
      </c>
    </row>
    <row r="1667" spans="49:49" ht="15" customHeight="1" x14ac:dyDescent="0.35">
      <c r="AW1667" s="120">
        <v>1386</v>
      </c>
    </row>
    <row r="1668" spans="49:49" ht="15" customHeight="1" x14ac:dyDescent="0.35">
      <c r="AW1668" s="120">
        <v>1387</v>
      </c>
    </row>
    <row r="1669" spans="49:49" ht="15" customHeight="1" x14ac:dyDescent="0.35">
      <c r="AW1669" s="120">
        <v>1388</v>
      </c>
    </row>
    <row r="1670" spans="49:49" ht="15" customHeight="1" x14ac:dyDescent="0.35">
      <c r="AW1670" s="120">
        <v>1389</v>
      </c>
    </row>
    <row r="1671" spans="49:49" ht="15" customHeight="1" x14ac:dyDescent="0.35">
      <c r="AW1671" s="120">
        <v>1390</v>
      </c>
    </row>
    <row r="1672" spans="49:49" ht="15" customHeight="1" x14ac:dyDescent="0.35">
      <c r="AW1672" s="120">
        <v>1391</v>
      </c>
    </row>
    <row r="1673" spans="49:49" ht="15" customHeight="1" x14ac:dyDescent="0.35">
      <c r="AW1673" s="120">
        <v>1392</v>
      </c>
    </row>
    <row r="1674" spans="49:49" ht="15" customHeight="1" x14ac:dyDescent="0.35">
      <c r="AW1674" s="120">
        <v>1393</v>
      </c>
    </row>
    <row r="1675" spans="49:49" ht="15" customHeight="1" x14ac:dyDescent="0.35">
      <c r="AW1675" s="120">
        <v>1394</v>
      </c>
    </row>
    <row r="1676" spans="49:49" ht="15" customHeight="1" x14ac:dyDescent="0.35">
      <c r="AW1676" s="120">
        <v>1395</v>
      </c>
    </row>
    <row r="1677" spans="49:49" ht="15" customHeight="1" x14ac:dyDescent="0.35">
      <c r="AW1677" s="120">
        <v>1396</v>
      </c>
    </row>
    <row r="1678" spans="49:49" ht="15" customHeight="1" x14ac:dyDescent="0.35">
      <c r="AW1678" s="120">
        <v>1397</v>
      </c>
    </row>
    <row r="1679" spans="49:49" ht="15" customHeight="1" x14ac:dyDescent="0.35">
      <c r="AW1679" s="120">
        <v>1398</v>
      </c>
    </row>
    <row r="1680" spans="49:49" ht="15" customHeight="1" x14ac:dyDescent="0.35">
      <c r="AW1680" s="120">
        <v>1399</v>
      </c>
    </row>
    <row r="1681" spans="49:49" ht="15" customHeight="1" x14ac:dyDescent="0.35">
      <c r="AW1681" s="120">
        <v>1400</v>
      </c>
    </row>
    <row r="1682" spans="49:49" ht="15" customHeight="1" x14ac:dyDescent="0.35">
      <c r="AW1682" s="120">
        <v>1401</v>
      </c>
    </row>
    <row r="1683" spans="49:49" ht="15" customHeight="1" x14ac:dyDescent="0.35">
      <c r="AW1683" s="120">
        <v>1402</v>
      </c>
    </row>
    <row r="1684" spans="49:49" ht="15" customHeight="1" x14ac:dyDescent="0.35">
      <c r="AW1684" s="120">
        <v>1403</v>
      </c>
    </row>
    <row r="1685" spans="49:49" ht="15" customHeight="1" x14ac:dyDescent="0.35">
      <c r="AW1685" s="120">
        <v>1404</v>
      </c>
    </row>
    <row r="1686" spans="49:49" ht="15" customHeight="1" x14ac:dyDescent="0.35">
      <c r="AW1686" s="120">
        <v>1405</v>
      </c>
    </row>
    <row r="1687" spans="49:49" ht="15" customHeight="1" x14ac:dyDescent="0.35">
      <c r="AW1687" s="120">
        <v>1406</v>
      </c>
    </row>
    <row r="1688" spans="49:49" ht="15" customHeight="1" x14ac:dyDescent="0.35">
      <c r="AW1688" s="120">
        <v>1407</v>
      </c>
    </row>
    <row r="1689" spans="49:49" ht="15" customHeight="1" x14ac:dyDescent="0.35">
      <c r="AW1689" s="120">
        <v>1408</v>
      </c>
    </row>
    <row r="1690" spans="49:49" ht="15" customHeight="1" x14ac:dyDescent="0.35">
      <c r="AW1690" s="120">
        <v>1409</v>
      </c>
    </row>
    <row r="1691" spans="49:49" ht="15" customHeight="1" x14ac:dyDescent="0.35">
      <c r="AW1691" s="120">
        <v>1410</v>
      </c>
    </row>
    <row r="1692" spans="49:49" ht="15" customHeight="1" x14ac:dyDescent="0.35">
      <c r="AW1692" s="120">
        <v>1411</v>
      </c>
    </row>
    <row r="1693" spans="49:49" ht="15" customHeight="1" x14ac:dyDescent="0.35">
      <c r="AW1693" s="120">
        <v>1412</v>
      </c>
    </row>
    <row r="1694" spans="49:49" ht="15" customHeight="1" x14ac:dyDescent="0.35">
      <c r="AW1694" s="120">
        <v>1413</v>
      </c>
    </row>
    <row r="1695" spans="49:49" ht="15" customHeight="1" x14ac:dyDescent="0.35">
      <c r="AW1695" s="120">
        <v>1414</v>
      </c>
    </row>
    <row r="1696" spans="49:49" ht="15" customHeight="1" x14ac:dyDescent="0.35">
      <c r="AW1696" s="120">
        <v>1415</v>
      </c>
    </row>
    <row r="1697" spans="49:49" ht="15" customHeight="1" x14ac:dyDescent="0.35">
      <c r="AW1697" s="120">
        <v>1416</v>
      </c>
    </row>
    <row r="1698" spans="49:49" ht="15" customHeight="1" x14ac:dyDescent="0.35">
      <c r="AW1698" s="120">
        <v>1417</v>
      </c>
    </row>
    <row r="1699" spans="49:49" ht="15" customHeight="1" x14ac:dyDescent="0.35">
      <c r="AW1699" s="120">
        <v>1418</v>
      </c>
    </row>
    <row r="1700" spans="49:49" ht="15" customHeight="1" x14ac:dyDescent="0.35">
      <c r="AW1700" s="120">
        <v>1419</v>
      </c>
    </row>
    <row r="1701" spans="49:49" ht="15" customHeight="1" x14ac:dyDescent="0.35">
      <c r="AW1701" s="120">
        <v>1420</v>
      </c>
    </row>
    <row r="1702" spans="49:49" ht="15" customHeight="1" x14ac:dyDescent="0.35">
      <c r="AW1702" s="120">
        <v>1421</v>
      </c>
    </row>
    <row r="1703" spans="49:49" ht="15" customHeight="1" x14ac:dyDescent="0.35">
      <c r="AW1703" s="120">
        <v>1422</v>
      </c>
    </row>
    <row r="1704" spans="49:49" ht="15" customHeight="1" x14ac:dyDescent="0.35">
      <c r="AW1704" s="120">
        <v>1423</v>
      </c>
    </row>
    <row r="1705" spans="49:49" ht="15" customHeight="1" x14ac:dyDescent="0.35">
      <c r="AW1705" s="120">
        <v>1424</v>
      </c>
    </row>
    <row r="1706" spans="49:49" ht="15" customHeight="1" x14ac:dyDescent="0.35">
      <c r="AW1706" s="120">
        <v>1425</v>
      </c>
    </row>
    <row r="1707" spans="49:49" ht="15" customHeight="1" x14ac:dyDescent="0.35">
      <c r="AW1707" s="120">
        <v>1426</v>
      </c>
    </row>
    <row r="1708" spans="49:49" ht="15" customHeight="1" x14ac:dyDescent="0.35">
      <c r="AW1708" s="120">
        <v>1427</v>
      </c>
    </row>
    <row r="1709" spans="49:49" ht="15" customHeight="1" x14ac:dyDescent="0.35">
      <c r="AW1709" s="120">
        <v>1428</v>
      </c>
    </row>
    <row r="1710" spans="49:49" ht="15" customHeight="1" x14ac:dyDescent="0.35">
      <c r="AW1710" s="120">
        <v>1429</v>
      </c>
    </row>
    <row r="1711" spans="49:49" ht="15" customHeight="1" x14ac:dyDescent="0.35">
      <c r="AW1711" s="120">
        <v>1430</v>
      </c>
    </row>
    <row r="1712" spans="49:49" ht="15" customHeight="1" x14ac:dyDescent="0.35">
      <c r="AW1712" s="120">
        <v>1431</v>
      </c>
    </row>
    <row r="1713" spans="49:49" ht="15" customHeight="1" x14ac:dyDescent="0.35">
      <c r="AW1713" s="120">
        <v>1432</v>
      </c>
    </row>
    <row r="1714" spans="49:49" ht="15" customHeight="1" x14ac:dyDescent="0.35">
      <c r="AW1714" s="120">
        <v>1433</v>
      </c>
    </row>
    <row r="1715" spans="49:49" ht="15" customHeight="1" x14ac:dyDescent="0.35">
      <c r="AW1715" s="120">
        <v>1434</v>
      </c>
    </row>
    <row r="1716" spans="49:49" ht="15" customHeight="1" x14ac:dyDescent="0.35">
      <c r="AW1716" s="120">
        <v>1435</v>
      </c>
    </row>
    <row r="1717" spans="49:49" ht="15" customHeight="1" x14ac:dyDescent="0.35">
      <c r="AW1717" s="120">
        <v>1436</v>
      </c>
    </row>
    <row r="1718" spans="49:49" ht="15" customHeight="1" x14ac:dyDescent="0.35">
      <c r="AW1718" s="120">
        <v>1437</v>
      </c>
    </row>
    <row r="1719" spans="49:49" ht="15" customHeight="1" x14ac:dyDescent="0.35">
      <c r="AW1719" s="120">
        <v>1438</v>
      </c>
    </row>
    <row r="1720" spans="49:49" ht="15" customHeight="1" x14ac:dyDescent="0.35">
      <c r="AW1720" s="120">
        <v>1439</v>
      </c>
    </row>
    <row r="1721" spans="49:49" ht="15" customHeight="1" x14ac:dyDescent="0.35">
      <c r="AW1721" s="120">
        <v>1440</v>
      </c>
    </row>
    <row r="1722" spans="49:49" ht="15" customHeight="1" x14ac:dyDescent="0.35">
      <c r="AW1722" s="120">
        <v>1441</v>
      </c>
    </row>
    <row r="1723" spans="49:49" ht="15" customHeight="1" x14ac:dyDescent="0.35">
      <c r="AW1723" s="120">
        <v>1442</v>
      </c>
    </row>
    <row r="1724" spans="49:49" ht="15" customHeight="1" x14ac:dyDescent="0.35">
      <c r="AW1724" s="120">
        <v>1443</v>
      </c>
    </row>
    <row r="1725" spans="49:49" ht="15" customHeight="1" x14ac:dyDescent="0.35">
      <c r="AW1725" s="120">
        <v>1444</v>
      </c>
    </row>
    <row r="1726" spans="49:49" ht="15" customHeight="1" x14ac:dyDescent="0.35">
      <c r="AW1726" s="120">
        <v>1445</v>
      </c>
    </row>
    <row r="1727" spans="49:49" ht="15" customHeight="1" x14ac:dyDescent="0.35">
      <c r="AW1727" s="120">
        <v>1446</v>
      </c>
    </row>
    <row r="1728" spans="49:49" ht="15" customHeight="1" x14ac:dyDescent="0.35">
      <c r="AW1728" s="120">
        <v>1447</v>
      </c>
    </row>
    <row r="1729" spans="49:49" ht="15" customHeight="1" x14ac:dyDescent="0.35">
      <c r="AW1729" s="120">
        <v>1448</v>
      </c>
    </row>
    <row r="1730" spans="49:49" ht="15" customHeight="1" x14ac:dyDescent="0.35">
      <c r="AW1730" s="120">
        <v>1449</v>
      </c>
    </row>
    <row r="1731" spans="49:49" ht="15" customHeight="1" x14ac:dyDescent="0.35">
      <c r="AW1731" s="120">
        <v>1450</v>
      </c>
    </row>
    <row r="1732" spans="49:49" ht="15" customHeight="1" x14ac:dyDescent="0.35">
      <c r="AW1732" s="120">
        <v>1451</v>
      </c>
    </row>
    <row r="1733" spans="49:49" ht="15" customHeight="1" x14ac:dyDescent="0.35">
      <c r="AW1733" s="120">
        <v>1452</v>
      </c>
    </row>
    <row r="1734" spans="49:49" ht="15" customHeight="1" x14ac:dyDescent="0.35">
      <c r="AW1734" s="120">
        <v>1453</v>
      </c>
    </row>
    <row r="1735" spans="49:49" ht="15" customHeight="1" x14ac:dyDescent="0.35">
      <c r="AW1735" s="120">
        <v>1454</v>
      </c>
    </row>
    <row r="1736" spans="49:49" ht="15" customHeight="1" x14ac:dyDescent="0.35">
      <c r="AW1736" s="120">
        <v>1455</v>
      </c>
    </row>
    <row r="1737" spans="49:49" ht="15" customHeight="1" x14ac:dyDescent="0.35">
      <c r="AW1737" s="120">
        <v>1456</v>
      </c>
    </row>
    <row r="1738" spans="49:49" ht="15" customHeight="1" x14ac:dyDescent="0.35">
      <c r="AW1738" s="120">
        <v>1457</v>
      </c>
    </row>
    <row r="1739" spans="49:49" ht="15" customHeight="1" x14ac:dyDescent="0.35">
      <c r="AW1739" s="120">
        <v>1458</v>
      </c>
    </row>
    <row r="1740" spans="49:49" ht="15" customHeight="1" x14ac:dyDescent="0.35">
      <c r="AW1740" s="120">
        <v>1459</v>
      </c>
    </row>
    <row r="1741" spans="49:49" ht="15" customHeight="1" x14ac:dyDescent="0.35">
      <c r="AW1741" s="120">
        <v>1460</v>
      </c>
    </row>
    <row r="1742" spans="49:49" ht="15" customHeight="1" x14ac:dyDescent="0.35">
      <c r="AW1742" s="120">
        <v>1461</v>
      </c>
    </row>
    <row r="1743" spans="49:49" ht="15" customHeight="1" x14ac:dyDescent="0.35">
      <c r="AW1743" s="120">
        <v>1462</v>
      </c>
    </row>
    <row r="1744" spans="49:49" ht="15" customHeight="1" x14ac:dyDescent="0.35">
      <c r="AW1744" s="120">
        <v>1463</v>
      </c>
    </row>
    <row r="1745" spans="49:49" ht="15" customHeight="1" x14ac:dyDescent="0.35">
      <c r="AW1745" s="120">
        <v>1464</v>
      </c>
    </row>
    <row r="1746" spans="49:49" ht="15" customHeight="1" x14ac:dyDescent="0.35">
      <c r="AW1746" s="120">
        <v>1465</v>
      </c>
    </row>
    <row r="1747" spans="49:49" ht="15" customHeight="1" x14ac:dyDescent="0.35">
      <c r="AW1747" s="120">
        <v>1466</v>
      </c>
    </row>
    <row r="1748" spans="49:49" ht="15" customHeight="1" x14ac:dyDescent="0.35">
      <c r="AW1748" s="120">
        <v>1467</v>
      </c>
    </row>
    <row r="1749" spans="49:49" ht="15" customHeight="1" x14ac:dyDescent="0.35">
      <c r="AW1749" s="120">
        <v>1468</v>
      </c>
    </row>
    <row r="1750" spans="49:49" ht="15" customHeight="1" x14ac:dyDescent="0.35">
      <c r="AW1750" s="120">
        <v>1469</v>
      </c>
    </row>
    <row r="1751" spans="49:49" ht="15" customHeight="1" x14ac:dyDescent="0.35">
      <c r="AW1751" s="120">
        <v>1470</v>
      </c>
    </row>
    <row r="1752" spans="49:49" ht="15" customHeight="1" x14ac:dyDescent="0.35">
      <c r="AW1752" s="120">
        <v>1471</v>
      </c>
    </row>
    <row r="1753" spans="49:49" ht="15" customHeight="1" x14ac:dyDescent="0.35">
      <c r="AW1753" s="120">
        <v>1472</v>
      </c>
    </row>
    <row r="1754" spans="49:49" ht="15" customHeight="1" x14ac:dyDescent="0.35">
      <c r="AW1754" s="120">
        <v>1473</v>
      </c>
    </row>
    <row r="1755" spans="49:49" ht="15" customHeight="1" x14ac:dyDescent="0.35">
      <c r="AW1755" s="120">
        <v>1474</v>
      </c>
    </row>
    <row r="1756" spans="49:49" ht="15" customHeight="1" x14ac:dyDescent="0.35">
      <c r="AW1756" s="120">
        <v>1475</v>
      </c>
    </row>
    <row r="1757" spans="49:49" ht="15" customHeight="1" x14ac:dyDescent="0.35">
      <c r="AW1757" s="120">
        <v>1476</v>
      </c>
    </row>
    <row r="1758" spans="49:49" ht="15" customHeight="1" x14ac:dyDescent="0.35">
      <c r="AW1758" s="120">
        <v>1477</v>
      </c>
    </row>
    <row r="1759" spans="49:49" ht="15" customHeight="1" x14ac:dyDescent="0.35">
      <c r="AW1759" s="120">
        <v>1478</v>
      </c>
    </row>
    <row r="1760" spans="49:49" ht="15" customHeight="1" x14ac:dyDescent="0.35">
      <c r="AW1760" s="120">
        <v>1479</v>
      </c>
    </row>
    <row r="1761" spans="49:49" ht="15" customHeight="1" x14ac:dyDescent="0.35">
      <c r="AW1761" s="120">
        <v>1480</v>
      </c>
    </row>
    <row r="1762" spans="49:49" ht="15" customHeight="1" x14ac:dyDescent="0.35">
      <c r="AW1762" s="120">
        <v>1481</v>
      </c>
    </row>
    <row r="1763" spans="49:49" ht="15" customHeight="1" x14ac:dyDescent="0.35">
      <c r="AW1763" s="120">
        <v>1482</v>
      </c>
    </row>
    <row r="1764" spans="49:49" ht="15" customHeight="1" x14ac:dyDescent="0.35">
      <c r="AW1764" s="120">
        <v>1483</v>
      </c>
    </row>
    <row r="1765" spans="49:49" ht="15" customHeight="1" x14ac:dyDescent="0.35">
      <c r="AW1765" s="120">
        <v>1484</v>
      </c>
    </row>
    <row r="1766" spans="49:49" ht="15" customHeight="1" x14ac:dyDescent="0.35">
      <c r="AW1766" s="120">
        <v>1485</v>
      </c>
    </row>
    <row r="1767" spans="49:49" ht="15" customHeight="1" x14ac:dyDescent="0.35">
      <c r="AW1767" s="120">
        <v>1486</v>
      </c>
    </row>
    <row r="1768" spans="49:49" ht="15" customHeight="1" x14ac:dyDescent="0.35">
      <c r="AW1768" s="120">
        <v>1487</v>
      </c>
    </row>
    <row r="1769" spans="49:49" ht="15" customHeight="1" x14ac:dyDescent="0.35">
      <c r="AW1769" s="120">
        <v>1488</v>
      </c>
    </row>
    <row r="1770" spans="49:49" ht="15" customHeight="1" x14ac:dyDescent="0.35">
      <c r="AW1770" s="120">
        <v>1489</v>
      </c>
    </row>
    <row r="1771" spans="49:49" ht="15" customHeight="1" x14ac:dyDescent="0.35">
      <c r="AW1771" s="120">
        <v>1490</v>
      </c>
    </row>
    <row r="1772" spans="49:49" ht="15" customHeight="1" x14ac:dyDescent="0.35">
      <c r="AW1772" s="120">
        <v>1491</v>
      </c>
    </row>
    <row r="1773" spans="49:49" ht="15" customHeight="1" x14ac:dyDescent="0.35">
      <c r="AW1773" s="120">
        <v>1492</v>
      </c>
    </row>
  </sheetData>
  <mergeCells count="15">
    <mergeCell ref="B273:C273"/>
    <mergeCell ref="D273:O273"/>
    <mergeCell ref="B274:C274"/>
    <mergeCell ref="D274:N274"/>
    <mergeCell ref="B275:C275"/>
    <mergeCell ref="D275:N275"/>
    <mergeCell ref="B280:C280"/>
    <mergeCell ref="D279:N279"/>
    <mergeCell ref="D280:N280"/>
    <mergeCell ref="B276:C276"/>
    <mergeCell ref="D276:N276"/>
    <mergeCell ref="B277:C277"/>
    <mergeCell ref="D277:O277"/>
    <mergeCell ref="B278:C278"/>
    <mergeCell ref="D278:O278"/>
  </mergeCells>
  <conditionalFormatting sqref="AP296:AR298">
    <cfRule type="colorScale" priority="2">
      <colorScale>
        <cfvo type="formula" val="$Q$210*0.5"/>
        <cfvo type="num" val="$Q$210"/>
        <cfvo type="formula" val="$Q$210*2"/>
        <color rgb="FFF8696B"/>
        <color rgb="FFFCFCFF"/>
        <color rgb="FF63BE7B"/>
      </colorScale>
    </cfRule>
  </conditionalFormatting>
  <conditionalFormatting sqref="AP286:AT290 AP299:AT300 AP297:AR298 AS294:AT298">
    <cfRule type="colorScale" priority="1">
      <colorScale>
        <cfvo type="formula" val="$Q$210*0.5"/>
        <cfvo type="num" val="$Q$210"/>
        <cfvo type="formula" val="$Q$210*2"/>
        <color rgb="FFF8696B"/>
        <color rgb="FFFCFCFF"/>
        <color rgb="FF63BE7B"/>
      </colorScale>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8" tint="-0.249977111117893"/>
  </sheetPr>
  <dimension ref="A2:T395"/>
  <sheetViews>
    <sheetView showGridLines="0" topLeftCell="A49" zoomScale="40" zoomScaleNormal="40" workbookViewId="0">
      <selection activeCell="A88" sqref="A88:XFD88"/>
    </sheetView>
  </sheetViews>
  <sheetFormatPr defaultColWidth="8.83203125" defaultRowHeight="14" x14ac:dyDescent="0.3"/>
  <cols>
    <col min="1" max="1" width="2.33203125" customWidth="1"/>
    <col min="2" max="2" width="18.08203125" customWidth="1"/>
    <col min="3" max="3" width="25.08203125" bestFit="1" customWidth="1"/>
    <col min="6" max="6" width="13.08203125" customWidth="1"/>
    <col min="7" max="11" width="11.08203125" style="26" bestFit="1" customWidth="1"/>
    <col min="12" max="17" width="10.58203125" style="26" customWidth="1"/>
    <col min="18" max="18" width="21.58203125" style="6" customWidth="1"/>
  </cols>
  <sheetData>
    <row r="2" spans="1:18" s="41" customFormat="1" ht="20.149999999999999" customHeight="1" x14ac:dyDescent="0.4">
      <c r="B2" s="40" t="s">
        <v>492</v>
      </c>
      <c r="G2" s="221"/>
      <c r="H2" s="221"/>
      <c r="I2" s="221"/>
      <c r="J2" s="221"/>
      <c r="K2" s="221"/>
      <c r="L2" s="221"/>
      <c r="M2" s="221"/>
      <c r="N2" s="221"/>
      <c r="O2" s="221"/>
      <c r="P2" s="221"/>
      <c r="Q2" s="221"/>
      <c r="R2" s="42"/>
    </row>
    <row r="3" spans="1:18" ht="14.5" x14ac:dyDescent="0.35">
      <c r="B3" s="89" t="s">
        <v>493</v>
      </c>
      <c r="Q3" s="255"/>
    </row>
    <row r="4" spans="1:18" ht="15.5" x14ac:dyDescent="0.35">
      <c r="A4" t="s">
        <v>358</v>
      </c>
      <c r="B4" s="222" t="s">
        <v>224</v>
      </c>
      <c r="C4" s="56"/>
      <c r="D4" s="56"/>
      <c r="E4" s="56"/>
      <c r="F4" s="56"/>
      <c r="G4" s="223">
        <v>2014</v>
      </c>
      <c r="H4" s="223">
        <f>+G4+1</f>
        <v>2015</v>
      </c>
      <c r="I4" s="223">
        <f t="shared" ref="I4:M4" si="0">+H4+1</f>
        <v>2016</v>
      </c>
      <c r="J4" s="223">
        <f t="shared" si="0"/>
        <v>2017</v>
      </c>
      <c r="K4" s="223">
        <f t="shared" si="0"/>
        <v>2018</v>
      </c>
      <c r="L4" s="223">
        <f t="shared" si="0"/>
        <v>2019</v>
      </c>
      <c r="M4" s="223">
        <f t="shared" si="0"/>
        <v>2020</v>
      </c>
      <c r="N4" s="223">
        <f>+M4+1</f>
        <v>2021</v>
      </c>
      <c r="O4" s="223">
        <f>+N4+1</f>
        <v>2022</v>
      </c>
      <c r="P4" s="223">
        <f t="shared" ref="P4" si="1">+O4+1</f>
        <v>2023</v>
      </c>
      <c r="Q4" s="223">
        <f>+P4+1</f>
        <v>2024</v>
      </c>
      <c r="R4" s="58" t="str">
        <f>"CAGR "&amp;$G$4&amp;" - "&amp;$Q$4</f>
        <v>CAGR 2014 - 2024</v>
      </c>
    </row>
    <row r="5" spans="1:18" ht="4" customHeight="1" x14ac:dyDescent="0.35">
      <c r="B5" s="53"/>
      <c r="C5" s="53"/>
      <c r="D5" s="53"/>
      <c r="E5" s="53"/>
      <c r="F5" s="53"/>
      <c r="G5" s="224"/>
      <c r="H5" s="224"/>
      <c r="I5" s="224"/>
      <c r="J5" s="224"/>
      <c r="K5" s="224"/>
      <c r="L5" s="224"/>
      <c r="M5" s="224"/>
      <c r="N5" s="224"/>
      <c r="O5" s="224"/>
      <c r="P5" s="224"/>
      <c r="Q5" s="224"/>
      <c r="R5" s="60"/>
    </row>
    <row r="6" spans="1:18" x14ac:dyDescent="0.3">
      <c r="B6" s="1" t="s">
        <v>398</v>
      </c>
      <c r="G6" s="225"/>
      <c r="H6" s="772">
        <v>3435.1</v>
      </c>
      <c r="I6" s="708">
        <v>3421.4</v>
      </c>
      <c r="J6" s="708">
        <v>5107.5</v>
      </c>
      <c r="K6" s="708">
        <v>6224.7</v>
      </c>
      <c r="L6" s="708">
        <v>5991.1</v>
      </c>
      <c r="M6" s="708">
        <v>5603.1</v>
      </c>
      <c r="N6" s="708">
        <v>7318.3</v>
      </c>
      <c r="O6" s="708">
        <v>12014</v>
      </c>
      <c r="P6" s="708">
        <v>12305.5</v>
      </c>
      <c r="Q6" s="708">
        <v>9427.2000000000007</v>
      </c>
      <c r="R6" s="64">
        <f t="shared" ref="R6:R28" si="2">IFERROR((Q6/H6)^(1/COUNT($H$4:$Q$4))-1,"")</f>
        <v>0.10622720231564986</v>
      </c>
    </row>
    <row r="7" spans="1:18" x14ac:dyDescent="0.3">
      <c r="B7" t="s">
        <v>227</v>
      </c>
      <c r="G7" s="225"/>
      <c r="H7" s="772">
        <v>1175.8</v>
      </c>
      <c r="I7" s="708">
        <v>1194.2</v>
      </c>
      <c r="J7" s="708">
        <v>2045.9</v>
      </c>
      <c r="K7" s="708">
        <v>1974.3</v>
      </c>
      <c r="L7" s="708">
        <v>1977.3</v>
      </c>
      <c r="M7" s="708">
        <v>1912.6</v>
      </c>
      <c r="N7" s="708">
        <v>2793.3</v>
      </c>
      <c r="O7" s="708">
        <v>4481.5</v>
      </c>
      <c r="P7" s="708">
        <v>4428.3</v>
      </c>
      <c r="Q7" s="708">
        <v>4045.8</v>
      </c>
      <c r="R7" s="64">
        <f t="shared" si="2"/>
        <v>0.1315326643968906</v>
      </c>
    </row>
    <row r="8" spans="1:18" x14ac:dyDescent="0.3">
      <c r="B8" s="1" t="s">
        <v>228</v>
      </c>
      <c r="G8" s="226">
        <f>G6-G7</f>
        <v>0</v>
      </c>
      <c r="H8" s="226">
        <f t="shared" ref="H8:Q8" si="3">H6-H7</f>
        <v>2259.3000000000002</v>
      </c>
      <c r="I8" s="226">
        <f t="shared" si="3"/>
        <v>2227.1999999999998</v>
      </c>
      <c r="J8" s="226">
        <f t="shared" si="3"/>
        <v>3061.6</v>
      </c>
      <c r="K8" s="226">
        <f t="shared" si="3"/>
        <v>4250.3999999999996</v>
      </c>
      <c r="L8" s="226">
        <f t="shared" si="3"/>
        <v>4013.8</v>
      </c>
      <c r="M8" s="226">
        <f t="shared" si="3"/>
        <v>3690.5000000000005</v>
      </c>
      <c r="N8" s="226">
        <f t="shared" si="3"/>
        <v>4525</v>
      </c>
      <c r="O8" s="226">
        <f t="shared" si="3"/>
        <v>7532.5</v>
      </c>
      <c r="P8" s="226">
        <f t="shared" si="3"/>
        <v>7877.2</v>
      </c>
      <c r="Q8" s="226">
        <f t="shared" si="3"/>
        <v>5381.4000000000005</v>
      </c>
      <c r="R8" s="64">
        <f t="shared" si="2"/>
        <v>9.0666910087426889E-2</v>
      </c>
    </row>
    <row r="9" spans="1:18" x14ac:dyDescent="0.3">
      <c r="B9" t="s">
        <v>401</v>
      </c>
      <c r="G9" s="225"/>
      <c r="H9" s="770">
        <v>479</v>
      </c>
      <c r="I9">
        <v>461.4</v>
      </c>
      <c r="J9">
        <v>691</v>
      </c>
      <c r="K9">
        <v>695.5</v>
      </c>
      <c r="L9">
        <v>648.1</v>
      </c>
      <c r="M9">
        <v>659.9</v>
      </c>
      <c r="N9">
        <v>915.4</v>
      </c>
      <c r="O9" s="708">
        <v>1266.2</v>
      </c>
      <c r="P9" s="708">
        <v>1273.5999999999999</v>
      </c>
      <c r="Q9" s="708">
        <v>1068.5999999999999</v>
      </c>
      <c r="R9" s="64">
        <f t="shared" si="2"/>
        <v>8.354752792149811E-2</v>
      </c>
    </row>
    <row r="10" spans="1:18" x14ac:dyDescent="0.3">
      <c r="B10" t="s">
        <v>235</v>
      </c>
      <c r="G10" s="225"/>
      <c r="H10" s="770">
        <v>637.5</v>
      </c>
      <c r="I10">
        <v>653.79999999999995</v>
      </c>
      <c r="J10">
        <v>968.6</v>
      </c>
      <c r="K10" s="708">
        <v>1165</v>
      </c>
      <c r="L10" s="708">
        <v>1130.3</v>
      </c>
      <c r="M10" s="708">
        <v>1050.5</v>
      </c>
      <c r="N10" s="708">
        <v>1296.0999999999999</v>
      </c>
      <c r="O10" s="708">
        <v>1700.5</v>
      </c>
      <c r="P10" s="708">
        <v>1660.2</v>
      </c>
      <c r="Q10" s="708">
        <v>1487.9</v>
      </c>
      <c r="R10" s="64">
        <f t="shared" si="2"/>
        <v>8.8452184864529881E-2</v>
      </c>
    </row>
    <row r="11" spans="1:18" x14ac:dyDescent="0.3">
      <c r="B11" t="s">
        <v>402</v>
      </c>
      <c r="G11" s="225"/>
      <c r="H11" s="770">
        <v>223.7</v>
      </c>
      <c r="I11">
        <v>0</v>
      </c>
      <c r="J11">
        <v>0</v>
      </c>
      <c r="K11"/>
      <c r="L11"/>
      <c r="M11"/>
      <c r="N11"/>
      <c r="O11"/>
      <c r="P11"/>
      <c r="Q11"/>
      <c r="R11" s="64">
        <f t="shared" si="2"/>
        <v>-1</v>
      </c>
    </row>
    <row r="12" spans="1:18" x14ac:dyDescent="0.3">
      <c r="B12" s="1" t="s">
        <v>176</v>
      </c>
      <c r="G12" s="227">
        <f>+G8-G9-G10-G11</f>
        <v>0</v>
      </c>
      <c r="H12" s="227">
        <f t="shared" ref="H12:P12" si="4">+H8-H9-H10-H11</f>
        <v>919.10000000000014</v>
      </c>
      <c r="I12" s="227">
        <f t="shared" si="4"/>
        <v>1111.9999999999998</v>
      </c>
      <c r="J12" s="227">
        <f t="shared" si="4"/>
        <v>1402</v>
      </c>
      <c r="K12" s="227">
        <f t="shared" si="4"/>
        <v>2389.8999999999996</v>
      </c>
      <c r="L12" s="227">
        <f t="shared" si="4"/>
        <v>2235.4000000000005</v>
      </c>
      <c r="M12" s="227">
        <f t="shared" si="4"/>
        <v>1980.1000000000004</v>
      </c>
      <c r="N12" s="227">
        <f t="shared" si="4"/>
        <v>2313.5</v>
      </c>
      <c r="O12" s="227">
        <f t="shared" si="4"/>
        <v>4565.8</v>
      </c>
      <c r="P12" s="227">
        <f t="shared" si="4"/>
        <v>4943.4000000000005</v>
      </c>
      <c r="Q12" s="227">
        <f>+Q8-Q9-Q10-Q11</f>
        <v>2824.900000000001</v>
      </c>
      <c r="R12" s="64">
        <f t="shared" si="2"/>
        <v>0.11882981539952286</v>
      </c>
    </row>
    <row r="13" spans="1:18" x14ac:dyDescent="0.3">
      <c r="B13" t="s">
        <v>403</v>
      </c>
      <c r="G13" s="237">
        <f>+SUM(G14:G15)</f>
        <v>0</v>
      </c>
      <c r="H13" s="237">
        <f t="shared" ref="H13:P13" si="5">+SUM(H14:H15)</f>
        <v>218.39999999999998</v>
      </c>
      <c r="I13" s="237">
        <f t="shared" si="5"/>
        <v>134.5</v>
      </c>
      <c r="J13" s="237">
        <f t="shared" si="5"/>
        <v>194.7</v>
      </c>
      <c r="K13" s="237">
        <f t="shared" si="5"/>
        <v>799</v>
      </c>
      <c r="L13" s="237">
        <f t="shared" si="5"/>
        <v>811.3</v>
      </c>
      <c r="M13" s="237">
        <f t="shared" si="5"/>
        <v>810.90000000000009</v>
      </c>
      <c r="N13" s="237">
        <f t="shared" si="5"/>
        <v>1074.7</v>
      </c>
      <c r="O13" s="237">
        <f t="shared" si="5"/>
        <v>2297.5</v>
      </c>
      <c r="P13" s="237">
        <f t="shared" si="5"/>
        <v>2293.1</v>
      </c>
      <c r="Q13" s="237">
        <f>+SUM(Q14:Q15)</f>
        <v>2104.3000000000002</v>
      </c>
      <c r="R13" s="64">
        <f t="shared" si="2"/>
        <v>0.25425402132655273</v>
      </c>
    </row>
    <row r="14" spans="1:18" ht="14.5" x14ac:dyDescent="0.35">
      <c r="B14" s="258" t="s">
        <v>405</v>
      </c>
      <c r="G14" s="259"/>
      <c r="H14" s="770">
        <v>130.1</v>
      </c>
      <c r="I14">
        <v>134.5</v>
      </c>
      <c r="J14">
        <v>194.7</v>
      </c>
      <c r="K14">
        <v>228.5</v>
      </c>
      <c r="L14">
        <v>240.7</v>
      </c>
      <c r="M14">
        <v>233.8</v>
      </c>
      <c r="N14">
        <v>231.3</v>
      </c>
      <c r="O14">
        <v>283.3</v>
      </c>
      <c r="P14">
        <v>334.7</v>
      </c>
      <c r="Q14">
        <v>362.8</v>
      </c>
      <c r="R14" s="64">
        <f t="shared" si="2"/>
        <v>0.10799805540315988</v>
      </c>
    </row>
    <row r="15" spans="1:18" ht="14.5" x14ac:dyDescent="0.35">
      <c r="B15" s="258" t="s">
        <v>407</v>
      </c>
      <c r="H15" s="770">
        <v>88.3</v>
      </c>
      <c r="I15"/>
      <c r="J15"/>
      <c r="K15">
        <v>570.5</v>
      </c>
      <c r="L15">
        <v>570.6</v>
      </c>
      <c r="M15">
        <v>577.1</v>
      </c>
      <c r="N15">
        <v>843.4</v>
      </c>
      <c r="O15" s="708">
        <v>2014.2</v>
      </c>
      <c r="P15" s="708">
        <v>1958.4</v>
      </c>
      <c r="Q15" s="708">
        <v>1741.5</v>
      </c>
      <c r="R15" s="64">
        <f t="shared" si="2"/>
        <v>0.3473991763012052</v>
      </c>
    </row>
    <row r="16" spans="1:18" x14ac:dyDescent="0.3">
      <c r="B16" s="1" t="s">
        <v>229</v>
      </c>
      <c r="G16" s="227">
        <f>+G12-G13</f>
        <v>0</v>
      </c>
      <c r="H16" s="227">
        <f t="shared" ref="H16:Q16" si="6">+H12-H13</f>
        <v>700.70000000000016</v>
      </c>
      <c r="I16" s="227">
        <f t="shared" si="6"/>
        <v>977.49999999999977</v>
      </c>
      <c r="J16" s="227">
        <f t="shared" si="6"/>
        <v>1207.3</v>
      </c>
      <c r="K16" s="227">
        <f t="shared" si="6"/>
        <v>1590.8999999999996</v>
      </c>
      <c r="L16" s="227">
        <f t="shared" si="6"/>
        <v>1424.1000000000006</v>
      </c>
      <c r="M16" s="227">
        <f t="shared" si="6"/>
        <v>1169.2000000000003</v>
      </c>
      <c r="N16" s="227">
        <f t="shared" si="6"/>
        <v>1238.8</v>
      </c>
      <c r="O16" s="227">
        <f t="shared" si="6"/>
        <v>2268.3000000000002</v>
      </c>
      <c r="P16" s="227">
        <f t="shared" si="6"/>
        <v>2650.3000000000006</v>
      </c>
      <c r="Q16" s="227">
        <f t="shared" si="6"/>
        <v>720.60000000000082</v>
      </c>
      <c r="R16" s="64">
        <f t="shared" si="2"/>
        <v>2.8043611784094313E-3</v>
      </c>
    </row>
    <row r="17" spans="1:18" x14ac:dyDescent="0.3">
      <c r="B17" t="s">
        <v>230</v>
      </c>
      <c r="G17" s="237">
        <f>+G18-G19</f>
        <v>0</v>
      </c>
      <c r="H17" s="237">
        <f t="shared" ref="H17:Q17" si="7">+H18-H19</f>
        <v>-8.6000000000000014</v>
      </c>
      <c r="I17" s="237">
        <f t="shared" si="7"/>
        <v>-21.200000000000003</v>
      </c>
      <c r="J17" s="237">
        <f t="shared" si="7"/>
        <v>-30.300000000000011</v>
      </c>
      <c r="K17" s="237">
        <f t="shared" si="7"/>
        <v>-9.4000000000000057</v>
      </c>
      <c r="L17" s="237">
        <f t="shared" si="7"/>
        <v>-10.200000000000017</v>
      </c>
      <c r="M17" s="237">
        <f t="shared" si="7"/>
        <v>-4.2999999999999829</v>
      </c>
      <c r="N17" s="237">
        <f t="shared" si="7"/>
        <v>-1.1999999999999886</v>
      </c>
      <c r="O17" s="237">
        <f t="shared" si="7"/>
        <v>-6.9000000000000057</v>
      </c>
      <c r="P17" s="237">
        <f t="shared" si="7"/>
        <v>-41.299999999999955</v>
      </c>
      <c r="Q17" s="237">
        <f t="shared" si="7"/>
        <v>-78.800000000000011</v>
      </c>
      <c r="R17" s="64">
        <f t="shared" si="2"/>
        <v>0.24796606660901155</v>
      </c>
    </row>
    <row r="18" spans="1:18" ht="14.5" x14ac:dyDescent="0.35">
      <c r="B18" s="258" t="s">
        <v>410</v>
      </c>
      <c r="C18" s="89"/>
      <c r="D18" s="89"/>
      <c r="E18" s="89"/>
      <c r="G18" s="259"/>
      <c r="H18" s="770">
        <v>27</v>
      </c>
      <c r="I18">
        <v>88.8</v>
      </c>
      <c r="J18">
        <v>250.8</v>
      </c>
      <c r="K18">
        <v>253.6</v>
      </c>
      <c r="L18">
        <v>229.1</v>
      </c>
      <c r="M18">
        <v>193.3</v>
      </c>
      <c r="N18">
        <v>184.8</v>
      </c>
      <c r="O18">
        <v>200.4</v>
      </c>
      <c r="P18">
        <v>264.60000000000002</v>
      </c>
      <c r="Q18">
        <v>322.2</v>
      </c>
      <c r="R18" s="64">
        <f t="shared" si="2"/>
        <v>0.28137479543160615</v>
      </c>
    </row>
    <row r="19" spans="1:18" ht="14.5" x14ac:dyDescent="0.35">
      <c r="B19" s="258" t="s">
        <v>412</v>
      </c>
      <c r="C19" s="89"/>
      <c r="D19" s="89"/>
      <c r="E19" s="89"/>
      <c r="G19" s="259"/>
      <c r="H19" s="770">
        <v>35.6</v>
      </c>
      <c r="I19">
        <v>110</v>
      </c>
      <c r="J19">
        <v>281.10000000000002</v>
      </c>
      <c r="K19">
        <v>263</v>
      </c>
      <c r="L19">
        <v>239.3</v>
      </c>
      <c r="M19">
        <v>197.6</v>
      </c>
      <c r="N19">
        <v>186</v>
      </c>
      <c r="O19">
        <v>207.3</v>
      </c>
      <c r="P19">
        <v>305.89999999999998</v>
      </c>
      <c r="Q19">
        <v>401</v>
      </c>
      <c r="R19" s="64">
        <f t="shared" si="2"/>
        <v>0.27400002776668608</v>
      </c>
    </row>
    <row r="20" spans="1:18" x14ac:dyDescent="0.3">
      <c r="B20" t="s">
        <v>414</v>
      </c>
      <c r="G20" s="225"/>
      <c r="H20" s="770">
        <v>-12.9</v>
      </c>
      <c r="I20">
        <v>-6</v>
      </c>
      <c r="J20">
        <v>1.6</v>
      </c>
      <c r="K20">
        <v>-6.2</v>
      </c>
      <c r="L20">
        <v>-1.4</v>
      </c>
      <c r="M20">
        <v>3.2</v>
      </c>
      <c r="N20">
        <v>1.1000000000000001</v>
      </c>
      <c r="O20">
        <v>-46.3</v>
      </c>
      <c r="P20">
        <v>-0.4</v>
      </c>
      <c r="Q20">
        <v>1</v>
      </c>
      <c r="R20" s="64" t="str">
        <f t="shared" si="2"/>
        <v/>
      </c>
    </row>
    <row r="21" spans="1:18" x14ac:dyDescent="0.3">
      <c r="B21" t="s">
        <v>415</v>
      </c>
      <c r="G21" s="225"/>
      <c r="H21" s="770">
        <v>2.2999999999999998</v>
      </c>
      <c r="I21">
        <v>3.7</v>
      </c>
      <c r="J21">
        <v>6.1</v>
      </c>
      <c r="K21">
        <v>0.1</v>
      </c>
      <c r="L21">
        <v>6</v>
      </c>
      <c r="M21">
        <v>-2.4</v>
      </c>
      <c r="N21">
        <v>-35.299999999999997</v>
      </c>
      <c r="O21">
        <v>-13.6</v>
      </c>
      <c r="P21">
        <v>-8.1999999999999993</v>
      </c>
      <c r="Q21">
        <v>12</v>
      </c>
      <c r="R21" s="64">
        <f t="shared" si="2"/>
        <v>0.17962872918499428</v>
      </c>
    </row>
    <row r="22" spans="1:18" x14ac:dyDescent="0.3">
      <c r="B22" s="1" t="s">
        <v>231</v>
      </c>
      <c r="D22" s="1"/>
      <c r="E22" s="1"/>
      <c r="G22" s="492">
        <f>+G16-G17-G20-G21</f>
        <v>0</v>
      </c>
      <c r="H22" s="492">
        <f t="shared" ref="H22:Q22" si="8">+H16-H17-H20-H21</f>
        <v>719.9000000000002</v>
      </c>
      <c r="I22" s="492">
        <f t="shared" si="8"/>
        <v>1000.9999999999998</v>
      </c>
      <c r="J22" s="492">
        <f t="shared" si="8"/>
        <v>1229.9000000000001</v>
      </c>
      <c r="K22" s="492">
        <f t="shared" si="8"/>
        <v>1606.3999999999999</v>
      </c>
      <c r="L22" s="492">
        <f t="shared" si="8"/>
        <v>1429.7000000000007</v>
      </c>
      <c r="M22" s="492">
        <f t="shared" si="8"/>
        <v>1172.7000000000003</v>
      </c>
      <c r="N22" s="492">
        <f t="shared" si="8"/>
        <v>1274.2</v>
      </c>
      <c r="O22" s="492">
        <f t="shared" si="8"/>
        <v>2335.1000000000004</v>
      </c>
      <c r="P22" s="492">
        <f t="shared" si="8"/>
        <v>2700.2000000000003</v>
      </c>
      <c r="Q22" s="492">
        <f t="shared" si="8"/>
        <v>786.40000000000077</v>
      </c>
      <c r="R22" s="64">
        <f t="shared" si="2"/>
        <v>8.8744722307598778E-3</v>
      </c>
    </row>
    <row r="23" spans="1:18" x14ac:dyDescent="0.3">
      <c r="B23" t="s">
        <v>232</v>
      </c>
      <c r="G23" s="225"/>
      <c r="H23" s="770">
        <v>113.2</v>
      </c>
      <c r="I23">
        <v>95.3</v>
      </c>
      <c r="J23">
        <v>101.2</v>
      </c>
      <c r="K23"/>
      <c r="L23">
        <v>122.7</v>
      </c>
      <c r="M23">
        <v>90.9</v>
      </c>
      <c r="N23">
        <v>-61.7</v>
      </c>
      <c r="O23">
        <v>350.2</v>
      </c>
      <c r="P23">
        <v>293.39999999999998</v>
      </c>
      <c r="Q23">
        <v>142.1</v>
      </c>
      <c r="R23" s="64">
        <f t="shared" si="2"/>
        <v>2.2997953965123719E-2</v>
      </c>
    </row>
    <row r="24" spans="1:18" x14ac:dyDescent="0.3">
      <c r="B24" s="1" t="s">
        <v>233</v>
      </c>
      <c r="G24" s="227">
        <f t="shared" ref="G24:P24" si="9">+G22-G23</f>
        <v>0</v>
      </c>
      <c r="H24" s="227">
        <f t="shared" si="9"/>
        <v>606.70000000000016</v>
      </c>
      <c r="I24" s="227">
        <f t="shared" si="9"/>
        <v>905.69999999999982</v>
      </c>
      <c r="J24" s="227">
        <f t="shared" si="9"/>
        <v>1128.7</v>
      </c>
      <c r="K24" s="227">
        <f>+K22-K23</f>
        <v>1606.3999999999999</v>
      </c>
      <c r="L24" s="227">
        <f t="shared" si="9"/>
        <v>1307.0000000000007</v>
      </c>
      <c r="M24" s="227">
        <f t="shared" si="9"/>
        <v>1081.8000000000002</v>
      </c>
      <c r="N24" s="227">
        <f t="shared" si="9"/>
        <v>1335.9</v>
      </c>
      <c r="O24" s="227">
        <f t="shared" si="9"/>
        <v>1984.9000000000003</v>
      </c>
      <c r="P24" s="227">
        <f t="shared" si="9"/>
        <v>2406.8000000000002</v>
      </c>
      <c r="Q24" s="226">
        <f>+Q22-Q23</f>
        <v>644.30000000000075</v>
      </c>
      <c r="R24" s="64">
        <f t="shared" si="2"/>
        <v>6.0311165059607763E-3</v>
      </c>
    </row>
    <row r="25" spans="1:18" x14ac:dyDescent="0.3">
      <c r="B25" s="1" t="s">
        <v>234</v>
      </c>
      <c r="G25" s="228"/>
      <c r="H25" s="770">
        <v>2.23</v>
      </c>
      <c r="I25">
        <v>2.79</v>
      </c>
      <c r="J25">
        <v>2.09</v>
      </c>
      <c r="K25">
        <v>4.05</v>
      </c>
      <c r="L25">
        <v>3.68</v>
      </c>
      <c r="M25">
        <v>3.31</v>
      </c>
      <c r="N25">
        <v>3.5</v>
      </c>
      <c r="O25">
        <v>5.29</v>
      </c>
      <c r="P25">
        <v>6.6</v>
      </c>
      <c r="Q25">
        <v>3.3</v>
      </c>
      <c r="R25" s="64">
        <f t="shared" si="2"/>
        <v>3.9970230578704413E-2</v>
      </c>
    </row>
    <row r="26" spans="1:18" x14ac:dyDescent="0.3">
      <c r="B26" s="1" t="s">
        <v>494</v>
      </c>
      <c r="G26" s="228"/>
      <c r="H26" s="770">
        <v>2.2000000000000002</v>
      </c>
      <c r="I26">
        <v>2.76</v>
      </c>
      <c r="J26">
        <v>2.0699999999999998</v>
      </c>
      <c r="K26">
        <v>4</v>
      </c>
      <c r="L26">
        <v>3.65</v>
      </c>
      <c r="M26">
        <v>3.28</v>
      </c>
      <c r="N26">
        <v>3.46</v>
      </c>
      <c r="O26">
        <v>5.25</v>
      </c>
      <c r="P26">
        <v>6.55</v>
      </c>
      <c r="Q26">
        <v>3.28</v>
      </c>
      <c r="R26" s="64">
        <f t="shared" si="2"/>
        <v>4.0746876828658518E-2</v>
      </c>
    </row>
    <row r="27" spans="1:18" x14ac:dyDescent="0.3">
      <c r="B27" t="s">
        <v>495</v>
      </c>
      <c r="G27" s="225"/>
      <c r="H27" s="770">
        <v>312.7</v>
      </c>
      <c r="I27">
        <v>308.7</v>
      </c>
      <c r="J27">
        <v>346.4</v>
      </c>
      <c r="K27">
        <v>370.4</v>
      </c>
      <c r="L27">
        <v>369.1</v>
      </c>
      <c r="M27">
        <v>368.6</v>
      </c>
      <c r="N27">
        <v>397.5</v>
      </c>
      <c r="O27">
        <v>519.20000000000005</v>
      </c>
      <c r="P27">
        <v>502.2</v>
      </c>
      <c r="Q27">
        <v>496.2</v>
      </c>
      <c r="R27" s="64">
        <f t="shared" si="2"/>
        <v>4.7256073894171635E-2</v>
      </c>
    </row>
    <row r="28" spans="1:18" x14ac:dyDescent="0.3">
      <c r="B28" t="s">
        <v>496</v>
      </c>
      <c r="G28" s="225"/>
      <c r="H28" s="770">
        <v>316.89999999999998</v>
      </c>
      <c r="I28">
        <v>312.3</v>
      </c>
      <c r="J28">
        <v>350.5</v>
      </c>
      <c r="K28">
        <v>374.9</v>
      </c>
      <c r="L28">
        <v>372.9</v>
      </c>
      <c r="M28">
        <v>372</v>
      </c>
      <c r="N28">
        <v>401.3</v>
      </c>
      <c r="O28">
        <v>523.20000000000005</v>
      </c>
      <c r="P28">
        <v>506</v>
      </c>
      <c r="Q28">
        <v>498.7</v>
      </c>
      <c r="R28" s="64">
        <f t="shared" si="2"/>
        <v>4.6385499994110679E-2</v>
      </c>
    </row>
    <row r="29" spans="1:18" ht="4" customHeight="1" x14ac:dyDescent="0.3"/>
    <row r="30" spans="1:18" ht="15.5" x14ac:dyDescent="0.35">
      <c r="A30" t="s">
        <v>358</v>
      </c>
      <c r="B30" s="52" t="s">
        <v>236</v>
      </c>
      <c r="C30" s="56"/>
      <c r="D30" s="56"/>
      <c r="E30" s="56"/>
      <c r="F30" s="56"/>
      <c r="G30" s="223">
        <v>2014</v>
      </c>
      <c r="H30" s="223">
        <f>+G30+1</f>
        <v>2015</v>
      </c>
      <c r="I30" s="223">
        <f t="shared" ref="I30:M30" si="10">+H30+1</f>
        <v>2016</v>
      </c>
      <c r="J30" s="223">
        <f t="shared" si="10"/>
        <v>2017</v>
      </c>
      <c r="K30" s="223">
        <f t="shared" si="10"/>
        <v>2018</v>
      </c>
      <c r="L30" s="223">
        <f t="shared" si="10"/>
        <v>2019</v>
      </c>
      <c r="M30" s="223">
        <f t="shared" si="10"/>
        <v>2020</v>
      </c>
      <c r="N30" s="223">
        <f>+M30+1</f>
        <v>2021</v>
      </c>
      <c r="O30" s="223">
        <f>+N30+1</f>
        <v>2022</v>
      </c>
      <c r="P30" s="223">
        <f t="shared" ref="P30" si="11">+O30+1</f>
        <v>2023</v>
      </c>
      <c r="Q30" s="223">
        <f>+P30+1</f>
        <v>2024</v>
      </c>
      <c r="R30" s="58" t="str">
        <f>"CAGR "&amp;$G$4&amp;" - "&amp;$Q$4</f>
        <v>CAGR 2014 - 2024</v>
      </c>
    </row>
    <row r="31" spans="1:18" s="92" customFormat="1" ht="4" customHeight="1" x14ac:dyDescent="0.35">
      <c r="B31" s="229"/>
      <c r="C31" s="229"/>
      <c r="D31" s="229"/>
      <c r="E31" s="229"/>
      <c r="F31" s="229"/>
      <c r="G31" s="230"/>
      <c r="H31" s="230"/>
      <c r="I31" s="230"/>
      <c r="J31" s="230"/>
      <c r="K31" s="230"/>
      <c r="L31" s="230"/>
      <c r="M31" s="230"/>
      <c r="N31" s="230"/>
      <c r="O31" s="230"/>
      <c r="P31" s="230"/>
      <c r="Q31" s="230"/>
      <c r="R31" s="60"/>
    </row>
    <row r="32" spans="1:18" x14ac:dyDescent="0.3">
      <c r="B32" t="s">
        <v>418</v>
      </c>
      <c r="G32" s="232">
        <f t="shared" ref="G32:Q32" si="12">+SUM(G33:G34)</f>
        <v>0</v>
      </c>
      <c r="H32" s="232">
        <f t="shared" si="12"/>
        <v>3029</v>
      </c>
      <c r="I32" s="232">
        <f t="shared" si="12"/>
        <v>4055.7999999999997</v>
      </c>
      <c r="J32" s="232">
        <f t="shared" si="12"/>
        <v>1047.8</v>
      </c>
      <c r="K32" s="232">
        <f t="shared" si="12"/>
        <v>816.6</v>
      </c>
      <c r="L32" s="232">
        <f t="shared" si="12"/>
        <v>648.29999999999995</v>
      </c>
      <c r="M32" s="232">
        <f t="shared" si="12"/>
        <v>1055.9000000000001</v>
      </c>
      <c r="N32" s="232">
        <f t="shared" si="12"/>
        <v>1978</v>
      </c>
      <c r="O32" s="232">
        <f t="shared" si="12"/>
        <v>1470.6</v>
      </c>
      <c r="P32" s="232">
        <f t="shared" si="12"/>
        <v>958.1</v>
      </c>
      <c r="Q32" s="232">
        <f t="shared" si="12"/>
        <v>2363.1</v>
      </c>
      <c r="R32" s="64">
        <f t="shared" ref="R32:R62" si="13">IFERROR((Q32/H32)^(1/COUNT($G$4:$Q$4))-1,"")</f>
        <v>-2.2316155601233678E-2</v>
      </c>
    </row>
    <row r="33" spans="2:20" ht="14.5" x14ac:dyDescent="0.35">
      <c r="B33" s="258" t="s">
        <v>237</v>
      </c>
      <c r="C33" s="89"/>
      <c r="D33" s="89"/>
      <c r="E33" s="89"/>
      <c r="G33" s="770"/>
      <c r="H33" s="770">
        <v>884.4</v>
      </c>
      <c r="I33">
        <v>921.1</v>
      </c>
      <c r="J33" s="708">
        <v>1047.8</v>
      </c>
      <c r="K33">
        <v>816.6</v>
      </c>
      <c r="L33">
        <v>648.29999999999995</v>
      </c>
      <c r="M33" s="708">
        <v>1055.9000000000001</v>
      </c>
      <c r="N33" s="708">
        <v>1978</v>
      </c>
      <c r="O33" s="708">
        <v>1470.6</v>
      </c>
      <c r="P33">
        <v>958.1</v>
      </c>
      <c r="Q33" s="708">
        <v>1991.3</v>
      </c>
      <c r="R33" s="64">
        <f t="shared" si="13"/>
        <v>7.6575172244986778E-2</v>
      </c>
    </row>
    <row r="34" spans="2:20" ht="14.5" x14ac:dyDescent="0.35">
      <c r="B34" s="258" t="s">
        <v>497</v>
      </c>
      <c r="C34" s="89"/>
      <c r="D34" s="89"/>
      <c r="E34" s="89"/>
      <c r="G34" s="772"/>
      <c r="H34" s="772">
        <v>2144.6</v>
      </c>
      <c r="I34" s="708">
        <v>3134.7</v>
      </c>
      <c r="J34">
        <v>0</v>
      </c>
      <c r="K34"/>
      <c r="L34"/>
      <c r="M34"/>
      <c r="N34"/>
      <c r="O34"/>
      <c r="P34"/>
      <c r="Q34">
        <v>371.8</v>
      </c>
      <c r="R34" s="64">
        <f t="shared" si="13"/>
        <v>-0.14726355272414093</v>
      </c>
    </row>
    <row r="35" spans="2:20" x14ac:dyDescent="0.3">
      <c r="B35" t="s">
        <v>238</v>
      </c>
      <c r="G35" s="225"/>
      <c r="H35" s="770">
        <v>466.5</v>
      </c>
      <c r="I35">
        <v>477.6</v>
      </c>
      <c r="J35">
        <v>689</v>
      </c>
      <c r="K35">
        <v>639.70000000000005</v>
      </c>
      <c r="L35">
        <v>635.1</v>
      </c>
      <c r="M35">
        <v>737.5</v>
      </c>
      <c r="N35" s="708">
        <v>1459.1</v>
      </c>
      <c r="O35" s="708">
        <v>1800.5</v>
      </c>
      <c r="P35" s="708">
        <v>1469.7</v>
      </c>
      <c r="Q35" s="708">
        <v>1336.3</v>
      </c>
      <c r="R35" s="64">
        <f t="shared" si="13"/>
        <v>0.10039906053375192</v>
      </c>
    </row>
    <row r="36" spans="2:20" x14ac:dyDescent="0.3">
      <c r="B36" t="s">
        <v>420</v>
      </c>
      <c r="G36" s="225"/>
      <c r="H36" s="770">
        <v>412.3</v>
      </c>
      <c r="I36">
        <v>376.6</v>
      </c>
      <c r="J36">
        <v>550.79999999999995</v>
      </c>
      <c r="K36">
        <v>586.79999999999995</v>
      </c>
      <c r="L36">
        <v>609.9</v>
      </c>
      <c r="M36">
        <v>608.29999999999995</v>
      </c>
      <c r="N36" s="708">
        <v>1200.5999999999999</v>
      </c>
      <c r="O36" s="708">
        <v>1399.9</v>
      </c>
      <c r="P36" s="708">
        <v>1642.2</v>
      </c>
      <c r="Q36" s="708">
        <v>1447.7</v>
      </c>
      <c r="R36" s="64">
        <f t="shared" si="13"/>
        <v>0.12095389161520398</v>
      </c>
    </row>
    <row r="37" spans="2:20" x14ac:dyDescent="0.3">
      <c r="B37" s="38" t="s">
        <v>422</v>
      </c>
      <c r="C37" s="38"/>
      <c r="D37" s="38"/>
      <c r="E37" s="38"/>
      <c r="G37" s="231">
        <f t="shared" ref="G37:Q37" si="14">+G38-G32-G35-G36</f>
        <v>0</v>
      </c>
      <c r="H37" s="231">
        <f t="shared" si="14"/>
        <v>171.7</v>
      </c>
      <c r="I37" s="231">
        <f t="shared" si="14"/>
        <v>64.899999999999864</v>
      </c>
      <c r="J37" s="231">
        <f t="shared" si="14"/>
        <v>63.700000000000273</v>
      </c>
      <c r="K37" s="231">
        <f t="shared" si="14"/>
        <v>69</v>
      </c>
      <c r="L37" s="231">
        <f t="shared" si="14"/>
        <v>91.799999999999955</v>
      </c>
      <c r="M37" s="231">
        <f t="shared" si="14"/>
        <v>115.99999999999977</v>
      </c>
      <c r="N37" s="231">
        <f t="shared" si="14"/>
        <v>740.60000000000036</v>
      </c>
      <c r="O37" s="231">
        <f t="shared" si="14"/>
        <v>267</v>
      </c>
      <c r="P37" s="231">
        <f t="shared" si="14"/>
        <v>314</v>
      </c>
      <c r="Q37" s="231">
        <f t="shared" si="14"/>
        <v>337.59999999999991</v>
      </c>
      <c r="R37" s="64">
        <f t="shared" si="13"/>
        <v>6.3393083267631267E-2</v>
      </c>
      <c r="T37" s="73"/>
    </row>
    <row r="38" spans="2:20" s="1" customFormat="1" x14ac:dyDescent="0.3">
      <c r="B38" s="76" t="s">
        <v>241</v>
      </c>
      <c r="C38" s="76"/>
      <c r="D38" s="76"/>
      <c r="E38" s="76"/>
      <c r="F38" s="637"/>
      <c r="G38" s="256"/>
      <c r="H38" s="772">
        <v>4079.5</v>
      </c>
      <c r="I38" s="708">
        <v>4974.8999999999996</v>
      </c>
      <c r="J38" s="708">
        <v>2351.3000000000002</v>
      </c>
      <c r="K38" s="708">
        <v>2112.1</v>
      </c>
      <c r="L38" s="708">
        <v>1985.1</v>
      </c>
      <c r="M38" s="708">
        <v>2517.6999999999998</v>
      </c>
      <c r="N38" s="708">
        <v>5378.3</v>
      </c>
      <c r="O38" s="708">
        <v>4938</v>
      </c>
      <c r="P38" s="708">
        <v>4384</v>
      </c>
      <c r="Q38" s="708">
        <v>5484.7</v>
      </c>
      <c r="R38" s="64">
        <f t="shared" si="13"/>
        <v>2.7273286072243108E-2</v>
      </c>
    </row>
    <row r="39" spans="2:20" x14ac:dyDescent="0.3">
      <c r="B39" t="s">
        <v>242</v>
      </c>
      <c r="G39" s="257">
        <f t="shared" ref="G39:Q39" si="15">+G40-G41</f>
        <v>0</v>
      </c>
      <c r="H39" s="257">
        <f t="shared" si="15"/>
        <v>644.09999999999991</v>
      </c>
      <c r="I39" s="257">
        <f t="shared" si="15"/>
        <v>-2040.8</v>
      </c>
      <c r="J39" s="257">
        <f t="shared" si="15"/>
        <v>1107.3000000000002</v>
      </c>
      <c r="K39" s="257">
        <f t="shared" si="15"/>
        <v>1154.3000000000002</v>
      </c>
      <c r="L39" s="257">
        <f t="shared" si="15"/>
        <v>1220</v>
      </c>
      <c r="M39" s="257">
        <f t="shared" si="15"/>
        <v>1120.5999999999999</v>
      </c>
      <c r="N39" s="257">
        <f t="shared" si="15"/>
        <v>1979.1000000000004</v>
      </c>
      <c r="O39" s="257">
        <f t="shared" si="15"/>
        <v>2401.3000000000002</v>
      </c>
      <c r="P39" s="831">
        <f t="shared" si="15"/>
        <v>0</v>
      </c>
      <c r="Q39" s="831">
        <f t="shared" si="15"/>
        <v>0</v>
      </c>
      <c r="R39" s="64">
        <f t="shared" si="13"/>
        <v>-1</v>
      </c>
    </row>
    <row r="40" spans="2:20" ht="14.5" x14ac:dyDescent="0.35">
      <c r="B40" s="258" t="s">
        <v>498</v>
      </c>
      <c r="C40" s="89"/>
      <c r="D40" s="89"/>
      <c r="E40" s="89"/>
      <c r="G40" s="259"/>
      <c r="H40" s="772">
        <v>2602.1</v>
      </c>
      <c r="I40"/>
      <c r="J40" s="708">
        <v>3304.4</v>
      </c>
      <c r="K40" s="708">
        <v>3527.8</v>
      </c>
      <c r="L40" s="708">
        <v>3811.3</v>
      </c>
      <c r="M40" s="708">
        <v>3885.7</v>
      </c>
      <c r="N40" s="708">
        <v>4935.3</v>
      </c>
      <c r="O40" s="708">
        <v>5549.5</v>
      </c>
      <c r="P40" s="829"/>
      <c r="Q40" s="829"/>
      <c r="R40" s="64">
        <f t="shared" si="13"/>
        <v>-1</v>
      </c>
    </row>
    <row r="41" spans="2:20" ht="14.5" x14ac:dyDescent="0.35">
      <c r="B41" s="258" t="s">
        <v>426</v>
      </c>
      <c r="C41" s="89"/>
      <c r="D41" s="89"/>
      <c r="E41" s="89"/>
      <c r="G41" s="259"/>
      <c r="H41" s="772">
        <v>1958</v>
      </c>
      <c r="I41" s="708">
        <v>2040.8</v>
      </c>
      <c r="J41" s="708">
        <v>2197.1</v>
      </c>
      <c r="K41" s="708">
        <v>2373.5</v>
      </c>
      <c r="L41" s="708">
        <v>2591.3000000000002</v>
      </c>
      <c r="M41" s="708">
        <v>2765.1</v>
      </c>
      <c r="N41" s="708">
        <v>2956.2</v>
      </c>
      <c r="O41" s="708">
        <v>3148.2</v>
      </c>
      <c r="P41" s="829"/>
      <c r="Q41" s="829"/>
      <c r="R41" s="64">
        <f t="shared" si="13"/>
        <v>-1</v>
      </c>
    </row>
    <row r="42" spans="2:20" x14ac:dyDescent="0.3">
      <c r="B42" t="s">
        <v>425</v>
      </c>
      <c r="G42" s="285"/>
      <c r="H42" s="285"/>
      <c r="I42" s="285"/>
      <c r="J42" s="285"/>
      <c r="K42" s="285"/>
      <c r="L42" s="285"/>
      <c r="M42" s="285"/>
      <c r="N42" s="285"/>
      <c r="O42" s="285"/>
      <c r="P42" s="285"/>
      <c r="Q42" s="285"/>
      <c r="R42" s="64" t="str">
        <f t="shared" si="13"/>
        <v/>
      </c>
    </row>
    <row r="43" spans="2:20" x14ac:dyDescent="0.3">
      <c r="B43" t="s">
        <v>499</v>
      </c>
      <c r="G43" s="225"/>
      <c r="H43" s="770">
        <v>583.5</v>
      </c>
      <c r="I43">
        <v>549.4</v>
      </c>
      <c r="J43" s="708">
        <v>5319.4</v>
      </c>
      <c r="K43" s="708">
        <v>4778.2</v>
      </c>
      <c r="L43" s="708">
        <v>4217.2</v>
      </c>
      <c r="M43" s="708">
        <v>3650.3</v>
      </c>
      <c r="N43" s="708">
        <v>15267.2</v>
      </c>
      <c r="O43" s="708">
        <v>13265.4</v>
      </c>
      <c r="P43" s="708">
        <v>11312</v>
      </c>
      <c r="Q43" s="708">
        <v>9585.5</v>
      </c>
      <c r="R43" s="64">
        <f t="shared" si="13"/>
        <v>0.28975351218921208</v>
      </c>
    </row>
    <row r="44" spans="2:20" ht="14.5" x14ac:dyDescent="0.35">
      <c r="B44" s="258" t="s">
        <v>500</v>
      </c>
      <c r="C44" s="89"/>
      <c r="D44" s="89"/>
      <c r="E44" s="89"/>
      <c r="G44" s="259"/>
      <c r="H44" s="772">
        <v>1636.5</v>
      </c>
      <c r="I44" s="708">
        <v>1679.1</v>
      </c>
      <c r="J44" s="708">
        <v>12217.5</v>
      </c>
      <c r="K44" s="708">
        <v>12252.6</v>
      </c>
      <c r="L44" s="708">
        <v>12256.9</v>
      </c>
      <c r="M44" s="708">
        <v>12278.4</v>
      </c>
      <c r="N44" s="708">
        <v>26918.5</v>
      </c>
      <c r="O44" s="708">
        <v>26913.1</v>
      </c>
      <c r="P44" s="708">
        <v>26913.1</v>
      </c>
      <c r="Q44" s="708">
        <v>26909.8</v>
      </c>
      <c r="R44" s="64">
        <f t="shared" si="13"/>
        <v>0.28986705657312806</v>
      </c>
    </row>
    <row r="45" spans="2:20" ht="14.5" x14ac:dyDescent="0.35">
      <c r="B45" s="258" t="s">
        <v>427</v>
      </c>
      <c r="C45" s="89"/>
      <c r="D45" s="89"/>
      <c r="E45" s="89"/>
      <c r="G45" s="260">
        <f>+G43-G44</f>
        <v>0</v>
      </c>
      <c r="H45" s="260">
        <f t="shared" ref="H45:Q45" si="16">+H43-H44</f>
        <v>-1053</v>
      </c>
      <c r="I45" s="260">
        <f t="shared" si="16"/>
        <v>-1129.6999999999998</v>
      </c>
      <c r="J45" s="260">
        <f t="shared" si="16"/>
        <v>-6898.1</v>
      </c>
      <c r="K45" s="260">
        <f t="shared" si="16"/>
        <v>-7474.4000000000005</v>
      </c>
      <c r="L45" s="260">
        <f t="shared" si="16"/>
        <v>-8039.7</v>
      </c>
      <c r="M45" s="260">
        <f t="shared" si="16"/>
        <v>-8628.0999999999985</v>
      </c>
      <c r="N45" s="260">
        <f t="shared" si="16"/>
        <v>-11651.3</v>
      </c>
      <c r="O45" s="260">
        <f t="shared" si="16"/>
        <v>-13647.699999999999</v>
      </c>
      <c r="P45" s="260">
        <f t="shared" si="16"/>
        <v>-15601.099999999999</v>
      </c>
      <c r="Q45" s="260">
        <f t="shared" si="16"/>
        <v>-17324.3</v>
      </c>
      <c r="R45" s="64">
        <f t="shared" si="13"/>
        <v>0.28992993202988471</v>
      </c>
    </row>
    <row r="46" spans="2:20" x14ac:dyDescent="0.3">
      <c r="B46" s="38" t="s">
        <v>501</v>
      </c>
      <c r="C46" s="38"/>
      <c r="D46" s="38"/>
      <c r="E46" s="38"/>
      <c r="G46" s="231">
        <f>+G47-G39-G42-G43</f>
        <v>0</v>
      </c>
      <c r="H46" s="231">
        <f t="shared" ref="H46:Q46" si="17">+H47-H39-H42-H43</f>
        <v>1751.7000000000003</v>
      </c>
      <c r="I46" s="231">
        <f t="shared" si="17"/>
        <v>4486.8000000000011</v>
      </c>
      <c r="J46" s="231">
        <f t="shared" si="17"/>
        <v>12363.000000000002</v>
      </c>
      <c r="K46" s="231">
        <f t="shared" si="17"/>
        <v>12393.7</v>
      </c>
      <c r="L46" s="231">
        <f t="shared" si="17"/>
        <v>12750.3</v>
      </c>
      <c r="M46" s="231">
        <f t="shared" si="17"/>
        <v>14180.000000000004</v>
      </c>
      <c r="N46" s="231">
        <f t="shared" si="17"/>
        <v>29697.500000000004</v>
      </c>
      <c r="O46" s="231">
        <f t="shared" si="17"/>
        <v>29697.699999999997</v>
      </c>
      <c r="P46" s="231">
        <f t="shared" si="17"/>
        <v>33098.5</v>
      </c>
      <c r="Q46" s="231">
        <f t="shared" si="17"/>
        <v>33158.1</v>
      </c>
      <c r="R46" s="64">
        <f t="shared" si="13"/>
        <v>0.30647985866866456</v>
      </c>
    </row>
    <row r="47" spans="2:20" s="1" customFormat="1" x14ac:dyDescent="0.3">
      <c r="B47" s="1" t="s">
        <v>502</v>
      </c>
      <c r="F47" s="636"/>
      <c r="G47" s="233"/>
      <c r="H47" s="833">
        <f>H48-H38</f>
        <v>2979.3</v>
      </c>
      <c r="I47" s="833">
        <f>I48-I38</f>
        <v>2995.4000000000005</v>
      </c>
      <c r="J47" s="833">
        <f>J48-J38</f>
        <v>18789.7</v>
      </c>
      <c r="K47" s="708">
        <v>18326.2</v>
      </c>
      <c r="L47" s="708">
        <v>18187.5</v>
      </c>
      <c r="M47" s="708">
        <v>18950.900000000001</v>
      </c>
      <c r="N47" s="708">
        <v>46943.8</v>
      </c>
      <c r="O47" s="708">
        <v>45364.4</v>
      </c>
      <c r="P47" s="708">
        <v>44410.5</v>
      </c>
      <c r="Q47" s="708">
        <v>42743.6</v>
      </c>
      <c r="R47" s="64">
        <f t="shared" si="13"/>
        <v>0.27397150607265464</v>
      </c>
    </row>
    <row r="48" spans="2:20" s="1" customFormat="1" x14ac:dyDescent="0.3">
      <c r="B48" s="234" t="s">
        <v>243</v>
      </c>
      <c r="C48" s="234"/>
      <c r="D48" s="234"/>
      <c r="E48" s="234"/>
      <c r="F48" s="638"/>
      <c r="G48" s="235">
        <f t="shared" ref="G48:Q48" si="18">SUM(G47,G38)</f>
        <v>0</v>
      </c>
      <c r="H48" s="235">
        <v>7058.8</v>
      </c>
      <c r="I48" s="235">
        <v>7970.3</v>
      </c>
      <c r="J48" s="235">
        <v>21141</v>
      </c>
      <c r="K48" s="235">
        <f t="shared" si="18"/>
        <v>20438.3</v>
      </c>
      <c r="L48" s="235">
        <f t="shared" si="18"/>
        <v>20172.599999999999</v>
      </c>
      <c r="M48" s="235">
        <f t="shared" si="18"/>
        <v>21468.600000000002</v>
      </c>
      <c r="N48" s="235">
        <f t="shared" si="18"/>
        <v>52322.100000000006</v>
      </c>
      <c r="O48" s="235">
        <f t="shared" si="18"/>
        <v>50302.400000000001</v>
      </c>
      <c r="P48" s="235">
        <f t="shared" si="18"/>
        <v>48794.5</v>
      </c>
      <c r="Q48" s="235">
        <f t="shared" si="18"/>
        <v>48228.299999999996</v>
      </c>
      <c r="R48" s="64">
        <f t="shared" si="13"/>
        <v>0.19088574810771863</v>
      </c>
    </row>
    <row r="49" spans="1:18" x14ac:dyDescent="0.3">
      <c r="B49" t="s">
        <v>244</v>
      </c>
      <c r="G49" s="225"/>
      <c r="H49" s="770">
        <v>174.2</v>
      </c>
      <c r="I49">
        <v>171.4</v>
      </c>
      <c r="J49">
        <v>236.6</v>
      </c>
      <c r="K49">
        <v>260.89999999999998</v>
      </c>
      <c r="L49">
        <v>225.3</v>
      </c>
      <c r="M49">
        <v>227.3</v>
      </c>
      <c r="N49">
        <v>443.4</v>
      </c>
      <c r="O49">
        <v>582.20000000000005</v>
      </c>
      <c r="P49">
        <v>493</v>
      </c>
      <c r="Q49">
        <v>487.5</v>
      </c>
      <c r="R49" s="64">
        <f t="shared" si="13"/>
        <v>9.8069121481085153E-2</v>
      </c>
    </row>
    <row r="50" spans="1:18" x14ac:dyDescent="0.3">
      <c r="B50" t="s">
        <v>503</v>
      </c>
      <c r="G50" s="232">
        <f>+SUM(G51:G52)</f>
        <v>0</v>
      </c>
      <c r="H50" s="232">
        <f t="shared" ref="H50:O50" si="19">+SUM(H51:H52)</f>
        <v>374.6</v>
      </c>
      <c r="I50" s="232">
        <f t="shared" si="19"/>
        <v>0</v>
      </c>
      <c r="J50" s="232">
        <f t="shared" si="19"/>
        <v>300</v>
      </c>
      <c r="K50" s="232">
        <f t="shared" si="19"/>
        <v>67</v>
      </c>
      <c r="L50" s="232">
        <f t="shared" si="19"/>
        <v>299.7</v>
      </c>
      <c r="M50" s="232">
        <f t="shared" si="19"/>
        <v>0</v>
      </c>
      <c r="N50" s="232">
        <f t="shared" si="19"/>
        <v>516.70000000000005</v>
      </c>
      <c r="O50" s="232">
        <f t="shared" si="19"/>
        <v>0</v>
      </c>
      <c r="P50" s="232">
        <f>+SUM(P51:P52)</f>
        <v>1046.3000000000002</v>
      </c>
      <c r="Q50" s="232">
        <f>+SUM(Q51:Q52)</f>
        <v>947.30000000000007</v>
      </c>
      <c r="R50" s="64">
        <f t="shared" si="13"/>
        <v>8.8000436199093146E-2</v>
      </c>
    </row>
    <row r="51" spans="1:18" ht="14.5" x14ac:dyDescent="0.35">
      <c r="B51" s="258" t="s">
        <v>504</v>
      </c>
      <c r="G51" s="770"/>
      <c r="H51"/>
      <c r="I51"/>
      <c r="J51"/>
      <c r="K51"/>
      <c r="L51"/>
      <c r="M51"/>
      <c r="N51"/>
      <c r="P51">
        <v>547.20000000000005</v>
      </c>
      <c r="Q51">
        <v>547.70000000000005</v>
      </c>
      <c r="R51" s="64" t="str">
        <f t="shared" si="13"/>
        <v/>
      </c>
    </row>
    <row r="52" spans="1:18" ht="14.5" x14ac:dyDescent="0.35">
      <c r="B52" s="258" t="s">
        <v>505</v>
      </c>
      <c r="G52" s="259"/>
      <c r="H52" s="770">
        <v>374.6</v>
      </c>
      <c r="I52">
        <v>0</v>
      </c>
      <c r="J52">
        <v>300</v>
      </c>
      <c r="K52">
        <v>67</v>
      </c>
      <c r="L52">
        <v>299.7</v>
      </c>
      <c r="M52">
        <v>0</v>
      </c>
      <c r="N52">
        <v>516.70000000000005</v>
      </c>
      <c r="O52">
        <v>0</v>
      </c>
      <c r="P52">
        <v>499.1</v>
      </c>
      <c r="Q52">
        <v>399.6</v>
      </c>
      <c r="R52" s="64">
        <f t="shared" si="13"/>
        <v>5.8904862450492868E-3</v>
      </c>
    </row>
    <row r="53" spans="1:18" x14ac:dyDescent="0.3">
      <c r="B53" s="38" t="s">
        <v>431</v>
      </c>
      <c r="C53" s="38"/>
      <c r="D53" s="38"/>
      <c r="E53" s="38"/>
      <c r="G53" s="231">
        <f t="shared" ref="G53:Q53" si="20">+G54-G49-G50</f>
        <v>0</v>
      </c>
      <c r="H53" s="231">
        <f t="shared" si="20"/>
        <v>564.79999999999984</v>
      </c>
      <c r="I53" s="231">
        <f t="shared" si="20"/>
        <v>611.5</v>
      </c>
      <c r="J53" s="231">
        <f t="shared" si="20"/>
        <v>1059.7</v>
      </c>
      <c r="K53" s="231">
        <f t="shared" si="20"/>
        <v>723.80000000000007</v>
      </c>
      <c r="L53" s="231">
        <f t="shared" si="20"/>
        <v>983.59999999999991</v>
      </c>
      <c r="M53" s="231">
        <f t="shared" si="20"/>
        <v>1137.7</v>
      </c>
      <c r="N53" s="231">
        <f t="shared" si="20"/>
        <v>1810.2</v>
      </c>
      <c r="O53" s="231">
        <f t="shared" si="20"/>
        <v>1860.4999999999998</v>
      </c>
      <c r="P53" s="231">
        <f t="shared" si="20"/>
        <v>1661.6999999999998</v>
      </c>
      <c r="Q53" s="231">
        <f t="shared" si="20"/>
        <v>1553.5</v>
      </c>
      <c r="R53" s="64">
        <f t="shared" si="13"/>
        <v>9.6344294601268921E-2</v>
      </c>
    </row>
    <row r="54" spans="1:18" x14ac:dyDescent="0.3">
      <c r="B54" s="38" t="s">
        <v>245</v>
      </c>
      <c r="C54" s="38"/>
      <c r="D54" s="38"/>
      <c r="E54" s="38"/>
      <c r="F54" s="637"/>
      <c r="G54" s="225"/>
      <c r="H54" s="772">
        <v>1113.5999999999999</v>
      </c>
      <c r="I54">
        <v>782.9</v>
      </c>
      <c r="J54" s="708">
        <v>1596.3</v>
      </c>
      <c r="K54" s="708">
        <v>1051.7</v>
      </c>
      <c r="L54" s="708">
        <v>1508.6</v>
      </c>
      <c r="M54" s="708">
        <v>1365</v>
      </c>
      <c r="N54" s="708">
        <v>2770.3</v>
      </c>
      <c r="O54" s="708">
        <v>2442.6999999999998</v>
      </c>
      <c r="P54" s="708">
        <v>3201</v>
      </c>
      <c r="Q54" s="708">
        <v>2988.3</v>
      </c>
      <c r="R54" s="64">
        <f t="shared" si="13"/>
        <v>9.3886519223375764E-2</v>
      </c>
    </row>
    <row r="55" spans="1:18" x14ac:dyDescent="0.3">
      <c r="B55" t="s">
        <v>506</v>
      </c>
      <c r="G55" s="257">
        <f>+SUM(G56:G57)</f>
        <v>0</v>
      </c>
      <c r="H55" s="257">
        <f t="shared" ref="H55:Q55" si="21">+SUM(H56:H57)</f>
        <v>495.3</v>
      </c>
      <c r="I55" s="257">
        <f t="shared" si="21"/>
        <v>1732.2</v>
      </c>
      <c r="J55" s="257">
        <f t="shared" si="21"/>
        <v>7551.1</v>
      </c>
      <c r="K55" s="257">
        <f t="shared" si="21"/>
        <v>6265.7</v>
      </c>
      <c r="L55" s="257">
        <f t="shared" si="21"/>
        <v>5192.3</v>
      </c>
      <c r="M55" s="257">
        <f t="shared" si="21"/>
        <v>5145.1000000000004</v>
      </c>
      <c r="N55" s="257">
        <f t="shared" si="21"/>
        <v>6253.2</v>
      </c>
      <c r="O55" s="257">
        <f t="shared" si="21"/>
        <v>6548.6</v>
      </c>
      <c r="P55" s="257">
        <f t="shared" si="21"/>
        <v>5902.5</v>
      </c>
      <c r="Q55" s="257">
        <f t="shared" si="21"/>
        <v>6634.3</v>
      </c>
      <c r="R55" s="64">
        <f t="shared" si="13"/>
        <v>0.26604134587971795</v>
      </c>
    </row>
    <row r="56" spans="1:18" ht="14.5" x14ac:dyDescent="0.35">
      <c r="B56" s="258" t="s">
        <v>507</v>
      </c>
      <c r="G56" s="259"/>
      <c r="H56" s="770">
        <v>495.3</v>
      </c>
      <c r="I56" s="708">
        <v>1732.2</v>
      </c>
      <c r="J56" s="708">
        <v>7551.1</v>
      </c>
      <c r="K56" s="708">
        <v>6265.7</v>
      </c>
      <c r="L56" s="708">
        <v>5192.3</v>
      </c>
      <c r="M56" s="708">
        <v>5145.1000000000004</v>
      </c>
      <c r="N56" s="708">
        <v>6253.2</v>
      </c>
      <c r="O56" s="708">
        <v>6548.6</v>
      </c>
      <c r="P56" s="708">
        <v>5902.5</v>
      </c>
      <c r="Q56" s="708">
        <v>6634.3</v>
      </c>
      <c r="R56" s="64">
        <f t="shared" si="13"/>
        <v>0.26604134587971795</v>
      </c>
    </row>
    <row r="57" spans="1:18" ht="14.5" x14ac:dyDescent="0.35">
      <c r="B57" s="258" t="s">
        <v>508</v>
      </c>
      <c r="G57" s="259"/>
      <c r="H57" s="259"/>
      <c r="I57" s="259"/>
      <c r="J57" s="259"/>
      <c r="K57" s="259"/>
      <c r="L57" s="259"/>
      <c r="M57" s="259"/>
      <c r="N57" s="259"/>
      <c r="O57" s="259"/>
      <c r="P57" s="259"/>
      <c r="Q57" s="259"/>
      <c r="R57" s="64" t="str">
        <f t="shared" si="13"/>
        <v/>
      </c>
    </row>
    <row r="58" spans="1:18" x14ac:dyDescent="0.3">
      <c r="B58" s="38" t="s">
        <v>509</v>
      </c>
      <c r="C58" s="38"/>
      <c r="D58" s="38"/>
      <c r="E58" s="38"/>
      <c r="G58" s="236">
        <f>+G59-G55</f>
        <v>0</v>
      </c>
      <c r="H58" s="236">
        <f t="shared" ref="H58:Q58" si="22">+H59-H55</f>
        <v>376.90000000000003</v>
      </c>
      <c r="I58" s="236">
        <f t="shared" si="22"/>
        <v>289.5</v>
      </c>
      <c r="J58" s="236">
        <f t="shared" si="22"/>
        <v>1832.2999999999993</v>
      </c>
      <c r="K58" s="236">
        <f t="shared" si="22"/>
        <v>1852.6999999999998</v>
      </c>
      <c r="L58" s="236">
        <f t="shared" si="22"/>
        <v>2982.5</v>
      </c>
      <c r="M58" s="236">
        <f t="shared" si="22"/>
        <v>2960.5999999999995</v>
      </c>
      <c r="N58" s="236">
        <f t="shared" si="22"/>
        <v>5306.0000000000009</v>
      </c>
      <c r="O58" s="236">
        <f t="shared" si="22"/>
        <v>4845.7999999999993</v>
      </c>
      <c r="P58" s="236">
        <f t="shared" si="22"/>
        <v>4125.8999999999996</v>
      </c>
      <c r="Q58" s="236">
        <f t="shared" si="22"/>
        <v>3429.4000000000005</v>
      </c>
      <c r="R58" s="64">
        <f t="shared" si="13"/>
        <v>0.22230923058441276</v>
      </c>
    </row>
    <row r="59" spans="1:18" s="1" customFormat="1" x14ac:dyDescent="0.3">
      <c r="B59" s="1" t="s">
        <v>510</v>
      </c>
      <c r="F59" s="636"/>
      <c r="G59" s="225"/>
      <c r="H59" s="770">
        <v>872.2</v>
      </c>
      <c r="I59" s="708">
        <v>2021.7</v>
      </c>
      <c r="J59" s="708">
        <v>9383.4</v>
      </c>
      <c r="K59" s="708">
        <v>8118.4</v>
      </c>
      <c r="L59" s="708">
        <v>8174.8</v>
      </c>
      <c r="M59" s="708">
        <v>8105.7</v>
      </c>
      <c r="N59" s="708">
        <v>11559.2</v>
      </c>
      <c r="O59" s="708">
        <v>11394.4</v>
      </c>
      <c r="P59" s="708">
        <v>10028.4</v>
      </c>
      <c r="Q59" s="708">
        <v>10063.700000000001</v>
      </c>
      <c r="R59" s="64">
        <f t="shared" si="13"/>
        <v>0.24898817671407358</v>
      </c>
    </row>
    <row r="60" spans="1:18" s="1" customFormat="1" x14ac:dyDescent="0.3">
      <c r="B60" s="234" t="s">
        <v>377</v>
      </c>
      <c r="C60" s="234"/>
      <c r="D60" s="234"/>
      <c r="E60" s="234"/>
      <c r="F60" s="638"/>
      <c r="G60" s="235">
        <f t="shared" ref="G60:Q60" si="23">SUM(G59,G54)</f>
        <v>0</v>
      </c>
      <c r="H60" s="235">
        <f t="shared" si="23"/>
        <v>1985.8</v>
      </c>
      <c r="I60" s="235">
        <f t="shared" si="23"/>
        <v>2804.6</v>
      </c>
      <c r="J60" s="235">
        <f t="shared" si="23"/>
        <v>10979.699999999999</v>
      </c>
      <c r="K60" s="235">
        <f t="shared" si="23"/>
        <v>9170.1</v>
      </c>
      <c r="L60" s="235">
        <f t="shared" si="23"/>
        <v>9683.4</v>
      </c>
      <c r="M60" s="235">
        <f t="shared" si="23"/>
        <v>9470.7000000000007</v>
      </c>
      <c r="N60" s="235">
        <f t="shared" si="23"/>
        <v>14329.5</v>
      </c>
      <c r="O60" s="235">
        <f t="shared" si="23"/>
        <v>13837.099999999999</v>
      </c>
      <c r="P60" s="235">
        <f t="shared" si="23"/>
        <v>13229.4</v>
      </c>
      <c r="Q60" s="235">
        <f t="shared" si="23"/>
        <v>13052</v>
      </c>
      <c r="R60" s="64">
        <f t="shared" si="13"/>
        <v>0.18669781221648196</v>
      </c>
    </row>
    <row r="61" spans="1:18" s="1" customFormat="1" x14ac:dyDescent="0.3">
      <c r="B61" s="1" t="s">
        <v>248</v>
      </c>
      <c r="F61"/>
      <c r="G61" s="227">
        <f t="shared" ref="G61:Q61" si="24">G48-G60</f>
        <v>0</v>
      </c>
      <c r="H61" s="227">
        <f t="shared" si="24"/>
        <v>5073</v>
      </c>
      <c r="I61" s="227">
        <f t="shared" si="24"/>
        <v>5165.7000000000007</v>
      </c>
      <c r="J61" s="227">
        <f t="shared" si="24"/>
        <v>10161.300000000001</v>
      </c>
      <c r="K61" s="227">
        <f t="shared" si="24"/>
        <v>11268.199999999999</v>
      </c>
      <c r="L61" s="227">
        <f t="shared" si="24"/>
        <v>10489.199999999999</v>
      </c>
      <c r="M61" s="227">
        <f t="shared" si="24"/>
        <v>11997.900000000001</v>
      </c>
      <c r="N61" s="227">
        <f t="shared" si="24"/>
        <v>37992.600000000006</v>
      </c>
      <c r="O61" s="227">
        <f t="shared" si="24"/>
        <v>36465.300000000003</v>
      </c>
      <c r="P61" s="227">
        <f t="shared" si="24"/>
        <v>35565.1</v>
      </c>
      <c r="Q61" s="227">
        <f t="shared" si="24"/>
        <v>35176.299999999996</v>
      </c>
      <c r="R61" s="64">
        <f t="shared" si="13"/>
        <v>0.19248577900364783</v>
      </c>
    </row>
    <row r="62" spans="1:18" ht="14.5" x14ac:dyDescent="0.35">
      <c r="B62" t="s">
        <v>511</v>
      </c>
      <c r="G62" s="259"/>
      <c r="H62" s="259"/>
      <c r="I62" s="259"/>
      <c r="J62" s="259"/>
      <c r="K62" s="259"/>
      <c r="L62" s="259"/>
      <c r="M62" s="259"/>
      <c r="N62" s="259"/>
      <c r="O62" s="259"/>
      <c r="P62" s="259"/>
      <c r="Q62" s="259"/>
      <c r="R62" s="64" t="str">
        <f t="shared" si="13"/>
        <v/>
      </c>
    </row>
    <row r="63" spans="1:18" ht="4" customHeight="1" x14ac:dyDescent="0.3"/>
    <row r="64" spans="1:18" ht="15.5" x14ac:dyDescent="0.35">
      <c r="A64" t="s">
        <v>358</v>
      </c>
      <c r="B64" s="52" t="s">
        <v>204</v>
      </c>
      <c r="C64" s="56"/>
      <c r="D64" s="56"/>
      <c r="E64" s="56"/>
      <c r="F64" s="56"/>
      <c r="G64" s="223">
        <v>2014</v>
      </c>
      <c r="H64" s="223">
        <f>+G64+1</f>
        <v>2015</v>
      </c>
      <c r="I64" s="223">
        <f t="shared" ref="I64:M64" si="25">+H64+1</f>
        <v>2016</v>
      </c>
      <c r="J64" s="223">
        <f t="shared" si="25"/>
        <v>2017</v>
      </c>
      <c r="K64" s="223">
        <f t="shared" si="25"/>
        <v>2018</v>
      </c>
      <c r="L64" s="223">
        <f t="shared" si="25"/>
        <v>2019</v>
      </c>
      <c r="M64" s="223">
        <f t="shared" si="25"/>
        <v>2020</v>
      </c>
      <c r="N64" s="223">
        <f>+M64+1</f>
        <v>2021</v>
      </c>
      <c r="O64" s="223">
        <f>+N64+1</f>
        <v>2022</v>
      </c>
      <c r="P64" s="223">
        <f t="shared" ref="P64" si="26">+O64+1</f>
        <v>2023</v>
      </c>
      <c r="Q64" s="223">
        <f>+P64+1</f>
        <v>2024</v>
      </c>
      <c r="R64" s="58" t="str">
        <f>"CAGR "&amp;$G$4&amp;" - "&amp;$Q$4</f>
        <v>CAGR 2014 - 2024</v>
      </c>
    </row>
    <row r="65" spans="2:18" ht="4" customHeight="1" x14ac:dyDescent="0.35">
      <c r="B65" s="229"/>
      <c r="C65" s="229"/>
      <c r="D65" s="229"/>
      <c r="E65" s="229"/>
      <c r="F65" s="229"/>
      <c r="G65" s="230"/>
      <c r="H65" s="230"/>
      <c r="I65" s="230"/>
      <c r="J65" s="230"/>
      <c r="K65" s="230"/>
      <c r="L65" s="230"/>
      <c r="M65" s="230"/>
      <c r="N65" s="230"/>
      <c r="O65" s="230"/>
      <c r="P65" s="230"/>
      <c r="Q65" s="230"/>
      <c r="R65" s="60"/>
    </row>
    <row r="66" spans="2:18" x14ac:dyDescent="0.3">
      <c r="B66" t="s">
        <v>233</v>
      </c>
      <c r="G66" s="237">
        <f>G24</f>
        <v>0</v>
      </c>
      <c r="H66" s="237">
        <f t="shared" ref="H66:P66" si="27">H24</f>
        <v>606.70000000000016</v>
      </c>
      <c r="I66" s="237">
        <f t="shared" si="27"/>
        <v>905.69999999999982</v>
      </c>
      <c r="J66" s="237">
        <f t="shared" si="27"/>
        <v>1128.7</v>
      </c>
      <c r="K66" s="237">
        <f>K24</f>
        <v>1606.3999999999999</v>
      </c>
      <c r="L66" s="237">
        <f t="shared" si="27"/>
        <v>1307.0000000000007</v>
      </c>
      <c r="M66" s="237">
        <f t="shared" si="27"/>
        <v>1081.8000000000002</v>
      </c>
      <c r="N66" s="237">
        <f t="shared" si="27"/>
        <v>1335.9</v>
      </c>
      <c r="O66" s="237">
        <f t="shared" si="27"/>
        <v>1984.9000000000003</v>
      </c>
      <c r="P66" s="237">
        <f t="shared" si="27"/>
        <v>2406.8000000000002</v>
      </c>
      <c r="Q66" s="832">
        <f>Q24</f>
        <v>644.30000000000075</v>
      </c>
      <c r="R66" s="64">
        <f t="shared" ref="R66:R95" si="28">IFERROR((Q66/H66)^(1/COUNT($H$4:$Q$4))-1,"")</f>
        <v>6.0311165059607763E-3</v>
      </c>
    </row>
    <row r="67" spans="2:18" x14ac:dyDescent="0.3">
      <c r="B67" t="s">
        <v>512</v>
      </c>
      <c r="G67" s="232">
        <f>+G13</f>
        <v>0</v>
      </c>
      <c r="H67" s="232">
        <f t="shared" ref="H67:Q67" si="29">+H13</f>
        <v>218.39999999999998</v>
      </c>
      <c r="I67" s="232">
        <f t="shared" si="29"/>
        <v>134.5</v>
      </c>
      <c r="J67" s="232">
        <f t="shared" si="29"/>
        <v>194.7</v>
      </c>
      <c r="K67" s="232">
        <f t="shared" si="29"/>
        <v>799</v>
      </c>
      <c r="L67" s="232">
        <f t="shared" si="29"/>
        <v>811.3</v>
      </c>
      <c r="M67" s="232">
        <f t="shared" si="29"/>
        <v>810.90000000000009</v>
      </c>
      <c r="N67" s="232">
        <f t="shared" si="29"/>
        <v>1074.7</v>
      </c>
      <c r="O67" s="232">
        <f t="shared" si="29"/>
        <v>2297.5</v>
      </c>
      <c r="P67" s="232">
        <f t="shared" si="29"/>
        <v>2293.1</v>
      </c>
      <c r="Q67" s="232">
        <f t="shared" si="29"/>
        <v>2104.3000000000002</v>
      </c>
      <c r="R67" s="64">
        <f t="shared" si="28"/>
        <v>0.25425402132655273</v>
      </c>
    </row>
    <row r="68" spans="2:18" x14ac:dyDescent="0.3">
      <c r="B68" t="s">
        <v>438</v>
      </c>
      <c r="G68" s="257">
        <f>+SUM(G69:G72)</f>
        <v>0</v>
      </c>
      <c r="H68" s="257">
        <f>+SUM(H69:H72)</f>
        <v>25.1</v>
      </c>
      <c r="I68" s="257">
        <f t="shared" ref="I68:Q68" si="30">+SUM(I69:I72)</f>
        <v>10</v>
      </c>
      <c r="J68" s="257">
        <f t="shared" si="30"/>
        <v>119.6</v>
      </c>
      <c r="K68" s="257">
        <f t="shared" si="30"/>
        <v>-8.5</v>
      </c>
      <c r="L68" s="257">
        <f t="shared" si="30"/>
        <v>75</v>
      </c>
      <c r="M68" s="257">
        <f t="shared" si="30"/>
        <v>29.4</v>
      </c>
      <c r="N68" s="257">
        <f t="shared" si="30"/>
        <v>-28.499999999999996</v>
      </c>
      <c r="O68" s="257">
        <f t="shared" si="30"/>
        <v>-106.30000000000004</v>
      </c>
      <c r="P68" s="257">
        <f t="shared" si="30"/>
        <v>-289.5</v>
      </c>
      <c r="Q68" s="257">
        <f t="shared" si="30"/>
        <v>57.099999999999994</v>
      </c>
      <c r="R68" s="64">
        <f t="shared" si="28"/>
        <v>8.5666003787502998E-2</v>
      </c>
    </row>
    <row r="69" spans="2:18" ht="14.5" x14ac:dyDescent="0.35">
      <c r="B69" s="258" t="s">
        <v>513</v>
      </c>
      <c r="G69" s="225"/>
      <c r="H69" s="770">
        <v>25.1</v>
      </c>
      <c r="I69">
        <v>10</v>
      </c>
      <c r="J69">
        <v>119.6</v>
      </c>
      <c r="K69">
        <v>-8.5</v>
      </c>
      <c r="L69">
        <v>75</v>
      </c>
      <c r="M69">
        <v>29.4</v>
      </c>
      <c r="N69">
        <v>-6.8</v>
      </c>
      <c r="O69">
        <v>-91.9</v>
      </c>
      <c r="P69">
        <v>-263.7</v>
      </c>
      <c r="Q69">
        <v>91.6</v>
      </c>
      <c r="R69" s="64">
        <f t="shared" si="28"/>
        <v>0.13820941906208883</v>
      </c>
    </row>
    <row r="70" spans="2:18" ht="14.5" x14ac:dyDescent="0.35">
      <c r="B70" s="258" t="s">
        <v>514</v>
      </c>
      <c r="G70" s="225"/>
      <c r="H70" s="770">
        <v>35.6</v>
      </c>
      <c r="I70">
        <v>-38.200000000000003</v>
      </c>
      <c r="J70">
        <v>47.4</v>
      </c>
      <c r="K70">
        <v>34.6</v>
      </c>
      <c r="L70">
        <v>42.8</v>
      </c>
      <c r="M70">
        <v>-1.8</v>
      </c>
      <c r="N70">
        <v>65.099999999999994</v>
      </c>
      <c r="O70">
        <v>470.7</v>
      </c>
      <c r="P70">
        <v>242.3</v>
      </c>
      <c r="Q70">
        <v>-191.2</v>
      </c>
      <c r="R70" s="64" t="str">
        <f t="shared" si="28"/>
        <v/>
      </c>
    </row>
    <row r="71" spans="2:18" ht="14.5" x14ac:dyDescent="0.35">
      <c r="B71" s="258" t="s">
        <v>515</v>
      </c>
      <c r="G71" s="225"/>
      <c r="H71" s="770">
        <v>-35.6</v>
      </c>
      <c r="I71">
        <v>38.200000000000003</v>
      </c>
      <c r="J71">
        <v>-47.4</v>
      </c>
      <c r="K71">
        <v>-34.6</v>
      </c>
      <c r="L71">
        <v>-42.8</v>
      </c>
      <c r="M71">
        <v>1.8</v>
      </c>
      <c r="N71">
        <v>-65.099999999999994</v>
      </c>
      <c r="O71">
        <v>-470.7</v>
      </c>
      <c r="P71">
        <v>-242.3</v>
      </c>
      <c r="Q71">
        <v>191.2</v>
      </c>
      <c r="R71" s="64" t="str">
        <f t="shared" si="28"/>
        <v/>
      </c>
    </row>
    <row r="72" spans="2:18" ht="14.5" x14ac:dyDescent="0.35">
      <c r="B72" s="258" t="s">
        <v>516</v>
      </c>
      <c r="G72" s="225"/>
      <c r="H72" s="770"/>
      <c r="I72"/>
      <c r="J72"/>
      <c r="K72"/>
      <c r="L72"/>
      <c r="M72">
        <v>0</v>
      </c>
      <c r="N72">
        <v>-21.7</v>
      </c>
      <c r="O72">
        <v>-14.4</v>
      </c>
      <c r="P72">
        <v>-25.8</v>
      </c>
      <c r="Q72">
        <v>-34.5</v>
      </c>
      <c r="R72" s="64" t="str">
        <f t="shared" si="28"/>
        <v/>
      </c>
    </row>
    <row r="73" spans="2:18" x14ac:dyDescent="0.3">
      <c r="B73" t="s">
        <v>436</v>
      </c>
      <c r="G73" s="225"/>
      <c r="H73" s="770">
        <v>68.900000000000006</v>
      </c>
      <c r="I73">
        <v>63.4</v>
      </c>
      <c r="J73">
        <v>104.2</v>
      </c>
      <c r="K73">
        <v>151.19999999999999</v>
      </c>
      <c r="L73">
        <v>150.30000000000001</v>
      </c>
      <c r="M73">
        <v>149.5</v>
      </c>
      <c r="N73">
        <v>243.6</v>
      </c>
      <c r="O73">
        <v>323.5</v>
      </c>
      <c r="P73">
        <v>299.8</v>
      </c>
      <c r="Q73">
        <v>262.7</v>
      </c>
      <c r="R73" s="64">
        <f t="shared" si="28"/>
        <v>0.14320492061051837</v>
      </c>
    </row>
    <row r="74" spans="2:18" x14ac:dyDescent="0.3">
      <c r="B74" t="s">
        <v>439</v>
      </c>
      <c r="G74" s="257">
        <f>+G75-G66-G67-G68-G73</f>
        <v>0</v>
      </c>
      <c r="H74" s="257">
        <f t="shared" ref="H74:Q74" si="31">+H75-H66-H67-H68-H73</f>
        <v>-11.300000000000189</v>
      </c>
      <c r="I74" s="257">
        <f t="shared" si="31"/>
        <v>177.70000000000013</v>
      </c>
      <c r="J74" s="257">
        <f t="shared" si="31"/>
        <v>-392.7999999999999</v>
      </c>
      <c r="K74" s="257">
        <f t="shared" si="31"/>
        <v>-105.69999999999976</v>
      </c>
      <c r="L74" s="257">
        <f t="shared" si="31"/>
        <v>-90.500000000000739</v>
      </c>
      <c r="M74" s="257">
        <f t="shared" si="31"/>
        <v>-63.100000000000279</v>
      </c>
      <c r="N74" s="257">
        <f t="shared" si="31"/>
        <v>109.39999999999978</v>
      </c>
      <c r="O74" s="257">
        <f t="shared" si="31"/>
        <v>-24.200000000000841</v>
      </c>
      <c r="P74" s="257">
        <f t="shared" si="31"/>
        <v>107.40000000000026</v>
      </c>
      <c r="Q74" s="257">
        <f t="shared" si="31"/>
        <v>784.09999999999923</v>
      </c>
      <c r="R74" s="64" t="str">
        <f t="shared" si="28"/>
        <v/>
      </c>
    </row>
    <row r="75" spans="2:18" s="1" customFormat="1" x14ac:dyDescent="0.3">
      <c r="B75" s="261" t="s">
        <v>250</v>
      </c>
      <c r="C75" s="261"/>
      <c r="D75" s="261"/>
      <c r="E75" s="261"/>
      <c r="F75" s="637"/>
      <c r="G75" s="262"/>
      <c r="H75" s="770">
        <v>907.8</v>
      </c>
      <c r="I75" s="708">
        <v>1291.3</v>
      </c>
      <c r="J75" s="708">
        <v>1154.4000000000001</v>
      </c>
      <c r="K75" s="708">
        <v>2442.4</v>
      </c>
      <c r="L75" s="708">
        <v>2253.1</v>
      </c>
      <c r="M75" s="708">
        <v>2008.5</v>
      </c>
      <c r="N75" s="708">
        <v>2735.1</v>
      </c>
      <c r="O75" s="708">
        <v>4475.3999999999996</v>
      </c>
      <c r="P75" s="708">
        <v>4817.6000000000004</v>
      </c>
      <c r="Q75" s="708">
        <v>3852.5</v>
      </c>
      <c r="R75" s="64">
        <f t="shared" si="28"/>
        <v>0.15551409370199321</v>
      </c>
    </row>
    <row r="76" spans="2:18" x14ac:dyDescent="0.3">
      <c r="B76" t="s">
        <v>23</v>
      </c>
      <c r="G76" s="232">
        <f t="shared" ref="G76:Q76" si="32">+SUM(G77:G78)</f>
        <v>0</v>
      </c>
      <c r="H76" s="232">
        <f t="shared" si="32"/>
        <v>-154</v>
      </c>
      <c r="I76" s="232">
        <f t="shared" si="32"/>
        <v>-127</v>
      </c>
      <c r="J76" s="232">
        <f t="shared" si="32"/>
        <v>-204</v>
      </c>
      <c r="K76" s="232">
        <f t="shared" si="32"/>
        <v>-255</v>
      </c>
      <c r="L76" s="232">
        <f t="shared" si="32"/>
        <v>-275</v>
      </c>
      <c r="M76" s="232">
        <f t="shared" si="32"/>
        <v>-166</v>
      </c>
      <c r="N76" s="232">
        <f t="shared" si="32"/>
        <v>-344</v>
      </c>
      <c r="O76" s="232">
        <f t="shared" si="32"/>
        <v>-699</v>
      </c>
      <c r="P76" s="232">
        <f t="shared" si="32"/>
        <v>-1261</v>
      </c>
      <c r="Q76" s="232">
        <f t="shared" si="32"/>
        <v>-730</v>
      </c>
      <c r="R76" s="64">
        <f t="shared" si="28"/>
        <v>0.16836950707575848</v>
      </c>
    </row>
    <row r="77" spans="2:18" ht="14.5" x14ac:dyDescent="0.35">
      <c r="B77" s="258" t="s">
        <v>517</v>
      </c>
      <c r="G77" s="259"/>
      <c r="H77" s="259">
        <v>-154</v>
      </c>
      <c r="I77" s="259">
        <v>-127</v>
      </c>
      <c r="J77" s="259">
        <v>-204</v>
      </c>
      <c r="K77" s="259">
        <v>-255</v>
      </c>
      <c r="L77" s="259">
        <v>-275</v>
      </c>
      <c r="M77" s="259">
        <v>-166</v>
      </c>
      <c r="N77" s="259">
        <v>-344</v>
      </c>
      <c r="O77" s="259">
        <v>-699</v>
      </c>
      <c r="P77" s="259">
        <v>-1261</v>
      </c>
      <c r="Q77" s="830">
        <v>-730</v>
      </c>
      <c r="R77" s="64">
        <f t="shared" si="28"/>
        <v>0.16836950707575848</v>
      </c>
    </row>
    <row r="78" spans="2:18" ht="14.5" x14ac:dyDescent="0.35">
      <c r="B78" s="258" t="s">
        <v>442</v>
      </c>
      <c r="G78" s="259"/>
      <c r="H78" s="259"/>
      <c r="I78" s="259"/>
      <c r="J78" s="259"/>
      <c r="K78" s="259"/>
      <c r="L78" s="259"/>
      <c r="M78" s="259"/>
      <c r="N78" s="259"/>
      <c r="O78" s="259"/>
      <c r="P78" s="259"/>
      <c r="Q78" s="830"/>
      <c r="R78" s="64" t="str">
        <f t="shared" si="28"/>
        <v/>
      </c>
    </row>
    <row r="79" spans="2:18" ht="14.5" x14ac:dyDescent="0.35">
      <c r="B79" s="89" t="s">
        <v>444</v>
      </c>
      <c r="G79" s="232">
        <f t="shared" ref="G79:Q79" si="33">+SUM(G80:G83)</f>
        <v>0</v>
      </c>
      <c r="H79" s="232">
        <f t="shared" si="33"/>
        <v>-7.1</v>
      </c>
      <c r="I79" s="232">
        <f t="shared" si="33"/>
        <v>-83.2</v>
      </c>
      <c r="J79" s="232">
        <f t="shared" si="33"/>
        <v>-9632.6</v>
      </c>
      <c r="K79" s="232">
        <f t="shared" si="33"/>
        <v>-52.8</v>
      </c>
      <c r="L79" s="232">
        <f t="shared" si="33"/>
        <v>-11.2</v>
      </c>
      <c r="M79" s="232">
        <f>+SUM(M80:M83)</f>
        <v>-14.2</v>
      </c>
      <c r="N79" s="232">
        <f t="shared" si="33"/>
        <v>-25</v>
      </c>
      <c r="O79" s="232">
        <f t="shared" si="33"/>
        <v>0</v>
      </c>
      <c r="P79" s="232">
        <f t="shared" si="33"/>
        <v>0</v>
      </c>
      <c r="Q79" s="831">
        <f t="shared" si="33"/>
        <v>0</v>
      </c>
      <c r="R79" s="64">
        <f t="shared" si="28"/>
        <v>-1</v>
      </c>
    </row>
    <row r="80" spans="2:18" ht="14.5" x14ac:dyDescent="0.35">
      <c r="B80" s="258" t="s">
        <v>518</v>
      </c>
      <c r="G80" s="259"/>
      <c r="H80" s="770">
        <v>-7.1</v>
      </c>
      <c r="I80">
        <v>-83.2</v>
      </c>
      <c r="J80" s="708">
        <v>-9632.6</v>
      </c>
      <c r="K80">
        <v>-52.8</v>
      </c>
      <c r="L80">
        <v>-11.2</v>
      </c>
      <c r="M80">
        <v>-14.2</v>
      </c>
      <c r="N80">
        <v>-25</v>
      </c>
      <c r="O80"/>
      <c r="P80">
        <v>0</v>
      </c>
      <c r="Q80" s="829"/>
      <c r="R80" s="64">
        <f t="shared" si="28"/>
        <v>-1</v>
      </c>
    </row>
    <row r="81" spans="1:18" ht="14.5" x14ac:dyDescent="0.35">
      <c r="B81" s="258" t="s">
        <v>519</v>
      </c>
      <c r="G81" s="259"/>
      <c r="H81" s="259">
        <v>0</v>
      </c>
      <c r="I81" s="259">
        <v>0</v>
      </c>
      <c r="J81" s="259">
        <v>0</v>
      </c>
      <c r="K81" s="259">
        <v>0</v>
      </c>
      <c r="L81" s="259">
        <v>0</v>
      </c>
      <c r="M81" s="259"/>
      <c r="N81" s="259">
        <v>0</v>
      </c>
      <c r="O81" s="259"/>
      <c r="P81" s="259"/>
      <c r="Q81" s="830"/>
      <c r="R81" s="64" t="str">
        <f t="shared" si="28"/>
        <v/>
      </c>
    </row>
    <row r="82" spans="1:18" ht="14.5" x14ac:dyDescent="0.35">
      <c r="B82" s="258" t="s">
        <v>520</v>
      </c>
      <c r="G82" s="259"/>
      <c r="H82" s="259"/>
      <c r="I82" s="259"/>
      <c r="J82" s="259"/>
      <c r="K82" s="259"/>
      <c r="L82" s="259"/>
      <c r="M82" s="259"/>
      <c r="N82" s="259"/>
      <c r="O82" s="259"/>
      <c r="P82" s="259"/>
      <c r="Q82" s="830"/>
      <c r="R82" s="64" t="str">
        <f t="shared" si="28"/>
        <v/>
      </c>
    </row>
    <row r="83" spans="1:18" ht="14.5" x14ac:dyDescent="0.35">
      <c r="B83" s="258" t="s">
        <v>521</v>
      </c>
      <c r="G83" s="259"/>
      <c r="H83" s="259"/>
      <c r="I83" s="259"/>
      <c r="J83" s="259"/>
      <c r="K83" s="259"/>
      <c r="L83" s="259"/>
      <c r="M83" s="259"/>
      <c r="N83" s="259"/>
      <c r="O83" s="259"/>
      <c r="P83" s="259"/>
      <c r="Q83" s="830"/>
      <c r="R83" s="64" t="str">
        <f t="shared" si="28"/>
        <v/>
      </c>
    </row>
    <row r="84" spans="1:18" x14ac:dyDescent="0.3">
      <c r="B84" t="s">
        <v>445</v>
      </c>
      <c r="G84" s="232">
        <f t="shared" ref="G84:Q84" si="34">+G85-G76-G79</f>
        <v>0</v>
      </c>
      <c r="H84" s="232">
        <f t="shared" si="34"/>
        <v>144</v>
      </c>
      <c r="I84" s="232">
        <f t="shared" si="34"/>
        <v>-1008.0999999999999</v>
      </c>
      <c r="J84" s="232">
        <f t="shared" si="34"/>
        <v>3218.6000000000004</v>
      </c>
      <c r="K84" s="232">
        <f t="shared" si="34"/>
        <v>-6.2000000000000028</v>
      </c>
      <c r="L84" s="232">
        <f t="shared" si="34"/>
        <v>-6.9999999999999893</v>
      </c>
      <c r="M84" s="232">
        <f t="shared" si="34"/>
        <v>-0.30000000000000071</v>
      </c>
      <c r="N84" s="232">
        <f t="shared" si="34"/>
        <v>2512.5</v>
      </c>
      <c r="O84" s="232">
        <f t="shared" si="34"/>
        <v>41.600000000000023</v>
      </c>
      <c r="P84" s="232">
        <f t="shared" si="34"/>
        <v>-5.4000000000000909</v>
      </c>
      <c r="Q84" s="232">
        <f t="shared" si="34"/>
        <v>-374.90000000000009</v>
      </c>
      <c r="R84" s="64" t="str">
        <f t="shared" si="28"/>
        <v/>
      </c>
    </row>
    <row r="85" spans="1:18" s="1" customFormat="1" x14ac:dyDescent="0.3">
      <c r="B85" s="261" t="s">
        <v>251</v>
      </c>
      <c r="C85" s="261"/>
      <c r="D85" s="261"/>
      <c r="E85" s="261"/>
      <c r="F85" s="637"/>
      <c r="G85" s="262"/>
      <c r="H85" s="770">
        <v>-17.100000000000001</v>
      </c>
      <c r="I85" s="708">
        <v>-1218.3</v>
      </c>
      <c r="J85" s="708">
        <v>-6618</v>
      </c>
      <c r="K85">
        <v>-314</v>
      </c>
      <c r="L85">
        <v>-293.2</v>
      </c>
      <c r="M85">
        <v>-180.5</v>
      </c>
      <c r="N85" s="708">
        <v>2143.5</v>
      </c>
      <c r="O85">
        <v>-657.4</v>
      </c>
      <c r="P85" s="708">
        <v>-1266.4000000000001</v>
      </c>
      <c r="Q85" s="708">
        <v>-1104.9000000000001</v>
      </c>
      <c r="R85" s="64">
        <f t="shared" si="28"/>
        <v>0.51716454956212488</v>
      </c>
    </row>
    <row r="86" spans="1:18" x14ac:dyDescent="0.3">
      <c r="B86" t="s">
        <v>252</v>
      </c>
      <c r="G86" s="225"/>
      <c r="H86" s="225"/>
      <c r="I86" s="225"/>
      <c r="J86" s="225"/>
      <c r="K86" s="225"/>
      <c r="L86" s="225"/>
      <c r="M86" s="225"/>
      <c r="N86" s="225"/>
      <c r="O86" s="225"/>
      <c r="P86" s="225"/>
      <c r="Q86" s="225"/>
      <c r="R86" s="64" t="str">
        <f t="shared" si="28"/>
        <v/>
      </c>
    </row>
    <row r="87" spans="1:18" x14ac:dyDescent="0.3">
      <c r="B87" t="s">
        <v>253</v>
      </c>
      <c r="G87" s="225"/>
      <c r="H87" s="225"/>
      <c r="I87" s="225"/>
      <c r="J87" s="225"/>
      <c r="K87" s="225"/>
      <c r="L87" s="225"/>
      <c r="M87" s="225"/>
      <c r="N87" s="225"/>
      <c r="O87" s="225"/>
      <c r="P87" s="225"/>
      <c r="Q87" s="836">
        <v>-499.96600000000001</v>
      </c>
      <c r="R87" s="64" t="str">
        <f t="shared" si="28"/>
        <v/>
      </c>
    </row>
    <row r="88" spans="1:18" x14ac:dyDescent="0.3">
      <c r="B88" t="s">
        <v>450</v>
      </c>
      <c r="G88" s="225"/>
      <c r="H88" s="225"/>
      <c r="I88" s="225"/>
      <c r="J88" s="225"/>
      <c r="K88" s="225"/>
      <c r="L88" s="225"/>
      <c r="M88" s="225"/>
      <c r="N88" s="225"/>
      <c r="O88" s="225"/>
      <c r="P88" s="225"/>
      <c r="Q88" s="225"/>
      <c r="R88" s="64" t="str">
        <f t="shared" si="28"/>
        <v/>
      </c>
    </row>
    <row r="89" spans="1:18" x14ac:dyDescent="0.3">
      <c r="B89" t="s">
        <v>446</v>
      </c>
      <c r="G89" s="225"/>
      <c r="H89" s="770">
        <v>-491.1</v>
      </c>
      <c r="I89">
        <v>-513.20000000000005</v>
      </c>
      <c r="J89">
        <v>-602.1</v>
      </c>
      <c r="K89">
        <v>-703.3</v>
      </c>
      <c r="L89">
        <v>-777.5</v>
      </c>
      <c r="M89">
        <v>-886.2</v>
      </c>
      <c r="N89" s="708">
        <v>-1109.3</v>
      </c>
      <c r="O89" s="708">
        <v>-1544.6</v>
      </c>
      <c r="P89" s="708">
        <v>-1679.1</v>
      </c>
      <c r="Q89" s="708">
        <v>-1795.5</v>
      </c>
      <c r="R89" s="64">
        <f t="shared" si="28"/>
        <v>0.13841745894203816</v>
      </c>
    </row>
    <row r="90" spans="1:18" x14ac:dyDescent="0.3">
      <c r="B90" t="s">
        <v>448</v>
      </c>
      <c r="G90" s="225"/>
      <c r="H90" s="770">
        <v>-227</v>
      </c>
      <c r="I90">
        <v>-370.1</v>
      </c>
      <c r="J90">
        <v>-46.5</v>
      </c>
      <c r="K90">
        <v>-226</v>
      </c>
      <c r="L90">
        <v>-613</v>
      </c>
      <c r="M90">
        <v>-244.5</v>
      </c>
      <c r="N90" s="708">
        <v>-3105.1</v>
      </c>
      <c r="O90" s="708">
        <v>-2577</v>
      </c>
      <c r="P90" s="708">
        <v>-2964</v>
      </c>
      <c r="Q90">
        <v>-615.6</v>
      </c>
      <c r="R90" s="64">
        <f t="shared" si="28"/>
        <v>0.10491094443270343</v>
      </c>
    </row>
    <row r="91" spans="1:18" x14ac:dyDescent="0.3">
      <c r="B91" t="s">
        <v>453</v>
      </c>
      <c r="G91" s="232">
        <f>+G92-G86-G87-G88-G89-G90</f>
        <v>0</v>
      </c>
      <c r="H91" s="232">
        <f t="shared" ref="H91:Q91" si="35">+H92-H86-H87-H88-H89-H90</f>
        <v>146.5</v>
      </c>
      <c r="I91" s="232">
        <f t="shared" si="35"/>
        <v>849.90000000000009</v>
      </c>
      <c r="J91" s="232">
        <f t="shared" si="35"/>
        <v>6235.4000000000005</v>
      </c>
      <c r="K91" s="232">
        <f t="shared" si="35"/>
        <v>-1428.7</v>
      </c>
      <c r="L91" s="232">
        <f t="shared" si="35"/>
        <v>-736.30000000000018</v>
      </c>
      <c r="M91" s="232">
        <f t="shared" si="35"/>
        <v>-289.89999999999986</v>
      </c>
      <c r="N91" s="232">
        <f t="shared" si="35"/>
        <v>254.70000000000027</v>
      </c>
      <c r="O91" s="232">
        <f t="shared" si="35"/>
        <v>-169.09999999999991</v>
      </c>
      <c r="P91" s="232">
        <f t="shared" si="35"/>
        <v>579.29999999999973</v>
      </c>
      <c r="Q91" s="232">
        <f t="shared" si="35"/>
        <v>1196.6659999999997</v>
      </c>
      <c r="R91" s="64">
        <f t="shared" si="28"/>
        <v>0.23371127191205465</v>
      </c>
    </row>
    <row r="92" spans="1:18" s="1" customFormat="1" x14ac:dyDescent="0.3">
      <c r="B92" s="261" t="s">
        <v>254</v>
      </c>
      <c r="C92" s="261"/>
      <c r="D92" s="261"/>
      <c r="E92" s="261"/>
      <c r="F92" s="637"/>
      <c r="G92" s="264"/>
      <c r="H92" s="770">
        <v>-571.6</v>
      </c>
      <c r="I92">
        <v>-33.4</v>
      </c>
      <c r="J92" s="708">
        <v>5586.8</v>
      </c>
      <c r="K92" s="708">
        <v>-2358</v>
      </c>
      <c r="L92" s="708">
        <v>-2126.8000000000002</v>
      </c>
      <c r="M92" s="708">
        <v>-1420.6</v>
      </c>
      <c r="N92" s="708">
        <v>-3959.7</v>
      </c>
      <c r="O92" s="708">
        <v>-4290.7</v>
      </c>
      <c r="P92" s="708">
        <v>-4063.8</v>
      </c>
      <c r="Q92" s="708">
        <v>-1714.4</v>
      </c>
      <c r="R92" s="64">
        <f t="shared" si="28"/>
        <v>0.11609713623709705</v>
      </c>
    </row>
    <row r="93" spans="1:18" s="1" customFormat="1" x14ac:dyDescent="0.3">
      <c r="B93" s="265" t="s">
        <v>522</v>
      </c>
      <c r="C93" s="263"/>
      <c r="D93" s="263"/>
      <c r="E93" s="263"/>
      <c r="F93" s="639"/>
      <c r="G93" s="266"/>
      <c r="H93" s="770">
        <v>-4</v>
      </c>
      <c r="I93">
        <v>-2.9</v>
      </c>
      <c r="J93">
        <v>3.6</v>
      </c>
      <c r="K93">
        <v>-1.6</v>
      </c>
      <c r="L93">
        <v>-1.4</v>
      </c>
      <c r="M93">
        <v>0.2</v>
      </c>
      <c r="N93">
        <v>3.2</v>
      </c>
      <c r="O93">
        <v>-34.700000000000003</v>
      </c>
      <c r="P93">
        <v>0</v>
      </c>
      <c r="Q93">
        <v>0</v>
      </c>
      <c r="R93" s="64">
        <f t="shared" si="28"/>
        <v>-1</v>
      </c>
    </row>
    <row r="94" spans="1:18" s="1" customFormat="1" x14ac:dyDescent="0.3">
      <c r="B94" s="1" t="s">
        <v>255</v>
      </c>
      <c r="F94"/>
      <c r="G94" s="233"/>
      <c r="H94" s="770">
        <v>315.10000000000002</v>
      </c>
      <c r="I94">
        <v>36.799999999999997</v>
      </c>
      <c r="J94">
        <v>126.7</v>
      </c>
      <c r="K94">
        <v>-231.2</v>
      </c>
      <c r="L94">
        <v>-168.3</v>
      </c>
      <c r="M94">
        <v>407.5</v>
      </c>
      <c r="N94">
        <v>922.1</v>
      </c>
      <c r="O94">
        <v>-507.4</v>
      </c>
      <c r="P94">
        <v>-512.5</v>
      </c>
      <c r="Q94" s="708">
        <v>1033.3</v>
      </c>
      <c r="R94" s="64">
        <f t="shared" si="28"/>
        <v>0.1261021888306979</v>
      </c>
    </row>
    <row r="95" spans="1:18" ht="14.5" x14ac:dyDescent="0.35">
      <c r="B95" s="89" t="s">
        <v>523</v>
      </c>
      <c r="R95" s="64" t="str">
        <f t="shared" si="28"/>
        <v/>
      </c>
    </row>
    <row r="96" spans="1:18" ht="15.5" x14ac:dyDescent="0.35">
      <c r="A96" t="s">
        <v>358</v>
      </c>
      <c r="B96" s="222" t="s">
        <v>524</v>
      </c>
      <c r="C96" s="56"/>
      <c r="D96" s="56"/>
      <c r="E96" s="56"/>
      <c r="F96" s="56"/>
      <c r="G96" s="495">
        <v>42004</v>
      </c>
      <c r="H96" s="495">
        <v>42369</v>
      </c>
      <c r="I96" s="495">
        <v>42735</v>
      </c>
      <c r="J96" s="495">
        <v>43100</v>
      </c>
      <c r="K96" s="495">
        <v>43465</v>
      </c>
      <c r="L96" s="495">
        <v>43830</v>
      </c>
      <c r="M96" s="495">
        <v>44196</v>
      </c>
      <c r="N96" s="495">
        <v>44561</v>
      </c>
      <c r="O96" s="495">
        <v>44926</v>
      </c>
      <c r="P96" s="495">
        <v>45291</v>
      </c>
      <c r="Q96" s="495">
        <v>45657</v>
      </c>
      <c r="R96" s="26"/>
    </row>
    <row r="97" spans="1:18" ht="4" customHeight="1" x14ac:dyDescent="0.35">
      <c r="B97" s="229"/>
      <c r="C97" s="229"/>
      <c r="D97" s="229"/>
      <c r="E97" s="229"/>
      <c r="F97" s="229"/>
      <c r="G97" s="230"/>
      <c r="H97" s="230"/>
      <c r="I97" s="230"/>
      <c r="J97" s="230"/>
      <c r="K97" s="230"/>
      <c r="L97" s="230"/>
      <c r="M97" s="230"/>
      <c r="N97" s="230"/>
      <c r="O97" s="230"/>
      <c r="P97" s="230"/>
      <c r="Q97" s="230"/>
      <c r="R97" s="26"/>
    </row>
    <row r="98" spans="1:18" x14ac:dyDescent="0.3">
      <c r="B98" t="s">
        <v>525</v>
      </c>
      <c r="G98" s="257" cm="1">
        <f t="array" aca="1" ref="G98" ca="1">(IFERROR(_xlfn.STOCKHISTORY(DCF!$R$4, G96, G96, 0, 0, 1), IFERROR(_xlfn.STOCKHISTORY(DCF!$R$4, G96+1, G96+1, 0, 0, 1), _xlfn.STOCKHISTORY(DCF!$R$4, G96-2, G96-2, 0, 0, 1))))*_xlfn.XLOOKUP("Basic Weighted Average Shares",$B:$B,G:G)</f>
        <v>0</v>
      </c>
      <c r="H98" s="257" cm="1">
        <f t="array" aca="1" ref="H98" ca="1">(IFERROR(_xlfn.STOCKHISTORY(DCF!$R$4, H96, H96, 0, 0, 1), IFERROR(_xlfn.STOCKHISTORY(DCF!$R$4, H96+1, H96+1, 0, 0, 1), _xlfn.STOCKHISTORY(DCF!$R$4, H96-2, H96-2, 0, 0, 1))))*_xlfn.XLOOKUP("Basic Weighted Average Shares",$B:$B,H:H)</f>
        <v>17298.563999999998</v>
      </c>
      <c r="I98" s="257" cm="1">
        <f t="array" aca="1" ref="I98" ca="1">(IFERROR(_xlfn.STOCKHISTORY(DCF!$R$4, I96, I96, 0, 0, 1), IFERROR(_xlfn.STOCKHISTORY(DCF!$R$4, I96+1, I96+1, 0, 0, 1), _xlfn.STOCKHISTORY(DCF!$R$4, I96-2, I96-2, 0, 0, 1))))*_xlfn.XLOOKUP("Basic Weighted Average Shares",$B:$B,I:I)</f>
        <v>22714.145999999997</v>
      </c>
      <c r="J98" s="257" cm="1">
        <f t="array" aca="1" ref="J98" ca="1">(IFERROR(_xlfn.STOCKHISTORY(DCF!$R$4, J96, J96, 0, 0, 1), IFERROR(_xlfn.STOCKHISTORY(DCF!$R$4, J96+1, J96+1, 0, 0, 1), _xlfn.STOCKHISTORY(DCF!$R$4, J96-2, J96-2, 0, 0, 1))))*_xlfn.XLOOKUP("Basic Weighted Average Shares",$B:$B,J:J)</f>
        <v>30839.991999999998</v>
      </c>
      <c r="K98" s="257" cm="1">
        <f t="array" aca="1" ref="K98" ca="1">(IFERROR(_xlfn.STOCKHISTORY(DCF!$R$4, K96, K96, 0, 0, 1), IFERROR(_xlfn.STOCKHISTORY(DCF!$R$4, K96+1, K96+1, 0, 0, 1), _xlfn.STOCKHISTORY(DCF!$R$4, K96-2, K96-2, 0, 0, 1))))*_xlfn.XLOOKUP("Basic Weighted Average Shares",$B:$B,K:K)</f>
        <v>31791.431999999997</v>
      </c>
      <c r="L98" s="257" cm="1">
        <f t="array" aca="1" ref="L98" ca="1">(IFERROR(_xlfn.STOCKHISTORY(DCF!$R$4, L96, L96, 0, 0, 1), IFERROR(_xlfn.STOCKHISTORY(DCF!$R$4, L96+1, L96+1, 0, 0, 1), _xlfn.STOCKHISTORY(DCF!$R$4, L96-2, L96-2, 0, 0, 1))))*_xlfn.XLOOKUP("Basic Weighted Average Shares",$B:$B,L:L)</f>
        <v>43863.844000000005</v>
      </c>
      <c r="M98" s="257" cm="1">
        <f t="array" aca="1" ref="M98" ca="1">(IFERROR(_xlfn.STOCKHISTORY(DCF!$R$4, M96, M96, 0, 0, 1), IFERROR(_xlfn.STOCKHISTORY(DCF!$R$4, M96+1, M96+1, 0, 0, 1), _xlfn.STOCKHISTORY(DCF!$R$4, M96-2, M96-2, 0, 0, 1))))*_xlfn.XLOOKUP("Basic Weighted Average Shares",$B:$B,M:M)</f>
        <v>54453.277999999998</v>
      </c>
      <c r="N98" s="257" cm="1">
        <f t="array" aca="1" ref="N98" ca="1">(IFERROR(_xlfn.STOCKHISTORY(DCF!$R$4, N96, N96, 0, 0, 1), IFERROR(_xlfn.STOCKHISTORY(DCF!$R$4, N96+1, N96+1, 0, 0, 1), _xlfn.STOCKHISTORY(DCF!$R$4, N96-2, N96-2, 0, 0, 1))))*_xlfn.XLOOKUP("Basic Weighted Average Shares",$B:$B,N:N)</f>
        <v>69868.574999999997</v>
      </c>
      <c r="O98" s="257" cm="1">
        <f t="array" aca="1" ref="O98" ca="1">(IFERROR(_xlfn.STOCKHISTORY(DCF!$R$4, O96, O96, 0, 0, 1), IFERROR(_xlfn.STOCKHISTORY(DCF!$R$4, O96+1, O96+1, 0, 0, 1), _xlfn.STOCKHISTORY(DCF!$R$4, O96-2, O96-2, 0, 0, 1))))*_xlfn.XLOOKUP("Basic Weighted Average Shares",$B:$B,O:O)</f>
        <v>85138.415999999997</v>
      </c>
      <c r="P98" s="257" cm="1">
        <f t="array" aca="1" ref="P98" ca="1">(IFERROR(_xlfn.STOCKHISTORY(DCF!$R$4, P96, P96, 0, 0, 1), IFERROR(_xlfn.STOCKHISTORY(DCF!$R$4, P96+1, P96+1, 0, 0, 1), _xlfn.STOCKHISTORY(DCF!$R$4, P96-2, P96-2, 0, 0, 1))))*_xlfn.XLOOKUP("Basic Weighted Average Shares",$B:$B,P:P)</f>
        <v>99716.831999999995</v>
      </c>
      <c r="Q98" s="257" cm="1">
        <f t="array" aca="1" ref="Q98" ca="1">(IFERROR(_xlfn.STOCKHISTORY(DCF!$R$4, Q96, Q96, 0, 0, 1), IFERROR(_xlfn.STOCKHISTORY(DCF!$R$4, Q96+1, Q96+1, 0, 0, 1), _xlfn.STOCKHISTORY(DCF!$R$4, Q96-2, Q96-2, 0, 0, 1))))*_xlfn.XLOOKUP("Basic Weighted Average Shares",$B:$B,Q:Q)</f>
        <v>105422.652</v>
      </c>
    </row>
    <row r="99" spans="1:18" x14ac:dyDescent="0.3">
      <c r="B99" t="s">
        <v>237</v>
      </c>
      <c r="G99" s="238">
        <f t="shared" ref="G99:Q99" si="36">_xlfn.XLOOKUP("Cash &amp; Cash Equivalents &amp; ST Investments",$B$30:$B$62,G$30:G$62)</f>
        <v>0</v>
      </c>
      <c r="H99" s="238">
        <f t="shared" si="36"/>
        <v>3029</v>
      </c>
      <c r="I99" s="238">
        <f t="shared" si="36"/>
        <v>4055.7999999999997</v>
      </c>
      <c r="J99" s="238">
        <f t="shared" si="36"/>
        <v>1047.8</v>
      </c>
      <c r="K99" s="238">
        <f t="shared" si="36"/>
        <v>816.6</v>
      </c>
      <c r="L99" s="238">
        <f t="shared" si="36"/>
        <v>648.29999999999995</v>
      </c>
      <c r="M99" s="238">
        <f t="shared" si="36"/>
        <v>1055.9000000000001</v>
      </c>
      <c r="N99" s="238">
        <f t="shared" si="36"/>
        <v>1978</v>
      </c>
      <c r="O99" s="238">
        <f t="shared" si="36"/>
        <v>1470.6</v>
      </c>
      <c r="P99" s="238">
        <f t="shared" si="36"/>
        <v>958.1</v>
      </c>
      <c r="Q99" s="238">
        <f t="shared" si="36"/>
        <v>2363.1</v>
      </c>
    </row>
    <row r="100" spans="1:18" x14ac:dyDescent="0.3">
      <c r="B100" t="s">
        <v>247</v>
      </c>
      <c r="G100" s="238">
        <f t="shared" ref="G100:Q100" si="37">(_xlfn.XLOOKUP("Short-Term Debt",$B$30:$B$62,G$30:G$62)+_xlfn.XLOOKUP("Long-Term Debt",$B$30:$B$62,G$30:G$62))</f>
        <v>0</v>
      </c>
      <c r="H100" s="238">
        <f t="shared" si="37"/>
        <v>869.90000000000009</v>
      </c>
      <c r="I100" s="238">
        <f t="shared" si="37"/>
        <v>1732.2</v>
      </c>
      <c r="J100" s="238">
        <f t="shared" si="37"/>
        <v>7851.1</v>
      </c>
      <c r="K100" s="238">
        <f t="shared" si="37"/>
        <v>6332.7</v>
      </c>
      <c r="L100" s="238">
        <f t="shared" si="37"/>
        <v>5492</v>
      </c>
      <c r="M100" s="238">
        <f t="shared" si="37"/>
        <v>5145.1000000000004</v>
      </c>
      <c r="N100" s="238">
        <f t="shared" si="37"/>
        <v>6769.9</v>
      </c>
      <c r="O100" s="238">
        <f t="shared" si="37"/>
        <v>6548.6</v>
      </c>
      <c r="P100" s="238">
        <f t="shared" si="37"/>
        <v>6948.8</v>
      </c>
      <c r="Q100" s="238">
        <f t="shared" si="37"/>
        <v>7581.6</v>
      </c>
    </row>
    <row r="101" spans="1:18" x14ac:dyDescent="0.3">
      <c r="B101" t="s">
        <v>526</v>
      </c>
      <c r="G101" s="239"/>
      <c r="H101" s="239"/>
      <c r="I101" s="239"/>
      <c r="J101" s="239"/>
      <c r="K101" s="239"/>
      <c r="L101" s="239"/>
      <c r="M101" s="239"/>
      <c r="N101" s="239"/>
      <c r="O101" s="239"/>
      <c r="P101" s="239"/>
      <c r="Q101" s="239"/>
    </row>
    <row r="102" spans="1:18" x14ac:dyDescent="0.3">
      <c r="B102" t="s">
        <v>511</v>
      </c>
      <c r="G102" s="26">
        <f t="shared" ref="G102:Q102" si="38">_xlfn.XLOOKUP("Non-Controlling Interest",$B$30:$B$62,G$30:G$62)</f>
        <v>0</v>
      </c>
      <c r="H102" s="26">
        <f t="shared" si="38"/>
        <v>0</v>
      </c>
      <c r="I102" s="26">
        <f t="shared" si="38"/>
        <v>0</v>
      </c>
      <c r="J102" s="26">
        <f t="shared" si="38"/>
        <v>0</v>
      </c>
      <c r="K102" s="26">
        <f t="shared" si="38"/>
        <v>0</v>
      </c>
      <c r="L102" s="26">
        <f t="shared" si="38"/>
        <v>0</v>
      </c>
      <c r="M102" s="26">
        <f t="shared" si="38"/>
        <v>0</v>
      </c>
      <c r="N102" s="26">
        <f t="shared" si="38"/>
        <v>0</v>
      </c>
      <c r="O102" s="26">
        <f t="shared" si="38"/>
        <v>0</v>
      </c>
      <c r="P102" s="26">
        <f t="shared" si="38"/>
        <v>0</v>
      </c>
      <c r="Q102" s="26">
        <f t="shared" si="38"/>
        <v>0</v>
      </c>
    </row>
    <row r="103" spans="1:18" x14ac:dyDescent="0.3">
      <c r="B103" t="s">
        <v>464</v>
      </c>
      <c r="G103" s="240">
        <f t="shared" ref="G103:M103" ca="1" si="39">+G98-G99+G100+G101+G102</f>
        <v>0</v>
      </c>
      <c r="H103" s="240">
        <f t="shared" ca="1" si="39"/>
        <v>15139.463999999998</v>
      </c>
      <c r="I103" s="240">
        <f t="shared" ca="1" si="39"/>
        <v>20390.545999999998</v>
      </c>
      <c r="J103" s="240">
        <f t="shared" ca="1" si="39"/>
        <v>37643.292000000001</v>
      </c>
      <c r="K103" s="240">
        <f t="shared" ca="1" si="39"/>
        <v>37307.531999999999</v>
      </c>
      <c r="L103" s="240">
        <f t="shared" ca="1" si="39"/>
        <v>48707.544000000002</v>
      </c>
      <c r="M103" s="240">
        <f t="shared" ca="1" si="39"/>
        <v>58542.477999999996</v>
      </c>
      <c r="N103" s="240">
        <f ca="1">+N98-N99+N100+N101+N102</f>
        <v>74660.474999999991</v>
      </c>
      <c r="O103" s="240">
        <f t="shared" ref="O103:Q103" ca="1" si="40">+O98-O99+O100+O101+O102</f>
        <v>90216.415999999997</v>
      </c>
      <c r="P103" s="240">
        <f t="shared" ca="1" si="40"/>
        <v>105707.53199999999</v>
      </c>
      <c r="Q103" s="240">
        <f t="shared" ca="1" si="40"/>
        <v>110641.152</v>
      </c>
    </row>
    <row r="104" spans="1:18" ht="5.25" customHeight="1" x14ac:dyDescent="0.3"/>
    <row r="105" spans="1:18" ht="15.5" x14ac:dyDescent="0.35">
      <c r="A105" t="s">
        <v>358</v>
      </c>
      <c r="B105" s="52" t="s">
        <v>67</v>
      </c>
      <c r="C105" s="56"/>
      <c r="D105" s="56"/>
      <c r="E105" s="56"/>
      <c r="F105" s="56"/>
      <c r="G105" s="241" t="s">
        <v>527</v>
      </c>
      <c r="H105" s="223">
        <v>2025</v>
      </c>
      <c r="I105" s="223">
        <f>+H105+1</f>
        <v>2026</v>
      </c>
      <c r="J105" s="223">
        <f t="shared" ref="J105:Q105" si="41">+I105+1</f>
        <v>2027</v>
      </c>
      <c r="K105" s="223">
        <f t="shared" si="41"/>
        <v>2028</v>
      </c>
      <c r="L105" s="223">
        <f t="shared" si="41"/>
        <v>2029</v>
      </c>
      <c r="M105" s="223">
        <f t="shared" si="41"/>
        <v>2030</v>
      </c>
      <c r="N105" s="223">
        <f t="shared" si="41"/>
        <v>2031</v>
      </c>
      <c r="O105" s="223">
        <f t="shared" si="41"/>
        <v>2032</v>
      </c>
      <c r="P105" s="223">
        <f t="shared" si="41"/>
        <v>2033</v>
      </c>
      <c r="Q105" s="755">
        <f t="shared" si="41"/>
        <v>2034</v>
      </c>
    </row>
    <row r="106" spans="1:18" ht="4" customHeight="1" x14ac:dyDescent="0.35">
      <c r="B106" s="229"/>
      <c r="C106" s="229"/>
      <c r="D106" s="229"/>
      <c r="E106" s="229"/>
      <c r="F106" s="229"/>
      <c r="G106" s="230"/>
      <c r="H106" s="230"/>
      <c r="I106" s="230"/>
      <c r="J106" s="230"/>
      <c r="K106" s="230"/>
      <c r="L106" s="230" t="s">
        <v>528</v>
      </c>
      <c r="M106" s="230" t="s">
        <v>528</v>
      </c>
      <c r="N106" s="230" t="s">
        <v>528</v>
      </c>
      <c r="O106" s="230" t="s">
        <v>528</v>
      </c>
      <c r="P106" s="230" t="s">
        <v>528</v>
      </c>
      <c r="Q106" s="230" t="s">
        <v>528</v>
      </c>
    </row>
    <row r="107" spans="1:18" x14ac:dyDescent="0.3">
      <c r="B107" t="s">
        <v>527</v>
      </c>
      <c r="G107" s="754"/>
      <c r="H107" s="239"/>
      <c r="I107" s="239"/>
      <c r="J107" s="239"/>
      <c r="K107" s="239"/>
      <c r="L107" s="239"/>
      <c r="M107" s="239"/>
      <c r="N107" s="239"/>
      <c r="O107" s="239"/>
      <c r="P107" s="239"/>
      <c r="Q107" s="239"/>
    </row>
    <row r="108" spans="1:18" x14ac:dyDescent="0.3">
      <c r="B108" t="s">
        <v>529</v>
      </c>
      <c r="G108"/>
      <c r="H108" s="239"/>
      <c r="I108" s="239"/>
      <c r="J108" s="239"/>
      <c r="K108" s="239"/>
      <c r="L108" s="239"/>
      <c r="M108" s="239"/>
      <c r="N108" s="239"/>
      <c r="O108" s="239"/>
      <c r="P108" s="239"/>
      <c r="Q108" s="239"/>
    </row>
    <row r="109" spans="1:18" x14ac:dyDescent="0.3">
      <c r="B109" t="s">
        <v>530</v>
      </c>
      <c r="G109"/>
      <c r="H109" s="239"/>
      <c r="I109" s="239"/>
      <c r="J109" s="239"/>
      <c r="K109" s="239"/>
      <c r="L109" s="239"/>
      <c r="M109" s="239"/>
      <c r="N109" s="239"/>
      <c r="O109" s="239"/>
      <c r="P109" s="239"/>
      <c r="Q109" s="239"/>
    </row>
    <row r="110" spans="1:18" ht="3.75" customHeight="1" x14ac:dyDescent="0.3"/>
    <row r="111" spans="1:18" ht="15.5" x14ac:dyDescent="0.35">
      <c r="A111" t="s">
        <v>358</v>
      </c>
      <c r="B111" s="52" t="s">
        <v>531</v>
      </c>
      <c r="C111" s="56"/>
      <c r="D111" s="56"/>
      <c r="E111" s="56"/>
      <c r="F111" s="56"/>
      <c r="G111" s="223">
        <v>2014</v>
      </c>
      <c r="H111" s="223">
        <f>+G111+1</f>
        <v>2015</v>
      </c>
      <c r="I111" s="223">
        <f t="shared" ref="I111" si="42">+H111+1</f>
        <v>2016</v>
      </c>
      <c r="J111" s="223">
        <f t="shared" ref="J111" si="43">+I111+1</f>
        <v>2017</v>
      </c>
      <c r="K111" s="223">
        <f t="shared" ref="K111" si="44">+J111+1</f>
        <v>2018</v>
      </c>
      <c r="L111" s="223">
        <f t="shared" ref="L111" si="45">+K111+1</f>
        <v>2019</v>
      </c>
      <c r="M111" s="223">
        <f t="shared" ref="M111" si="46">+L111+1</f>
        <v>2020</v>
      </c>
      <c r="N111" s="223">
        <f>+M111+1</f>
        <v>2021</v>
      </c>
      <c r="O111" s="223">
        <f>+N111+1</f>
        <v>2022</v>
      </c>
      <c r="P111" s="223">
        <f t="shared" ref="P111" si="47">+O111+1</f>
        <v>2023</v>
      </c>
      <c r="Q111" s="223">
        <f>+P111+1</f>
        <v>2024</v>
      </c>
      <c r="R111" s="58" t="str">
        <f>"CAGR "&amp;$G$4&amp;" - "&amp;$Q$4</f>
        <v>CAGR 2014 - 2024</v>
      </c>
    </row>
    <row r="112" spans="1:18" ht="5.25" customHeight="1" x14ac:dyDescent="0.35">
      <c r="B112" s="229"/>
      <c r="C112" s="229"/>
      <c r="D112" s="229"/>
      <c r="E112" s="229"/>
      <c r="F112" s="229"/>
      <c r="G112" s="230"/>
      <c r="H112" s="230"/>
      <c r="I112" s="230"/>
      <c r="J112" s="230"/>
      <c r="K112" s="230"/>
      <c r="L112" s="230"/>
      <c r="M112" s="230"/>
      <c r="N112" s="230"/>
      <c r="O112" s="230"/>
      <c r="P112" s="230"/>
      <c r="Q112" s="230"/>
      <c r="R112" s="60"/>
    </row>
    <row r="113" spans="2:18" x14ac:dyDescent="0.3">
      <c r="B113" t="s">
        <v>247</v>
      </c>
      <c r="G113" s="237">
        <f>IFERROR(SUM(G55+G50),"")</f>
        <v>0</v>
      </c>
      <c r="H113" s="237">
        <f t="shared" ref="H113:Q113" si="48">IFERROR(SUM(H55+H50),"")</f>
        <v>869.90000000000009</v>
      </c>
      <c r="I113" s="237">
        <f t="shared" si="48"/>
        <v>1732.2</v>
      </c>
      <c r="J113" s="237">
        <f t="shared" si="48"/>
        <v>7851.1</v>
      </c>
      <c r="K113" s="237">
        <f t="shared" si="48"/>
        <v>6332.7</v>
      </c>
      <c r="L113" s="237">
        <f t="shared" si="48"/>
        <v>5492</v>
      </c>
      <c r="M113" s="237">
        <f t="shared" si="48"/>
        <v>5145.1000000000004</v>
      </c>
      <c r="N113" s="237">
        <f t="shared" si="48"/>
        <v>6769.9</v>
      </c>
      <c r="O113" s="237">
        <f t="shared" si="48"/>
        <v>6548.6</v>
      </c>
      <c r="P113" s="237">
        <f t="shared" si="48"/>
        <v>6948.8</v>
      </c>
      <c r="Q113" s="237">
        <f t="shared" si="48"/>
        <v>7581.6</v>
      </c>
      <c r="R113" s="64">
        <f t="shared" ref="R113:R121" si="49">IFERROR((Q113/H113)^(1/COUNT($H$4:$Q$4))-1,"")</f>
        <v>0.24173566104783584</v>
      </c>
    </row>
    <row r="114" spans="2:18" x14ac:dyDescent="0.3">
      <c r="B114" t="s">
        <v>433</v>
      </c>
      <c r="G114" s="237">
        <f>IFERROR(SUM(G51,G56),"")</f>
        <v>0</v>
      </c>
      <c r="H114" s="237">
        <f t="shared" ref="H114:N114" si="50">IFERROR(SUM(H51,H56),"")</f>
        <v>495.3</v>
      </c>
      <c r="I114" s="237">
        <f t="shared" si="50"/>
        <v>1732.2</v>
      </c>
      <c r="J114" s="237">
        <f t="shared" si="50"/>
        <v>7551.1</v>
      </c>
      <c r="K114" s="237">
        <f t="shared" si="50"/>
        <v>6265.7</v>
      </c>
      <c r="L114" s="237">
        <f t="shared" si="50"/>
        <v>5192.3</v>
      </c>
      <c r="M114" s="237">
        <f t="shared" si="50"/>
        <v>5145.1000000000004</v>
      </c>
      <c r="N114" s="237">
        <f t="shared" si="50"/>
        <v>6253.2</v>
      </c>
      <c r="O114" s="237">
        <f>IFERROR(SUM(P51,O56),"")</f>
        <v>7095.8</v>
      </c>
      <c r="P114" s="237">
        <f>IFERROR(SUM(Q51,P56),"")</f>
        <v>6450.2</v>
      </c>
      <c r="Q114" s="237" t="str">
        <f>IFERROR(SUM(#REF!,Q56),"")</f>
        <v/>
      </c>
      <c r="R114" s="64" t="str">
        <f t="shared" si="49"/>
        <v/>
      </c>
    </row>
    <row r="115" spans="2:18" x14ac:dyDescent="0.3">
      <c r="B115" t="s">
        <v>434</v>
      </c>
      <c r="G115" s="237">
        <f>IFERROR(SUM(G52,G57),"")</f>
        <v>0</v>
      </c>
      <c r="H115" s="237">
        <f t="shared" ref="H115:Q115" si="51">IFERROR(SUM(H52,H57),"")</f>
        <v>374.6</v>
      </c>
      <c r="I115" s="237">
        <f t="shared" si="51"/>
        <v>0</v>
      </c>
      <c r="J115" s="237">
        <f t="shared" si="51"/>
        <v>300</v>
      </c>
      <c r="K115" s="237">
        <f t="shared" si="51"/>
        <v>67</v>
      </c>
      <c r="L115" s="237">
        <f t="shared" si="51"/>
        <v>299.7</v>
      </c>
      <c r="M115" s="237">
        <f t="shared" si="51"/>
        <v>0</v>
      </c>
      <c r="N115" s="237">
        <f t="shared" si="51"/>
        <v>516.70000000000005</v>
      </c>
      <c r="O115" s="237">
        <f t="shared" si="51"/>
        <v>0</v>
      </c>
      <c r="P115" s="237">
        <f t="shared" si="51"/>
        <v>499.1</v>
      </c>
      <c r="Q115" s="237">
        <f t="shared" si="51"/>
        <v>399.6</v>
      </c>
      <c r="R115" s="64">
        <f t="shared" si="49"/>
        <v>6.4814398871222423E-3</v>
      </c>
    </row>
    <row r="116" spans="2:18" x14ac:dyDescent="0.3">
      <c r="B116" t="s">
        <v>532</v>
      </c>
      <c r="G116" s="237">
        <f t="shared" ref="G116:Q116" si="52">+G113-G32</f>
        <v>0</v>
      </c>
      <c r="H116" s="237">
        <f t="shared" si="52"/>
        <v>-2159.1</v>
      </c>
      <c r="I116" s="237">
        <f t="shared" si="52"/>
        <v>-2323.5999999999995</v>
      </c>
      <c r="J116" s="237">
        <f t="shared" si="52"/>
        <v>6803.3</v>
      </c>
      <c r="K116" s="237">
        <f t="shared" si="52"/>
        <v>5516.0999999999995</v>
      </c>
      <c r="L116" s="237">
        <f t="shared" si="52"/>
        <v>4843.7</v>
      </c>
      <c r="M116" s="237">
        <f t="shared" si="52"/>
        <v>4089.2000000000003</v>
      </c>
      <c r="N116" s="237">
        <f t="shared" si="52"/>
        <v>4791.8999999999996</v>
      </c>
      <c r="O116" s="237">
        <f t="shared" si="52"/>
        <v>5078</v>
      </c>
      <c r="P116" s="237">
        <f t="shared" si="52"/>
        <v>5990.7</v>
      </c>
      <c r="Q116" s="237">
        <f t="shared" si="52"/>
        <v>5218.5</v>
      </c>
      <c r="R116" s="64" t="str">
        <f t="shared" si="49"/>
        <v/>
      </c>
    </row>
    <row r="117" spans="2:18" x14ac:dyDescent="0.3">
      <c r="B117" t="s">
        <v>533</v>
      </c>
      <c r="G117" s="252" t="str">
        <f t="shared" ref="G117:Q117" si="53">IFERROR(G23/G22,"")</f>
        <v/>
      </c>
      <c r="H117" s="252">
        <f t="shared" si="53"/>
        <v>0.15724406167523264</v>
      </c>
      <c r="I117" s="252">
        <f t="shared" si="53"/>
        <v>9.5204795204795217E-2</v>
      </c>
      <c r="J117" s="252">
        <f t="shared" si="53"/>
        <v>8.2283112448166509E-2</v>
      </c>
      <c r="K117" s="252">
        <f t="shared" si="53"/>
        <v>0</v>
      </c>
      <c r="L117" s="252">
        <f t="shared" si="53"/>
        <v>8.5822200461635273E-2</v>
      </c>
      <c r="M117" s="252">
        <f t="shared" si="53"/>
        <v>7.7513430544896386E-2</v>
      </c>
      <c r="N117" s="252">
        <f t="shared" si="53"/>
        <v>-4.8422539632710718E-2</v>
      </c>
      <c r="O117" s="252">
        <f t="shared" si="53"/>
        <v>0.14997216393302212</v>
      </c>
      <c r="P117" s="252">
        <f t="shared" si="53"/>
        <v>0.108658617880157</v>
      </c>
      <c r="Q117" s="252">
        <f t="shared" si="53"/>
        <v>0.18069684638860611</v>
      </c>
      <c r="R117" s="64">
        <f t="shared" si="49"/>
        <v>1.3999245816117112E-2</v>
      </c>
    </row>
    <row r="118" spans="2:18" x14ac:dyDescent="0.3">
      <c r="B118" t="s">
        <v>375</v>
      </c>
      <c r="G118" s="257" t="str">
        <f t="shared" ref="G118:Q118" si="54">IFERROR(G16*(1-G117),"")</f>
        <v/>
      </c>
      <c r="H118" s="257">
        <f t="shared" si="54"/>
        <v>590.51908598416458</v>
      </c>
      <c r="I118" s="257">
        <f t="shared" si="54"/>
        <v>884.43731268731244</v>
      </c>
      <c r="J118" s="257">
        <f t="shared" si="54"/>
        <v>1107.9595983413285</v>
      </c>
      <c r="K118" s="257">
        <f t="shared" si="54"/>
        <v>1590.8999999999996</v>
      </c>
      <c r="L118" s="257">
        <f t="shared" si="54"/>
        <v>1301.8806043225859</v>
      </c>
      <c r="M118" s="257">
        <f t="shared" si="54"/>
        <v>1078.5712970069073</v>
      </c>
      <c r="N118" s="257">
        <f t="shared" si="54"/>
        <v>1298.7858420970019</v>
      </c>
      <c r="O118" s="257">
        <f t="shared" si="54"/>
        <v>1928.1181405507259</v>
      </c>
      <c r="P118" s="257">
        <f t="shared" si="54"/>
        <v>2362.3220650322205</v>
      </c>
      <c r="Q118" s="257">
        <f t="shared" si="54"/>
        <v>590.38985249237112</v>
      </c>
      <c r="R118" s="64">
        <f t="shared" si="49"/>
        <v>-2.1886882863642043E-5</v>
      </c>
    </row>
    <row r="119" spans="2:18" x14ac:dyDescent="0.3">
      <c r="B119" t="s">
        <v>419</v>
      </c>
      <c r="G119" s="496" t="str">
        <f t="shared" ref="G119:Q119" si="55">IFERROR(G35/G6*365,"")</f>
        <v/>
      </c>
      <c r="H119" s="496">
        <f t="shared" si="55"/>
        <v>49.568425955576259</v>
      </c>
      <c r="I119" s="496">
        <f t="shared" si="55"/>
        <v>50.951072660314495</v>
      </c>
      <c r="J119" s="496">
        <f t="shared" si="55"/>
        <v>49.238374938815468</v>
      </c>
      <c r="K119" s="496">
        <f t="shared" si="55"/>
        <v>37.510321782575872</v>
      </c>
      <c r="L119" s="496">
        <f t="shared" si="55"/>
        <v>38.692644088731619</v>
      </c>
      <c r="M119" s="496">
        <f t="shared" si="55"/>
        <v>48.042601417072682</v>
      </c>
      <c r="N119" s="496">
        <f t="shared" si="55"/>
        <v>72.772570132407793</v>
      </c>
      <c r="O119" s="496">
        <f t="shared" si="55"/>
        <v>54.701390044947559</v>
      </c>
      <c r="P119" s="496">
        <f t="shared" si="55"/>
        <v>43.593555727113895</v>
      </c>
      <c r="Q119" s="496">
        <f t="shared" si="55"/>
        <v>51.738533180583836</v>
      </c>
      <c r="R119" s="64">
        <f t="shared" si="49"/>
        <v>4.2940701094777989E-3</v>
      </c>
    </row>
    <row r="120" spans="2:18" x14ac:dyDescent="0.3">
      <c r="B120" t="s">
        <v>421</v>
      </c>
      <c r="G120" s="496" t="str">
        <f t="shared" ref="G120:Q120" si="56">IFERROR(G36/G7*365,"")</f>
        <v/>
      </c>
      <c r="H120" s="496">
        <f t="shared" si="56"/>
        <v>127.98902874638544</v>
      </c>
      <c r="I120" s="496">
        <f t="shared" si="56"/>
        <v>115.10550996483002</v>
      </c>
      <c r="J120" s="496">
        <f t="shared" si="56"/>
        <v>98.265799892467854</v>
      </c>
      <c r="K120" s="496">
        <f t="shared" si="56"/>
        <v>108.48503266980701</v>
      </c>
      <c r="L120" s="496">
        <f t="shared" si="56"/>
        <v>112.58458504020633</v>
      </c>
      <c r="M120" s="496">
        <f t="shared" si="56"/>
        <v>116.08778625954199</v>
      </c>
      <c r="N120" s="496">
        <f t="shared" si="56"/>
        <v>156.88218236494467</v>
      </c>
      <c r="O120" s="496">
        <f t="shared" si="56"/>
        <v>114.01617761910076</v>
      </c>
      <c r="P120" s="496">
        <f t="shared" si="56"/>
        <v>135.35736061242463</v>
      </c>
      <c r="Q120" s="496">
        <f t="shared" si="56"/>
        <v>130.60717287063127</v>
      </c>
      <c r="R120" s="64">
        <f t="shared" si="49"/>
        <v>2.0270106588147208E-3</v>
      </c>
    </row>
    <row r="121" spans="2:18" x14ac:dyDescent="0.3">
      <c r="B121" t="s">
        <v>430</v>
      </c>
      <c r="G121" s="496" t="str">
        <f t="shared" ref="G121:Q121" si="57">IFERROR(G49/G6*365,"")</f>
        <v/>
      </c>
      <c r="H121" s="496">
        <f t="shared" si="57"/>
        <v>18.509795930249481</v>
      </c>
      <c r="I121" s="496">
        <f t="shared" si="57"/>
        <v>18.285204886888408</v>
      </c>
      <c r="J121" s="496">
        <f t="shared" si="57"/>
        <v>16.90827214880078</v>
      </c>
      <c r="K121" s="496">
        <f t="shared" si="57"/>
        <v>15.298488280559704</v>
      </c>
      <c r="L121" s="496">
        <f t="shared" si="57"/>
        <v>13.726110397089014</v>
      </c>
      <c r="M121" s="496">
        <f t="shared" si="57"/>
        <v>14.806892613017792</v>
      </c>
      <c r="N121" s="496">
        <f t="shared" si="57"/>
        <v>22.11456212508369</v>
      </c>
      <c r="O121" s="496">
        <f t="shared" si="57"/>
        <v>17.687947394706175</v>
      </c>
      <c r="P121" s="496">
        <f t="shared" si="57"/>
        <v>14.623135996099304</v>
      </c>
      <c r="Q121" s="496">
        <f t="shared" si="57"/>
        <v>18.874904531568227</v>
      </c>
      <c r="R121" s="64">
        <f t="shared" si="49"/>
        <v>1.9552225101890919E-3</v>
      </c>
    </row>
    <row r="124" spans="2:18" x14ac:dyDescent="0.3">
      <c r="O124"/>
    </row>
    <row r="125" spans="2:18" x14ac:dyDescent="0.3">
      <c r="C125" s="597"/>
    </row>
    <row r="126" spans="2:18" x14ac:dyDescent="0.3">
      <c r="C126" s="597"/>
    </row>
    <row r="127" spans="2:18" x14ac:dyDescent="0.3">
      <c r="C127" s="597"/>
    </row>
    <row r="128" spans="2:18" x14ac:dyDescent="0.3">
      <c r="C128" s="597"/>
    </row>
    <row r="129" spans="3:3" x14ac:dyDescent="0.3">
      <c r="C129" s="597"/>
    </row>
    <row r="130" spans="3:3" x14ac:dyDescent="0.3">
      <c r="C130" s="597"/>
    </row>
    <row r="131" spans="3:3" x14ac:dyDescent="0.3">
      <c r="C131" s="597"/>
    </row>
    <row r="132" spans="3:3" x14ac:dyDescent="0.3">
      <c r="C132" s="597"/>
    </row>
    <row r="133" spans="3:3" x14ac:dyDescent="0.3">
      <c r="C133" s="597"/>
    </row>
    <row r="134" spans="3:3" x14ac:dyDescent="0.3">
      <c r="C134" s="597"/>
    </row>
    <row r="135" spans="3:3" x14ac:dyDescent="0.3">
      <c r="C135" s="597"/>
    </row>
    <row r="136" spans="3:3" x14ac:dyDescent="0.3">
      <c r="C136" s="597"/>
    </row>
    <row r="137" spans="3:3" x14ac:dyDescent="0.3">
      <c r="C137" s="597"/>
    </row>
    <row r="138" spans="3:3" x14ac:dyDescent="0.3">
      <c r="C138" s="597"/>
    </row>
    <row r="139" spans="3:3" x14ac:dyDescent="0.3">
      <c r="C139" s="597"/>
    </row>
    <row r="140" spans="3:3" x14ac:dyDescent="0.3">
      <c r="C140" s="597"/>
    </row>
    <row r="141" spans="3:3" x14ac:dyDescent="0.3">
      <c r="C141" s="597"/>
    </row>
    <row r="142" spans="3:3" x14ac:dyDescent="0.3">
      <c r="C142" s="597"/>
    </row>
    <row r="143" spans="3:3" x14ac:dyDescent="0.3">
      <c r="C143" s="597"/>
    </row>
    <row r="144" spans="3:3" x14ac:dyDescent="0.3">
      <c r="C144" s="597"/>
    </row>
    <row r="145" spans="3:3" x14ac:dyDescent="0.3">
      <c r="C145" s="597"/>
    </row>
    <row r="146" spans="3:3" x14ac:dyDescent="0.3">
      <c r="C146" s="597"/>
    </row>
    <row r="147" spans="3:3" x14ac:dyDescent="0.3">
      <c r="C147" s="597"/>
    </row>
    <row r="148" spans="3:3" x14ac:dyDescent="0.3">
      <c r="C148" s="597"/>
    </row>
    <row r="149" spans="3:3" x14ac:dyDescent="0.3">
      <c r="C149" s="597"/>
    </row>
    <row r="150" spans="3:3" x14ac:dyDescent="0.3">
      <c r="C150" s="597"/>
    </row>
    <row r="151" spans="3:3" x14ac:dyDescent="0.3">
      <c r="C151" s="597"/>
    </row>
    <row r="152" spans="3:3" x14ac:dyDescent="0.3">
      <c r="C152" s="597"/>
    </row>
    <row r="153" spans="3:3" x14ac:dyDescent="0.3">
      <c r="C153" s="597"/>
    </row>
    <row r="154" spans="3:3" x14ac:dyDescent="0.3">
      <c r="C154" s="597"/>
    </row>
    <row r="155" spans="3:3" x14ac:dyDescent="0.3">
      <c r="C155" s="597"/>
    </row>
    <row r="156" spans="3:3" x14ac:dyDescent="0.3">
      <c r="C156" s="597"/>
    </row>
    <row r="157" spans="3:3" x14ac:dyDescent="0.3">
      <c r="C157" s="597"/>
    </row>
    <row r="158" spans="3:3" x14ac:dyDescent="0.3">
      <c r="C158" s="597"/>
    </row>
    <row r="159" spans="3:3" x14ac:dyDescent="0.3">
      <c r="C159" s="597"/>
    </row>
    <row r="160" spans="3:3" x14ac:dyDescent="0.3">
      <c r="C160" s="597"/>
    </row>
    <row r="161" spans="3:3" x14ac:dyDescent="0.3">
      <c r="C161" s="597"/>
    </row>
    <row r="162" spans="3:3" x14ac:dyDescent="0.3">
      <c r="C162" s="597"/>
    </row>
    <row r="163" spans="3:3" x14ac:dyDescent="0.3">
      <c r="C163" s="597"/>
    </row>
    <row r="164" spans="3:3" x14ac:dyDescent="0.3">
      <c r="C164" s="597"/>
    </row>
    <row r="165" spans="3:3" x14ac:dyDescent="0.3">
      <c r="C165" s="597"/>
    </row>
    <row r="166" spans="3:3" x14ac:dyDescent="0.3">
      <c r="C166" s="597"/>
    </row>
    <row r="167" spans="3:3" x14ac:dyDescent="0.3">
      <c r="C167" s="597"/>
    </row>
    <row r="168" spans="3:3" x14ac:dyDescent="0.3">
      <c r="C168" s="597"/>
    </row>
    <row r="169" spans="3:3" x14ac:dyDescent="0.3">
      <c r="C169" s="597"/>
    </row>
    <row r="170" spans="3:3" x14ac:dyDescent="0.3">
      <c r="C170" s="597"/>
    </row>
    <row r="171" spans="3:3" x14ac:dyDescent="0.3">
      <c r="C171" s="597"/>
    </row>
    <row r="172" spans="3:3" x14ac:dyDescent="0.3">
      <c r="C172" s="597"/>
    </row>
    <row r="173" spans="3:3" x14ac:dyDescent="0.3">
      <c r="C173" s="597"/>
    </row>
    <row r="174" spans="3:3" x14ac:dyDescent="0.3">
      <c r="C174" s="597"/>
    </row>
    <row r="175" spans="3:3" x14ac:dyDescent="0.3">
      <c r="C175" s="597"/>
    </row>
    <row r="176" spans="3:3" x14ac:dyDescent="0.3">
      <c r="C176" s="597"/>
    </row>
    <row r="177" spans="3:3" x14ac:dyDescent="0.3">
      <c r="C177" s="597"/>
    </row>
    <row r="178" spans="3:3" x14ac:dyDescent="0.3">
      <c r="C178" s="597"/>
    </row>
    <row r="179" spans="3:3" x14ac:dyDescent="0.3">
      <c r="C179" s="597"/>
    </row>
    <row r="180" spans="3:3" x14ac:dyDescent="0.3">
      <c r="C180" s="597"/>
    </row>
    <row r="181" spans="3:3" x14ac:dyDescent="0.3">
      <c r="C181" s="597"/>
    </row>
    <row r="182" spans="3:3" x14ac:dyDescent="0.3">
      <c r="C182" s="597"/>
    </row>
    <row r="183" spans="3:3" x14ac:dyDescent="0.3">
      <c r="C183" s="597"/>
    </row>
    <row r="184" spans="3:3" x14ac:dyDescent="0.3">
      <c r="C184" s="597"/>
    </row>
    <row r="185" spans="3:3" x14ac:dyDescent="0.3">
      <c r="C185" s="597"/>
    </row>
    <row r="186" spans="3:3" x14ac:dyDescent="0.3">
      <c r="C186" s="597"/>
    </row>
    <row r="187" spans="3:3" x14ac:dyDescent="0.3">
      <c r="C187" s="597"/>
    </row>
    <row r="188" spans="3:3" x14ac:dyDescent="0.3">
      <c r="C188" s="597"/>
    </row>
    <row r="189" spans="3:3" x14ac:dyDescent="0.3">
      <c r="C189" s="597"/>
    </row>
    <row r="190" spans="3:3" x14ac:dyDescent="0.3">
      <c r="C190" s="597"/>
    </row>
    <row r="191" spans="3:3" x14ac:dyDescent="0.3">
      <c r="C191" s="597"/>
    </row>
    <row r="192" spans="3:3" x14ac:dyDescent="0.3">
      <c r="C192" s="597"/>
    </row>
    <row r="193" spans="3:3" x14ac:dyDescent="0.3">
      <c r="C193" s="597"/>
    </row>
    <row r="194" spans="3:3" x14ac:dyDescent="0.3">
      <c r="C194" s="597"/>
    </row>
    <row r="195" spans="3:3" x14ac:dyDescent="0.3">
      <c r="C195" s="597"/>
    </row>
    <row r="196" spans="3:3" x14ac:dyDescent="0.3">
      <c r="C196" s="597"/>
    </row>
    <row r="197" spans="3:3" x14ac:dyDescent="0.3">
      <c r="C197" s="597"/>
    </row>
    <row r="198" spans="3:3" x14ac:dyDescent="0.3">
      <c r="C198" s="597"/>
    </row>
    <row r="199" spans="3:3" x14ac:dyDescent="0.3">
      <c r="C199" s="597"/>
    </row>
    <row r="200" spans="3:3" x14ac:dyDescent="0.3">
      <c r="C200" s="597"/>
    </row>
    <row r="201" spans="3:3" x14ac:dyDescent="0.3">
      <c r="C201" s="597"/>
    </row>
    <row r="202" spans="3:3" x14ac:dyDescent="0.3">
      <c r="C202" s="597"/>
    </row>
    <row r="203" spans="3:3" x14ac:dyDescent="0.3">
      <c r="C203" s="597"/>
    </row>
    <row r="204" spans="3:3" x14ac:dyDescent="0.3">
      <c r="C204" s="597"/>
    </row>
    <row r="205" spans="3:3" x14ac:dyDescent="0.3">
      <c r="C205" s="597"/>
    </row>
    <row r="206" spans="3:3" x14ac:dyDescent="0.3">
      <c r="C206" s="597"/>
    </row>
    <row r="207" spans="3:3" x14ac:dyDescent="0.3">
      <c r="C207" s="597"/>
    </row>
    <row r="208" spans="3:3" x14ac:dyDescent="0.3">
      <c r="C208" s="597"/>
    </row>
    <row r="209" spans="3:3" x14ac:dyDescent="0.3">
      <c r="C209" s="597"/>
    </row>
    <row r="210" spans="3:3" x14ac:dyDescent="0.3">
      <c r="C210" s="597"/>
    </row>
    <row r="211" spans="3:3" x14ac:dyDescent="0.3">
      <c r="C211" s="597"/>
    </row>
    <row r="212" spans="3:3" x14ac:dyDescent="0.3">
      <c r="C212" s="597"/>
    </row>
    <row r="213" spans="3:3" x14ac:dyDescent="0.3">
      <c r="C213" s="597"/>
    </row>
    <row r="214" spans="3:3" x14ac:dyDescent="0.3">
      <c r="C214" s="597"/>
    </row>
    <row r="215" spans="3:3" x14ac:dyDescent="0.3">
      <c r="C215" s="597"/>
    </row>
    <row r="216" spans="3:3" x14ac:dyDescent="0.3">
      <c r="C216" s="597"/>
    </row>
    <row r="217" spans="3:3" x14ac:dyDescent="0.3">
      <c r="C217" s="597"/>
    </row>
    <row r="218" spans="3:3" x14ac:dyDescent="0.3">
      <c r="C218" s="597"/>
    </row>
    <row r="219" spans="3:3" x14ac:dyDescent="0.3">
      <c r="C219" s="597"/>
    </row>
    <row r="220" spans="3:3" x14ac:dyDescent="0.3">
      <c r="C220" s="597"/>
    </row>
    <row r="221" spans="3:3" x14ac:dyDescent="0.3">
      <c r="C221" s="597"/>
    </row>
    <row r="222" spans="3:3" x14ac:dyDescent="0.3">
      <c r="C222" s="597"/>
    </row>
    <row r="223" spans="3:3" x14ac:dyDescent="0.3">
      <c r="C223" s="597"/>
    </row>
    <row r="224" spans="3:3" x14ac:dyDescent="0.3">
      <c r="C224" s="597"/>
    </row>
    <row r="225" spans="3:3" x14ac:dyDescent="0.3">
      <c r="C225" s="597"/>
    </row>
    <row r="226" spans="3:3" x14ac:dyDescent="0.3">
      <c r="C226" s="597"/>
    </row>
    <row r="227" spans="3:3" x14ac:dyDescent="0.3">
      <c r="C227" s="597"/>
    </row>
    <row r="228" spans="3:3" x14ac:dyDescent="0.3">
      <c r="C228" s="597"/>
    </row>
    <row r="229" spans="3:3" x14ac:dyDescent="0.3">
      <c r="C229" s="597"/>
    </row>
    <row r="230" spans="3:3" x14ac:dyDescent="0.3">
      <c r="C230" s="597"/>
    </row>
    <row r="231" spans="3:3" x14ac:dyDescent="0.3">
      <c r="C231" s="597"/>
    </row>
    <row r="232" spans="3:3" x14ac:dyDescent="0.3">
      <c r="C232" s="597"/>
    </row>
    <row r="233" spans="3:3" x14ac:dyDescent="0.3">
      <c r="C233" s="597"/>
    </row>
    <row r="234" spans="3:3" x14ac:dyDescent="0.3">
      <c r="C234" s="597"/>
    </row>
    <row r="235" spans="3:3" x14ac:dyDescent="0.3">
      <c r="C235" s="597"/>
    </row>
    <row r="236" spans="3:3" x14ac:dyDescent="0.3">
      <c r="C236" s="597"/>
    </row>
    <row r="237" spans="3:3" x14ac:dyDescent="0.3">
      <c r="C237" s="597"/>
    </row>
    <row r="238" spans="3:3" x14ac:dyDescent="0.3">
      <c r="C238" s="597"/>
    </row>
    <row r="239" spans="3:3" x14ac:dyDescent="0.3">
      <c r="C239" s="597"/>
    </row>
    <row r="240" spans="3:3" x14ac:dyDescent="0.3">
      <c r="C240" s="597"/>
    </row>
    <row r="241" spans="3:3" x14ac:dyDescent="0.3">
      <c r="C241" s="597"/>
    </row>
    <row r="242" spans="3:3" x14ac:dyDescent="0.3">
      <c r="C242" s="597"/>
    </row>
    <row r="243" spans="3:3" x14ac:dyDescent="0.3">
      <c r="C243" s="597"/>
    </row>
    <row r="244" spans="3:3" x14ac:dyDescent="0.3">
      <c r="C244" s="597"/>
    </row>
    <row r="245" spans="3:3" x14ac:dyDescent="0.3">
      <c r="C245" s="597"/>
    </row>
    <row r="246" spans="3:3" x14ac:dyDescent="0.3">
      <c r="C246" s="597"/>
    </row>
    <row r="247" spans="3:3" x14ac:dyDescent="0.3">
      <c r="C247" s="597"/>
    </row>
    <row r="248" spans="3:3" x14ac:dyDescent="0.3">
      <c r="C248" s="597"/>
    </row>
    <row r="249" spans="3:3" x14ac:dyDescent="0.3">
      <c r="C249" s="597"/>
    </row>
    <row r="250" spans="3:3" x14ac:dyDescent="0.3">
      <c r="C250" s="597"/>
    </row>
    <row r="251" spans="3:3" x14ac:dyDescent="0.3">
      <c r="C251" s="597"/>
    </row>
    <row r="252" spans="3:3" x14ac:dyDescent="0.3">
      <c r="C252" s="597"/>
    </row>
    <row r="253" spans="3:3" x14ac:dyDescent="0.3">
      <c r="C253" s="597"/>
    </row>
    <row r="254" spans="3:3" x14ac:dyDescent="0.3">
      <c r="C254" s="597"/>
    </row>
    <row r="255" spans="3:3" x14ac:dyDescent="0.3">
      <c r="C255" s="597"/>
    </row>
    <row r="256" spans="3:3" x14ac:dyDescent="0.3">
      <c r="C256" s="597"/>
    </row>
    <row r="257" spans="3:3" x14ac:dyDescent="0.3">
      <c r="C257" s="597"/>
    </row>
    <row r="258" spans="3:3" x14ac:dyDescent="0.3">
      <c r="C258" s="597"/>
    </row>
    <row r="259" spans="3:3" x14ac:dyDescent="0.3">
      <c r="C259" s="597"/>
    </row>
    <row r="260" spans="3:3" x14ac:dyDescent="0.3">
      <c r="C260" s="597"/>
    </row>
    <row r="261" spans="3:3" x14ac:dyDescent="0.3">
      <c r="C261" s="597"/>
    </row>
    <row r="262" spans="3:3" x14ac:dyDescent="0.3">
      <c r="C262" s="597"/>
    </row>
    <row r="263" spans="3:3" x14ac:dyDescent="0.3">
      <c r="C263" s="597"/>
    </row>
    <row r="264" spans="3:3" x14ac:dyDescent="0.3">
      <c r="C264" s="597"/>
    </row>
    <row r="265" spans="3:3" x14ac:dyDescent="0.3">
      <c r="C265" s="597"/>
    </row>
    <row r="266" spans="3:3" x14ac:dyDescent="0.3">
      <c r="C266" s="597"/>
    </row>
    <row r="267" spans="3:3" x14ac:dyDescent="0.3">
      <c r="C267" s="597"/>
    </row>
    <row r="268" spans="3:3" x14ac:dyDescent="0.3">
      <c r="C268" s="597"/>
    </row>
    <row r="269" spans="3:3" x14ac:dyDescent="0.3">
      <c r="C269" s="597"/>
    </row>
    <row r="270" spans="3:3" x14ac:dyDescent="0.3">
      <c r="C270" s="597"/>
    </row>
    <row r="271" spans="3:3" x14ac:dyDescent="0.3">
      <c r="C271" s="597"/>
    </row>
    <row r="272" spans="3:3" x14ac:dyDescent="0.3">
      <c r="C272" s="597"/>
    </row>
    <row r="273" spans="3:3" x14ac:dyDescent="0.3">
      <c r="C273" s="597"/>
    </row>
    <row r="274" spans="3:3" x14ac:dyDescent="0.3">
      <c r="C274" s="597"/>
    </row>
    <row r="275" spans="3:3" x14ac:dyDescent="0.3">
      <c r="C275" s="597"/>
    </row>
    <row r="276" spans="3:3" x14ac:dyDescent="0.3">
      <c r="C276" s="597"/>
    </row>
    <row r="277" spans="3:3" x14ac:dyDescent="0.3">
      <c r="C277" s="597"/>
    </row>
    <row r="278" spans="3:3" x14ac:dyDescent="0.3">
      <c r="C278" s="597"/>
    </row>
    <row r="279" spans="3:3" x14ac:dyDescent="0.3">
      <c r="C279" s="597"/>
    </row>
    <row r="280" spans="3:3" x14ac:dyDescent="0.3">
      <c r="C280" s="597"/>
    </row>
    <row r="281" spans="3:3" x14ac:dyDescent="0.3">
      <c r="C281" s="597"/>
    </row>
    <row r="282" spans="3:3" x14ac:dyDescent="0.3">
      <c r="C282" s="597"/>
    </row>
    <row r="283" spans="3:3" x14ac:dyDescent="0.3">
      <c r="C283" s="597"/>
    </row>
    <row r="284" spans="3:3" x14ac:dyDescent="0.3">
      <c r="C284" s="597"/>
    </row>
    <row r="285" spans="3:3" x14ac:dyDescent="0.3">
      <c r="C285" s="597"/>
    </row>
    <row r="286" spans="3:3" x14ac:dyDescent="0.3">
      <c r="C286" s="597"/>
    </row>
    <row r="287" spans="3:3" x14ac:dyDescent="0.3">
      <c r="C287" s="597"/>
    </row>
    <row r="288" spans="3:3" x14ac:dyDescent="0.3">
      <c r="C288" s="597"/>
    </row>
    <row r="289" spans="3:3" x14ac:dyDescent="0.3">
      <c r="C289" s="597"/>
    </row>
    <row r="290" spans="3:3" x14ac:dyDescent="0.3">
      <c r="C290" s="597"/>
    </row>
    <row r="291" spans="3:3" x14ac:dyDescent="0.3">
      <c r="C291" s="597"/>
    </row>
    <row r="292" spans="3:3" x14ac:dyDescent="0.3">
      <c r="C292" s="597"/>
    </row>
    <row r="293" spans="3:3" x14ac:dyDescent="0.3">
      <c r="C293" s="597"/>
    </row>
    <row r="294" spans="3:3" x14ac:dyDescent="0.3">
      <c r="C294" s="597"/>
    </row>
    <row r="295" spans="3:3" x14ac:dyDescent="0.3">
      <c r="C295" s="597"/>
    </row>
    <row r="296" spans="3:3" x14ac:dyDescent="0.3">
      <c r="C296" s="597"/>
    </row>
    <row r="297" spans="3:3" x14ac:dyDescent="0.3">
      <c r="C297" s="597"/>
    </row>
    <row r="298" spans="3:3" x14ac:dyDescent="0.3">
      <c r="C298" s="597"/>
    </row>
    <row r="299" spans="3:3" x14ac:dyDescent="0.3">
      <c r="C299" s="597"/>
    </row>
    <row r="300" spans="3:3" x14ac:dyDescent="0.3">
      <c r="C300" s="597"/>
    </row>
    <row r="301" spans="3:3" x14ac:dyDescent="0.3">
      <c r="C301" s="597"/>
    </row>
    <row r="302" spans="3:3" x14ac:dyDescent="0.3">
      <c r="C302" s="597"/>
    </row>
    <row r="303" spans="3:3" x14ac:dyDescent="0.3">
      <c r="C303" s="597"/>
    </row>
    <row r="304" spans="3:3" x14ac:dyDescent="0.3">
      <c r="C304" s="597"/>
    </row>
    <row r="305" spans="3:3" x14ac:dyDescent="0.3">
      <c r="C305" s="597"/>
    </row>
    <row r="306" spans="3:3" x14ac:dyDescent="0.3">
      <c r="C306" s="597"/>
    </row>
    <row r="307" spans="3:3" x14ac:dyDescent="0.3">
      <c r="C307" s="597"/>
    </row>
    <row r="308" spans="3:3" x14ac:dyDescent="0.3">
      <c r="C308" s="597"/>
    </row>
    <row r="309" spans="3:3" x14ac:dyDescent="0.3">
      <c r="C309" s="597"/>
    </row>
    <row r="310" spans="3:3" x14ac:dyDescent="0.3">
      <c r="C310" s="597"/>
    </row>
    <row r="311" spans="3:3" x14ac:dyDescent="0.3">
      <c r="C311" s="597"/>
    </row>
    <row r="312" spans="3:3" x14ac:dyDescent="0.3">
      <c r="C312" s="597"/>
    </row>
    <row r="313" spans="3:3" x14ac:dyDescent="0.3">
      <c r="C313" s="597"/>
    </row>
    <row r="314" spans="3:3" x14ac:dyDescent="0.3">
      <c r="C314" s="597"/>
    </row>
    <row r="315" spans="3:3" x14ac:dyDescent="0.3">
      <c r="C315" s="597"/>
    </row>
    <row r="316" spans="3:3" x14ac:dyDescent="0.3">
      <c r="C316" s="597"/>
    </row>
    <row r="317" spans="3:3" x14ac:dyDescent="0.3">
      <c r="C317" s="597"/>
    </row>
    <row r="318" spans="3:3" x14ac:dyDescent="0.3">
      <c r="C318" s="597"/>
    </row>
    <row r="319" spans="3:3" x14ac:dyDescent="0.3">
      <c r="C319" s="597"/>
    </row>
    <row r="320" spans="3:3" x14ac:dyDescent="0.3">
      <c r="C320" s="597"/>
    </row>
    <row r="321" spans="3:3" x14ac:dyDescent="0.3">
      <c r="C321" s="597"/>
    </row>
    <row r="322" spans="3:3" x14ac:dyDescent="0.3">
      <c r="C322" s="597"/>
    </row>
    <row r="323" spans="3:3" x14ac:dyDescent="0.3">
      <c r="C323" s="597"/>
    </row>
    <row r="324" spans="3:3" x14ac:dyDescent="0.3">
      <c r="C324" s="597"/>
    </row>
    <row r="325" spans="3:3" x14ac:dyDescent="0.3">
      <c r="C325" s="597"/>
    </row>
    <row r="326" spans="3:3" x14ac:dyDescent="0.3">
      <c r="C326" s="597"/>
    </row>
    <row r="327" spans="3:3" x14ac:dyDescent="0.3">
      <c r="C327" s="597"/>
    </row>
    <row r="328" spans="3:3" x14ac:dyDescent="0.3">
      <c r="C328" s="597"/>
    </row>
    <row r="329" spans="3:3" x14ac:dyDescent="0.3">
      <c r="C329" s="597"/>
    </row>
    <row r="330" spans="3:3" x14ac:dyDescent="0.3">
      <c r="C330" s="597"/>
    </row>
    <row r="331" spans="3:3" x14ac:dyDescent="0.3">
      <c r="C331" s="597"/>
    </row>
    <row r="332" spans="3:3" x14ac:dyDescent="0.3">
      <c r="C332" s="597"/>
    </row>
    <row r="333" spans="3:3" x14ac:dyDescent="0.3">
      <c r="C333" s="597"/>
    </row>
    <row r="334" spans="3:3" x14ac:dyDescent="0.3">
      <c r="C334" s="597"/>
    </row>
    <row r="335" spans="3:3" x14ac:dyDescent="0.3">
      <c r="C335" s="597"/>
    </row>
    <row r="336" spans="3:3" x14ac:dyDescent="0.3">
      <c r="C336" s="597"/>
    </row>
    <row r="337" spans="3:3" x14ac:dyDescent="0.3">
      <c r="C337" s="597"/>
    </row>
    <row r="338" spans="3:3" x14ac:dyDescent="0.3">
      <c r="C338" s="597"/>
    </row>
    <row r="339" spans="3:3" x14ac:dyDescent="0.3">
      <c r="C339" s="597"/>
    </row>
    <row r="340" spans="3:3" x14ac:dyDescent="0.3">
      <c r="C340" s="597"/>
    </row>
    <row r="341" spans="3:3" x14ac:dyDescent="0.3">
      <c r="C341" s="597"/>
    </row>
    <row r="342" spans="3:3" x14ac:dyDescent="0.3">
      <c r="C342" s="597"/>
    </row>
    <row r="343" spans="3:3" x14ac:dyDescent="0.3">
      <c r="C343" s="597"/>
    </row>
    <row r="344" spans="3:3" x14ac:dyDescent="0.3">
      <c r="C344" s="597"/>
    </row>
    <row r="345" spans="3:3" x14ac:dyDescent="0.3">
      <c r="C345" s="597"/>
    </row>
    <row r="346" spans="3:3" x14ac:dyDescent="0.3">
      <c r="C346" s="597"/>
    </row>
    <row r="347" spans="3:3" x14ac:dyDescent="0.3">
      <c r="C347" s="597"/>
    </row>
    <row r="348" spans="3:3" x14ac:dyDescent="0.3">
      <c r="C348" s="597"/>
    </row>
    <row r="349" spans="3:3" x14ac:dyDescent="0.3">
      <c r="C349" s="597"/>
    </row>
    <row r="350" spans="3:3" x14ac:dyDescent="0.3">
      <c r="C350" s="597"/>
    </row>
    <row r="351" spans="3:3" x14ac:dyDescent="0.3">
      <c r="C351" s="597"/>
    </row>
    <row r="352" spans="3:3" x14ac:dyDescent="0.3">
      <c r="C352" s="597"/>
    </row>
    <row r="353" spans="3:3" x14ac:dyDescent="0.3">
      <c r="C353" s="597"/>
    </row>
    <row r="354" spans="3:3" x14ac:dyDescent="0.3">
      <c r="C354" s="597"/>
    </row>
    <row r="355" spans="3:3" x14ac:dyDescent="0.3">
      <c r="C355" s="597"/>
    </row>
    <row r="356" spans="3:3" x14ac:dyDescent="0.3">
      <c r="C356" s="597"/>
    </row>
    <row r="357" spans="3:3" x14ac:dyDescent="0.3">
      <c r="C357" s="597"/>
    </row>
    <row r="358" spans="3:3" x14ac:dyDescent="0.3">
      <c r="C358" s="597"/>
    </row>
    <row r="359" spans="3:3" x14ac:dyDescent="0.3">
      <c r="C359" s="597"/>
    </row>
    <row r="360" spans="3:3" x14ac:dyDescent="0.3">
      <c r="C360" s="597"/>
    </row>
    <row r="361" spans="3:3" x14ac:dyDescent="0.3">
      <c r="C361" s="597"/>
    </row>
    <row r="362" spans="3:3" x14ac:dyDescent="0.3">
      <c r="C362" s="597"/>
    </row>
    <row r="363" spans="3:3" x14ac:dyDescent="0.3">
      <c r="C363" s="597"/>
    </row>
    <row r="364" spans="3:3" x14ac:dyDescent="0.3">
      <c r="C364" s="597"/>
    </row>
    <row r="365" spans="3:3" x14ac:dyDescent="0.3">
      <c r="C365" s="597"/>
    </row>
    <row r="366" spans="3:3" x14ac:dyDescent="0.3">
      <c r="C366" s="597"/>
    </row>
    <row r="367" spans="3:3" x14ac:dyDescent="0.3">
      <c r="C367" s="597"/>
    </row>
    <row r="368" spans="3:3" x14ac:dyDescent="0.3">
      <c r="C368" s="597"/>
    </row>
    <row r="369" spans="3:3" x14ac:dyDescent="0.3">
      <c r="C369" s="597"/>
    </row>
    <row r="370" spans="3:3" x14ac:dyDescent="0.3">
      <c r="C370" s="597"/>
    </row>
    <row r="371" spans="3:3" x14ac:dyDescent="0.3">
      <c r="C371" s="597"/>
    </row>
    <row r="372" spans="3:3" x14ac:dyDescent="0.3">
      <c r="C372" s="597"/>
    </row>
    <row r="373" spans="3:3" x14ac:dyDescent="0.3">
      <c r="C373" s="597"/>
    </row>
    <row r="374" spans="3:3" x14ac:dyDescent="0.3">
      <c r="C374" s="597"/>
    </row>
    <row r="375" spans="3:3" x14ac:dyDescent="0.3">
      <c r="C375" s="597"/>
    </row>
    <row r="376" spans="3:3" x14ac:dyDescent="0.3">
      <c r="C376" s="597"/>
    </row>
    <row r="377" spans="3:3" x14ac:dyDescent="0.3">
      <c r="C377" s="597"/>
    </row>
    <row r="378" spans="3:3" x14ac:dyDescent="0.3">
      <c r="C378" s="597"/>
    </row>
    <row r="379" spans="3:3" x14ac:dyDescent="0.3">
      <c r="C379" s="597"/>
    </row>
    <row r="380" spans="3:3" x14ac:dyDescent="0.3">
      <c r="C380" s="597"/>
    </row>
    <row r="381" spans="3:3" x14ac:dyDescent="0.3">
      <c r="C381" s="597"/>
    </row>
    <row r="382" spans="3:3" x14ac:dyDescent="0.3">
      <c r="C382" s="597"/>
    </row>
    <row r="383" spans="3:3" x14ac:dyDescent="0.3">
      <c r="C383" s="597"/>
    </row>
    <row r="384" spans="3:3" x14ac:dyDescent="0.3">
      <c r="C384" s="597"/>
    </row>
    <row r="385" spans="3:3" x14ac:dyDescent="0.3">
      <c r="C385" s="597"/>
    </row>
    <row r="386" spans="3:3" x14ac:dyDescent="0.3">
      <c r="C386" s="597"/>
    </row>
    <row r="387" spans="3:3" x14ac:dyDescent="0.3">
      <c r="C387" s="597"/>
    </row>
    <row r="388" spans="3:3" x14ac:dyDescent="0.3">
      <c r="C388" s="597"/>
    </row>
    <row r="389" spans="3:3" x14ac:dyDescent="0.3">
      <c r="C389" s="597"/>
    </row>
    <row r="390" spans="3:3" x14ac:dyDescent="0.3">
      <c r="C390" s="597"/>
    </row>
    <row r="391" spans="3:3" x14ac:dyDescent="0.3">
      <c r="C391" s="597"/>
    </row>
    <row r="392" spans="3:3" x14ac:dyDescent="0.3">
      <c r="C392" s="597"/>
    </row>
    <row r="393" spans="3:3" x14ac:dyDescent="0.3">
      <c r="C393" s="597"/>
    </row>
    <row r="394" spans="3:3" x14ac:dyDescent="0.3">
      <c r="C394" s="597"/>
    </row>
    <row r="395" spans="3:3" x14ac:dyDescent="0.3">
      <c r="C395" s="597"/>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8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8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8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8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8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8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8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8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8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8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8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8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8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8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8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8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8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8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8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8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8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Inputs!H15:Q15</xm:f>
              <xm:sqref>F15</xm:sqref>
            </x14:sparkline>
          </x14:sparklines>
        </x14:sparklineGroup>
        <x14:sparklineGroup displayEmptyCellsAs="gap" xr2:uid="{00000000-0003-0000-08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8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8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8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8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8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8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8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8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8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8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8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8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8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8"/>
    <pageSetUpPr autoPageBreaks="0"/>
  </sheetPr>
  <dimension ref="B2:N25"/>
  <sheetViews>
    <sheetView showGridLines="0" zoomScale="115" zoomScaleNormal="115" workbookViewId="0">
      <selection activeCell="J22" sqref="J22"/>
    </sheetView>
  </sheetViews>
  <sheetFormatPr defaultColWidth="8.83203125" defaultRowHeight="14" x14ac:dyDescent="0.3"/>
  <cols>
    <col min="1" max="1" width="2.33203125" customWidth="1"/>
    <col min="6" max="6" width="8.08203125" customWidth="1"/>
    <col min="7" max="7" width="12.5" bestFit="1" customWidth="1"/>
    <col min="9" max="9" width="15.33203125" customWidth="1"/>
    <col min="10" max="10" width="7.5" customWidth="1"/>
    <col min="13" max="13" width="33" customWidth="1"/>
    <col min="14" max="14" width="14" customWidth="1"/>
    <col min="16" max="16" width="26.58203125" bestFit="1" customWidth="1"/>
    <col min="17" max="17" width="10.33203125" bestFit="1" customWidth="1"/>
    <col min="18" max="18" width="12.08203125" bestFit="1" customWidth="1"/>
  </cols>
  <sheetData>
    <row r="2" spans="2:14" s="37" customFormat="1" ht="20" x14ac:dyDescent="0.4">
      <c r="B2" s="40" t="s">
        <v>381</v>
      </c>
    </row>
    <row r="4" spans="2:14" x14ac:dyDescent="0.3">
      <c r="B4" t="s">
        <v>534</v>
      </c>
    </row>
    <row r="5" spans="2:14" x14ac:dyDescent="0.3">
      <c r="B5" t="s">
        <v>535</v>
      </c>
    </row>
    <row r="7" spans="2:14" x14ac:dyDescent="0.3">
      <c r="B7" s="2" t="s">
        <v>381</v>
      </c>
      <c r="C7" s="3"/>
      <c r="D7" s="3"/>
      <c r="E7" s="3"/>
      <c r="F7" s="3"/>
      <c r="G7" s="105"/>
      <c r="I7" s="2" t="s">
        <v>536</v>
      </c>
      <c r="J7" s="106" t="s">
        <v>86</v>
      </c>
      <c r="K7" s="106" t="s">
        <v>537</v>
      </c>
      <c r="M7" s="704" t="s">
        <v>164</v>
      </c>
      <c r="N7" s="705" t="s">
        <v>538</v>
      </c>
    </row>
    <row r="8" spans="2:14" ht="4" customHeight="1" x14ac:dyDescent="0.3">
      <c r="B8" s="107"/>
      <c r="C8" s="108"/>
      <c r="D8" s="108"/>
      <c r="E8" s="108"/>
      <c r="F8" s="108"/>
      <c r="G8" s="109"/>
      <c r="I8" s="108"/>
      <c r="J8" s="110"/>
      <c r="K8" s="111"/>
      <c r="M8" s="706" t="s">
        <v>539</v>
      </c>
      <c r="N8" s="706"/>
    </row>
    <row r="9" spans="2:14" x14ac:dyDescent="0.3">
      <c r="B9" s="112" t="s">
        <v>540</v>
      </c>
      <c r="G9" s="113" cm="1">
        <f t="array" aca="1" ref="G9" ca="1">+_FV(DCF!R4,"Market cap",TRUE)/1000000</f>
        <v>120804.56802399999</v>
      </c>
      <c r="J9" s="114"/>
      <c r="K9" s="115">
        <v>4.2999999999999997E-2</v>
      </c>
      <c r="M9" s="112" t="str">
        <f ca="1">+Peers!B8</f>
        <v>TEXAS INSTRUMENTS INCORPORATED</v>
      </c>
      <c r="N9" s="708">
        <f ca="1">+Peers!E75</f>
        <v>0.59172607627695462</v>
      </c>
    </row>
    <row r="10" spans="2:14" x14ac:dyDescent="0.3">
      <c r="B10" t="s">
        <v>541</v>
      </c>
      <c r="G10" s="17">
        <f ca="1">IFERROR(G9/G23,"")</f>
        <v>1</v>
      </c>
      <c r="J10" s="114"/>
      <c r="K10" s="115"/>
      <c r="M10" s="112" t="str">
        <f ca="1">+Peers!B9</f>
        <v>MICROCHIP TECHNOLOGY INCORPORATED</v>
      </c>
      <c r="N10" s="708">
        <f ca="1">+Peers!F75</f>
        <v>0.83740183493779885</v>
      </c>
    </row>
    <row r="11" spans="2:14" x14ac:dyDescent="0.3">
      <c r="B11" t="s">
        <v>542</v>
      </c>
      <c r="G11" s="32">
        <f>IFERROR(G12+G14*G15,"")</f>
        <v>8.5579999999999989E-2</v>
      </c>
      <c r="J11" s="114"/>
      <c r="K11" s="115"/>
      <c r="M11" s="112" t="str">
        <f ca="1">+Peers!B10</f>
        <v>MONOLITHIC POWER SYSTEMS, INC.</v>
      </c>
      <c r="N11" s="708" t="str">
        <f ca="1">+Peers!G75</f>
        <v/>
      </c>
    </row>
    <row r="12" spans="2:14" x14ac:dyDescent="0.3">
      <c r="B12" t="s">
        <v>543</v>
      </c>
      <c r="G12" s="116">
        <v>0.04</v>
      </c>
      <c r="J12" s="114"/>
      <c r="K12" s="115"/>
      <c r="M12" s="112" t="str">
        <f ca="1">+Peers!B11</f>
        <v>SKYWORKS SOLUTIONS, INC.</v>
      </c>
      <c r="N12" s="708" t="str">
        <f ca="1">+Peers!H75</f>
        <v/>
      </c>
    </row>
    <row r="13" spans="2:14" x14ac:dyDescent="0.3">
      <c r="B13" t="s">
        <v>544</v>
      </c>
      <c r="G13" s="117">
        <f ca="1">+N19</f>
        <v>0.9415709347651946</v>
      </c>
      <c r="H13" t="s">
        <v>545</v>
      </c>
      <c r="J13" s="114"/>
      <c r="K13" s="115"/>
      <c r="M13" s="112" t="str">
        <f ca="1">+Peers!B12</f>
        <v>MACOM TECHNOLOGY SOLUTIONS HOLDINGS, INC.</v>
      </c>
      <c r="N13" s="708" t="str">
        <f ca="1">+Peers!I75</f>
        <v/>
      </c>
    </row>
    <row r="14" spans="2:14" x14ac:dyDescent="0.3">
      <c r="B14" t="s">
        <v>32</v>
      </c>
      <c r="G14" s="766">
        <v>1.06</v>
      </c>
      <c r="I14" t="s">
        <v>126</v>
      </c>
      <c r="J14" s="32">
        <f>1-SUM(J9:J13)</f>
        <v>1</v>
      </c>
      <c r="K14" s="32">
        <f>MAX(K9:K13)</f>
        <v>4.2999999999999997E-2</v>
      </c>
      <c r="M14" s="112" t="str">
        <f ca="1">+Peers!B13</f>
        <v>MARVELL TECHNOLOGY, INC.</v>
      </c>
      <c r="N14" s="708">
        <f ca="1">+Peers!J75</f>
        <v>1.3955848930808303</v>
      </c>
    </row>
    <row r="15" spans="2:14" x14ac:dyDescent="0.3">
      <c r="B15" t="s">
        <v>546</v>
      </c>
      <c r="G15" s="397">
        <f>SUMPRODUCT(J9:J14,K9:K14)</f>
        <v>4.2999999999999997E-2</v>
      </c>
      <c r="J15" s="32"/>
      <c r="K15" s="32"/>
      <c r="M15" s="112" t="str">
        <f ca="1">+Peers!B14</f>
        <v>INTEL CORPORATION</v>
      </c>
      <c r="N15" s="708" t="str">
        <f ca="1">+Peers!K75</f>
        <v/>
      </c>
    </row>
    <row r="16" spans="2:14" x14ac:dyDescent="0.3">
      <c r="B16" s="1" t="s">
        <v>547</v>
      </c>
      <c r="G16" s="32">
        <f ca="1">IFERROR(+G12+G13*G15,"")</f>
        <v>8.0487550194903362E-2</v>
      </c>
      <c r="J16" s="32"/>
      <c r="K16" s="32"/>
      <c r="M16" s="112" t="str">
        <f ca="1">+Peers!B15</f>
        <v>MICRON TECHNOLOGY, INC.</v>
      </c>
      <c r="N16" s="708" t="str">
        <f ca="1">+Peers!L75</f>
        <v/>
      </c>
    </row>
    <row r="17" spans="2:14" x14ac:dyDescent="0.3">
      <c r="M17" s="112" t="str">
        <f ca="1">+Peers!B16</f>
        <v>FIRST SOLAR, INC.</v>
      </c>
      <c r="N17" s="708" t="str">
        <f ca="1">+Peers!M75</f>
        <v/>
      </c>
    </row>
    <row r="18" spans="2:14" x14ac:dyDescent="0.3">
      <c r="B18" s="112" t="s">
        <v>548</v>
      </c>
      <c r="G18" s="118">
        <v>0</v>
      </c>
      <c r="M18" s="112" t="str">
        <f ca="1">+Peers!B17</f>
        <v>ALTRI, S.G.P.S., S.A.</v>
      </c>
      <c r="N18" s="708" t="str">
        <f ca="1">+Peers!N75</f>
        <v/>
      </c>
    </row>
    <row r="19" spans="2:14" x14ac:dyDescent="0.3">
      <c r="B19" t="s">
        <v>411</v>
      </c>
      <c r="G19" s="17">
        <f ca="1">IFERROR(G18/G23,"")</f>
        <v>0</v>
      </c>
      <c r="M19" s="707" t="s">
        <v>166</v>
      </c>
      <c r="N19" s="709">
        <f ca="1">IFERROR(+AVERAGEIF(N9:N18,"&gt;0"),"")</f>
        <v>0.9415709347651946</v>
      </c>
    </row>
    <row r="20" spans="2:14" x14ac:dyDescent="0.3">
      <c r="B20" t="s">
        <v>549</v>
      </c>
      <c r="G20" s="116">
        <v>0</v>
      </c>
    </row>
    <row r="21" spans="2:14" x14ac:dyDescent="0.3">
      <c r="B21" t="s">
        <v>550</v>
      </c>
      <c r="G21" s="116">
        <f>+DCF!H79</f>
        <v>0.1464425427339284</v>
      </c>
    </row>
    <row r="23" spans="2:14" x14ac:dyDescent="0.3">
      <c r="B23" t="s">
        <v>93</v>
      </c>
      <c r="G23" s="27">
        <f ca="1">+G9+G18</f>
        <v>120804.56802399999</v>
      </c>
    </row>
    <row r="25" spans="2:14" x14ac:dyDescent="0.3">
      <c r="B25" s="1" t="s">
        <v>381</v>
      </c>
      <c r="G25" s="119">
        <f ca="1">IFERROR(G10*G11+G19*G20*(1-G21),"")</f>
        <v>8.5579999999999989E-2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8" tint="0.39997558519241921"/>
  </sheetPr>
  <dimension ref="B1:T76"/>
  <sheetViews>
    <sheetView showGridLines="0" topLeftCell="G16" zoomScaleNormal="100" workbookViewId="0">
      <selection activeCell="G16" sqref="G16"/>
    </sheetView>
  </sheetViews>
  <sheetFormatPr defaultColWidth="8.83203125" defaultRowHeight="14" x14ac:dyDescent="0.3"/>
  <cols>
    <col min="1" max="1" width="1.58203125" customWidth="1"/>
    <col min="2" max="2" width="15.58203125" style="8" customWidth="1"/>
    <col min="4" max="4" width="16.08203125" customWidth="1"/>
    <col min="5" max="13" width="13.33203125" customWidth="1"/>
    <col min="14" max="17" width="12.58203125" style="26" customWidth="1"/>
    <col min="18" max="18" width="12.58203125" customWidth="1"/>
  </cols>
  <sheetData>
    <row r="1" spans="2:19" x14ac:dyDescent="0.3">
      <c r="R1" s="26"/>
    </row>
    <row r="2" spans="2:19" s="245" customFormat="1" ht="20.149999999999999" customHeight="1" x14ac:dyDescent="0.4">
      <c r="B2" s="244" t="s">
        <v>551</v>
      </c>
      <c r="C2" s="493"/>
      <c r="D2" s="493"/>
      <c r="E2" s="493"/>
      <c r="F2" s="493"/>
      <c r="G2" s="493"/>
      <c r="H2" s="493"/>
      <c r="I2" s="493"/>
      <c r="J2" s="493"/>
      <c r="K2" s="493"/>
      <c r="L2" s="493"/>
      <c r="M2" s="493"/>
      <c r="N2" s="494"/>
      <c r="O2" s="494"/>
      <c r="P2" s="494"/>
      <c r="Q2" s="246"/>
      <c r="R2" s="246"/>
      <c r="S2" s="493"/>
    </row>
    <row r="3" spans="2:19" x14ac:dyDescent="0.3">
      <c r="R3" s="26"/>
    </row>
    <row r="4" spans="2:19" ht="15.5" x14ac:dyDescent="0.35">
      <c r="B4" s="7" t="s">
        <v>552</v>
      </c>
      <c r="C4" s="56"/>
      <c r="D4" s="58"/>
      <c r="E4" s="58"/>
      <c r="F4" s="374">
        <v>2014</v>
      </c>
      <c r="G4" s="374">
        <f t="shared" ref="G4:J4" si="0">+F4+1</f>
        <v>2015</v>
      </c>
      <c r="H4" s="374">
        <f t="shared" si="0"/>
        <v>2016</v>
      </c>
      <c r="I4" s="374">
        <f t="shared" si="0"/>
        <v>2017</v>
      </c>
      <c r="J4" s="374">
        <f t="shared" si="0"/>
        <v>2018</v>
      </c>
      <c r="K4" s="374">
        <f t="shared" ref="K4" si="1">+J4+1</f>
        <v>2019</v>
      </c>
      <c r="L4" s="374">
        <f t="shared" ref="L4" si="2">+K4+1</f>
        <v>2020</v>
      </c>
      <c r="M4" s="374">
        <f t="shared" ref="M4" si="3">+L4+1</f>
        <v>2021</v>
      </c>
      <c r="N4" s="374">
        <v>2022</v>
      </c>
      <c r="O4" s="374">
        <f t="shared" ref="O4" si="4">+N4+1</f>
        <v>2023</v>
      </c>
      <c r="P4" s="375">
        <f>+O4+1</f>
        <v>2024</v>
      </c>
      <c r="Q4" s="373">
        <f>+P4+1</f>
        <v>2025</v>
      </c>
      <c r="R4" s="373">
        <f>+Q4+1</f>
        <v>2026</v>
      </c>
    </row>
    <row r="5" spans="2:19" ht="4" customHeight="1" x14ac:dyDescent="0.35">
      <c r="B5" s="247"/>
      <c r="C5" s="53"/>
      <c r="D5" s="60"/>
      <c r="E5" s="60"/>
      <c r="F5" s="60"/>
      <c r="G5" s="60"/>
      <c r="H5" s="60"/>
      <c r="I5" s="60"/>
      <c r="J5" s="60"/>
      <c r="K5" s="60"/>
      <c r="L5" s="60"/>
      <c r="M5" s="60"/>
      <c r="N5" s="224"/>
      <c r="O5" s="224"/>
      <c r="P5" s="354"/>
      <c r="Q5" s="224"/>
      <c r="R5" s="224"/>
    </row>
    <row r="6" spans="2:19" ht="15.5" x14ac:dyDescent="0.35">
      <c r="B6" s="15" t="s">
        <v>9</v>
      </c>
      <c r="F6" s="16" t="str">
        <f ca="1">IFERROR(_xlfn.XLOOKUP("Enterprise Value",Inputs!$B:$B,Inputs!G:G)/_xlfn.XLOOKUP("Revenue (Sales)",Inputs!$B:$B,Inputs!G:G),"")</f>
        <v/>
      </c>
      <c r="G6" s="16">
        <f ca="1">IFERROR(_xlfn.XLOOKUP("Enterprise Value",Inputs!$B:$B,Inputs!H:H)/_xlfn.XLOOKUP("Revenue (Sales)",Inputs!$B:$B,Inputs!H:H),"")</f>
        <v>4.4072847952024681</v>
      </c>
      <c r="H6" s="16">
        <f ca="1">IFERROR(_xlfn.XLOOKUP("Enterprise Value",Inputs!$B:$B,Inputs!I:I)/_xlfn.XLOOKUP("Revenue (Sales)",Inputs!$B:$B,Inputs!I:I),"")</f>
        <v>5.9597083065411818</v>
      </c>
      <c r="I6" s="16">
        <f ca="1">IFERROR(_xlfn.XLOOKUP("Enterprise Value",Inputs!$B:$B,Inputs!J:J)/_xlfn.XLOOKUP("Revenue (Sales)",Inputs!$B:$B,Inputs!J:J),"")</f>
        <v>7.3701991189427316</v>
      </c>
      <c r="J6" s="16">
        <f ca="1">IFERROR(_xlfn.XLOOKUP("Enterprise Value",Inputs!$B:$B,Inputs!K:K)/_xlfn.XLOOKUP("Revenue (Sales)",Inputs!$B:$B,Inputs!K:K),"")</f>
        <v>5.9934666730926791</v>
      </c>
      <c r="K6" s="16">
        <f ca="1">IFERROR(_xlfn.XLOOKUP("Enterprise Value",Inputs!$B:$B,Inputs!L:L)/_xlfn.XLOOKUP("Revenue (Sales)",Inputs!$B:$B,Inputs!L:L),"")</f>
        <v>8.1299834754886415</v>
      </c>
      <c r="L6" s="16">
        <f ca="1">IFERROR(_xlfn.XLOOKUP("Enterprise Value",Inputs!$B:$B,Inputs!M:M)/_xlfn.XLOOKUP("Revenue (Sales)",Inputs!$B:$B,Inputs!M:M),"")</f>
        <v>10.448230086916169</v>
      </c>
      <c r="M6" s="16">
        <f ca="1">IFERROR(_xlfn.XLOOKUP("Enterprise Value",Inputs!$B:$B,Inputs!N:N)/_xlfn.XLOOKUP("Revenue (Sales)",Inputs!$B:$B,Inputs!N:N),"")</f>
        <v>10.201887733490016</v>
      </c>
      <c r="N6" s="16">
        <f ca="1">IFERROR(_xlfn.XLOOKUP("Enterprise Value",Inputs!$B:$B,Inputs!O:O)/_xlfn.XLOOKUP("Revenue (Sales)",Inputs!$B:$B,Inputs!O:O),"")</f>
        <v>7.5092738471782914</v>
      </c>
      <c r="O6" s="16">
        <f ca="1">IFERROR(_xlfn.XLOOKUP("Enterprise Value",Inputs!$B:$B,Inputs!P:P)/_xlfn.XLOOKUP("Revenue (Sales)",Inputs!$B:$B,Inputs!P:P),"")</f>
        <v>8.5902671163300948</v>
      </c>
      <c r="P6" s="352">
        <f ca="1">IFERROR(_xlfn.XLOOKUP("Enterprise Value",Inputs!$B:$B,Inputs!Q:Q)/_xlfn.XLOOKUP("Revenue (Sales)",Inputs!$B:$B,Inputs!Q:Q),"")</f>
        <v>11.736374745417514</v>
      </c>
      <c r="Q6" s="359">
        <f ca="1">IFERROR(_xlfn.XLOOKUP("Enterprise Value",DCF!$B:$B,DCF!R:R)/_xlfn.XLOOKUP("Revenue (Sales)",DCF!$B:$B,DCF!H:H),"")</f>
        <v>6.2024186888291251</v>
      </c>
      <c r="R6" s="359">
        <f ca="1">IFERROR(_xlfn.XLOOKUP("Enterprise Value",DCF!$B:$B,DCF!S:S)/_xlfn.XLOOKUP("Revenue (Sales)",DCF!$B:$B,DCF!I:I),"")</f>
        <v>5.6253760172518774</v>
      </c>
    </row>
    <row r="7" spans="2:19" ht="15.5" x14ac:dyDescent="0.35">
      <c r="B7" s="18" t="s">
        <v>11</v>
      </c>
      <c r="F7" s="16" t="str">
        <f ca="1">IFERROR(_xlfn.XLOOKUP("Market Capitalization",Inputs!$B:$B,Inputs!G:G)/_xlfn.XLOOKUP("Revenue (Sales)",Inputs!$B:$B,Inputs!G:G),"")</f>
        <v/>
      </c>
      <c r="G7" s="16">
        <f ca="1">IFERROR(_xlfn.XLOOKUP("Market Capitalization",Inputs!$B:$B,Inputs!H:H)/_xlfn.XLOOKUP("Revenue (Sales)",Inputs!$B:$B,Inputs!H:H),"")</f>
        <v>5.0358254490407841</v>
      </c>
      <c r="H7" s="16">
        <f ca="1">IFERROR(_xlfn.XLOOKUP("Market Capitalization",Inputs!$B:$B,Inputs!I:I)/_xlfn.XLOOKUP("Revenue (Sales)",Inputs!$B:$B,Inputs!I:I),"")</f>
        <v>6.6388455018413506</v>
      </c>
      <c r="I7" s="16">
        <f ca="1">IFERROR(_xlfn.XLOOKUP("Market Capitalization",Inputs!$B:$B,Inputs!J:J)/_xlfn.XLOOKUP("Revenue (Sales)",Inputs!$B:$B,Inputs!J:J),"")</f>
        <v>6.0381775819872736</v>
      </c>
      <c r="J7" s="16">
        <f ca="1">IFERROR(_xlfn.XLOOKUP("Market Capitalization",Inputs!$B:$B,Inputs!K:K)/_xlfn.XLOOKUP("Revenue (Sales)",Inputs!$B:$B,Inputs!K:K),"")</f>
        <v>5.1073034845052767</v>
      </c>
      <c r="K7" s="16">
        <f ca="1">IFERROR(_xlfn.XLOOKUP("Market Capitalization",Inputs!$B:$B,Inputs!L:L)/_xlfn.XLOOKUP("Revenue (Sales)",Inputs!$B:$B,Inputs!L:L),"")</f>
        <v>7.3215008929912706</v>
      </c>
      <c r="L7" s="16">
        <f ca="1">IFERROR(_xlfn.XLOOKUP("Market Capitalization",Inputs!$B:$B,Inputs!M:M)/_xlfn.XLOOKUP("Revenue (Sales)",Inputs!$B:$B,Inputs!M:M),"")</f>
        <v>9.7184198033231599</v>
      </c>
      <c r="M7" s="16">
        <f ca="1">IFERROR(_xlfn.XLOOKUP("Market Capitalization",Inputs!$B:$B,Inputs!N:N)/_xlfn.XLOOKUP("Revenue (Sales)",Inputs!$B:$B,Inputs!N:N),"")</f>
        <v>9.5471045188090127</v>
      </c>
      <c r="N7" s="16">
        <f ca="1">IFERROR(_xlfn.XLOOKUP("Market Capitalization",Inputs!$B:$B,Inputs!O:O)/_xlfn.XLOOKUP("Revenue (Sales)",Inputs!$B:$B,Inputs!O:O),"")</f>
        <v>7.0866002996504074</v>
      </c>
      <c r="O7" s="16">
        <f ca="1">IFERROR(_xlfn.XLOOKUP("Market Capitalization",Inputs!$B:$B,Inputs!P:P)/_xlfn.XLOOKUP("Revenue (Sales)",Inputs!$B:$B,Inputs!P:P),"")</f>
        <v>8.1034360245418711</v>
      </c>
      <c r="P7" s="352">
        <f ca="1">IFERROR(_xlfn.XLOOKUP("Market Capitalization",Inputs!$B:$B,Inputs!Q:Q)/_xlfn.XLOOKUP("Revenue (Sales)",Inputs!$B:$B,Inputs!Q:Q),"")</f>
        <v>11.182816955193482</v>
      </c>
      <c r="Q7" s="359" t="str">
        <f ca="1">IFERROR(_xlfn.XLOOKUP("Equity Value",DCF!$B:$B,DCF!R:R)/_xlfn.XLOOKUP("Revenue (Sales)",DCF!$B:$B,DCF!H:H),"")</f>
        <v/>
      </c>
      <c r="R7" s="359" t="str">
        <f ca="1">IFERROR(_xlfn.XLOOKUP("Equity Value",DCF!$B:$B,DCF!S:S)/_xlfn.XLOOKUP("Revenue (Sales)",DCF!$B:$B,DCF!I:I),"")</f>
        <v/>
      </c>
    </row>
    <row r="8" spans="2:19" ht="15.5" x14ac:dyDescent="0.35">
      <c r="B8" s="248" t="s">
        <v>13</v>
      </c>
      <c r="F8" s="16" t="str">
        <f ca="1">IFERROR(_xlfn.XLOOKUP("Enterprise Value",Inputs!$B:$B,Inputs!G:G)/_xlfn.XLOOKUP("EBITDA",Inputs!$B:$B,Inputs!G:G),"")</f>
        <v/>
      </c>
      <c r="G8" s="16">
        <f ca="1">IFERROR(_xlfn.XLOOKUP("Enterprise Value",Inputs!$B:$B,Inputs!H:H)/_xlfn.XLOOKUP("EBITDA",Inputs!$B:$B,Inputs!H:H),"")</f>
        <v>16.472053095419426</v>
      </c>
      <c r="H8" s="16">
        <f ca="1">IFERROR(_xlfn.XLOOKUP("Enterprise Value",Inputs!$B:$B,Inputs!I:I)/_xlfn.XLOOKUP("EBITDA",Inputs!$B:$B,Inputs!I:I),"")</f>
        <v>18.336821942446047</v>
      </c>
      <c r="I8" s="16">
        <f ca="1">IFERROR(_xlfn.XLOOKUP("Enterprise Value",Inputs!$B:$B,Inputs!J:J)/_xlfn.XLOOKUP("EBITDA",Inputs!$B:$B,Inputs!J:J),"")</f>
        <v>26.8497089871612</v>
      </c>
      <c r="J8" s="16">
        <f ca="1">IFERROR(_xlfn.XLOOKUP("Enterprise Value",Inputs!$B:$B,Inputs!K:K)/_xlfn.XLOOKUP("EBITDA",Inputs!$B:$B,Inputs!K:K),"")</f>
        <v>15.610499184066281</v>
      </c>
      <c r="K8" s="16">
        <f ca="1">IFERROR(_xlfn.XLOOKUP("Enterprise Value",Inputs!$B:$B,Inputs!L:L)/_xlfn.XLOOKUP("EBITDA",Inputs!$B:$B,Inputs!L:L),"")</f>
        <v>21.789184933345258</v>
      </c>
      <c r="L8" s="16">
        <f ca="1">IFERROR(_xlfn.XLOOKUP("Enterprise Value",Inputs!$B:$B,Inputs!M:M)/_xlfn.XLOOKUP("EBITDA",Inputs!$B:$B,Inputs!M:M),"")</f>
        <v>29.565414878036457</v>
      </c>
      <c r="M8" s="16">
        <f ca="1">IFERROR(_xlfn.XLOOKUP("Enterprise Value",Inputs!$B:$B,Inputs!N:N)/_xlfn.XLOOKUP("EBITDA",Inputs!$B:$B,Inputs!N:N),"")</f>
        <v>32.271655500324179</v>
      </c>
      <c r="N8" s="16">
        <f ca="1">IFERROR(_xlfn.XLOOKUP("Enterprise Value",Inputs!$B:$B,Inputs!O:O)/_xlfn.XLOOKUP("EBITDA",Inputs!$B:$B,Inputs!O:O),"")</f>
        <v>19.759169477419071</v>
      </c>
      <c r="O8" s="16">
        <f ca="1">IFERROR(_xlfn.XLOOKUP("Enterprise Value",Inputs!$B:$B,Inputs!P:P)/_xlfn.XLOOKUP("EBITDA",Inputs!$B:$B,Inputs!P:P),"")</f>
        <v>21.383568394222596</v>
      </c>
      <c r="P8" s="352">
        <f ca="1">IFERROR(_xlfn.XLOOKUP("Enterprise Value",Inputs!$B:$B,Inputs!Q:Q)/_xlfn.XLOOKUP("EBITDA",Inputs!$B:$B,Inputs!Q:Q),"")</f>
        <v>39.166395978618702</v>
      </c>
      <c r="Q8" s="359">
        <f ca="1">IFERROR(_xlfn.XLOOKUP("Enterprise Value",DCF!$B:$B,DCF!R:R)/_xlfn.XLOOKUP("EBITDA",DCF!$B:$B,DCF!H:H),"")</f>
        <v>17.892589615040755</v>
      </c>
      <c r="R8" s="359">
        <f ca="1">IFERROR(_xlfn.XLOOKUP("Enterprise Value",DCF!$B:$B,DCF!S:S)/_xlfn.XLOOKUP("EBITDA",DCF!$B:$B,DCF!I:I),"")</f>
        <v>15.997208834415128</v>
      </c>
    </row>
    <row r="9" spans="2:19" ht="15.5" x14ac:dyDescent="0.35">
      <c r="B9" s="248" t="s">
        <v>15</v>
      </c>
      <c r="F9" s="16" t="str">
        <f ca="1">IFERROR(_xlfn.XLOOKUP("Enterprise Value",Inputs!$B:$B,Inputs!G:G)/_xlfn.XLOOKUP("Operating Income (EBIT)",Inputs!$B:$B,Inputs!G:G),"")</f>
        <v/>
      </c>
      <c r="G9" s="16">
        <f ca="1">IFERROR(_xlfn.XLOOKUP("Enterprise Value",Inputs!$B:$B,Inputs!H:H)/_xlfn.XLOOKUP("Operating Income (EBIT)",Inputs!$B:$B,Inputs!H:H),"")</f>
        <v>21.606199514770935</v>
      </c>
      <c r="H9" s="16">
        <f ca="1">IFERROR(_xlfn.XLOOKUP("Enterprise Value",Inputs!$B:$B,Inputs!I:I)/_xlfn.XLOOKUP("Operating Income (EBIT)",Inputs!$B:$B,Inputs!I:I),"")</f>
        <v>20.859893606138112</v>
      </c>
      <c r="I9" s="16">
        <f ca="1">IFERROR(_xlfn.XLOOKUP("Enterprise Value",Inputs!$B:$B,Inputs!J:J)/_xlfn.XLOOKUP("Operating Income (EBIT)",Inputs!$B:$B,Inputs!J:J),"")</f>
        <v>31.179733289157628</v>
      </c>
      <c r="J9" s="16">
        <f ca="1">IFERROR(_xlfn.XLOOKUP("Enterprise Value",Inputs!$B:$B,Inputs!K:K)/_xlfn.XLOOKUP("Operating Income (EBIT)",Inputs!$B:$B,Inputs!K:K),"")</f>
        <v>23.450582689043941</v>
      </c>
      <c r="K9" s="16">
        <f ca="1">IFERROR(_xlfn.XLOOKUP("Enterprise Value",Inputs!$B:$B,Inputs!L:L)/_xlfn.XLOOKUP("Operating Income (EBIT)",Inputs!$B:$B,Inputs!L:L),"")</f>
        <v>34.202334105750985</v>
      </c>
      <c r="L9" s="16">
        <f ca="1">IFERROR(_xlfn.XLOOKUP("Enterprise Value",Inputs!$B:$B,Inputs!M:M)/_xlfn.XLOOKUP("Operating Income (EBIT)",Inputs!$B:$B,Inputs!M:M),"")</f>
        <v>50.070542251111853</v>
      </c>
      <c r="M9" s="16">
        <f ca="1">IFERROR(_xlfn.XLOOKUP("Enterprise Value",Inputs!$B:$B,Inputs!N:N)/_xlfn.XLOOKUP("Operating Income (EBIT)",Inputs!$B:$B,Inputs!N:N),"")</f>
        <v>60.268384727155308</v>
      </c>
      <c r="N9" s="16">
        <f ca="1">IFERROR(_xlfn.XLOOKUP("Enterprise Value",Inputs!$B:$B,Inputs!O:O)/_xlfn.XLOOKUP("Operating Income (EBIT)",Inputs!$B:$B,Inputs!O:O),"")</f>
        <v>39.772700260106681</v>
      </c>
      <c r="O9" s="16">
        <f ca="1">IFERROR(_xlfn.XLOOKUP("Enterprise Value",Inputs!$B:$B,Inputs!P:P)/_xlfn.XLOOKUP("Operating Income (EBIT)",Inputs!$B:$B,Inputs!P:P),"")</f>
        <v>39.885119420442955</v>
      </c>
      <c r="P9" s="352">
        <f ca="1">IFERROR(_xlfn.XLOOKUP("Enterprise Value",Inputs!$B:$B,Inputs!Q:Q)/_xlfn.XLOOKUP("Operating Income (EBIT)",Inputs!$B:$B,Inputs!Q:Q),"")</f>
        <v>153.54031640299732</v>
      </c>
      <c r="Q9" s="359">
        <f ca="1">IFERROR(_xlfn.XLOOKUP("Enterprise Value",DCF!$B:$B,DCF!R:R)/_xlfn.XLOOKUP("Operating Income (EBIT)",DCF!$B:$B,DCF!H:H),"")</f>
        <v>40.042323987424709</v>
      </c>
      <c r="R9" s="359">
        <f ca="1">IFERROR(_xlfn.XLOOKUP("Enterprise Value",DCF!$B:$B,DCF!S:S)/_xlfn.XLOOKUP("Operating Income (EBIT)",DCF!$B:$B,DCF!I:I),"")</f>
        <v>31.014882182428494</v>
      </c>
    </row>
    <row r="10" spans="2:19" ht="15.5" x14ac:dyDescent="0.35">
      <c r="B10" s="18" t="s">
        <v>16</v>
      </c>
      <c r="F10" s="16" t="str">
        <f ca="1">IFERROR(_xlfn.XLOOKUP("Market Capitalization",Inputs!$B:$B,Inputs!G:G)/_xlfn.XLOOKUP("Net Income",Inputs!$B:$B,Inputs!G:G),"")</f>
        <v/>
      </c>
      <c r="G10" s="16">
        <f ca="1">IFERROR(_xlfn.XLOOKUP("Market Capitalization",Inputs!$B:$B,Inputs!H:H)/_xlfn.XLOOKUP("Net Income",Inputs!$B:$B,Inputs!H:H),"")</f>
        <v>28.512549859897799</v>
      </c>
      <c r="H10" s="16">
        <f ca="1">IFERROR(_xlfn.XLOOKUP("Market Capitalization",Inputs!$B:$B,Inputs!I:I)/_xlfn.XLOOKUP("Net Income",Inputs!$B:$B,Inputs!I:I),"")</f>
        <v>25.079105664127198</v>
      </c>
      <c r="I10" s="16">
        <f ca="1">IFERROR(_xlfn.XLOOKUP("Market Capitalization",Inputs!$B:$B,Inputs!J:J)/_xlfn.XLOOKUP("Net Income",Inputs!$B:$B,Inputs!J:J),"")</f>
        <v>27.323462390360589</v>
      </c>
      <c r="J10" s="16">
        <f ca="1">IFERROR(_xlfn.XLOOKUP("Market Capitalization",Inputs!$B:$B,Inputs!K:K)/_xlfn.XLOOKUP("Net Income",Inputs!$B:$B,Inputs!K:K),"")</f>
        <v>19.790483067729085</v>
      </c>
      <c r="K10" s="16">
        <f ca="1">IFERROR(_xlfn.XLOOKUP("Market Capitalization",Inputs!$B:$B,Inputs!L:L)/_xlfn.XLOOKUP("Net Income",Inputs!$B:$B,Inputs!L:L),"")</f>
        <v>33.560706962509549</v>
      </c>
      <c r="L10" s="16">
        <f ca="1">IFERROR(_xlfn.XLOOKUP("Market Capitalization",Inputs!$B:$B,Inputs!M:M)/_xlfn.XLOOKUP("Net Income",Inputs!$B:$B,Inputs!M:M),"")</f>
        <v>50.335808837123302</v>
      </c>
      <c r="M10" s="16">
        <f ca="1">IFERROR(_xlfn.XLOOKUP("Market Capitalization",Inputs!$B:$B,Inputs!N:N)/_xlfn.XLOOKUP("Net Income",Inputs!$B:$B,Inputs!N:N),"")</f>
        <v>52.300752301818996</v>
      </c>
      <c r="N10" s="16">
        <f ca="1">IFERROR(_xlfn.XLOOKUP("Market Capitalization",Inputs!$B:$B,Inputs!O:O)/_xlfn.XLOOKUP("Net Income",Inputs!$B:$B,Inputs!O:O),"")</f>
        <v>42.893050531512912</v>
      </c>
      <c r="O10" s="16">
        <f ca="1">IFERROR(_xlfn.XLOOKUP("Market Capitalization",Inputs!$B:$B,Inputs!P:P)/_xlfn.XLOOKUP("Net Income",Inputs!$B:$B,Inputs!P:P),"")</f>
        <v>41.43129134119993</v>
      </c>
      <c r="P10" s="352">
        <f ca="1">IFERROR(_xlfn.XLOOKUP("Market Capitalization",Inputs!$B:$B,Inputs!Q:Q)/_xlfn.XLOOKUP("Net Income",Inputs!$B:$B,Inputs!Q:Q),"")</f>
        <v>163.6235480366287</v>
      </c>
      <c r="Q10" s="359" t="str">
        <f ca="1">IFERROR(_xlfn.XLOOKUP("Equity Value",DCF!$B:$B,DCF!R:R)/_xlfn.XLOOKUP("Net Income",DCF!$B:$B,DCF!H:H),"")</f>
        <v/>
      </c>
      <c r="R10" s="359" t="str">
        <f ca="1">IFERROR(_xlfn.XLOOKUP("Equity Value",DCF!$B:$B,DCF!S:S)/_xlfn.XLOOKUP("Net Income",DCF!$B:$B,DCF!I:I),"")</f>
        <v/>
      </c>
    </row>
    <row r="11" spans="2:19" ht="15.5" x14ac:dyDescent="0.35">
      <c r="B11" s="248" t="s">
        <v>17</v>
      </c>
      <c r="F11" s="16" t="str">
        <f ca="1">IFERROR(_xlfn.XLOOKUP("Market Capitalization",Inputs!$B:$B,Inputs!G:G)/_xlfn.XLOOKUP("Shareholder's Equity",Inputs!$B:$B,Inputs!G:G),"")</f>
        <v/>
      </c>
      <c r="G11" s="16">
        <f ca="1">IFERROR(_xlfn.XLOOKUP("Market Capitalization",Inputs!$B:$B,Inputs!H:H)/_xlfn.XLOOKUP("Shareholder's Equity",Inputs!$B:$B,Inputs!H:H),"")</f>
        <v>3.4099278533412178</v>
      </c>
      <c r="H11" s="16">
        <f ca="1">IFERROR(_xlfn.XLOOKUP("Market Capitalization",Inputs!$B:$B,Inputs!I:I)/_xlfn.XLOOKUP("Shareholder's Equity",Inputs!$B:$B,Inputs!I:I),"")</f>
        <v>4.3971090074917232</v>
      </c>
      <c r="I11" s="16">
        <f ca="1">IFERROR(_xlfn.XLOOKUP("Market Capitalization",Inputs!$B:$B,Inputs!J:J)/_xlfn.XLOOKUP("Shareholder's Equity",Inputs!$B:$B,Inputs!J:J),"")</f>
        <v>3.0350439412279919</v>
      </c>
      <c r="J11" s="16">
        <f ca="1">IFERROR(_xlfn.XLOOKUP("Market Capitalization",Inputs!$B:$B,Inputs!K:K)/_xlfn.XLOOKUP("Shareholder's Equity",Inputs!$B:$B,Inputs!K:K),"")</f>
        <v>2.8213407642746846</v>
      </c>
      <c r="K11" s="16">
        <f ca="1">IFERROR(_xlfn.XLOOKUP("Market Capitalization",Inputs!$B:$B,Inputs!L:L)/_xlfn.XLOOKUP("Shareholder's Equity",Inputs!$B:$B,Inputs!L:L),"")</f>
        <v>4.1818102429165247</v>
      </c>
      <c r="L11" s="16">
        <f ca="1">IFERROR(_xlfn.XLOOKUP("Market Capitalization",Inputs!$B:$B,Inputs!M:M)/_xlfn.XLOOKUP("Shareholder's Equity",Inputs!$B:$B,Inputs!M:M),"")</f>
        <v>4.5385674159644598</v>
      </c>
      <c r="M11" s="16">
        <f ca="1">IFERROR(_xlfn.XLOOKUP("Market Capitalization",Inputs!$B:$B,Inputs!N:N)/_xlfn.XLOOKUP("Shareholder's Equity",Inputs!$B:$B,Inputs!N:N),"")</f>
        <v>1.8390048325200168</v>
      </c>
      <c r="N11" s="16">
        <f ca="1">IFERROR(_xlfn.XLOOKUP("Market Capitalization",Inputs!$B:$B,Inputs!O:O)/_xlfn.XLOOKUP("Shareholder's Equity",Inputs!$B:$B,Inputs!O:O),"")</f>
        <v>2.3347789816620184</v>
      </c>
      <c r="O11" s="16">
        <f ca="1">IFERROR(_xlfn.XLOOKUP("Market Capitalization",Inputs!$B:$B,Inputs!P:P)/_xlfn.XLOOKUP("Shareholder's Equity",Inputs!$B:$B,Inputs!P:P),"")</f>
        <v>2.8037832594312966</v>
      </c>
      <c r="P11" s="352">
        <f ca="1">IFERROR(_xlfn.XLOOKUP("Market Capitalization",Inputs!$B:$B,Inputs!Q:Q)/_xlfn.XLOOKUP("Shareholder's Equity",Inputs!$B:$B,Inputs!Q:Q),"")</f>
        <v>2.9969795572587228</v>
      </c>
      <c r="Q11" s="359" t="str">
        <f ca="1">IFERROR(+_xlfn.XLOOKUP("Equity Value",DCF!$B:$B,DCF!R:R)/(_xlfn.XLOOKUP("Shareholder's Equity",Inputs!$B:$B,Inputs!$Q:$Q)+_xlfn.XLOOKUP("Net Income",DCF!$B:$B,DCF!H:H)+_xlfn.XLOOKUP("Total Payout",DCF!$B:$B,DCF!H:H)),"")</f>
        <v/>
      </c>
      <c r="R11" s="359" t="str">
        <f ca="1">IFERROR(+_xlfn.XLOOKUP("Equity Value",DCF!$B:$B,DCF!S:S)/(_xlfn.XLOOKUP("Shareholder's Equity",Inputs!$B:$B,Inputs!$Q:$Q)+_xlfn.XLOOKUP("Net Income",DCF!$B:$B,DCF!I:I)+_xlfn.XLOOKUP("Total Payout",DCF!$B:$B,DCF!I:I)),"")</f>
        <v/>
      </c>
    </row>
    <row r="12" spans="2:19" ht="8.15" customHeight="1" x14ac:dyDescent="0.35">
      <c r="B12" s="249"/>
      <c r="N12" s="250"/>
      <c r="O12" s="250"/>
      <c r="P12" s="355"/>
      <c r="Q12" s="360"/>
      <c r="R12" s="360"/>
    </row>
    <row r="13" spans="2:19" ht="15.5" x14ac:dyDescent="0.35">
      <c r="B13" s="7" t="s">
        <v>185</v>
      </c>
      <c r="C13" s="56"/>
      <c r="D13" s="58"/>
      <c r="E13" s="58"/>
      <c r="F13" s="374">
        <v>2014</v>
      </c>
      <c r="G13" s="374">
        <f t="shared" ref="G13" si="5">+F13+1</f>
        <v>2015</v>
      </c>
      <c r="H13" s="374">
        <f t="shared" ref="H13" si="6">+G13+1</f>
        <v>2016</v>
      </c>
      <c r="I13" s="374">
        <f t="shared" ref="I13" si="7">+H13+1</f>
        <v>2017</v>
      </c>
      <c r="J13" s="374">
        <f t="shared" ref="J13" si="8">+I13+1</f>
        <v>2018</v>
      </c>
      <c r="K13" s="374">
        <f t="shared" ref="K13" si="9">+J13+1</f>
        <v>2019</v>
      </c>
      <c r="L13" s="374">
        <f t="shared" ref="L13" si="10">+K13+1</f>
        <v>2020</v>
      </c>
      <c r="M13" s="374">
        <f t="shared" ref="M13" si="11">+L13+1</f>
        <v>2021</v>
      </c>
      <c r="N13" s="374">
        <v>2022</v>
      </c>
      <c r="O13" s="374">
        <f t="shared" ref="O13" si="12">+N13+1</f>
        <v>2023</v>
      </c>
      <c r="P13" s="375">
        <f>+O13+1</f>
        <v>2024</v>
      </c>
      <c r="Q13" s="373">
        <f>+P13+1</f>
        <v>2025</v>
      </c>
      <c r="R13" s="373">
        <f>+Q13+1</f>
        <v>2026</v>
      </c>
    </row>
    <row r="14" spans="2:19" ht="4" customHeight="1" x14ac:dyDescent="0.35">
      <c r="B14" s="247"/>
      <c r="C14" s="53"/>
      <c r="D14" s="60"/>
      <c r="E14" s="60"/>
      <c r="F14" s="60"/>
      <c r="G14" s="60"/>
      <c r="H14" s="60"/>
      <c r="I14" s="60"/>
      <c r="J14" s="60"/>
      <c r="K14" s="60"/>
      <c r="L14" s="60"/>
      <c r="M14" s="60"/>
      <c r="N14" s="224"/>
      <c r="O14" s="224"/>
      <c r="P14" s="354"/>
      <c r="Q14" s="224"/>
      <c r="R14" s="224"/>
    </row>
    <row r="15" spans="2:19" ht="15.5" x14ac:dyDescent="0.35">
      <c r="B15" s="248" t="s">
        <v>25</v>
      </c>
      <c r="F15" s="252" t="str">
        <f>+IFERROR(_xlfn.XLOOKUP("Net Income",Inputs!$B:$B,Inputs!G:G)/_xlfn.XLOOKUP("Total Assets",Inputs!$B:$B,Inputs!G:G),"")</f>
        <v/>
      </c>
      <c r="G15" s="252">
        <f>+IFERROR(_xlfn.XLOOKUP("Net Income",Inputs!$B:$B,Inputs!H:H)/_xlfn.XLOOKUP("Total Assets",Inputs!$B:$B,Inputs!H:H),"")</f>
        <v>8.5949453164843898E-2</v>
      </c>
      <c r="H15" s="252">
        <f>+IFERROR(_xlfn.XLOOKUP("Net Income",Inputs!$B:$B,Inputs!I:I)/_xlfn.XLOOKUP("Total Assets",Inputs!$B:$B,Inputs!I:I),"")</f>
        <v>0.11363436758967665</v>
      </c>
      <c r="I15" s="252">
        <f>+IFERROR(_xlfn.XLOOKUP("Net Income",Inputs!$B:$B,Inputs!J:J)/_xlfn.XLOOKUP("Total Assets",Inputs!$B:$B,Inputs!J:J),"")</f>
        <v>5.3389149046875743E-2</v>
      </c>
      <c r="J15" s="252">
        <f>+IFERROR(_xlfn.XLOOKUP("Net Income",Inputs!$B:$B,Inputs!K:K)/_xlfn.XLOOKUP("Total Assets",Inputs!$B:$B,Inputs!K:K),"")</f>
        <v>7.8597535020035914E-2</v>
      </c>
      <c r="K15" s="252">
        <f>+IFERROR(_xlfn.XLOOKUP("Net Income",Inputs!$B:$B,Inputs!L:L)/_xlfn.XLOOKUP("Total Assets",Inputs!$B:$B,Inputs!L:L),"")</f>
        <v>6.4790854922022981E-2</v>
      </c>
      <c r="L15" s="252">
        <f>+IFERROR(_xlfn.XLOOKUP("Net Income",Inputs!$B:$B,Inputs!M:M)/_xlfn.XLOOKUP("Total Assets",Inputs!$B:$B,Inputs!M:M),"")</f>
        <v>5.0389871719627742E-2</v>
      </c>
      <c r="M15" s="252">
        <f>+IFERROR(_xlfn.XLOOKUP("Net Income",Inputs!$B:$B,Inputs!N:N)/_xlfn.XLOOKUP("Total Assets",Inputs!$B:$B,Inputs!N:N),"")</f>
        <v>2.5532232077840913E-2</v>
      </c>
      <c r="N15" s="252">
        <f>+IFERROR(_xlfn.XLOOKUP("Net Income",Inputs!$B:$B,Inputs!O:O)/_xlfn.XLOOKUP("Total Assets",Inputs!$B:$B,Inputs!O:O),"")</f>
        <v>3.9459349852094538E-2</v>
      </c>
      <c r="O15" s="252">
        <f>+IFERROR(_xlfn.XLOOKUP("Net Income",Inputs!$B:$B,Inputs!P:P)/_xlfn.XLOOKUP("Total Assets",Inputs!$B:$B,Inputs!P:P),"")</f>
        <v>4.9325231327301239E-2</v>
      </c>
      <c r="P15" s="356">
        <f>+IFERROR(_xlfn.XLOOKUP("Net Income",Inputs!$B:$B,Inputs!Q:Q)/_xlfn.XLOOKUP("Total Assets",Inputs!$B:$B,Inputs!Q:Q),"")</f>
        <v>1.3359376133929681E-2</v>
      </c>
      <c r="Q15" s="361">
        <f>IFERROR(_xlfn.XLOOKUP("Net Income",DCF!$B:$B,DCF!H:H)/_xlfn.XLOOKUP("Total assets",DCF!$6:$6,DCF!10:10),"")</f>
        <v>2.6078651753356344E-2</v>
      </c>
      <c r="R15" s="361">
        <f>IFERROR(_xlfn.XLOOKUP("Net Income",DCF!$B:$B,DCF!I:I)/_xlfn.XLOOKUP("Total assets",DCF!$6:$6,DCF!10:10),"")</f>
        <v>3.4349512380577547E-2</v>
      </c>
      <c r="S15" s="22"/>
    </row>
    <row r="16" spans="2:19" ht="15.5" x14ac:dyDescent="0.35">
      <c r="B16" s="248" t="s">
        <v>27</v>
      </c>
      <c r="F16" s="252" t="str">
        <f>IFERROR(_xlfn.XLOOKUP("Net Income",Inputs!$B:$B,Inputs!G:G)/_xlfn.XLOOKUP("Shareholder's Equity",Inputs!$B:$B,Inputs!G:G),"")</f>
        <v/>
      </c>
      <c r="G16" s="252">
        <f>IFERROR(_xlfn.XLOOKUP("Net Income",Inputs!$B:$B,Inputs!H:H)/_xlfn.XLOOKUP("Shareholder's Equity",Inputs!$B:$B,Inputs!H:H),"")</f>
        <v>0.11959392864182933</v>
      </c>
      <c r="H16" s="252">
        <f>IFERROR(_xlfn.XLOOKUP("Net Income",Inputs!$B:$B,Inputs!I:I)/_xlfn.XLOOKUP("Shareholder's Equity",Inputs!$B:$B,Inputs!I:I),"")</f>
        <v>0.17532957779197392</v>
      </c>
      <c r="I16" s="252">
        <f>IFERROR(_xlfn.XLOOKUP("Net Income",Inputs!$B:$B,Inputs!J:J)/_xlfn.XLOOKUP("Shareholder's Equity",Inputs!$B:$B,Inputs!J:J),"")</f>
        <v>0.11107830690954897</v>
      </c>
      <c r="J16" s="252">
        <f>IFERROR(_xlfn.XLOOKUP("Net Income",Inputs!$B:$B,Inputs!K:K)/_xlfn.XLOOKUP("Shareholder's Equity",Inputs!$B:$B,Inputs!K:K),"")</f>
        <v>0.14256047993468346</v>
      </c>
      <c r="K16" s="252">
        <f>IFERROR(_xlfn.XLOOKUP("Net Income",Inputs!$B:$B,Inputs!L:L)/_xlfn.XLOOKUP("Shareholder's Equity",Inputs!$B:$B,Inputs!L:L),"")</f>
        <v>0.12460435495557343</v>
      </c>
      <c r="L16" s="252">
        <f>IFERROR(_xlfn.XLOOKUP("Net Income",Inputs!$B:$B,Inputs!M:M)/_xlfn.XLOOKUP("Shareholder's Equity",Inputs!$B:$B,Inputs!M:M),"")</f>
        <v>9.0165779011326982E-2</v>
      </c>
      <c r="M16" s="252">
        <f>IFERROR(_xlfn.XLOOKUP("Net Income",Inputs!$B:$B,Inputs!N:N)/_xlfn.XLOOKUP("Shareholder's Equity",Inputs!$B:$B,Inputs!N:N),"")</f>
        <v>3.5162110516258428E-2</v>
      </c>
      <c r="N16" s="252">
        <f>IFERROR(_xlfn.XLOOKUP("Net Income",Inputs!$B:$B,Inputs!O:O)/_xlfn.XLOOKUP("Shareholder's Equity",Inputs!$B:$B,Inputs!O:O),"")</f>
        <v>5.443257014202544E-2</v>
      </c>
      <c r="O16" s="252">
        <f>IFERROR(_xlfn.XLOOKUP("Net Income",Inputs!$B:$B,Inputs!P:P)/_xlfn.XLOOKUP("Shareholder's Equity",Inputs!$B:$B,Inputs!P:P),"")</f>
        <v>6.7673084006512008E-2</v>
      </c>
      <c r="P16" s="356">
        <f>IFERROR(_xlfn.XLOOKUP("Net Income",Inputs!$B:$B,Inputs!Q:Q)/_xlfn.XLOOKUP("Shareholder's Equity",Inputs!$B:$B,Inputs!Q:Q),"")</f>
        <v>1.8316309560698563E-2</v>
      </c>
      <c r="Q16" s="361" t="str">
        <f>IFERROR(_xlfn.XLOOKUP("Net Income",DCF!$B:$B,DCF!H:H)/_xlfn.XLOOKUP("Shareholder's Equity",DCF!$6:$6,DCF!10:10),"")</f>
        <v/>
      </c>
      <c r="R16" s="361" t="str">
        <f>IFERROR(_xlfn.XLOOKUP("Net Income",DCF!$B:$B,DCF!I:I)/_xlfn.XLOOKUP("Shareholder's Equity",DCF!$6:$6,DCF!10:10),"")</f>
        <v/>
      </c>
      <c r="S16" s="22"/>
    </row>
    <row r="17" spans="2:19" ht="15.5" x14ac:dyDescent="0.35">
      <c r="B17" s="248" t="s">
        <v>28</v>
      </c>
      <c r="F17" s="252" t="str">
        <f>IFERROR(_xlfn.XLOOKUP("NOPAT",Inputs!$B:$B,Inputs!G:G)/(_xlfn.XLOOKUP("Shareholder's Equity",Inputs!$B:$B,Inputs!G:G)+_xlfn.XLOOKUP("Total Debt",Inputs!$B:$B,Inputs!G:G,,,-1)),"")</f>
        <v/>
      </c>
      <c r="G17" s="252">
        <f>IFERROR(_xlfn.XLOOKUP("NOPAT",Inputs!$B:$B,Inputs!H:H)/(_xlfn.XLOOKUP("Shareholder's Equity",Inputs!$B:$B,Inputs!H:H)+_xlfn.XLOOKUP("Total Debt",Inputs!$B:$B,Inputs!H:H,,,-1)),"")</f>
        <v>9.9365475775154324E-2</v>
      </c>
      <c r="H17" s="252">
        <f>IFERROR(_xlfn.XLOOKUP("NOPAT",Inputs!$B:$B,Inputs!I:I)/(_xlfn.XLOOKUP("Shareholder's Equity",Inputs!$B:$B,Inputs!I:I)+_xlfn.XLOOKUP("Total Debt",Inputs!$B:$B,Inputs!I:I,,,-1)),"")</f>
        <v>0.12821834365347604</v>
      </c>
      <c r="I17" s="252">
        <f>IFERROR(_xlfn.XLOOKUP("NOPAT",Inputs!$B:$B,Inputs!J:J)/(_xlfn.XLOOKUP("Shareholder's Equity",Inputs!$B:$B,Inputs!J:J)+_xlfn.XLOOKUP("Total Debt",Inputs!$B:$B,Inputs!J:J,,,-1)),"")</f>
        <v>6.1510936818043593E-2</v>
      </c>
      <c r="J17" s="252">
        <f>IFERROR(_xlfn.XLOOKUP("NOPAT",Inputs!$B:$B,Inputs!K:K)/(_xlfn.XLOOKUP("Shareholder's Equity",Inputs!$B:$B,Inputs!K:K)+_xlfn.XLOOKUP("Total Debt",Inputs!$B:$B,Inputs!K:K,,,-1)),"")</f>
        <v>9.038742337039582E-2</v>
      </c>
      <c r="K17" s="252">
        <f>IFERROR(_xlfn.XLOOKUP("NOPAT",Inputs!$B:$B,Inputs!L:L)/(_xlfn.XLOOKUP("Shareholder's Equity",Inputs!$B:$B,Inputs!L:L)+_xlfn.XLOOKUP("Total Debt",Inputs!$B:$B,Inputs!L:L,,,-1)),"")</f>
        <v>8.1463257097250899E-2</v>
      </c>
      <c r="L17" s="252">
        <f>IFERROR(_xlfn.XLOOKUP("NOPAT",Inputs!$B:$B,Inputs!M:M)/(_xlfn.XLOOKUP("Shareholder's Equity",Inputs!$B:$B,Inputs!M:M)+_xlfn.XLOOKUP("Total Debt",Inputs!$B:$B,Inputs!M:M,,,-1)),"")</f>
        <v>6.2916134690947173E-2</v>
      </c>
      <c r="M17" s="252">
        <f>IFERROR(_xlfn.XLOOKUP("NOPAT",Inputs!$B:$B,Inputs!N:N)/(_xlfn.XLOOKUP("Shareholder's Equity",Inputs!$B:$B,Inputs!N:N)+_xlfn.XLOOKUP("Total Debt",Inputs!$B:$B,Inputs!N:N,,,-1)),"")</f>
        <v>2.9015042548941675E-2</v>
      </c>
      <c r="N17" s="252">
        <f>IFERROR(_xlfn.XLOOKUP("NOPAT",Inputs!$B:$B,Inputs!O:O)/(_xlfn.XLOOKUP("Shareholder's Equity",Inputs!$B:$B,Inputs!O:O)+_xlfn.XLOOKUP("Total Debt",Inputs!$B:$B,Inputs!O:O,,,-1)),"")</f>
        <v>4.4825466664281215E-2</v>
      </c>
      <c r="O17" s="252">
        <f>IFERROR(_xlfn.XLOOKUP("NOPAT",Inputs!$B:$B,Inputs!P:P)/(_xlfn.XLOOKUP("Shareholder's Equity",Inputs!$B:$B,Inputs!P:P)+_xlfn.XLOOKUP("Total Debt",Inputs!$B:$B,Inputs!P:P,,,-1)),"")</f>
        <v>5.5565875279196229E-2</v>
      </c>
      <c r="P17" s="356">
        <f>IFERROR(_xlfn.XLOOKUP("NOPAT",Inputs!$B:$B,Inputs!Q:Q)/(_xlfn.XLOOKUP("Shareholder's Equity",Inputs!$B:$B,Inputs!Q:Q)+_xlfn.XLOOKUP("Total Debt",Inputs!$B:$B,Inputs!Q:Q,,,-1)),"")</f>
        <v>1.3807737341926783E-2</v>
      </c>
      <c r="Q17" s="361" t="str">
        <f ca="1">+IFERROR(_xlfn.XLOOKUP("NOPAT",DCF!$B:$B,DCF!H:H)/(_xlfn.XLOOKUP("Shareholder's Equity",DCF!$6:$6,DCF!10:10)+_xlfn.XLOOKUP("Total Borrowings",DCF!$B:$B,DCF!H:H)+_xlfn.XLOOKUP("Total Leases",DCF!$B:$B,DCF!H:H)),"")</f>
        <v/>
      </c>
      <c r="R17" s="361" t="str">
        <f ca="1">+IFERROR(_xlfn.XLOOKUP("NOPAT",DCF!$B:$B,DCF!I:I)/(_xlfn.XLOOKUP("Shareholder's Equity",DCF!$6:$6,DCF!10:10)+_xlfn.XLOOKUP("Total Borrowings",DCF!$B:$B,DCF!I:I)+_xlfn.XLOOKUP("Total Leases",DCF!$B:$B,DCF!I:I)),"")</f>
        <v/>
      </c>
      <c r="S17" s="120"/>
    </row>
    <row r="18" spans="2:19" ht="15.5" x14ac:dyDescent="0.35">
      <c r="B18" s="251" t="s">
        <v>29</v>
      </c>
      <c r="F18" s="252" t="str">
        <f>+IFERROR(_xlfn.XLOOKUP("EBITDA",Inputs!$B:$B,Inputs!G:G)/_xlfn.XLOOKUP("Revenue (Sales)",Inputs!$B:$B,Inputs!G:G),"")</f>
        <v/>
      </c>
      <c r="G18" s="252">
        <f>+IFERROR(_xlfn.XLOOKUP("EBITDA",Inputs!$B:$B,Inputs!H:H)/_xlfn.XLOOKUP("Revenue (Sales)",Inputs!$B:$B,Inputs!H:H),"")</f>
        <v>0.26756135192570818</v>
      </c>
      <c r="H18" s="252">
        <f>+IFERROR(_xlfn.XLOOKUP("EBITDA",Inputs!$B:$B,Inputs!I:I)/_xlfn.XLOOKUP("Revenue (Sales)",Inputs!$B:$B,Inputs!I:I),"")</f>
        <v>0.32501315251066809</v>
      </c>
      <c r="I18" s="252">
        <f>+IFERROR(_xlfn.XLOOKUP("EBITDA",Inputs!$B:$B,Inputs!J:J)/_xlfn.XLOOKUP("Revenue (Sales)",Inputs!$B:$B,Inputs!J:J),"")</f>
        <v>0.27449828683308858</v>
      </c>
      <c r="J18" s="252">
        <f>+IFERROR(_xlfn.XLOOKUP("EBITDA",Inputs!$B:$B,Inputs!K:K)/_xlfn.XLOOKUP("Revenue (Sales)",Inputs!$B:$B,Inputs!K:K),"")</f>
        <v>0.38393818175976346</v>
      </c>
      <c r="K18" s="252">
        <f>+IFERROR(_xlfn.XLOOKUP("EBITDA",Inputs!$B:$B,Inputs!L:L)/_xlfn.XLOOKUP("Revenue (Sales)",Inputs!$B:$B,Inputs!L:L),"")</f>
        <v>0.37312012819014878</v>
      </c>
      <c r="L18" s="252">
        <f>+IFERROR(_xlfn.XLOOKUP("EBITDA",Inputs!$B:$B,Inputs!M:M)/_xlfn.XLOOKUP("Revenue (Sales)",Inputs!$B:$B,Inputs!M:M),"")</f>
        <v>0.35339365708268639</v>
      </c>
      <c r="M18" s="252">
        <f>+IFERROR(_xlfn.XLOOKUP("EBITDA",Inputs!$B:$B,Inputs!N:N)/_xlfn.XLOOKUP("Revenue (Sales)",Inputs!$B:$B,Inputs!N:N),"")</f>
        <v>0.3161253296530615</v>
      </c>
      <c r="N18" s="252">
        <f>+IFERROR(_xlfn.XLOOKUP("EBITDA",Inputs!$B:$B,Inputs!O:O)/_xlfn.XLOOKUP("Revenue (Sales)",Inputs!$B:$B,Inputs!O:O),"")</f>
        <v>0.38003995338771435</v>
      </c>
      <c r="O18" s="252">
        <f>+IFERROR(_xlfn.XLOOKUP("EBITDA",Inputs!$B:$B,Inputs!P:P)/_xlfn.XLOOKUP("Revenue (Sales)",Inputs!$B:$B,Inputs!P:P),"")</f>
        <v>0.40172280687497464</v>
      </c>
      <c r="P18" s="356">
        <f>+IFERROR(_xlfn.XLOOKUP("EBITDA",Inputs!$B:$B,Inputs!Q:Q)/_xlfn.XLOOKUP("Revenue (Sales)",Inputs!$B:$B,Inputs!Q:Q),"")</f>
        <v>0.29965419212491523</v>
      </c>
      <c r="Q18" s="361">
        <f>+_xlfn.XLOOKUP("EBITDA Margin",DCF!$B:$B,DCF!H:H)</f>
        <v>0.3466473452012383</v>
      </c>
      <c r="R18" s="361">
        <f>+_xlfn.XLOOKUP("EBITDA Margin",DCF!$B:$B,DCF!I:I)</f>
        <v>0.35164734520123841</v>
      </c>
      <c r="S18" s="31"/>
    </row>
    <row r="19" spans="2:19" ht="15.5" x14ac:dyDescent="0.35">
      <c r="B19" s="18" t="s">
        <v>21</v>
      </c>
      <c r="F19" s="252" t="str">
        <f>IFERROR(_xlfn.XLOOKUP("Operating Income (EBIT)",Inputs!$B:$B,Inputs!G:G)/_xlfn.XLOOKUP("Revenue (Sales)",Inputs!$B:$B,Inputs!G:G),"")</f>
        <v/>
      </c>
      <c r="G19" s="252">
        <f>IFERROR(_xlfn.XLOOKUP("Operating Income (EBIT)",Inputs!$B:$B,Inputs!H:H)/_xlfn.XLOOKUP("Revenue (Sales)",Inputs!$B:$B,Inputs!H:H),"")</f>
        <v>0.20398241681464882</v>
      </c>
      <c r="H19" s="252">
        <f>IFERROR(_xlfn.XLOOKUP("Operating Income (EBIT)",Inputs!$B:$B,Inputs!I:I)/_xlfn.XLOOKUP("Revenue (Sales)",Inputs!$B:$B,Inputs!I:I),"")</f>
        <v>0.28570175951364929</v>
      </c>
      <c r="I19" s="252">
        <f>IFERROR(_xlfn.XLOOKUP("Operating Income (EBIT)",Inputs!$B:$B,Inputs!J:J)/_xlfn.XLOOKUP("Revenue (Sales)",Inputs!$B:$B,Inputs!J:J),"")</f>
        <v>0.23637787567302984</v>
      </c>
      <c r="J19" s="252">
        <f>IFERROR(_xlfn.XLOOKUP("Operating Income (EBIT)",Inputs!$B:$B,Inputs!K:K)/_xlfn.XLOOKUP("Revenue (Sales)",Inputs!$B:$B,Inputs!K:K),"")</f>
        <v>0.25557858210034212</v>
      </c>
      <c r="K19" s="252">
        <f>IFERROR(_xlfn.XLOOKUP("Operating Income (EBIT)",Inputs!$B:$B,Inputs!L:L)/_xlfn.XLOOKUP("Revenue (Sales)",Inputs!$B:$B,Inputs!L:L),"")</f>
        <v>0.23770259217839804</v>
      </c>
      <c r="L19" s="252">
        <f>IFERROR(_xlfn.XLOOKUP("Operating Income (EBIT)",Inputs!$B:$B,Inputs!M:M)/_xlfn.XLOOKUP("Revenue (Sales)",Inputs!$B:$B,Inputs!M:M),"")</f>
        <v>0.20867020042476489</v>
      </c>
      <c r="M19" s="252">
        <f>IFERROR(_xlfn.XLOOKUP("Operating Income (EBIT)",Inputs!$B:$B,Inputs!N:N)/_xlfn.XLOOKUP("Revenue (Sales)",Inputs!$B:$B,Inputs!N:N),"")</f>
        <v>0.1692742850115464</v>
      </c>
      <c r="N19" s="252">
        <f>IFERROR(_xlfn.XLOOKUP("Operating Income (EBIT)",Inputs!$B:$B,Inputs!O:O)/_xlfn.XLOOKUP("Revenue (Sales)",Inputs!$B:$B,Inputs!O:O),"")</f>
        <v>0.1888047278175462</v>
      </c>
      <c r="O19" s="252">
        <f>IFERROR(_xlfn.XLOOKUP("Operating Income (EBIT)",Inputs!$B:$B,Inputs!P:P)/_xlfn.XLOOKUP("Revenue (Sales)",Inputs!$B:$B,Inputs!P:P),"")</f>
        <v>0.21537523871439607</v>
      </c>
      <c r="P19" s="356">
        <f>IFERROR(_xlfn.XLOOKUP("Operating Income (EBIT)",Inputs!$B:$B,Inputs!Q:Q)/_xlfn.XLOOKUP("Revenue (Sales)",Inputs!$B:$B,Inputs!Q:Q),"")</f>
        <v>7.6438391038696624E-2</v>
      </c>
      <c r="Q19" s="361">
        <f>+_xlfn.XLOOKUP("Operating Margin",DCF!$B:$B,DCF!H:H)</f>
        <v>0.15489657120743028</v>
      </c>
      <c r="R19" s="361">
        <f>+_xlfn.XLOOKUP("Operating Margin",DCF!$B:$B,DCF!I:I)</f>
        <v>0.18137666892182938</v>
      </c>
      <c r="S19" s="18"/>
    </row>
    <row r="20" spans="2:19" ht="15.5" x14ac:dyDescent="0.35">
      <c r="B20" s="18" t="s">
        <v>553</v>
      </c>
      <c r="F20" s="252" t="str">
        <f>IFERROR(_xlfn.XLOOKUP("Pre-Tax Income (EBT)",Inputs!$B:$B,Inputs!G:G)/_xlfn.XLOOKUP("Revenue (Sales)",Inputs!$B:$B,Inputs!G:G),"")</f>
        <v/>
      </c>
      <c r="G20" s="252">
        <f>IFERROR(_xlfn.XLOOKUP("Pre-Tax Income (EBT)",Inputs!$B:$B,Inputs!H:H)/_xlfn.XLOOKUP("Revenue (Sales)",Inputs!$B:$B,Inputs!H:H),"")</f>
        <v>0.20957177374748923</v>
      </c>
      <c r="H20" s="252">
        <f>IFERROR(_xlfn.XLOOKUP("Pre-Tax Income (EBT)",Inputs!$B:$B,Inputs!I:I)/_xlfn.XLOOKUP("Revenue (Sales)",Inputs!$B:$B,Inputs!I:I),"")</f>
        <v>0.2925702928625708</v>
      </c>
      <c r="I20" s="252">
        <f>IFERROR(_xlfn.XLOOKUP("Pre-Tax Income (EBT)",Inputs!$B:$B,Inputs!J:J)/_xlfn.XLOOKUP("Revenue (Sales)",Inputs!$B:$B,Inputs!J:J),"")</f>
        <v>0.24080274106705826</v>
      </c>
      <c r="J20" s="252">
        <f>IFERROR(_xlfn.XLOOKUP("Pre-Tax Income (EBT)",Inputs!$B:$B,Inputs!K:K)/_xlfn.XLOOKUP("Revenue (Sales)",Inputs!$B:$B,Inputs!K:K),"")</f>
        <v>0.25806866194354744</v>
      </c>
      <c r="K20" s="252">
        <f>IFERROR(_xlfn.XLOOKUP("Pre-Tax Income (EBT)",Inputs!$B:$B,Inputs!L:L)/_xlfn.XLOOKUP("Revenue (Sales)",Inputs!$B:$B,Inputs!L:L),"")</f>
        <v>0.23863731201281912</v>
      </c>
      <c r="L20" s="252">
        <f>IFERROR(_xlfn.XLOOKUP("Pre-Tax Income (EBT)",Inputs!$B:$B,Inputs!M:M)/_xlfn.XLOOKUP("Revenue (Sales)",Inputs!$B:$B,Inputs!M:M),"")</f>
        <v>0.2092948546340419</v>
      </c>
      <c r="M20" s="252">
        <f>IFERROR(_xlfn.XLOOKUP("Pre-Tax Income (EBT)",Inputs!$B:$B,Inputs!N:N)/_xlfn.XLOOKUP("Revenue (Sales)",Inputs!$B:$B,Inputs!N:N),"")</f>
        <v>0.17411147397619667</v>
      </c>
      <c r="N20" s="252">
        <f>IFERROR(_xlfn.XLOOKUP("Pre-Tax Income (EBT)",Inputs!$B:$B,Inputs!O:O)/_xlfn.XLOOKUP("Revenue (Sales)",Inputs!$B:$B,Inputs!O:O),"")</f>
        <v>0.19436490760779093</v>
      </c>
      <c r="O20" s="252">
        <f>IFERROR(_xlfn.XLOOKUP("Pre-Tax Income (EBT)",Inputs!$B:$B,Inputs!P:P)/_xlfn.XLOOKUP("Revenue (Sales)",Inputs!$B:$B,Inputs!P:P),"")</f>
        <v>0.21943033602860512</v>
      </c>
      <c r="P20" s="356">
        <f>IFERROR(_xlfn.XLOOKUP("Pre-Tax Income (EBT)",Inputs!$B:$B,Inputs!Q:Q)/_xlfn.XLOOKUP("Revenue (Sales)",Inputs!$B:$B,Inputs!Q:Q),"")</f>
        <v>8.3418194161575088E-2</v>
      </c>
      <c r="Q20" s="361">
        <f>IFERROR(_xlfn.XLOOKUP("Pre-Tax Income (EBT)",DCF!$B:$B,DCF!H:H)/_xlfn.XLOOKUP("Revenue (Sales)",DCF!$B:$B,DCF!H:H),"")</f>
        <v>0.15524308565531469</v>
      </c>
      <c r="R20" s="361">
        <f>IFERROR(_xlfn.XLOOKUP("Pre-Tax Income (EBT)",DCF!$B:$B,DCF!I:I)/_xlfn.XLOOKUP("Revenue (Sales)",DCF!$B:$B,DCF!I:I),"")</f>
        <v>0.18136962471818302</v>
      </c>
      <c r="S20" s="18"/>
    </row>
    <row r="21" spans="2:19" ht="15.5" x14ac:dyDescent="0.35">
      <c r="B21" s="18" t="s">
        <v>31</v>
      </c>
      <c r="F21" s="252" t="str">
        <f>IFERROR(_xlfn.XLOOKUP("Gross Profit",Inputs!$B:$B,Inputs!G:G)/_xlfn.XLOOKUP("Revenue (Sales)",Inputs!$B:$B,Inputs!G:G),"")</f>
        <v/>
      </c>
      <c r="G21" s="252">
        <f>IFERROR(_xlfn.XLOOKUP("Gross Profit",Inputs!$B:$B,Inputs!H:H)/_xlfn.XLOOKUP("Revenue (Sales)",Inputs!$B:$B,Inputs!H:H),"")</f>
        <v>0.657710110331577</v>
      </c>
      <c r="H21" s="252">
        <f>IFERROR(_xlfn.XLOOKUP("Gross Profit",Inputs!$B:$B,Inputs!I:I)/_xlfn.XLOOKUP("Revenue (Sales)",Inputs!$B:$B,Inputs!I:I),"")</f>
        <v>0.65096159466884895</v>
      </c>
      <c r="I21" s="252">
        <f>IFERROR(_xlfn.XLOOKUP("Gross Profit",Inputs!$B:$B,Inputs!J:J)/_xlfn.XLOOKUP("Revenue (Sales)",Inputs!$B:$B,Inputs!J:J),"")</f>
        <v>0.59943220753793436</v>
      </c>
      <c r="J21" s="252">
        <f>IFERROR(_xlfn.XLOOKUP("Gross Profit",Inputs!$B:$B,Inputs!K:K)/_xlfn.XLOOKUP("Revenue (Sales)",Inputs!$B:$B,Inputs!K:K),"")</f>
        <v>0.68282808810063134</v>
      </c>
      <c r="K21" s="252">
        <f>IFERROR(_xlfn.XLOOKUP("Gross Profit",Inputs!$B:$B,Inputs!L:L)/_xlfn.XLOOKUP("Revenue (Sales)",Inputs!$B:$B,Inputs!L:L),"")</f>
        <v>0.66996044132129329</v>
      </c>
      <c r="L21" s="252">
        <f>IFERROR(_xlfn.XLOOKUP("Gross Profit",Inputs!$B:$B,Inputs!M:M)/_xlfn.XLOOKUP("Revenue (Sales)",Inputs!$B:$B,Inputs!M:M),"")</f>
        <v>0.65865324552479876</v>
      </c>
      <c r="M21" s="252">
        <f>IFERROR(_xlfn.XLOOKUP("Gross Profit",Inputs!$B:$B,Inputs!N:N)/_xlfn.XLOOKUP("Revenue (Sales)",Inputs!$B:$B,Inputs!N:N),"")</f>
        <v>0.61831299618763924</v>
      </c>
      <c r="N21" s="252">
        <f>IFERROR(_xlfn.XLOOKUP("Gross Profit",Inputs!$B:$B,Inputs!O:O)/_xlfn.XLOOKUP("Revenue (Sales)",Inputs!$B:$B,Inputs!O:O),"")</f>
        <v>0.62697686032961542</v>
      </c>
      <c r="O21" s="252">
        <f>IFERROR(_xlfn.XLOOKUP("Gross Profit",Inputs!$B:$B,Inputs!P:P)/_xlfn.XLOOKUP("Revenue (Sales)",Inputs!$B:$B,Inputs!P:P),"")</f>
        <v>0.64013652431839418</v>
      </c>
      <c r="P21" s="356">
        <f>IFERROR(_xlfn.XLOOKUP("Gross Profit",Inputs!$B:$B,Inputs!Q:Q)/_xlfn.XLOOKUP("Revenue (Sales)",Inputs!$B:$B,Inputs!Q:Q),"")</f>
        <v>0.57083757637474541</v>
      </c>
      <c r="Q21" s="361">
        <f>+_xlfn.XLOOKUP("Gross Profit Margin",DCF!$B:$B,DCF!H:H)</f>
        <v>0.62</v>
      </c>
      <c r="R21" s="361">
        <f>+_xlfn.XLOOKUP("Gross Profit Margin",DCF!$B:$B,DCF!I:I)</f>
        <v>0.625</v>
      </c>
      <c r="S21" s="18"/>
    </row>
    <row r="22" spans="2:19" ht="15.5" x14ac:dyDescent="0.35">
      <c r="B22" s="18" t="s">
        <v>33</v>
      </c>
      <c r="F22" s="252" t="str">
        <f>IFERROR(+_xlfn.XLOOKUP("SG&amp;A (Selling, General &amp; Administrative)",Inputs!$B:$B,Inputs!G:G)/_xlfn.XLOOKUP("Revenue (Sales)",Inputs!$B:$B,Inputs!G:G),"")</f>
        <v/>
      </c>
      <c r="G22" s="252">
        <f>IFERROR(+_xlfn.XLOOKUP("SG&amp;A (Selling, General &amp; Administrative)",Inputs!$B:$B,Inputs!H:H)/_xlfn.XLOOKUP("Revenue (Sales)",Inputs!$B:$B,Inputs!H:H),"")</f>
        <v>0.13944281098075748</v>
      </c>
      <c r="H22" s="252">
        <f>IFERROR(+_xlfn.XLOOKUP("SG&amp;A (Selling, General &amp; Administrative)",Inputs!$B:$B,Inputs!I:I)/_xlfn.XLOOKUP("Revenue (Sales)",Inputs!$B:$B,Inputs!I:I),"")</f>
        <v>0.13485707605073946</v>
      </c>
      <c r="I22" s="252">
        <f>IFERROR(+_xlfn.XLOOKUP("SG&amp;A (Selling, General &amp; Administrative)",Inputs!$B:$B,Inputs!J:J)/_xlfn.XLOOKUP("Revenue (Sales)",Inputs!$B:$B,Inputs!J:J),"")</f>
        <v>0.13529123837493881</v>
      </c>
      <c r="J22" s="252">
        <f>IFERROR(+_xlfn.XLOOKUP("SG&amp;A (Selling, General &amp; Administrative)",Inputs!$B:$B,Inputs!K:K)/_xlfn.XLOOKUP("Revenue (Sales)",Inputs!$B:$B,Inputs!K:K),"")</f>
        <v>0.11173229231930856</v>
      </c>
      <c r="K22" s="252">
        <f>IFERROR(+_xlfn.XLOOKUP("SG&amp;A (Selling, General &amp; Administrative)",Inputs!$B:$B,Inputs!L:L)/_xlfn.XLOOKUP("Revenue (Sales)",Inputs!$B:$B,Inputs!L:L),"")</f>
        <v>0.10817712940862279</v>
      </c>
      <c r="L22" s="252">
        <f>IFERROR(+_xlfn.XLOOKUP("SG&amp;A (Selling, General &amp; Administrative)",Inputs!$B:$B,Inputs!M:M)/_xlfn.XLOOKUP("Revenue (Sales)",Inputs!$B:$B,Inputs!M:M),"")</f>
        <v>0.11777408934339918</v>
      </c>
      <c r="M22" s="252">
        <f>IFERROR(+_xlfn.XLOOKUP("SG&amp;A (Selling, General &amp; Administrative)",Inputs!$B:$B,Inputs!N:N)/_xlfn.XLOOKUP("Revenue (Sales)",Inputs!$B:$B,Inputs!N:N),"")</f>
        <v>0.12508369430058894</v>
      </c>
      <c r="N22" s="252">
        <f>IFERROR(+_xlfn.XLOOKUP("SG&amp;A (Selling, General &amp; Administrative)",Inputs!$B:$B,Inputs!O:O)/_xlfn.XLOOKUP("Revenue (Sales)",Inputs!$B:$B,Inputs!O:O),"")</f>
        <v>0.10539370734143499</v>
      </c>
      <c r="O22" s="252">
        <f>IFERROR(+_xlfn.XLOOKUP("SG&amp;A (Selling, General &amp; Administrative)",Inputs!$B:$B,Inputs!P:P)/_xlfn.XLOOKUP("Revenue (Sales)",Inputs!$B:$B,Inputs!P:P),"")</f>
        <v>0.10349843565885172</v>
      </c>
      <c r="P22" s="356">
        <f>IFERROR(+_xlfn.XLOOKUP("SG&amp;A (Selling, General &amp; Administrative)",Inputs!$B:$B,Inputs!Q:Q)/_xlfn.XLOOKUP("Revenue (Sales)",Inputs!$B:$B,Inputs!Q:Q),"")</f>
        <v>0.1133528513238289</v>
      </c>
      <c r="Q22" s="361">
        <f>+_xlfn.XLOOKUP("SG&amp;A Margin",DCF!$B:$B,DCF!H:H)</f>
        <v>0.10741499810803855</v>
      </c>
      <c r="R22" s="361">
        <f>+_xlfn.XLOOKUP("SG&amp;A Margin",DCF!$B:$B,DCF!I:I)</f>
        <v>0.1080887616969064</v>
      </c>
    </row>
    <row r="23" spans="2:19" ht="15.5" x14ac:dyDescent="0.35">
      <c r="B23" s="18" t="s">
        <v>35</v>
      </c>
      <c r="F23" s="252" t="str">
        <f>IFERROR(_xlfn.XLOOKUP("Net Income",Inputs!$B:$B,Inputs!G:G)/_xlfn.XLOOKUP("Revenue (Sales)",Inputs!$B:$B,Inputs!G:G),"")</f>
        <v/>
      </c>
      <c r="G23" s="252">
        <f>IFERROR(_xlfn.XLOOKUP("Net Income",Inputs!$B:$B,Inputs!H:H)/_xlfn.XLOOKUP("Revenue (Sales)",Inputs!$B:$B,Inputs!H:H),"")</f>
        <v>0.1766178568309511</v>
      </c>
      <c r="H23" s="252">
        <f>IFERROR(_xlfn.XLOOKUP("Net Income",Inputs!$B:$B,Inputs!I:I)/_xlfn.XLOOKUP("Revenue (Sales)",Inputs!$B:$B,Inputs!I:I),"")</f>
        <v>0.26471619804758278</v>
      </c>
      <c r="I23" s="252">
        <f>IFERROR(_xlfn.XLOOKUP("Net Income",Inputs!$B:$B,Inputs!J:J)/_xlfn.XLOOKUP("Revenue (Sales)",Inputs!$B:$B,Inputs!J:J),"")</f>
        <v>0.22098874204601077</v>
      </c>
      <c r="J23" s="252">
        <f>IFERROR(_xlfn.XLOOKUP("Net Income",Inputs!$B:$B,Inputs!K:K)/_xlfn.XLOOKUP("Revenue (Sales)",Inputs!$B:$B,Inputs!K:K),"")</f>
        <v>0.25806866194354744</v>
      </c>
      <c r="K23" s="252">
        <f>IFERROR(_xlfn.XLOOKUP("Net Income",Inputs!$B:$B,Inputs!L:L)/_xlfn.XLOOKUP("Revenue (Sales)",Inputs!$B:$B,Inputs!L:L),"")</f>
        <v>0.21815693278362916</v>
      </c>
      <c r="L23" s="252">
        <f>IFERROR(_xlfn.XLOOKUP("Net Income",Inputs!$B:$B,Inputs!M:M)/_xlfn.XLOOKUP("Revenue (Sales)",Inputs!$B:$B,Inputs!M:M),"")</f>
        <v>0.1930716924559619</v>
      </c>
      <c r="M23" s="252">
        <f>IFERROR(_xlfn.XLOOKUP("Net Income",Inputs!$B:$B,Inputs!N:N)/_xlfn.XLOOKUP("Revenue (Sales)",Inputs!$B:$B,Inputs!N:N),"")</f>
        <v>0.18254239372531872</v>
      </c>
      <c r="N23" s="252">
        <f>IFERROR(_xlfn.XLOOKUP("Net Income",Inputs!$B:$B,Inputs!O:O)/_xlfn.XLOOKUP("Revenue (Sales)",Inputs!$B:$B,Inputs!O:O),"")</f>
        <v>0.16521558182120863</v>
      </c>
      <c r="O23" s="252">
        <f>IFERROR(_xlfn.XLOOKUP("Net Income",Inputs!$B:$B,Inputs!P:P)/_xlfn.XLOOKUP("Revenue (Sales)",Inputs!$B:$B,Inputs!P:P),"")</f>
        <v>0.19558733899475847</v>
      </c>
      <c r="P23" s="356">
        <f>IFERROR(_xlfn.XLOOKUP("Net Income",Inputs!$B:$B,Inputs!Q:Q)/_xlfn.XLOOKUP("Revenue (Sales)",Inputs!$B:$B,Inputs!Q:Q),"")</f>
        <v>6.8344789545146029E-2</v>
      </c>
      <c r="Q23" s="361">
        <f>+_xlfn.XLOOKUP("Net Income Margin",DCF!$B:$B,DCF!H:H)</f>
        <v>0.13255963790693162</v>
      </c>
      <c r="R23" s="361">
        <f>+_xlfn.XLOOKUP("Net Income Margin",DCF!$B:$B,DCF!I:I)</f>
        <v>0.15502176110720958</v>
      </c>
    </row>
    <row r="24" spans="2:19" ht="8.15" customHeight="1" x14ac:dyDescent="0.35">
      <c r="N24" s="253"/>
      <c r="O24" s="253"/>
      <c r="P24" s="357"/>
      <c r="Q24" s="362"/>
      <c r="R24" s="362"/>
    </row>
    <row r="25" spans="2:19" ht="15.5" x14ac:dyDescent="0.35">
      <c r="B25" s="7" t="s">
        <v>196</v>
      </c>
      <c r="C25" s="56"/>
      <c r="D25" s="58"/>
      <c r="E25" s="58"/>
      <c r="F25" s="374">
        <v>2014</v>
      </c>
      <c r="G25" s="374">
        <f t="shared" ref="G25" si="13">+F25+1</f>
        <v>2015</v>
      </c>
      <c r="H25" s="374">
        <f t="shared" ref="H25" si="14">+G25+1</f>
        <v>2016</v>
      </c>
      <c r="I25" s="374">
        <f t="shared" ref="I25" si="15">+H25+1</f>
        <v>2017</v>
      </c>
      <c r="J25" s="374">
        <f t="shared" ref="J25" si="16">+I25+1</f>
        <v>2018</v>
      </c>
      <c r="K25" s="374">
        <f t="shared" ref="K25" si="17">+J25+1</f>
        <v>2019</v>
      </c>
      <c r="L25" s="374">
        <f t="shared" ref="L25" si="18">+K25+1</f>
        <v>2020</v>
      </c>
      <c r="M25" s="374">
        <f t="shared" ref="M25" si="19">+L25+1</f>
        <v>2021</v>
      </c>
      <c r="N25" s="374">
        <v>2022</v>
      </c>
      <c r="O25" s="374">
        <f t="shared" ref="O25" si="20">+N25+1</f>
        <v>2023</v>
      </c>
      <c r="P25" s="375">
        <f>+O25+1</f>
        <v>2024</v>
      </c>
      <c r="Q25" s="373">
        <f>+P25+1</f>
        <v>2025</v>
      </c>
      <c r="R25" s="373">
        <f>+Q25+1</f>
        <v>2026</v>
      </c>
    </row>
    <row r="26" spans="2:19" ht="4" customHeight="1" x14ac:dyDescent="0.35">
      <c r="B26" s="247"/>
      <c r="C26" s="53"/>
      <c r="D26" s="60"/>
      <c r="E26" s="60"/>
      <c r="F26" s="60"/>
      <c r="G26" s="60"/>
      <c r="H26" s="60"/>
      <c r="I26" s="60"/>
      <c r="J26" s="60"/>
      <c r="K26" s="60"/>
      <c r="L26" s="60"/>
      <c r="M26" s="60"/>
      <c r="N26" s="224"/>
      <c r="O26" s="224"/>
      <c r="P26" s="354"/>
      <c r="Q26" s="224"/>
      <c r="R26" s="224"/>
    </row>
    <row r="27" spans="2:19" ht="15" customHeight="1" x14ac:dyDescent="0.35">
      <c r="B27" s="33" t="s">
        <v>43</v>
      </c>
      <c r="C27" s="120"/>
      <c r="D27" s="242"/>
      <c r="F27" s="16" t="str">
        <f>+IFERROR(_xlfn.XLOOKUP("Cash &amp; Cash Equivalents",Inputs!$B:$B,Inputs!G:G)/_xlfn.XLOOKUP("Current Liabilities",Inputs!$B:$B,Inputs!G:G),"")</f>
        <v/>
      </c>
      <c r="G27" s="16">
        <f>+IFERROR(_xlfn.XLOOKUP("Cash &amp; Cash Equivalents",Inputs!$B:$B,Inputs!H:H)/_xlfn.XLOOKUP("Current Liabilities",Inputs!$B:$B,Inputs!H:H),"")</f>
        <v>0.79418103448275867</v>
      </c>
      <c r="H27" s="16">
        <f>+IFERROR(_xlfn.XLOOKUP("Cash &amp; Cash Equivalents",Inputs!$B:$B,Inputs!I:I)/_xlfn.XLOOKUP("Current Liabilities",Inputs!$B:$B,Inputs!I:I),"")</f>
        <v>1.176523183037425</v>
      </c>
      <c r="I27" s="16">
        <f>+IFERROR(_xlfn.XLOOKUP("Cash &amp; Cash Equivalents",Inputs!$B:$B,Inputs!J:J)/_xlfn.XLOOKUP("Current Liabilities",Inputs!$B:$B,Inputs!J:J),"")</f>
        <v>0.65639290860114008</v>
      </c>
      <c r="J27" s="16">
        <f>+IFERROR(_xlfn.XLOOKUP("Cash &amp; Cash Equivalents",Inputs!$B:$B,Inputs!K:K)/_xlfn.XLOOKUP("Current Liabilities",Inputs!$B:$B,Inputs!K:K),"")</f>
        <v>0.77645716459066272</v>
      </c>
      <c r="K27" s="16">
        <f>+IFERROR(_xlfn.XLOOKUP("Cash &amp; Cash Equivalents",Inputs!$B:$B,Inputs!L:L)/_xlfn.XLOOKUP("Current Liabilities",Inputs!$B:$B,Inputs!L:L),"")</f>
        <v>0.42973617923902957</v>
      </c>
      <c r="L27" s="16">
        <f>+IFERROR(_xlfn.XLOOKUP("Cash &amp; Cash Equivalents",Inputs!$B:$B,Inputs!M:M)/_xlfn.XLOOKUP("Current Liabilities",Inputs!$B:$B,Inputs!M:M),"")</f>
        <v>0.77355311355311362</v>
      </c>
      <c r="M27" s="16">
        <f>+IFERROR(_xlfn.XLOOKUP("Cash &amp; Cash Equivalents",Inputs!$B:$B,Inputs!N:N)/_xlfn.XLOOKUP("Current Liabilities",Inputs!$B:$B,Inputs!N:N),"")</f>
        <v>0.71400209363606826</v>
      </c>
      <c r="N27" s="16">
        <f>+IFERROR(_xlfn.XLOOKUP("Cash &amp; Cash Equivalents",Inputs!$B:$B,Inputs!O:O)/_xlfn.XLOOKUP("Current Liabilities",Inputs!$B:$B,Inputs!O:O),"")</f>
        <v>0.60203872763745037</v>
      </c>
      <c r="O27" s="16">
        <f>+IFERROR(_xlfn.XLOOKUP("Cash &amp; Cash Equivalents",Inputs!$B:$B,Inputs!P:P)/_xlfn.XLOOKUP("Current Liabilities",Inputs!$B:$B,Inputs!P:P),"")</f>
        <v>0.29931271477663229</v>
      </c>
      <c r="P27" s="352">
        <f>+IFERROR(_xlfn.XLOOKUP("Cash &amp; Cash Equivalents",Inputs!$B:$B,Inputs!Q:Q)/_xlfn.XLOOKUP("Current Liabilities",Inputs!$B:$B,Inputs!Q:Q),"")</f>
        <v>0.6663654920858012</v>
      </c>
      <c r="Q27" s="359">
        <f>+IFERROR((_xlfn.XLOOKUP("Cash &amp; Cash Equivalents &amp; ST Investments",DCF!$B:$B,DCF!H:H)-_xlfn.XLOOKUP("Short-Term Investments",Inputs!$B:$B,Inputs!$Q:$Q))/_xlfn.XLOOKUP("Current Liabilities",DCF!$6:$6,DCF!10:10),"")</f>
        <v>2.0464792154175071</v>
      </c>
      <c r="R27" s="359">
        <f>+IFERROR((_xlfn.XLOOKUP("Cash &amp; Cash Equivalents &amp; ST Investments",DCF!$B:$B,DCF!I:I)-_xlfn.XLOOKUP("Short-Term Investments",Inputs!$B:$B,Inputs!$Q:$Q))/_xlfn.XLOOKUP("Current Liabilities",DCF!$6:$6,DCF!10:10),"")</f>
        <v>3.5662339929441003</v>
      </c>
    </row>
    <row r="28" spans="2:19" ht="15.5" x14ac:dyDescent="0.35">
      <c r="B28" s="18" t="s">
        <v>44</v>
      </c>
      <c r="F28" s="16" t="str">
        <f>IFERROR((_xlfn.XLOOKUP("Cash &amp; Cash Equivalents &amp; ST Investments",Inputs!$B:$B,Inputs!G:G)+_xlfn.XLOOKUP("Accounts Receivable",Inputs!$B:$B,Inputs!G:G))/_xlfn.XLOOKUP("Current Liabilities",Inputs!$B:$B,Inputs!G:G),"")</f>
        <v/>
      </c>
      <c r="G28" s="16">
        <f>IFERROR((_xlfn.XLOOKUP("Cash &amp; Cash Equivalents &amp; ST Investments",Inputs!$B:$B,Inputs!H:H)+_xlfn.XLOOKUP("Accounts Receivable",Inputs!$B:$B,Inputs!H:H))/_xlfn.XLOOKUP("Current Liabilities",Inputs!$B:$B,Inputs!H:H),"")</f>
        <v>3.1389188218390807</v>
      </c>
      <c r="H28" s="16">
        <f>IFERROR((_xlfn.XLOOKUP("Cash &amp; Cash Equivalents &amp; ST Investments",Inputs!$B:$B,Inputs!I:I)+_xlfn.XLOOKUP("Accounts Receivable",Inputs!$B:$B,Inputs!I:I))/_xlfn.XLOOKUP("Current Liabilities",Inputs!$B:$B,Inputs!I:I),"")</f>
        <v>5.7905224166560219</v>
      </c>
      <c r="I28" s="16">
        <f>IFERROR((_xlfn.XLOOKUP("Cash &amp; Cash Equivalents &amp; ST Investments",Inputs!$B:$B,Inputs!J:J)+_xlfn.XLOOKUP("Accounts Receivable",Inputs!$B:$B,Inputs!J:J))/_xlfn.XLOOKUP("Current Liabilities",Inputs!$B:$B,Inputs!J:J),"")</f>
        <v>1.0880160370857608</v>
      </c>
      <c r="J28" s="16">
        <f>IFERROR((_xlfn.XLOOKUP("Cash &amp; Cash Equivalents &amp; ST Investments",Inputs!$B:$B,Inputs!K:K)+_xlfn.XLOOKUP("Accounts Receivable",Inputs!$B:$B,Inputs!K:K))/_xlfn.XLOOKUP("Current Liabilities",Inputs!$B:$B,Inputs!K:K),"")</f>
        <v>1.384710468764857</v>
      </c>
      <c r="K28" s="16">
        <f>IFERROR((_xlfn.XLOOKUP("Cash &amp; Cash Equivalents &amp; ST Investments",Inputs!$B:$B,Inputs!L:L)+_xlfn.XLOOKUP("Accounts Receivable",Inputs!$B:$B,Inputs!L:L))/_xlfn.XLOOKUP("Current Liabilities",Inputs!$B:$B,Inputs!L:L),"")</f>
        <v>0.85072252419461769</v>
      </c>
      <c r="L28" s="16">
        <f>IFERROR((_xlfn.XLOOKUP("Cash &amp; Cash Equivalents &amp; ST Investments",Inputs!$B:$B,Inputs!M:M)+_xlfn.XLOOKUP("Accounts Receivable",Inputs!$B:$B,Inputs!M:M))/_xlfn.XLOOKUP("Current Liabilities",Inputs!$B:$B,Inputs!M:M),"")</f>
        <v>1.3138461538461539</v>
      </c>
      <c r="M28" s="16">
        <f>IFERROR((_xlfn.XLOOKUP("Cash &amp; Cash Equivalents &amp; ST Investments",Inputs!$B:$B,Inputs!N:N)+_xlfn.XLOOKUP("Accounts Receivable",Inputs!$B:$B,Inputs!N:N))/_xlfn.XLOOKUP("Current Liabilities",Inputs!$B:$B,Inputs!N:N),"")</f>
        <v>1.2406959535068403</v>
      </c>
      <c r="N28" s="16">
        <f>IFERROR((_xlfn.XLOOKUP("Cash &amp; Cash Equivalents &amp; ST Investments",Inputs!$B:$B,Inputs!O:O)+_xlfn.XLOOKUP("Accounts Receivable",Inputs!$B:$B,Inputs!O:O))/_xlfn.XLOOKUP("Current Liabilities",Inputs!$B:$B,Inputs!O:O),"")</f>
        <v>1.339132926679494</v>
      </c>
      <c r="O28" s="16">
        <f>IFERROR((_xlfn.XLOOKUP("Cash &amp; Cash Equivalents &amp; ST Investments",Inputs!$B:$B,Inputs!P:P)+_xlfn.XLOOKUP("Accounts Receivable",Inputs!$B:$B,Inputs!P:P))/_xlfn.XLOOKUP("Current Liabilities",Inputs!$B:$B,Inputs!P:P),"")</f>
        <v>0.75845048422368011</v>
      </c>
      <c r="P28" s="352">
        <f>IFERROR((_xlfn.XLOOKUP("Cash &amp; Cash Equivalents &amp; ST Investments",Inputs!$B:$B,Inputs!Q:Q)+_xlfn.XLOOKUP("Accounts Receivable",Inputs!$B:$B,Inputs!Q:Q))/_xlfn.XLOOKUP("Current Liabilities",Inputs!$B:$B,Inputs!Q:Q),"")</f>
        <v>1.2379613827259643</v>
      </c>
      <c r="Q28" s="359">
        <f>+IFERROR((_xlfn.XLOOKUP("Cash &amp; Cash Equivalents &amp; ST Investments",DCF!$B:$B,DCF!H:H)+_xlfn.XLOOKUP("Accounts Receivable",DCF!$B:$B,DCF!H:H))/_xlfn.XLOOKUP("Current Liabilities",DCF!$6:$6,DCF!10:10),"")</f>
        <v>2.5926227104587896</v>
      </c>
      <c r="R28" s="359">
        <f>+IFERROR((_xlfn.XLOOKUP("Cash &amp; Cash Equivalents &amp; ST Investments",DCF!$B:$B,DCF!I:I)+_xlfn.XLOOKUP("Accounts Receivable",DCF!$B:$B,DCF!I:I))/_xlfn.XLOOKUP("Current Liabilities",DCF!$6:$6,DCF!10:10),"")</f>
        <v>4.1519566472111231</v>
      </c>
    </row>
    <row r="29" spans="2:19" ht="15.5" x14ac:dyDescent="0.35">
      <c r="B29" s="18" t="s">
        <v>46</v>
      </c>
      <c r="F29" s="16" t="str">
        <f>IFERROR(_xlfn.XLOOKUP("Current Assets",Inputs!$B:$B,Inputs!G:G)/+_xlfn.XLOOKUP("Current Liabilities",Inputs!$B:$B,Inputs!G:G),"")</f>
        <v/>
      </c>
      <c r="G29" s="16">
        <f>IFERROR(_xlfn.XLOOKUP("Current Assets",Inputs!$B:$B,Inputs!H:H)/+_xlfn.XLOOKUP("Current Liabilities",Inputs!$B:$B,Inputs!H:H),"")</f>
        <v>3.6633441091954024</v>
      </c>
      <c r="H29" s="16">
        <f>IFERROR(_xlfn.XLOOKUP("Current Assets",Inputs!$B:$B,Inputs!I:I)/+_xlfn.XLOOKUP("Current Liabilities",Inputs!$B:$B,Inputs!I:I),"")</f>
        <v>6.3544513986460593</v>
      </c>
      <c r="I29" s="16">
        <f>IFERROR(_xlfn.XLOOKUP("Current Assets",Inputs!$B:$B,Inputs!J:J)/+_xlfn.XLOOKUP("Current Liabilities",Inputs!$B:$B,Inputs!J:J),"")</f>
        <v>1.4729687402117397</v>
      </c>
      <c r="J29" s="16">
        <f>IFERROR(_xlfn.XLOOKUP("Current Assets",Inputs!$B:$B,Inputs!K:K)/+_xlfn.XLOOKUP("Current Liabilities",Inputs!$B:$B,Inputs!K:K),"")</f>
        <v>2.0082723210040885</v>
      </c>
      <c r="K29" s="16">
        <f>IFERROR(_xlfn.XLOOKUP("Current Assets",Inputs!$B:$B,Inputs!L:L)/+_xlfn.XLOOKUP("Current Liabilities",Inputs!$B:$B,Inputs!L:L),"")</f>
        <v>1.31585576030757</v>
      </c>
      <c r="L29" s="16">
        <f>IFERROR(_xlfn.XLOOKUP("Current Assets",Inputs!$B:$B,Inputs!M:M)/+_xlfn.XLOOKUP("Current Liabilities",Inputs!$B:$B,Inputs!M:M),"")</f>
        <v>1.8444688644688643</v>
      </c>
      <c r="M29" s="16">
        <f>IFERROR(_xlfn.XLOOKUP("Current Assets",Inputs!$B:$B,Inputs!N:N)/+_xlfn.XLOOKUP("Current Liabilities",Inputs!$B:$B,Inputs!N:N),"")</f>
        <v>1.9414142872613074</v>
      </c>
      <c r="N29" s="16">
        <f>IFERROR(_xlfn.XLOOKUP("Current Assets",Inputs!$B:$B,Inputs!O:O)/+_xlfn.XLOOKUP("Current Liabilities",Inputs!$B:$B,Inputs!O:O),"")</f>
        <v>2.0215335489417448</v>
      </c>
      <c r="O29" s="16">
        <f>IFERROR(_xlfn.XLOOKUP("Current Assets",Inputs!$B:$B,Inputs!P:P)/+_xlfn.XLOOKUP("Current Liabilities",Inputs!$B:$B,Inputs!P:P),"")</f>
        <v>1.3695720087472665</v>
      </c>
      <c r="P29" s="352">
        <f>IFERROR(_xlfn.XLOOKUP("Current Assets",Inputs!$B:$B,Inputs!Q:Q)/+_xlfn.XLOOKUP("Current Liabilities",Inputs!$B:$B,Inputs!Q:Q),"")</f>
        <v>1.8353913596359133</v>
      </c>
      <c r="Q29" s="359">
        <f>+IFERROR(_xlfn.XLOOKUP("Current Assets",DCF!$6:$6,DCF!10:10)/_xlfn.XLOOKUP("Current Liabilities",DCF!$6:$6,DCF!10:10),"")</f>
        <v>3.1110933095094802</v>
      </c>
      <c r="R29" s="359">
        <f>+IFERROR(_xlfn.XLOOKUP("Current Assets",DCF!$6:$6,DCF!10:10)/_xlfn.XLOOKUP("Current Liabilities",DCF!$6:$6,DCF!10:10),"")</f>
        <v>3.1110933095094802</v>
      </c>
    </row>
    <row r="30" spans="2:19" ht="8.15" customHeight="1" x14ac:dyDescent="0.3">
      <c r="N30" s="16"/>
      <c r="O30" s="16"/>
      <c r="P30" s="352"/>
      <c r="Q30" s="359"/>
      <c r="R30" s="359"/>
    </row>
    <row r="31" spans="2:19" ht="15.5" x14ac:dyDescent="0.35">
      <c r="B31" s="7" t="s">
        <v>554</v>
      </c>
      <c r="C31" s="56"/>
      <c r="D31" s="58"/>
      <c r="E31" s="58"/>
      <c r="F31" s="374">
        <v>2014</v>
      </c>
      <c r="G31" s="374">
        <f t="shared" ref="G31" si="21">+F31+1</f>
        <v>2015</v>
      </c>
      <c r="H31" s="374">
        <f t="shared" ref="H31" si="22">+G31+1</f>
        <v>2016</v>
      </c>
      <c r="I31" s="374">
        <f t="shared" ref="I31" si="23">+H31+1</f>
        <v>2017</v>
      </c>
      <c r="J31" s="374">
        <f t="shared" ref="J31" si="24">+I31+1</f>
        <v>2018</v>
      </c>
      <c r="K31" s="374">
        <f t="shared" ref="K31" si="25">+J31+1</f>
        <v>2019</v>
      </c>
      <c r="L31" s="374">
        <f t="shared" ref="L31" si="26">+K31+1</f>
        <v>2020</v>
      </c>
      <c r="M31" s="374">
        <f t="shared" ref="M31" si="27">+L31+1</f>
        <v>2021</v>
      </c>
      <c r="N31" s="374">
        <v>2022</v>
      </c>
      <c r="O31" s="374">
        <f t="shared" ref="O31" si="28">+N31+1</f>
        <v>2023</v>
      </c>
      <c r="P31" s="375">
        <f>+O31+1</f>
        <v>2024</v>
      </c>
      <c r="Q31" s="373">
        <f>+P31+1</f>
        <v>2025</v>
      </c>
      <c r="R31" s="373">
        <f>+Q31+1</f>
        <v>2026</v>
      </c>
    </row>
    <row r="32" spans="2:19" ht="4" customHeight="1" x14ac:dyDescent="0.35">
      <c r="B32" s="247"/>
      <c r="C32" s="53"/>
      <c r="D32" s="60"/>
      <c r="E32" s="60"/>
      <c r="F32" s="60"/>
      <c r="G32" s="60"/>
      <c r="H32" s="60"/>
      <c r="I32" s="60"/>
      <c r="J32" s="60"/>
      <c r="K32" s="60"/>
      <c r="L32" s="60"/>
      <c r="M32" s="60"/>
      <c r="N32" s="224"/>
      <c r="O32" s="224"/>
      <c r="P32" s="354"/>
      <c r="Q32" s="224"/>
      <c r="R32" s="224"/>
    </row>
    <row r="33" spans="2:18" ht="15.5" x14ac:dyDescent="0.35">
      <c r="B33" s="18" t="s">
        <v>555</v>
      </c>
      <c r="F33" s="254" t="str">
        <f>+_xlfn.XLOOKUP("DSO",Inputs!$B:$B,Inputs!G:G)</f>
        <v/>
      </c>
      <c r="G33" s="254">
        <f>+_xlfn.XLOOKUP("DSO",Inputs!$B:$B,Inputs!H:H)</f>
        <v>49.568425955576259</v>
      </c>
      <c r="H33" s="254">
        <f>+_xlfn.XLOOKUP("DSO",Inputs!$B:$B,Inputs!I:I)</f>
        <v>50.951072660314495</v>
      </c>
      <c r="I33" s="254">
        <f>+_xlfn.XLOOKUP("DSO",Inputs!$B:$B,Inputs!J:J)</f>
        <v>49.238374938815468</v>
      </c>
      <c r="J33" s="254">
        <f>+_xlfn.XLOOKUP("DSO",Inputs!$B:$B,Inputs!K:K)</f>
        <v>37.510321782575872</v>
      </c>
      <c r="K33" s="254">
        <f>+_xlfn.XLOOKUP("DSO",Inputs!$B:$B,Inputs!L:L)</f>
        <v>38.692644088731619</v>
      </c>
      <c r="L33" s="254">
        <f>+_xlfn.XLOOKUP("DSO",Inputs!$B:$B,Inputs!M:M)</f>
        <v>48.042601417072682</v>
      </c>
      <c r="M33" s="254">
        <f>+_xlfn.XLOOKUP("DSO",Inputs!$B:$B,Inputs!N:N)</f>
        <v>72.772570132407793</v>
      </c>
      <c r="N33" s="254">
        <f>+_xlfn.XLOOKUP("DSO",Inputs!$B:$B,Inputs!O:O)</f>
        <v>54.701390044947559</v>
      </c>
      <c r="O33" s="254">
        <f>+_xlfn.XLOOKUP("DSO",Inputs!$B:$B,Inputs!P:P)</f>
        <v>43.593555727113895</v>
      </c>
      <c r="P33" s="358">
        <f>+_xlfn.XLOOKUP("DSO",Inputs!$B:$B,Inputs!Q:Q)</f>
        <v>51.738533180583836</v>
      </c>
      <c r="Q33" s="363">
        <f>+_xlfn.XLOOKUP("DSO",DCF!$B:$B,DCF!H:H)</f>
        <v>50.058409452873171</v>
      </c>
      <c r="R33" s="363">
        <f>+_xlfn.XLOOKUP("DSO",DCF!$B:$B,DCF!I:I)</f>
        <v>48.510749255515037</v>
      </c>
    </row>
    <row r="34" spans="2:18" ht="15.5" x14ac:dyDescent="0.35">
      <c r="B34" s="248" t="s">
        <v>556</v>
      </c>
      <c r="F34" s="254" t="str">
        <f>+_xlfn.XLOOKUP("DPO",Inputs!$B:$B,Inputs!G:G)</f>
        <v/>
      </c>
      <c r="G34" s="254">
        <f>+_xlfn.XLOOKUP("DPO",Inputs!$B:$B,Inputs!H:H)</f>
        <v>18.509795930249481</v>
      </c>
      <c r="H34" s="254">
        <f>+_xlfn.XLOOKUP("DPO",Inputs!$B:$B,Inputs!I:I)</f>
        <v>18.285204886888408</v>
      </c>
      <c r="I34" s="254">
        <f>+_xlfn.XLOOKUP("DPO",Inputs!$B:$B,Inputs!J:J)</f>
        <v>16.90827214880078</v>
      </c>
      <c r="J34" s="254">
        <f>+_xlfn.XLOOKUP("DPO",Inputs!$B:$B,Inputs!K:K)</f>
        <v>15.298488280559704</v>
      </c>
      <c r="K34" s="254">
        <f>+_xlfn.XLOOKUP("DPO",Inputs!$B:$B,Inputs!L:L)</f>
        <v>13.726110397089014</v>
      </c>
      <c r="L34" s="254">
        <f>+_xlfn.XLOOKUP("DPO",Inputs!$B:$B,Inputs!M:M)</f>
        <v>14.806892613017792</v>
      </c>
      <c r="M34" s="254">
        <f>+_xlfn.XLOOKUP("DPO",Inputs!$B:$B,Inputs!N:N)</f>
        <v>22.11456212508369</v>
      </c>
      <c r="N34" s="254">
        <f>+_xlfn.XLOOKUP("DPO",Inputs!$B:$B,Inputs!O:O)</f>
        <v>17.687947394706175</v>
      </c>
      <c r="O34" s="254">
        <f>+_xlfn.XLOOKUP("DPO",Inputs!$B:$B,Inputs!P:P)</f>
        <v>14.623135996099304</v>
      </c>
      <c r="P34" s="358">
        <f>+_xlfn.XLOOKUP("DPO",Inputs!$B:$B,Inputs!Q:Q)</f>
        <v>18.874904531568227</v>
      </c>
      <c r="Q34" s="363">
        <f>+_xlfn.XLOOKUP("DPO",DCF!$B:$B,DCF!H:H)</f>
        <v>44.0514505202799</v>
      </c>
      <c r="R34" s="363">
        <f>+_xlfn.XLOOKUP("DPO",DCF!$B:$B,DCF!I:I)</f>
        <v>42.929324409724238</v>
      </c>
    </row>
    <row r="35" spans="2:18" ht="15.5" x14ac:dyDescent="0.35">
      <c r="B35" s="248" t="s">
        <v>557</v>
      </c>
      <c r="F35" s="254" t="str">
        <f>+_xlfn.XLOOKUP("DIH",Inputs!$B:$B,Inputs!G:G)</f>
        <v/>
      </c>
      <c r="G35" s="254">
        <f>+_xlfn.XLOOKUP("DIH",Inputs!$B:$B,Inputs!H:H)</f>
        <v>127.98902874638544</v>
      </c>
      <c r="H35" s="254">
        <f>+_xlfn.XLOOKUP("DIH",Inputs!$B:$B,Inputs!I:I)</f>
        <v>115.10550996483002</v>
      </c>
      <c r="I35" s="254">
        <f>+_xlfn.XLOOKUP("DIH",Inputs!$B:$B,Inputs!J:J)</f>
        <v>98.265799892467854</v>
      </c>
      <c r="J35" s="254">
        <f>+_xlfn.XLOOKUP("DIH",Inputs!$B:$B,Inputs!K:K)</f>
        <v>108.48503266980701</v>
      </c>
      <c r="K35" s="254">
        <f>+_xlfn.XLOOKUP("DIH",Inputs!$B:$B,Inputs!L:L)</f>
        <v>112.58458504020633</v>
      </c>
      <c r="L35" s="254">
        <f>+_xlfn.XLOOKUP("DIH",Inputs!$B:$B,Inputs!M:M)</f>
        <v>116.08778625954199</v>
      </c>
      <c r="M35" s="254">
        <f>+_xlfn.XLOOKUP("DIH",Inputs!$B:$B,Inputs!N:N)</f>
        <v>156.88218236494467</v>
      </c>
      <c r="N35" s="254">
        <f>+_xlfn.XLOOKUP("DIH",Inputs!$B:$B,Inputs!O:O)</f>
        <v>114.01617761910076</v>
      </c>
      <c r="O35" s="254">
        <f>+_xlfn.XLOOKUP("DIH",Inputs!$B:$B,Inputs!P:P)</f>
        <v>135.35736061242463</v>
      </c>
      <c r="P35" s="358">
        <f>+_xlfn.XLOOKUP("DIH",Inputs!$B:$B,Inputs!Q:Q)</f>
        <v>130.60717287063127</v>
      </c>
      <c r="Q35" s="363">
        <f>+_xlfn.XLOOKUP("DIH",DCF!$B:$B,DCF!H:H)</f>
        <v>126.66023703405222</v>
      </c>
      <c r="R35" s="363">
        <f>+_xlfn.XLOOKUP("DIH",DCF!$B:$B,DCF!I:I)</f>
        <v>130.8749235057027</v>
      </c>
    </row>
    <row r="36" spans="2:18" ht="15.5" x14ac:dyDescent="0.35">
      <c r="B36" s="248" t="s">
        <v>50</v>
      </c>
      <c r="F36" s="254" t="str">
        <f>IFERROR(F35+F33-F34,"")</f>
        <v/>
      </c>
      <c r="G36" s="254">
        <f t="shared" ref="G36:P36" si="29">IFERROR(G35+G33-G34,"")</f>
        <v>159.04765877171224</v>
      </c>
      <c r="H36" s="254">
        <f t="shared" si="29"/>
        <v>147.77137773825612</v>
      </c>
      <c r="I36" s="254">
        <f t="shared" si="29"/>
        <v>130.59590268248252</v>
      </c>
      <c r="J36" s="254">
        <f t="shared" si="29"/>
        <v>130.69686617182319</v>
      </c>
      <c r="K36" s="254">
        <f t="shared" si="29"/>
        <v>137.55111873184896</v>
      </c>
      <c r="L36" s="254">
        <f t="shared" si="29"/>
        <v>149.32349506359688</v>
      </c>
      <c r="M36" s="254">
        <f t="shared" si="29"/>
        <v>207.54019037226877</v>
      </c>
      <c r="N36" s="254">
        <f t="shared" si="29"/>
        <v>151.02962026934213</v>
      </c>
      <c r="O36" s="254">
        <f t="shared" si="29"/>
        <v>164.32778034343923</v>
      </c>
      <c r="P36" s="358">
        <f t="shared" si="29"/>
        <v>163.47080151964687</v>
      </c>
      <c r="Q36" s="363">
        <f>IFERROR(Q35+Q33-Q34,"")</f>
        <v>132.66719596664549</v>
      </c>
      <c r="R36" s="363">
        <f t="shared" ref="R36" si="30">IFERROR(R35+R33-R34,"")</f>
        <v>136.45634835149349</v>
      </c>
    </row>
    <row r="37" spans="2:18" ht="8.15" customHeight="1" x14ac:dyDescent="0.35">
      <c r="N37" s="250"/>
      <c r="O37" s="250"/>
      <c r="P37" s="355"/>
      <c r="Q37" s="360"/>
      <c r="R37" s="360"/>
    </row>
    <row r="38" spans="2:18" ht="15.5" x14ac:dyDescent="0.35">
      <c r="B38" s="7" t="s">
        <v>558</v>
      </c>
      <c r="C38" s="56"/>
      <c r="D38" s="58"/>
      <c r="E38" s="58"/>
      <c r="F38" s="374">
        <v>2014</v>
      </c>
      <c r="G38" s="374">
        <f t="shared" ref="G38" si="31">+F38+1</f>
        <v>2015</v>
      </c>
      <c r="H38" s="374">
        <f t="shared" ref="H38" si="32">+G38+1</f>
        <v>2016</v>
      </c>
      <c r="I38" s="374">
        <f t="shared" ref="I38" si="33">+H38+1</f>
        <v>2017</v>
      </c>
      <c r="J38" s="374">
        <f t="shared" ref="J38" si="34">+I38+1</f>
        <v>2018</v>
      </c>
      <c r="K38" s="374">
        <f t="shared" ref="K38" si="35">+J38+1</f>
        <v>2019</v>
      </c>
      <c r="L38" s="374">
        <f t="shared" ref="L38" si="36">+K38+1</f>
        <v>2020</v>
      </c>
      <c r="M38" s="374">
        <f t="shared" ref="M38" si="37">+L38+1</f>
        <v>2021</v>
      </c>
      <c r="N38" s="374">
        <v>2022</v>
      </c>
      <c r="O38" s="374">
        <f t="shared" ref="O38" si="38">+N38+1</f>
        <v>2023</v>
      </c>
      <c r="P38" s="375">
        <f>+O38+1</f>
        <v>2024</v>
      </c>
      <c r="Q38" s="373">
        <f>+P38+1</f>
        <v>2025</v>
      </c>
      <c r="R38" s="373">
        <f>+Q38+1</f>
        <v>2026</v>
      </c>
    </row>
    <row r="39" spans="2:18" ht="4" customHeight="1" x14ac:dyDescent="0.35">
      <c r="B39" s="247"/>
      <c r="C39" s="53"/>
      <c r="D39" s="60"/>
      <c r="E39" s="60"/>
      <c r="F39" s="60"/>
      <c r="G39" s="60"/>
      <c r="H39" s="60"/>
      <c r="I39" s="60"/>
      <c r="J39" s="60"/>
      <c r="K39" s="60"/>
      <c r="L39" s="60"/>
      <c r="M39" s="60"/>
      <c r="N39" s="224"/>
      <c r="O39" s="224"/>
      <c r="P39" s="354"/>
      <c r="Q39" s="224"/>
      <c r="R39" s="224"/>
    </row>
    <row r="40" spans="2:18" ht="15.5" x14ac:dyDescent="0.35">
      <c r="B40" s="18" t="s">
        <v>56</v>
      </c>
      <c r="F40" s="16" t="str">
        <f>+IFERROR(_xlfn.XLOOKUP("Total Debt",Inputs!$B:$B,Inputs!G:G)*1000/+_xlfn.XLOOKUP("Shareholder's Equity",Inputs!$B:$B,Inputs!G:G),"")</f>
        <v/>
      </c>
      <c r="G40" s="16">
        <f>+IFERROR(_xlfn.XLOOKUP("Total Debt",Inputs!$B:$B,Inputs!H:H)*1000/+_xlfn.XLOOKUP("Shareholder's Equity",Inputs!$B:$B,Inputs!H:H),"")</f>
        <v>171.47644391878575</v>
      </c>
      <c r="H40" s="16">
        <f>+IFERROR(_xlfn.XLOOKUP("Total Debt",Inputs!$B:$B,Inputs!I:I)*1000/+_xlfn.XLOOKUP("Shareholder's Equity",Inputs!$B:$B,Inputs!I:I),"")</f>
        <v>335.3272547767001</v>
      </c>
      <c r="I40" s="16">
        <f>+IFERROR(_xlfn.XLOOKUP("Total Debt",Inputs!$B:$B,Inputs!J:J)*1000/+_xlfn.XLOOKUP("Shareholder's Equity",Inputs!$B:$B,Inputs!J:J),"")</f>
        <v>772.64720065345966</v>
      </c>
      <c r="J40" s="16">
        <f>+IFERROR(_xlfn.XLOOKUP("Total Debt",Inputs!$B:$B,Inputs!K:K)*1000/+_xlfn.XLOOKUP("Shareholder's Equity",Inputs!$B:$B,Inputs!K:K),"")</f>
        <v>561.99747963294942</v>
      </c>
      <c r="K40" s="16">
        <f>+IFERROR(_xlfn.XLOOKUP("Total Debt",Inputs!$B:$B,Inputs!L:L)*1000/+_xlfn.XLOOKUP("Shareholder's Equity",Inputs!$B:$B,Inputs!L:L),"")</f>
        <v>523.58616481714535</v>
      </c>
      <c r="L40" s="16">
        <f>+IFERROR(_xlfn.XLOOKUP("Total Debt",Inputs!$B:$B,Inputs!M:M)*1000/+_xlfn.XLOOKUP("Shareholder's Equity",Inputs!$B:$B,Inputs!M:M),"")</f>
        <v>428.83337917468884</v>
      </c>
      <c r="M40" s="16">
        <f>+IFERROR(_xlfn.XLOOKUP("Total Debt",Inputs!$B:$B,Inputs!N:N)*1000/+_xlfn.XLOOKUP("Shareholder's Equity",Inputs!$B:$B,Inputs!N:N),"")</f>
        <v>178.18996330864428</v>
      </c>
      <c r="N40" s="16">
        <f>+IFERROR(_xlfn.XLOOKUP("Total Debt",Inputs!$B:$B,Inputs!O:O)*1000/+_xlfn.XLOOKUP("Shareholder's Equity",Inputs!$B:$B,Inputs!O:O),"")</f>
        <v>179.58442683866579</v>
      </c>
      <c r="O40" s="16">
        <f>+IFERROR(_xlfn.XLOOKUP("Total Debt",Inputs!$B:$B,Inputs!P:P)*1000/+_xlfn.XLOOKUP("Shareholder's Equity",Inputs!$B:$B,Inputs!P:P),"")</f>
        <v>195.38255199619852</v>
      </c>
      <c r="P40" s="352">
        <f>+IFERROR(_xlfn.XLOOKUP("Total Debt",Inputs!$B:$B,Inputs!Q:Q)*1000/+_xlfn.XLOOKUP("Shareholder's Equity",Inputs!$B:$B,Inputs!Q:Q),"")</f>
        <v>215.53148000216058</v>
      </c>
      <c r="Q40" s="359" t="str">
        <f>IFERROR((_xlfn.XLOOKUP("Total Borrowings",DCF!$B:$B,DCF!G:G)+_xlfn.XLOOKUP("Total Leases",DCF!$B:$B,DCF!G:G))/_xlfn.XLOOKUP("Shareholder's Equity",DCF!$6:$6,DCF!10:10),"")</f>
        <v/>
      </c>
      <c r="R40" s="359" t="str">
        <f>IFERROR((_xlfn.XLOOKUP("Total Borrowings",DCF!$B:$B,DCF!H:H)+_xlfn.XLOOKUP("Total Leases",DCF!$B:$B,DCF!H:H))/_xlfn.XLOOKUP("Shareholder's Equity",DCF!$6:$6,DCF!10:10),"")</f>
        <v/>
      </c>
    </row>
    <row r="41" spans="2:18" ht="15.5" x14ac:dyDescent="0.35">
      <c r="B41" s="248" t="s">
        <v>57</v>
      </c>
      <c r="F41" s="16" t="str">
        <f>+IFERROR(_xlfn.XLOOKUP("Total Debt",Inputs!$B:$B,Inputs!G:G)*1000/(+_xlfn.XLOOKUP("Shareholder's Equity",Inputs!$B:$B,Inputs!G:G)+_xlfn.XLOOKUP("Total Debt",Inputs!$B:$B,Inputs!G:G)*1000),"")</f>
        <v/>
      </c>
      <c r="G41" s="16">
        <f>+IFERROR(_xlfn.XLOOKUP("Total Debt",Inputs!$B:$B,Inputs!H:H)*1000/(+_xlfn.XLOOKUP("Shareholder's Equity",Inputs!$B:$B,Inputs!H:H)+_xlfn.XLOOKUP("Total Debt",Inputs!$B:$B,Inputs!H:H)*1000),"")</f>
        <v>0.99420210680786725</v>
      </c>
      <c r="H41" s="16">
        <f>+IFERROR(_xlfn.XLOOKUP("Total Debt",Inputs!$B:$B,Inputs!I:I)*1000/(+_xlfn.XLOOKUP("Shareholder's Equity",Inputs!$B:$B,Inputs!I:I)+_xlfn.XLOOKUP("Total Debt",Inputs!$B:$B,Inputs!I:I)*1000),"")</f>
        <v>0.99702670543110183</v>
      </c>
      <c r="I41" s="16">
        <f>+IFERROR(_xlfn.XLOOKUP("Total Debt",Inputs!$B:$B,Inputs!J:J)*1000/(+_xlfn.XLOOKUP("Shareholder's Equity",Inputs!$B:$B,Inputs!J:J)+_xlfn.XLOOKUP("Total Debt",Inputs!$B:$B,Inputs!J:J)*1000),"")</f>
        <v>0.9987074211615381</v>
      </c>
      <c r="J41" s="16">
        <f>+IFERROR(_xlfn.XLOOKUP("Total Debt",Inputs!$B:$B,Inputs!K:K)*1000/(+_xlfn.XLOOKUP("Shareholder's Equity",Inputs!$B:$B,Inputs!K:K)+_xlfn.XLOOKUP("Total Debt",Inputs!$B:$B,Inputs!K:K)*1000),"")</f>
        <v>0.99822379311422149</v>
      </c>
      <c r="K41" s="16">
        <f>+IFERROR(_xlfn.XLOOKUP("Total Debt",Inputs!$B:$B,Inputs!L:L)*1000/(+_xlfn.XLOOKUP("Shareholder's Equity",Inputs!$B:$B,Inputs!L:L)+_xlfn.XLOOKUP("Total Debt",Inputs!$B:$B,Inputs!L:L)*1000),"")</f>
        <v>0.99809373546794056</v>
      </c>
      <c r="L41" s="16">
        <f>+IFERROR(_xlfn.XLOOKUP("Total Debt",Inputs!$B:$B,Inputs!M:M)*1000/(+_xlfn.XLOOKUP("Shareholder's Equity",Inputs!$B:$B,Inputs!M:M)+_xlfn.XLOOKUP("Total Debt",Inputs!$B:$B,Inputs!M:M)*1000),"")</f>
        <v>0.99767351711512009</v>
      </c>
      <c r="M41" s="16">
        <f>+IFERROR(_xlfn.XLOOKUP("Total Debt",Inputs!$B:$B,Inputs!N:N)*1000/(+_xlfn.XLOOKUP("Shareholder's Equity",Inputs!$B:$B,Inputs!N:N)+_xlfn.XLOOKUP("Total Debt",Inputs!$B:$B,Inputs!N:N)*1000),"")</f>
        <v>0.99441933029319529</v>
      </c>
      <c r="N41" s="16">
        <f>+IFERROR(_xlfn.XLOOKUP("Total Debt",Inputs!$B:$B,Inputs!O:O)*1000/(+_xlfn.XLOOKUP("Shareholder's Equity",Inputs!$B:$B,Inputs!O:O)+_xlfn.XLOOKUP("Total Debt",Inputs!$B:$B,Inputs!O:O)*1000),"")</f>
        <v>0.99446242393374595</v>
      </c>
      <c r="O41" s="16">
        <f>+IFERROR(_xlfn.XLOOKUP("Total Debt",Inputs!$B:$B,Inputs!P:P)*1000/(+_xlfn.XLOOKUP("Shareholder's Equity",Inputs!$B:$B,Inputs!P:P)+_xlfn.XLOOKUP("Total Debt",Inputs!$B:$B,Inputs!P:P)*1000),"")</f>
        <v>0.99490789792761558</v>
      </c>
      <c r="P41" s="352">
        <f>+IFERROR(_xlfn.XLOOKUP("Total Debt",Inputs!$B:$B,Inputs!Q:Q)*1000/(+_xlfn.XLOOKUP("Shareholder's Equity",Inputs!$B:$B,Inputs!Q:Q)+_xlfn.XLOOKUP("Total Debt",Inputs!$B:$B,Inputs!Q:Q)*1000),"")</f>
        <v>0.99538173387079787</v>
      </c>
      <c r="Q41" s="359" t="str">
        <f>IFERROR((_xlfn.XLOOKUP("Total Borrowings",DCF!$B:$B,DCF!G:G)+_xlfn.XLOOKUP("Total Leases",DCF!$B:$B,DCF!G:G))/(_xlfn.XLOOKUP("Shareholder's Equity",DCF!$6:$6,DCF!10:10)+_xlfn.XLOOKUP("Total Borrowings",DCF!$B:$B,DCF!G:G)+_xlfn.XLOOKUP("Total Leases",DCF!$B:$B,DCF!G:G)),"")</f>
        <v/>
      </c>
      <c r="R41" s="359" t="str">
        <f>IFERROR((_xlfn.XLOOKUP("Total Borrowings",DCF!$B:$B,DCF!H:H)+_xlfn.XLOOKUP("Total Leases",DCF!$B:$B,DCF!H:H))/(_xlfn.XLOOKUP("Shareholder's Equity",DCF!$6:$6,DCF!10:10)+_xlfn.XLOOKUP("Total Borrowings",DCF!$B:$B,DCF!H:H)+_xlfn.XLOOKUP("Total Leases",DCF!$B:$B,DCF!H:H)),"")</f>
        <v/>
      </c>
    </row>
    <row r="42" spans="2:18" ht="15.5" x14ac:dyDescent="0.35">
      <c r="B42" s="248" t="s">
        <v>58</v>
      </c>
      <c r="F42" s="16" t="str">
        <f>IFERROR(_xlfn.XLOOKUP("Total Liabilities",Inputs!$B:$B,Inputs!G:G)/_xlfn.XLOOKUP("Total Assets",Inputs!$B:$B,Inputs!G:G),"")</f>
        <v/>
      </c>
      <c r="G42" s="16">
        <f>IFERROR(_xlfn.XLOOKUP("Total Liabilities",Inputs!$B:$B,Inputs!H:H)/_xlfn.XLOOKUP("Total Assets",Inputs!$B:$B,Inputs!H:H),"")</f>
        <v>0.28132260440868134</v>
      </c>
      <c r="H42" s="16">
        <f>IFERROR(_xlfn.XLOOKUP("Total Liabilities",Inputs!$B:$B,Inputs!I:I)/_xlfn.XLOOKUP("Total Assets",Inputs!$B:$B,Inputs!I:I),"")</f>
        <v>0.35188135954731942</v>
      </c>
      <c r="I42" s="16">
        <f>IFERROR(_xlfn.XLOOKUP("Total Liabilities",Inputs!$B:$B,Inputs!J:J)/_xlfn.XLOOKUP("Total Assets",Inputs!$B:$B,Inputs!J:J),"")</f>
        <v>0.51935575422165459</v>
      </c>
      <c r="J42" s="16">
        <f>IFERROR(_xlfn.XLOOKUP("Total Liabilities",Inputs!$B:$B,Inputs!K:K)/_xlfn.XLOOKUP("Total Assets",Inputs!$B:$B,Inputs!K:K),"")</f>
        <v>0.44867234554733026</v>
      </c>
      <c r="K42" s="16">
        <f>IFERROR(_xlfn.XLOOKUP("Total Liabilities",Inputs!$B:$B,Inputs!L:L)/_xlfn.XLOOKUP("Total Assets",Inputs!$B:$B,Inputs!L:L),"")</f>
        <v>0.48002736384997474</v>
      </c>
      <c r="L42" s="16">
        <f>IFERROR(_xlfn.XLOOKUP("Total Liabilities",Inputs!$B:$B,Inputs!M:M)/_xlfn.XLOOKUP("Total Assets",Inputs!$B:$B,Inputs!M:M),"")</f>
        <v>0.44114194684329672</v>
      </c>
      <c r="M42" s="16">
        <f>IFERROR(_xlfn.XLOOKUP("Total Liabilities",Inputs!$B:$B,Inputs!N:N)/_xlfn.XLOOKUP("Total Assets",Inputs!$B:$B,Inputs!N:N),"")</f>
        <v>0.27387088820976219</v>
      </c>
      <c r="N42" s="16">
        <f>IFERROR(_xlfn.XLOOKUP("Total Liabilities",Inputs!$B:$B,Inputs!O:O)/_xlfn.XLOOKUP("Total Assets",Inputs!$B:$B,Inputs!O:O),"")</f>
        <v>0.27507832628264256</v>
      </c>
      <c r="O42" s="16">
        <f>IFERROR(_xlfn.XLOOKUP("Total Liabilities",Inputs!$B:$B,Inputs!P:P)/_xlfn.XLOOKUP("Total Assets",Inputs!$B:$B,Inputs!P:P),"")</f>
        <v>0.2711248193956286</v>
      </c>
      <c r="P42" s="352">
        <f>IFERROR(_xlfn.XLOOKUP("Total Liabilities",Inputs!$B:$B,Inputs!Q:Q)/_xlfn.XLOOKUP("Total Assets",Inputs!$B:$B,Inputs!Q:Q),"")</f>
        <v>0.27062948517778984</v>
      </c>
      <c r="Q42" s="359" t="str">
        <f>IFERROR(+_xlfn.XLOOKUP("Total Liabilities",DCF!$6:$6,DCF!10:10)/_xlfn.XLOOKUP("Total Assets",DCF!$6:$6,DCF!10:10),"")</f>
        <v/>
      </c>
      <c r="R42" s="359" t="str">
        <f>IFERROR(+_xlfn.XLOOKUP("Total Liabilities",DCF!$6:$6,DCF!10:10)/_xlfn.XLOOKUP("Total Assets",DCF!$6:$6,DCF!10:10),"")</f>
        <v/>
      </c>
    </row>
    <row r="43" spans="2:18" ht="15.5" x14ac:dyDescent="0.35">
      <c r="B43" s="18" t="s">
        <v>59</v>
      </c>
      <c r="F43" s="16" t="str">
        <f>+IFERROR(_xlfn.XLOOKUP("Total Debt",Inputs!$B:$B,Inputs!G:G,,,-1)/_xlfn.XLOOKUP("EBITDA",Inputs!$B:$B,Inputs!G:G),"")</f>
        <v/>
      </c>
      <c r="G43" s="16">
        <f>+IFERROR(_xlfn.XLOOKUP("Total Debt",Inputs!$B:$B,Inputs!H:H,,,-1)/_xlfn.XLOOKUP("EBITDA",Inputs!$B:$B,Inputs!H:H),"")</f>
        <v>0.94646937221194638</v>
      </c>
      <c r="H43" s="16">
        <f>+IFERROR(_xlfn.XLOOKUP("Total Debt",Inputs!$B:$B,Inputs!I:I,,,-1)/_xlfn.XLOOKUP("EBITDA",Inputs!$B:$B,Inputs!I:I),"")</f>
        <v>1.5577338129496408</v>
      </c>
      <c r="I43" s="16">
        <f>+IFERROR(_xlfn.XLOOKUP("Total Debt",Inputs!$B:$B,Inputs!J:J,,,-1)/_xlfn.XLOOKUP("EBITDA",Inputs!$B:$B,Inputs!J:J),"")</f>
        <v>5.5999286733238236</v>
      </c>
      <c r="J43" s="16">
        <f>+IFERROR(_xlfn.XLOOKUP("Total Debt",Inputs!$B:$B,Inputs!K:K,,,-1)/_xlfn.XLOOKUP("EBITDA",Inputs!$B:$B,Inputs!K:K),"")</f>
        <v>2.6497761412611411</v>
      </c>
      <c r="K43" s="16">
        <f>+IFERROR(_xlfn.XLOOKUP("Total Debt",Inputs!$B:$B,Inputs!L:L,,,-1)/_xlfn.XLOOKUP("EBITDA",Inputs!$B:$B,Inputs!L:L),"")</f>
        <v>2.4568309922161577</v>
      </c>
      <c r="L43" s="16">
        <f>+IFERROR(_xlfn.XLOOKUP("Total Debt",Inputs!$B:$B,Inputs!M:M,,,-1)/_xlfn.XLOOKUP("EBITDA",Inputs!$B:$B,Inputs!M:M),"")</f>
        <v>2.5984041210039894</v>
      </c>
      <c r="M43" s="16">
        <f>+IFERROR(_xlfn.XLOOKUP("Total Debt",Inputs!$B:$B,Inputs!N:N,,,-1)/_xlfn.XLOOKUP("EBITDA",Inputs!$B:$B,Inputs!N:N),"")</f>
        <v>2.9262589150637561</v>
      </c>
      <c r="N43" s="16">
        <f>+IFERROR(_xlfn.XLOOKUP("Total Debt",Inputs!$B:$B,Inputs!O:O,,,-1)/_xlfn.XLOOKUP("EBITDA",Inputs!$B:$B,Inputs!O:O),"")</f>
        <v>1.4342721976433483</v>
      </c>
      <c r="O43" s="16">
        <f>+IFERROR(_xlfn.XLOOKUP("Total Debt",Inputs!$B:$B,Inputs!P:P,,,-1)/_xlfn.XLOOKUP("EBITDA",Inputs!$B:$B,Inputs!P:P),"")</f>
        <v>1.405672209410527</v>
      </c>
      <c r="P43" s="352">
        <f>+IFERROR(_xlfn.XLOOKUP("Total Debt",Inputs!$B:$B,Inputs!Q:Q,,,-1)/_xlfn.XLOOKUP("EBITDA",Inputs!$B:$B,Inputs!Q:Q),"")</f>
        <v>2.6838472158306481</v>
      </c>
      <c r="Q43" s="359" t="str">
        <f>IFERROR((_xlfn.XLOOKUP("Total Borrowings",DCF!$B:$B,DCF!G:G)+_xlfn.XLOOKUP("Total Leases",DCF!$B:$B,DCF!G:G))/_xlfn.XLOOKUP("EBITDA",DCF!$B:$B,DCF!H:H),"")</f>
        <v/>
      </c>
      <c r="R43" s="359" t="str">
        <f>IFERROR((_xlfn.XLOOKUP("Total Borrowings",DCF!$B:$B,DCF!H:H)+_xlfn.XLOOKUP("Total Leases",DCF!$B:$B,DCF!H:H))/_xlfn.XLOOKUP("EBITDA",DCF!$B:$B,DCF!I:I),"")</f>
        <v/>
      </c>
    </row>
    <row r="44" spans="2:18" ht="15.5" x14ac:dyDescent="0.35">
      <c r="B44" s="18" t="s">
        <v>61</v>
      </c>
      <c r="F44" s="16" t="str">
        <f>IFERROR(_xlfn.XLOOKUP("Total Debt",Inputs!$B:$B,Inputs!G:G,,,-1)/(_xlfn.XLOOKUP("EBITDA",Inputs!$B:$B,Inputs!G:G)+_xlfn.XLOOKUP("Net Capex",Inputs!$B:$B,Inputs!G:G)),"")</f>
        <v/>
      </c>
      <c r="G44" s="16">
        <f>IFERROR(_xlfn.XLOOKUP("Total Debt",Inputs!$B:$B,Inputs!H:H,,,-1)/(_xlfn.XLOOKUP("EBITDA",Inputs!$B:$B,Inputs!H:H)+_xlfn.XLOOKUP("Net Capex",Inputs!$B:$B,Inputs!H:H)),"")</f>
        <v>1.1369755587504899</v>
      </c>
      <c r="H44" s="16">
        <f>IFERROR(_xlfn.XLOOKUP("Total Debt",Inputs!$B:$B,Inputs!I:I,,,-1)/(_xlfn.XLOOKUP("EBITDA",Inputs!$B:$B,Inputs!I:I)+_xlfn.XLOOKUP("Net Capex",Inputs!$B:$B,Inputs!I:I)),"")</f>
        <v>1.7585786802030461</v>
      </c>
      <c r="I44" s="16">
        <f>IFERROR(_xlfn.XLOOKUP("Total Debt",Inputs!$B:$B,Inputs!J:J,,,-1)/(_xlfn.XLOOKUP("EBITDA",Inputs!$B:$B,Inputs!J:J)+_xlfn.XLOOKUP("Net Capex",Inputs!$B:$B,Inputs!J:J)),"")</f>
        <v>6.553505843071787</v>
      </c>
      <c r="J44" s="16">
        <f>IFERROR(_xlfn.XLOOKUP("Total Debt",Inputs!$B:$B,Inputs!K:K,,,-1)/(_xlfn.XLOOKUP("EBITDA",Inputs!$B:$B,Inputs!K:K)+_xlfn.XLOOKUP("Net Capex",Inputs!$B:$B,Inputs!K:K)),"")</f>
        <v>2.9662747669680081</v>
      </c>
      <c r="K44" s="16">
        <f>IFERROR(_xlfn.XLOOKUP("Total Debt",Inputs!$B:$B,Inputs!L:L,,,-1)/(_xlfn.XLOOKUP("EBITDA",Inputs!$B:$B,Inputs!L:L)+_xlfn.XLOOKUP("Net Capex",Inputs!$B:$B,Inputs!L:L)),"")</f>
        <v>2.8014690879412356</v>
      </c>
      <c r="L44" s="16">
        <f>IFERROR(_xlfn.XLOOKUP("Total Debt",Inputs!$B:$B,Inputs!M:M,,,-1)/(_xlfn.XLOOKUP("EBITDA",Inputs!$B:$B,Inputs!M:M)+_xlfn.XLOOKUP("Net Capex",Inputs!$B:$B,Inputs!M:M)),"")</f>
        <v>2.8361722066038251</v>
      </c>
      <c r="M44" s="16">
        <f>IFERROR(_xlfn.XLOOKUP("Total Debt",Inputs!$B:$B,Inputs!N:N,,,-1)/(_xlfn.XLOOKUP("EBITDA",Inputs!$B:$B,Inputs!N:N)+_xlfn.XLOOKUP("Net Capex",Inputs!$B:$B,Inputs!N:N)),"")</f>
        <v>3.437369890835237</v>
      </c>
      <c r="N44" s="16">
        <f>IFERROR(_xlfn.XLOOKUP("Total Debt",Inputs!$B:$B,Inputs!O:O,,,-1)/(_xlfn.XLOOKUP("EBITDA",Inputs!$B:$B,Inputs!O:O)+_xlfn.XLOOKUP("Net Capex",Inputs!$B:$B,Inputs!O:O)),"")</f>
        <v>1.6935450501706837</v>
      </c>
      <c r="O44" s="16">
        <f>IFERROR(_xlfn.XLOOKUP("Total Debt",Inputs!$B:$B,Inputs!P:P,,,-1)/(_xlfn.XLOOKUP("EBITDA",Inputs!$B:$B,Inputs!P:P)+_xlfn.XLOOKUP("Net Capex",Inputs!$B:$B,Inputs!P:P)),"")</f>
        <v>1.8870301976971537</v>
      </c>
      <c r="P44" s="352">
        <f>IFERROR(_xlfn.XLOOKUP("Total Debt",Inputs!$B:$B,Inputs!Q:Q,,,-1)/(_xlfn.XLOOKUP("EBITDA",Inputs!$B:$B,Inputs!Q:Q)+_xlfn.XLOOKUP("Net Capex",Inputs!$B:$B,Inputs!Q:Q)),"")</f>
        <v>3.6190748961764267</v>
      </c>
      <c r="Q44" s="359" t="str">
        <f>IFERROR((_xlfn.XLOOKUP("Total Borrowings",DCF!$B:$B,DCF!G:G)+_xlfn.XLOOKUP("Total Leases",DCF!$B:$B,DCF!G:G))/(_xlfn.XLOOKUP("EBITDA",DCF!$B:$B,DCF!H:H)+_xlfn.XLOOKUP("Net Capex",DCF!$B:$B,DCF!H:H)),"")</f>
        <v/>
      </c>
      <c r="R44" s="359" t="str">
        <f>IFERROR((_xlfn.XLOOKUP("Total Borrowings",DCF!$B:$B,DCF!H:H)+_xlfn.XLOOKUP("Total Leases",DCF!$B:$B,DCF!H:H))/(_xlfn.XLOOKUP("EBITDA",DCF!$B:$B,DCF!I:I)+_xlfn.XLOOKUP("Net Capex",DCF!$B:$B,DCF!I:I)),"")</f>
        <v/>
      </c>
    </row>
    <row r="45" spans="2:18" ht="15.5" x14ac:dyDescent="0.35">
      <c r="B45" s="18" t="s">
        <v>62</v>
      </c>
      <c r="F45" s="16" t="str">
        <f>+IFERROR(_xlfn.XLOOKUP("Net Debt",Inputs!$B:$B,Inputs!G:G,,,-1)/_xlfn.XLOOKUP("EBITDA",Inputs!$B:$B,Inputs!G:G),"")</f>
        <v/>
      </c>
      <c r="G45" s="16">
        <f>+IFERROR(_xlfn.XLOOKUP("Net Debt",Inputs!$B:$B,Inputs!H:H,,,-1)/_xlfn.XLOOKUP("EBITDA",Inputs!$B:$B,Inputs!H:H),"")</f>
        <v>-2.3491459036013489</v>
      </c>
      <c r="H45" s="16">
        <f>+IFERROR(_xlfn.XLOOKUP("Net Debt",Inputs!$B:$B,Inputs!I:I,,,-1)/_xlfn.XLOOKUP("EBITDA",Inputs!$B:$B,Inputs!I:I),"")</f>
        <v>-2.089568345323741</v>
      </c>
      <c r="I45" s="16">
        <f>+IFERROR(_xlfn.XLOOKUP("Net Debt",Inputs!$B:$B,Inputs!J:J,,,-1)/_xlfn.XLOOKUP("EBITDA",Inputs!$B:$B,Inputs!J:J),"")</f>
        <v>4.8525677603423683</v>
      </c>
      <c r="J45" s="16">
        <f>+IFERROR(_xlfn.XLOOKUP("Net Debt",Inputs!$B:$B,Inputs!K:K,,,-1)/_xlfn.XLOOKUP("EBITDA",Inputs!$B:$B,Inputs!K:K),"")</f>
        <v>2.3080882045273863</v>
      </c>
      <c r="K45" s="16">
        <f>+IFERROR(_xlfn.XLOOKUP("Net Debt",Inputs!$B:$B,Inputs!L:L,,,-1)/_xlfn.XLOOKUP("EBITDA",Inputs!$B:$B,Inputs!L:L),"")</f>
        <v>2.1668157824103065</v>
      </c>
      <c r="L45" s="16">
        <f>+IFERROR(_xlfn.XLOOKUP("Net Debt",Inputs!$B:$B,Inputs!M:M,,,-1)/_xlfn.XLOOKUP("EBITDA",Inputs!$B:$B,Inputs!M:M),"")</f>
        <v>2.0651482248371291</v>
      </c>
      <c r="M45" s="16">
        <f>+IFERROR(_xlfn.XLOOKUP("Net Debt",Inputs!$B:$B,Inputs!N:N,,,-1)/_xlfn.XLOOKUP("EBITDA",Inputs!$B:$B,Inputs!N:N),"")</f>
        <v>2.0712772854981627</v>
      </c>
      <c r="N45" s="16">
        <f>+IFERROR(_xlfn.XLOOKUP("Net Debt",Inputs!$B:$B,Inputs!O:O,,,-1)/_xlfn.XLOOKUP("EBITDA",Inputs!$B:$B,Inputs!O:O),"")</f>
        <v>1.1121818739322791</v>
      </c>
      <c r="O45" s="16">
        <f>+IFERROR(_xlfn.XLOOKUP("Net Debt",Inputs!$B:$B,Inputs!P:P,,,-1)/_xlfn.XLOOKUP("EBITDA",Inputs!$B:$B,Inputs!P:P),"")</f>
        <v>1.211858235222721</v>
      </c>
      <c r="P45" s="352">
        <f>+IFERROR(_xlfn.XLOOKUP("Net Debt",Inputs!$B:$B,Inputs!Q:Q,,,-1)/_xlfn.XLOOKUP("EBITDA",Inputs!$B:$B,Inputs!Q:Q),"")</f>
        <v>1.8473220290983745</v>
      </c>
      <c r="Q45" s="359" t="str">
        <f>IFERROR((_xlfn.XLOOKUP("Total Borrowings",DCF!$B:$B,DCF!G:G)+_xlfn.XLOOKUP("Total Leases",DCF!$B:$B,DCF!G:G)-_xlfn.XLOOKUP("Cash &amp; Cash Equivalents &amp; ST Investments",DCF!$B:$B,DCF!G:G))/_xlfn.XLOOKUP("EBITDA",DCF!$B:$B,DCF!H:H),"")</f>
        <v/>
      </c>
      <c r="R45" s="359" t="str">
        <f>IFERROR((_xlfn.XLOOKUP("Total Borrowings",DCF!$B:$B,DCF!H:H)+_xlfn.XLOOKUP("Total Leases",DCF!$B:$B,DCF!H:H)-_xlfn.XLOOKUP("Cash &amp; Cash Equivalents &amp; ST Investments",DCF!$B:$B,DCF!H:H))/_xlfn.XLOOKUP("EBITDA",DCF!$B:$B,DCF!I:I),"")</f>
        <v/>
      </c>
    </row>
    <row r="46" spans="2:18" ht="8.15" customHeight="1" x14ac:dyDescent="0.35">
      <c r="B46" s="248"/>
      <c r="N46" s="250"/>
      <c r="O46" s="250"/>
      <c r="P46" s="355"/>
      <c r="Q46" s="360"/>
      <c r="R46" s="360"/>
    </row>
    <row r="47" spans="2:18" ht="15.5" x14ac:dyDescent="0.35">
      <c r="B47" s="7" t="s">
        <v>559</v>
      </c>
      <c r="C47" s="56"/>
      <c r="D47" s="58"/>
      <c r="E47" s="58"/>
      <c r="F47" s="374">
        <v>2014</v>
      </c>
      <c r="G47" s="374">
        <f t="shared" ref="G47" si="39">+F47+1</f>
        <v>2015</v>
      </c>
      <c r="H47" s="374">
        <f t="shared" ref="H47" si="40">+G47+1</f>
        <v>2016</v>
      </c>
      <c r="I47" s="374">
        <f t="shared" ref="I47" si="41">+H47+1</f>
        <v>2017</v>
      </c>
      <c r="J47" s="374">
        <f t="shared" ref="J47" si="42">+I47+1</f>
        <v>2018</v>
      </c>
      <c r="K47" s="374">
        <f t="shared" ref="K47" si="43">+J47+1</f>
        <v>2019</v>
      </c>
      <c r="L47" s="374">
        <f t="shared" ref="L47" si="44">+K47+1</f>
        <v>2020</v>
      </c>
      <c r="M47" s="374">
        <f t="shared" ref="M47" si="45">+L47+1</f>
        <v>2021</v>
      </c>
      <c r="N47" s="374">
        <v>2022</v>
      </c>
      <c r="O47" s="374">
        <f t="shared" ref="O47" si="46">+N47+1</f>
        <v>2023</v>
      </c>
      <c r="P47" s="375">
        <f>+O47+1</f>
        <v>2024</v>
      </c>
      <c r="Q47" s="373">
        <f>+P47+1</f>
        <v>2025</v>
      </c>
      <c r="R47" s="373">
        <f>+Q47+1</f>
        <v>2026</v>
      </c>
    </row>
    <row r="48" spans="2:18" ht="4" customHeight="1" x14ac:dyDescent="0.35">
      <c r="B48" s="247"/>
      <c r="C48" s="53"/>
      <c r="D48" s="60"/>
      <c r="E48" s="60"/>
      <c r="F48" s="60"/>
      <c r="G48" s="60"/>
      <c r="H48" s="60"/>
      <c r="I48" s="60"/>
      <c r="J48" s="60"/>
      <c r="K48" s="60"/>
      <c r="L48" s="60"/>
      <c r="M48" s="60"/>
      <c r="N48" s="224"/>
      <c r="O48" s="224"/>
      <c r="P48" s="354"/>
      <c r="Q48" s="224"/>
      <c r="R48" s="224"/>
    </row>
    <row r="49" spans="2:18" ht="15.5" x14ac:dyDescent="0.35">
      <c r="B49" s="248" t="s">
        <v>64</v>
      </c>
      <c r="F49" s="16" t="str">
        <f>IFERROR(_xlfn.XLOOKUP("Operating Income (EBIT)",Inputs!$B:$B,Inputs!G:G)/_xlfn.XLOOKUP("Interest Expense",Inputs!$B:$B,Inputs!G:G),"N/A")</f>
        <v>N/A</v>
      </c>
      <c r="G49" s="16">
        <f>IFERROR(_xlfn.XLOOKUP("Operating Income (EBIT)",Inputs!$B:$B,Inputs!H:H)/_xlfn.XLOOKUP("Interest Expense",Inputs!$B:$B,Inputs!H:H),"N/A")</f>
        <v>25.951851851851856</v>
      </c>
      <c r="H49" s="16">
        <f>IFERROR(_xlfn.XLOOKUP("Operating Income (EBIT)",Inputs!$B:$B,Inputs!I:I)/_xlfn.XLOOKUP("Interest Expense",Inputs!$B:$B,Inputs!I:I),"N/A")</f>
        <v>11.00788288288288</v>
      </c>
      <c r="I49" s="16">
        <f>IFERROR(_xlfn.XLOOKUP("Operating Income (EBIT)",Inputs!$B:$B,Inputs!J:J)/_xlfn.XLOOKUP("Interest Expense",Inputs!$B:$B,Inputs!J:J),"N/A")</f>
        <v>4.8137958532695375</v>
      </c>
      <c r="J49" s="16">
        <f>IFERROR(_xlfn.XLOOKUP("Operating Income (EBIT)",Inputs!$B:$B,Inputs!K:K)/_xlfn.XLOOKUP("Interest Expense",Inputs!$B:$B,Inputs!K:K),"N/A")</f>
        <v>6.2732649842271284</v>
      </c>
      <c r="K49" s="16">
        <f>IFERROR(_xlfn.XLOOKUP("Operating Income (EBIT)",Inputs!$B:$B,Inputs!L:L)/_xlfn.XLOOKUP("Interest Expense",Inputs!$B:$B,Inputs!L:L),"N/A")</f>
        <v>6.2160628546486274</v>
      </c>
      <c r="L49" s="16">
        <f>IFERROR(_xlfn.XLOOKUP("Operating Income (EBIT)",Inputs!$B:$B,Inputs!M:M)/_xlfn.XLOOKUP("Interest Expense",Inputs!$B:$B,Inputs!M:M),"N/A")</f>
        <v>6.0486290739782733</v>
      </c>
      <c r="M49" s="16">
        <f>IFERROR(_xlfn.XLOOKUP("Operating Income (EBIT)",Inputs!$B:$B,Inputs!N:N)/_xlfn.XLOOKUP("Interest Expense",Inputs!$B:$B,Inputs!N:N),"N/A")</f>
        <v>6.7034632034632029</v>
      </c>
      <c r="N49" s="16">
        <f>IFERROR(_xlfn.XLOOKUP("Operating Income (EBIT)",Inputs!$B:$B,Inputs!O:O)/_xlfn.XLOOKUP("Interest Expense",Inputs!$B:$B,Inputs!O:O),"N/A")</f>
        <v>11.318862275449103</v>
      </c>
      <c r="O49" s="16">
        <f>IFERROR(_xlfn.XLOOKUP("Operating Income (EBIT)",Inputs!$B:$B,Inputs!P:P)/_xlfn.XLOOKUP("Interest Expense",Inputs!$B:$B,Inputs!P:P),"N/A")</f>
        <v>10.016250944822374</v>
      </c>
      <c r="P49" s="352">
        <f>IFERROR(_xlfn.XLOOKUP("Operating Income (EBIT)",Inputs!$B:$B,Inputs!Q:Q)/_xlfn.XLOOKUP("Interest Expense",Inputs!$B:$B,Inputs!Q:Q),"N/A")</f>
        <v>2.2364990689013062</v>
      </c>
      <c r="Q49" s="359" t="str">
        <f>IFERROR(_xlfn.XLOOKUP("EBIT",DCF!$B:$B,DCF!H:H)/_xlfn.XLOOKUP("Interest Expense",DCF!$B:$B,DCF!H:H),"N/A")</f>
        <v>N/A</v>
      </c>
      <c r="R49" s="359" t="str">
        <f>IFERROR(_xlfn.XLOOKUP("EBIT",DCF!$B:$B,DCF!I:I)/_xlfn.XLOOKUP("Interest Expense",DCF!$B:$B,DCF!I:I),"N/A")</f>
        <v>N/A</v>
      </c>
    </row>
    <row r="50" spans="2:18" ht="15.5" x14ac:dyDescent="0.35">
      <c r="B50" s="18" t="s">
        <v>65</v>
      </c>
      <c r="F50" s="16" t="str">
        <f>IFERROR(_xlfn.XLOOKUP("EBITDA",Inputs!$B:$B,Inputs!G:G)/_xlfn.XLOOKUP("Interest Expense",Inputs!$B:$B,Inputs!G:G),"N/A")</f>
        <v>N/A</v>
      </c>
      <c r="G50" s="16">
        <f>IFERROR(_xlfn.XLOOKUP("EBITDA",Inputs!$B:$B,Inputs!H:H)/_xlfn.XLOOKUP("Interest Expense",Inputs!$B:$B,Inputs!H:H),"N/A")</f>
        <v>34.040740740740745</v>
      </c>
      <c r="H50" s="16">
        <f>IFERROR(_xlfn.XLOOKUP("EBITDA",Inputs!$B:$B,Inputs!I:I)/_xlfn.XLOOKUP("Interest Expense",Inputs!$B:$B,Inputs!I:I),"N/A")</f>
        <v>12.52252252252252</v>
      </c>
      <c r="I50" s="16">
        <f>IFERROR(_xlfn.XLOOKUP("EBITDA",Inputs!$B:$B,Inputs!J:J)/_xlfn.XLOOKUP("Interest Expense",Inputs!$B:$B,Inputs!J:J),"N/A")</f>
        <v>5.5901116427432216</v>
      </c>
      <c r="J50" s="16">
        <f>IFERROR(_xlfn.XLOOKUP("EBITDA",Inputs!$B:$B,Inputs!K:K)/_xlfn.XLOOKUP("Interest Expense",Inputs!$B:$B,Inputs!K:K),"N/A")</f>
        <v>9.4238958990536261</v>
      </c>
      <c r="K50" s="16">
        <f>IFERROR(_xlfn.XLOOKUP("EBITDA",Inputs!$B:$B,Inputs!L:L)/_xlfn.XLOOKUP("Interest Expense",Inputs!$B:$B,Inputs!L:L),"N/A")</f>
        <v>9.7573112178088195</v>
      </c>
      <c r="L50" s="16">
        <f>IFERROR(_xlfn.XLOOKUP("EBITDA",Inputs!$B:$B,Inputs!M:M)/_xlfn.XLOOKUP("Interest Expense",Inputs!$B:$B,Inputs!M:M),"N/A")</f>
        <v>10.243662700465599</v>
      </c>
      <c r="M50" s="16">
        <f>IFERROR(_xlfn.XLOOKUP("EBITDA",Inputs!$B:$B,Inputs!N:N)/_xlfn.XLOOKUP("Interest Expense",Inputs!$B:$B,Inputs!N:N),"N/A")</f>
        <v>12.518939393939393</v>
      </c>
      <c r="N50" s="16">
        <f>IFERROR(_xlfn.XLOOKUP("EBITDA",Inputs!$B:$B,Inputs!O:O)/_xlfn.XLOOKUP("Interest Expense",Inputs!$B:$B,Inputs!O:O),"N/A")</f>
        <v>22.783433133732537</v>
      </c>
      <c r="O50" s="16">
        <f>IFERROR(_xlfn.XLOOKUP("EBITDA",Inputs!$B:$B,Inputs!P:P)/_xlfn.XLOOKUP("Interest Expense",Inputs!$B:$B,Inputs!P:P),"N/A")</f>
        <v>18.682539682539684</v>
      </c>
      <c r="P50" s="352">
        <f>IFERROR(_xlfn.XLOOKUP("EBITDA",Inputs!$B:$B,Inputs!Q:Q)/_xlfn.XLOOKUP("Interest Expense",Inputs!$B:$B,Inputs!Q:Q),"N/A")</f>
        <v>8.7675356921167005</v>
      </c>
      <c r="Q50" s="359" t="str">
        <f>IFERROR(_xlfn.XLOOKUP("EBITDA",DCF!$B:$B,DCF!H:H)/_xlfn.XLOOKUP("Interest Expense",DCF!$B:$B,DCF!H:H),"N/A")</f>
        <v>N/A</v>
      </c>
      <c r="R50" s="359" t="str">
        <f>IFERROR(_xlfn.XLOOKUP("EBITDA",DCF!$B:$B,DCF!I:I)/_xlfn.XLOOKUP("Interest Expense",DCF!$B:$B,DCF!I:I),"N/A")</f>
        <v>N/A</v>
      </c>
    </row>
    <row r="51" spans="2:18" ht="15.5" x14ac:dyDescent="0.35">
      <c r="B51" s="18" t="s">
        <v>66</v>
      </c>
      <c r="F51" s="16" t="str">
        <f>IFERROR((_xlfn.XLOOKUP("EBITDA",Inputs!$B:$B,Inputs!G:G)-_xlfn.XLOOKUP("Net Capex",Inputs!$B:$B,Inputs!G:G))/_xlfn.XLOOKUP("Interest Expense",Inputs!$B:$B,Inputs!G:G),"N/A")</f>
        <v>N/A</v>
      </c>
      <c r="G51" s="16">
        <f>IFERROR((_xlfn.XLOOKUP("EBITDA",Inputs!$B:$B,Inputs!H:H)-_xlfn.XLOOKUP("Net Capex",Inputs!$B:$B,Inputs!H:H))/_xlfn.XLOOKUP("Interest Expense",Inputs!$B:$B,Inputs!H:H),"N/A")</f>
        <v>39.744444444444447</v>
      </c>
      <c r="H51" s="16">
        <f>IFERROR((_xlfn.XLOOKUP("EBITDA",Inputs!$B:$B,Inputs!I:I)-_xlfn.XLOOKUP("Net Capex",Inputs!$B:$B,Inputs!I:I))/_xlfn.XLOOKUP("Interest Expense",Inputs!$B:$B,Inputs!I:I),"N/A")</f>
        <v>13.9527027027027</v>
      </c>
      <c r="I51" s="16">
        <f>IFERROR((_xlfn.XLOOKUP("EBITDA",Inputs!$B:$B,Inputs!J:J)-_xlfn.XLOOKUP("Net Capex",Inputs!$B:$B,Inputs!J:J))/_xlfn.XLOOKUP("Interest Expense",Inputs!$B:$B,Inputs!J:J),"N/A")</f>
        <v>6.4035087719298245</v>
      </c>
      <c r="J51" s="16">
        <f>IFERROR((_xlfn.XLOOKUP("EBITDA",Inputs!$B:$B,Inputs!K:K)-_xlfn.XLOOKUP("Net Capex",Inputs!$B:$B,Inputs!K:K))/_xlfn.XLOOKUP("Interest Expense",Inputs!$B:$B,Inputs!K:K),"N/A")</f>
        <v>10.429416403785488</v>
      </c>
      <c r="K51" s="16">
        <f>IFERROR((_xlfn.XLOOKUP("EBITDA",Inputs!$B:$B,Inputs!L:L)-_xlfn.XLOOKUP("Net Capex",Inputs!$B:$B,Inputs!L:L))/_xlfn.XLOOKUP("Interest Expense",Inputs!$B:$B,Inputs!L:L),"N/A")</f>
        <v>10.95766041030118</v>
      </c>
      <c r="L51" s="16">
        <f>IFERROR((_xlfn.XLOOKUP("EBITDA",Inputs!$B:$B,Inputs!M:M)-_xlfn.XLOOKUP("Net Capex",Inputs!$B:$B,Inputs!M:M))/_xlfn.XLOOKUP("Interest Expense",Inputs!$B:$B,Inputs!M:M),"N/A")</f>
        <v>11.102431453698914</v>
      </c>
      <c r="M51" s="16">
        <f>IFERROR((_xlfn.XLOOKUP("EBITDA",Inputs!$B:$B,Inputs!N:N)-_xlfn.XLOOKUP("Net Capex",Inputs!$B:$B,Inputs!N:N))/_xlfn.XLOOKUP("Interest Expense",Inputs!$B:$B,Inputs!N:N),"N/A")</f>
        <v>14.380411255411255</v>
      </c>
      <c r="N51" s="16">
        <f>IFERROR((_xlfn.XLOOKUP("EBITDA",Inputs!$B:$B,Inputs!O:O)-_xlfn.XLOOKUP("Net Capex",Inputs!$B:$B,Inputs!O:O))/_xlfn.XLOOKUP("Interest Expense",Inputs!$B:$B,Inputs!O:O),"N/A")</f>
        <v>26.271457085828345</v>
      </c>
      <c r="O51" s="16">
        <f>IFERROR((_xlfn.XLOOKUP("EBITDA",Inputs!$B:$B,Inputs!P:P)-_xlfn.XLOOKUP("Net Capex",Inputs!$B:$B,Inputs!P:P))/_xlfn.XLOOKUP("Interest Expense",Inputs!$B:$B,Inputs!P:P),"N/A")</f>
        <v>23.448223733938018</v>
      </c>
      <c r="P51" s="352">
        <f>IFERROR((_xlfn.XLOOKUP("EBITDA",Inputs!$B:$B,Inputs!Q:Q)-_xlfn.XLOOKUP("Net Capex",Inputs!$B:$B,Inputs!Q:Q))/_xlfn.XLOOKUP("Interest Expense",Inputs!$B:$B,Inputs!Q:Q),"N/A")</f>
        <v>11.033209186840475</v>
      </c>
      <c r="Q51" s="359" t="str">
        <f>IFERROR((_xlfn.XLOOKUP("EBITDA",DCF!$B:$B,DCF!H:H)-_xlfn.XLOOKUP("Net Capex",DCF!$B:$B,DCF!H:H))/_xlfn.XLOOKUP("Interest Expense",DCF!$B:$B,DCF!H:H),"N/A")</f>
        <v>N/A</v>
      </c>
      <c r="R51" s="359" t="str">
        <f>IFERROR((_xlfn.XLOOKUP("EBITDA",DCF!$B:$B,DCF!I:I)-_xlfn.XLOOKUP("Net Capex",DCF!$B:$B,DCF!I:I))/_xlfn.XLOOKUP("Interest Expense",DCF!$B:$B,DCF!I:I),"N/A")</f>
        <v>N/A</v>
      </c>
    </row>
    <row r="52" spans="2:18" x14ac:dyDescent="0.3">
      <c r="P52" s="353"/>
      <c r="Q52" s="364"/>
      <c r="R52" s="364"/>
    </row>
    <row r="53" spans="2:18" ht="15.5" x14ac:dyDescent="0.35">
      <c r="B53" s="7" t="s">
        <v>49</v>
      </c>
      <c r="C53" s="56"/>
      <c r="D53" s="58"/>
      <c r="E53" s="58"/>
      <c r="F53" s="374">
        <v>2014</v>
      </c>
      <c r="G53" s="374">
        <f t="shared" ref="G53" si="47">+F53+1</f>
        <v>2015</v>
      </c>
      <c r="H53" s="374">
        <f t="shared" ref="H53" si="48">+G53+1</f>
        <v>2016</v>
      </c>
      <c r="I53" s="374">
        <f t="shared" ref="I53" si="49">+H53+1</f>
        <v>2017</v>
      </c>
      <c r="J53" s="374">
        <f t="shared" ref="J53" si="50">+I53+1</f>
        <v>2018</v>
      </c>
      <c r="K53" s="374">
        <f t="shared" ref="K53" si="51">+J53+1</f>
        <v>2019</v>
      </c>
      <c r="L53" s="374">
        <f t="shared" ref="L53" si="52">+K53+1</f>
        <v>2020</v>
      </c>
      <c r="M53" s="374">
        <f t="shared" ref="M53" si="53">+L53+1</f>
        <v>2021</v>
      </c>
      <c r="N53" s="374">
        <v>2022</v>
      </c>
      <c r="O53" s="374">
        <f t="shared" ref="O53" si="54">+N53+1</f>
        <v>2023</v>
      </c>
      <c r="P53" s="375">
        <f>+O53+1</f>
        <v>2024</v>
      </c>
      <c r="Q53" s="373">
        <f>+P53+1</f>
        <v>2025</v>
      </c>
      <c r="R53" s="373">
        <f>+Q53+1</f>
        <v>2026</v>
      </c>
    </row>
    <row r="54" spans="2:18" ht="3.75" customHeight="1" x14ac:dyDescent="0.35">
      <c r="B54" s="247"/>
      <c r="C54" s="53"/>
      <c r="D54" s="60"/>
      <c r="E54" s="60"/>
      <c r="F54" s="60"/>
      <c r="G54" s="60"/>
      <c r="H54" s="60"/>
      <c r="I54" s="60"/>
      <c r="J54" s="60"/>
      <c r="K54" s="60"/>
      <c r="L54" s="60"/>
      <c r="M54" s="60"/>
      <c r="N54" s="224"/>
      <c r="O54" s="224"/>
      <c r="P54" s="354"/>
      <c r="Q54" s="224"/>
      <c r="R54" s="224"/>
    </row>
    <row r="55" spans="2:18" ht="15.5" x14ac:dyDescent="0.35">
      <c r="B55" s="18" t="s">
        <v>205</v>
      </c>
      <c r="F55" s="370" t="str">
        <f>+IFERROR(_xlfn.XLOOKUP("Operating Cash Flow",Inputs!$B:$B,Inputs!G:G,,,-1)/_xlfn.XLOOKUP("Revenue (Sales)",Inputs!$B:$B,Inputs!G:G),"")</f>
        <v/>
      </c>
      <c r="G55" s="370">
        <f>+IFERROR(_xlfn.XLOOKUP("Operating Cash Flow",Inputs!$B:$B,Inputs!H:H,,,-1)/_xlfn.XLOOKUP("Revenue (Sales)",Inputs!$B:$B,Inputs!H:H),"")</f>
        <v>0.26427178248085936</v>
      </c>
      <c r="H55" s="370">
        <f>+IFERROR(_xlfn.XLOOKUP("Operating Cash Flow",Inputs!$B:$B,Inputs!I:I,,,-1)/_xlfn.XLOOKUP("Revenue (Sales)",Inputs!$B:$B,Inputs!I:I),"")</f>
        <v>0.37741860057286486</v>
      </c>
      <c r="I55" s="370">
        <f>+IFERROR(_xlfn.XLOOKUP("Operating Cash Flow",Inputs!$B:$B,Inputs!J:J,,,-1)/_xlfn.XLOOKUP("Revenue (Sales)",Inputs!$B:$B,Inputs!J:J),"")</f>
        <v>0.22602055800293688</v>
      </c>
      <c r="J55" s="370">
        <f>+IFERROR(_xlfn.XLOOKUP("Operating Cash Flow",Inputs!$B:$B,Inputs!K:K,,,-1)/_xlfn.XLOOKUP("Revenue (Sales)",Inputs!$B:$B,Inputs!K:K),"")</f>
        <v>0.39237232316416859</v>
      </c>
      <c r="K55" s="370">
        <f>+IFERROR(_xlfn.XLOOKUP("Operating Cash Flow",Inputs!$B:$B,Inputs!L:L,,,-1)/_xlfn.XLOOKUP("Revenue (Sales)",Inputs!$B:$B,Inputs!L:L),"")</f>
        <v>0.37607451052394381</v>
      </c>
      <c r="L55" s="370">
        <f>+IFERROR(_xlfn.XLOOKUP("Operating Cash Flow",Inputs!$B:$B,Inputs!M:M,,,-1)/_xlfn.XLOOKUP("Revenue (Sales)",Inputs!$B:$B,Inputs!M:M),"")</f>
        <v>0.35846227980939122</v>
      </c>
      <c r="M55" s="370">
        <f>+IFERROR(_xlfn.XLOOKUP("Operating Cash Flow",Inputs!$B:$B,Inputs!N:N,,,-1)/_xlfn.XLOOKUP("Revenue (Sales)",Inputs!$B:$B,Inputs!N:N),"")</f>
        <v>0.3737343372094612</v>
      </c>
      <c r="N55" s="370">
        <f>+IFERROR(_xlfn.XLOOKUP("Operating Cash Flow",Inputs!$B:$B,Inputs!O:O,,,-1)/_xlfn.XLOOKUP("Revenue (Sales)",Inputs!$B:$B,Inputs!O:O),"")</f>
        <v>0.37251539870151484</v>
      </c>
      <c r="O55" s="370">
        <f>+IFERROR(_xlfn.XLOOKUP("Operating Cash Flow",Inputs!$B:$B,Inputs!P:P,,,-1)/_xlfn.XLOOKUP("Revenue (Sales)",Inputs!$B:$B,Inputs!P:P),"")</f>
        <v>0.3914997358904555</v>
      </c>
      <c r="P55" s="371">
        <f>+IFERROR(_xlfn.XLOOKUP("Operating Cash Flow",Inputs!$B:$B,Inputs!Q:Q,,,-1)/_xlfn.XLOOKUP("Revenue (Sales)",Inputs!$B:$B,Inputs!Q:Q),"")</f>
        <v>0.40865792600135775</v>
      </c>
      <c r="Q55" s="372">
        <f>IFERROR(_xlfn.XLOOKUP("Operating Cash Flow",DCF!$B:$B,DCF!H:H)/_xlfn.XLOOKUP("Revenue (Sales)",DCF!$B:$B,DCF!H:H),"")</f>
        <v>0.41119986534120734</v>
      </c>
      <c r="R55" s="372">
        <f>IFERROR(_xlfn.XLOOKUP("Operating Cash Flow",DCF!$B:$B,DCF!I:I)/_xlfn.XLOOKUP("Revenue (Sales)",DCF!$B:$B,DCF!I:I),"")</f>
        <v>0.36775790563105387</v>
      </c>
    </row>
    <row r="56" spans="2:18" ht="15.5" x14ac:dyDescent="0.35">
      <c r="B56" s="18" t="s">
        <v>206</v>
      </c>
      <c r="F56" s="370" t="str">
        <f>IFERROR(_xlfn.XLOOKUP("Net Changes in Cash",Inputs!$B:$B,Inputs!G:G,,,-1)/_xlfn.XLOOKUP("Net Income",Inputs!$B:$B,Inputs!G:G),"")</f>
        <v/>
      </c>
      <c r="G56" s="370">
        <f>IFERROR(_xlfn.XLOOKUP("Net Changes in Cash",Inputs!$B:$B,Inputs!H:H,,,-1)/_xlfn.XLOOKUP("Net Income",Inputs!$B:$B,Inputs!H:H),"")</f>
        <v>0.51936706774353047</v>
      </c>
      <c r="H56" s="370">
        <f>IFERROR(_xlfn.XLOOKUP("Net Changes in Cash",Inputs!$B:$B,Inputs!I:I,,,-1)/_xlfn.XLOOKUP("Net Income",Inputs!$B:$B,Inputs!I:I),"")</f>
        <v>4.0631555702771341E-2</v>
      </c>
      <c r="I56" s="370">
        <f>IFERROR(_xlfn.XLOOKUP("Net Changes in Cash",Inputs!$B:$B,Inputs!J:J,,,-1)/_xlfn.XLOOKUP("Net Income",Inputs!$B:$B,Inputs!J:J),"")</f>
        <v>0.11225303446442809</v>
      </c>
      <c r="J56" s="370">
        <f>IFERROR(_xlfn.XLOOKUP("Net Changes in Cash",Inputs!$B:$B,Inputs!K:K,,,-1)/_xlfn.XLOOKUP("Net Income",Inputs!$B:$B,Inputs!K:K),"")</f>
        <v>-0.14392430278884463</v>
      </c>
      <c r="K56" s="370">
        <f>IFERROR(_xlfn.XLOOKUP("Net Changes in Cash",Inputs!$B:$B,Inputs!L:L,,,-1)/_xlfn.XLOOKUP("Net Income",Inputs!$B:$B,Inputs!L:L),"")</f>
        <v>-0.12876817138485075</v>
      </c>
      <c r="L56" s="370">
        <f>IFERROR(_xlfn.XLOOKUP("Net Changes in Cash",Inputs!$B:$B,Inputs!M:M,,,-1)/_xlfn.XLOOKUP("Net Income",Inputs!$B:$B,Inputs!M:M),"")</f>
        <v>0.37668700314290993</v>
      </c>
      <c r="M56" s="370">
        <f>IFERROR(_xlfn.XLOOKUP("Net Changes in Cash",Inputs!$B:$B,Inputs!N:N,,,-1)/_xlfn.XLOOKUP("Net Income",Inputs!$B:$B,Inputs!N:N),"")</f>
        <v>0.69024627591885612</v>
      </c>
      <c r="N56" s="370">
        <f>IFERROR(_xlfn.XLOOKUP("Net Changes in Cash",Inputs!$B:$B,Inputs!O:O,,,-1)/_xlfn.XLOOKUP("Net Income",Inputs!$B:$B,Inputs!O:O),"")</f>
        <v>-0.25563000654944829</v>
      </c>
      <c r="O56" s="370">
        <f>IFERROR(_xlfn.XLOOKUP("Net Changes in Cash",Inputs!$B:$B,Inputs!P:P,,,-1)/_xlfn.XLOOKUP("Net Income",Inputs!$B:$B,Inputs!P:P),"")</f>
        <v>-0.2129383413661293</v>
      </c>
      <c r="P56" s="371">
        <f>IFERROR(_xlfn.XLOOKUP("Net Changes in Cash",Inputs!$B:$B,Inputs!Q:Q,,,-1)/_xlfn.XLOOKUP("Net Income",Inputs!$B:$B,Inputs!Q:Q),"")</f>
        <v>1.6037560142790606</v>
      </c>
      <c r="Q56" s="372">
        <f>IFERROR(_xlfn.XLOOKUP("Net Changes in Cash",DCF!$B:$B,DCF!H:H)/_xlfn.XLOOKUP("Net Income",DCF!$B:$B,DCF!H:H),"")</f>
        <v>3.440266347996658</v>
      </c>
      <c r="R56" s="372">
        <f>IFERROR(_xlfn.XLOOKUP("Net Changes in Cash",DCF!$B:$B,DCF!I:I)/_xlfn.XLOOKUP("Net Income",DCF!$B:$B,DCF!I:I),"")</f>
        <v>2.7590619300679071</v>
      </c>
    </row>
    <row r="57" spans="2:18" ht="15.5" x14ac:dyDescent="0.35">
      <c r="B57" s="18" t="s">
        <v>207</v>
      </c>
      <c r="F57" s="370" t="str">
        <f>IFERROR(_xlfn.XLOOKUP("Operating Cash Flow",Inputs!$B:$B,Inputs!G:G,,,-1)/_xlfn.XLOOKUP("Net Income",Inputs!$B:$B,Inputs!G:G),"")</f>
        <v/>
      </c>
      <c r="G57" s="370">
        <f>IFERROR(_xlfn.XLOOKUP("Operating Cash Flow",Inputs!$B:$B,Inputs!H:H,,,-1)/_xlfn.XLOOKUP("Net Income",Inputs!$B:$B,Inputs!H:H),"")</f>
        <v>1.4962914125597491</v>
      </c>
      <c r="H57" s="370">
        <f>IFERROR(_xlfn.XLOOKUP("Operating Cash Flow",Inputs!$B:$B,Inputs!I:I,,,-1)/_xlfn.XLOOKUP("Net Income",Inputs!$B:$B,Inputs!I:I),"")</f>
        <v>1.4257480401899085</v>
      </c>
      <c r="I57" s="370">
        <f>IFERROR(_xlfn.XLOOKUP("Operating Cash Flow",Inputs!$B:$B,Inputs!J:J,,,-1)/_xlfn.XLOOKUP("Net Income",Inputs!$B:$B,Inputs!J:J),"")</f>
        <v>1.0227695578984672</v>
      </c>
      <c r="J57" s="370">
        <f>IFERROR(_xlfn.XLOOKUP("Operating Cash Flow",Inputs!$B:$B,Inputs!K:K,,,-1)/_xlfn.XLOOKUP("Net Income",Inputs!$B:$B,Inputs!K:K),"")</f>
        <v>1.5204183266932272</v>
      </c>
      <c r="K57" s="370">
        <f>IFERROR(_xlfn.XLOOKUP("Operating Cash Flow",Inputs!$B:$B,Inputs!L:L,,,-1)/_xlfn.XLOOKUP("Net Income",Inputs!$B:$B,Inputs!L:L),"")</f>
        <v>1.7238714613618964</v>
      </c>
      <c r="L57" s="370">
        <f>IFERROR(_xlfn.XLOOKUP("Operating Cash Flow",Inputs!$B:$B,Inputs!M:M,,,-1)/_xlfn.XLOOKUP("Net Income",Inputs!$B:$B,Inputs!M:M),"")</f>
        <v>1.8566278424847473</v>
      </c>
      <c r="M57" s="370">
        <f>IFERROR(_xlfn.XLOOKUP("Operating Cash Flow",Inputs!$B:$B,Inputs!N:N,,,-1)/_xlfn.XLOOKUP("Net Income",Inputs!$B:$B,Inputs!N:N),"")</f>
        <v>2.0473837862115425</v>
      </c>
      <c r="N57" s="370">
        <f>IFERROR(_xlfn.XLOOKUP("Operating Cash Flow",Inputs!$B:$B,Inputs!O:O,,,-1)/_xlfn.XLOOKUP("Net Income",Inputs!$B:$B,Inputs!O:O),"")</f>
        <v>2.2547231598569191</v>
      </c>
      <c r="O57" s="370">
        <f>IFERROR(_xlfn.XLOOKUP("Operating Cash Flow",Inputs!$B:$B,Inputs!P:P,,,-1)/_xlfn.XLOOKUP("Net Income",Inputs!$B:$B,Inputs!P:P),"")</f>
        <v>2.0016619577862724</v>
      </c>
      <c r="P57" s="371">
        <f>IFERROR(_xlfn.XLOOKUP("Operating Cash Flow",Inputs!$B:$B,Inputs!Q:Q,,,-1)/_xlfn.XLOOKUP("Net Income",Inputs!$B:$B,Inputs!Q:Q),"")</f>
        <v>5.9793574421853108</v>
      </c>
      <c r="Q57" s="372">
        <f>IFERROR(_xlfn.XLOOKUP("Operating Cash Flow",DCF!$B:$B,DCF!H:H)/_xlfn.XLOOKUP("Net Income",DCF!$B:$B,DCF!H:H),"")</f>
        <v>3.1019990084003202</v>
      </c>
      <c r="R57" s="372">
        <f>IFERROR(_xlfn.XLOOKUP("Operating Cash Flow",DCF!$B:$B,DCF!I:I)/_xlfn.XLOOKUP("Net Income",DCF!$B:$B,DCF!I:I),"")</f>
        <v>2.3722985921745576</v>
      </c>
    </row>
    <row r="58" spans="2:18" ht="15.5" x14ac:dyDescent="0.35">
      <c r="B58" s="18" t="s">
        <v>208</v>
      </c>
      <c r="F58" s="370" t="str">
        <f>IFERROR(_xlfn.XLOOKUP("Net Capex",Inputs!$B:$B,Inputs!G:G,,,-1)/_xlfn.XLOOKUP("Operating Cash Flow",Inputs!$B:$B,Inputs!G:G),"")</f>
        <v/>
      </c>
      <c r="G58" s="370">
        <f>IFERROR(_xlfn.XLOOKUP("Net Capex",Inputs!$B:$B,Inputs!H:H,,,-1)/_xlfn.XLOOKUP("Operating Cash Flow",Inputs!$B:$B,Inputs!H:H),"")</f>
        <v>-0.16964089006389074</v>
      </c>
      <c r="H58" s="370">
        <f>IFERROR(_xlfn.XLOOKUP("Net Capex",Inputs!$B:$B,Inputs!I:I,,,-1)/_xlfn.XLOOKUP("Operating Cash Flow",Inputs!$B:$B,Inputs!I:I),"")</f>
        <v>-9.83504994966313E-2</v>
      </c>
      <c r="I58" s="370">
        <f>IFERROR(_xlfn.XLOOKUP("Net Capex",Inputs!$B:$B,Inputs!J:J,,,-1)/_xlfn.XLOOKUP("Operating Cash Flow",Inputs!$B:$B,Inputs!J:J),"")</f>
        <v>-0.1767151767151767</v>
      </c>
      <c r="J58" s="370">
        <f>IFERROR(_xlfn.XLOOKUP("Net Capex",Inputs!$B:$B,Inputs!K:K,,,-1)/_xlfn.XLOOKUP("Operating Cash Flow",Inputs!$B:$B,Inputs!K:K),"")</f>
        <v>-0.10440550278414673</v>
      </c>
      <c r="K58" s="370">
        <f>IFERROR(_xlfn.XLOOKUP("Net Capex",Inputs!$B:$B,Inputs!L:L,,,-1)/_xlfn.XLOOKUP("Operating Cash Flow",Inputs!$B:$B,Inputs!L:L),"")</f>
        <v>-0.12205405885224802</v>
      </c>
      <c r="L58" s="370">
        <f>IFERROR(_xlfn.XLOOKUP("Net Capex",Inputs!$B:$B,Inputs!M:M,,,-1)/_xlfn.XLOOKUP("Operating Cash Flow",Inputs!$B:$B,Inputs!M:M),"")</f>
        <v>-8.2648742842917594E-2</v>
      </c>
      <c r="M58" s="370">
        <f>IFERROR(_xlfn.XLOOKUP("Net Capex",Inputs!$B:$B,Inputs!N:N,,,-1)/_xlfn.XLOOKUP("Operating Cash Flow",Inputs!$B:$B,Inputs!N:N),"")</f>
        <v>-0.12577236664107347</v>
      </c>
      <c r="N58" s="370">
        <f>IFERROR(_xlfn.XLOOKUP("Net Capex",Inputs!$B:$B,Inputs!O:O,,,-1)/_xlfn.XLOOKUP("Operating Cash Flow",Inputs!$B:$B,Inputs!O:O),"")</f>
        <v>-0.15618715645528894</v>
      </c>
      <c r="O58" s="370">
        <f>IFERROR(_xlfn.XLOOKUP("Net Capex",Inputs!$B:$B,Inputs!P:P,,,-1)/_xlfn.XLOOKUP("Operating Cash Flow",Inputs!$B:$B,Inputs!P:P),"")</f>
        <v>-0.26174858850880106</v>
      </c>
      <c r="P58" s="371">
        <f>IFERROR(_xlfn.XLOOKUP("Net Capex",Inputs!$B:$B,Inputs!Q:Q,,,-1)/_xlfn.XLOOKUP("Operating Cash Flow",Inputs!$B:$B,Inputs!Q:Q),"")</f>
        <v>-0.18948734587929916</v>
      </c>
      <c r="Q58" s="372">
        <f>IFERROR(_xlfn.XLOOKUP("Net Capex",DCF!$B:$B,DCF!H:H)/_xlfn.XLOOKUP("Operating Cash Flow",DCF!$B:$B,DCF!H:H),"")</f>
        <v>0</v>
      </c>
      <c r="R58" s="372">
        <f>IFERROR(_xlfn.XLOOKUP("Net Capex",DCF!$B:$B,DCF!I:I)/_xlfn.XLOOKUP("Operating Cash Flow",DCF!$B:$B,DCF!I:I),"")</f>
        <v>0</v>
      </c>
    </row>
    <row r="59" spans="2:18" ht="15.5" x14ac:dyDescent="0.35">
      <c r="B59" s="18" t="s">
        <v>209</v>
      </c>
      <c r="F59" s="370" t="str">
        <f>IFERROR(_xlfn.XLOOKUP("Investing Cash Flow",Inputs!$B:$B,Inputs!G:G,,,-1)/_xlfn.XLOOKUP("Operating Cash Flow",Inputs!$B:$B,Inputs!G:G),"")</f>
        <v/>
      </c>
      <c r="G59" s="370">
        <f>IFERROR(_xlfn.XLOOKUP("Investing Cash Flow",Inputs!$B:$B,Inputs!H:H,,,-1)/_xlfn.XLOOKUP("Operating Cash Flow",Inputs!$B:$B,Inputs!H:H),"")</f>
        <v>-1.8836748182419039E-2</v>
      </c>
      <c r="H59" s="370">
        <f>IFERROR(_xlfn.XLOOKUP("Investing Cash Flow",Inputs!$B:$B,Inputs!I:I,,,-1)/_xlfn.XLOOKUP("Operating Cash Flow",Inputs!$B:$B,Inputs!I:I),"")</f>
        <v>-0.94346782312398358</v>
      </c>
      <c r="I59" s="370">
        <f>IFERROR(_xlfn.XLOOKUP("Investing Cash Flow",Inputs!$B:$B,Inputs!J:J,,,-1)/_xlfn.XLOOKUP("Operating Cash Flow",Inputs!$B:$B,Inputs!J:J),"")</f>
        <v>-5.732848232848232</v>
      </c>
      <c r="J59" s="370">
        <f>IFERROR(_xlfn.XLOOKUP("Investing Cash Flow",Inputs!$B:$B,Inputs!K:K,,,-1)/_xlfn.XLOOKUP("Operating Cash Flow",Inputs!$B:$B,Inputs!K:K),"")</f>
        <v>-0.12856207009498852</v>
      </c>
      <c r="K59" s="370">
        <f>IFERROR(_xlfn.XLOOKUP("Investing Cash Flow",Inputs!$B:$B,Inputs!L:L,,,-1)/_xlfn.XLOOKUP("Operating Cash Flow",Inputs!$B:$B,Inputs!L:L),"")</f>
        <v>-0.13013181838356042</v>
      </c>
      <c r="L59" s="370">
        <f>IFERROR(_xlfn.XLOOKUP("Investing Cash Flow",Inputs!$B:$B,Inputs!M:M,,,-1)/_xlfn.XLOOKUP("Operating Cash Flow",Inputs!$B:$B,Inputs!M:M),"")</f>
        <v>-8.9868060741847153E-2</v>
      </c>
      <c r="M59" s="370">
        <f>IFERROR(_xlfn.XLOOKUP("Investing Cash Flow",Inputs!$B:$B,Inputs!N:N,,,-1)/_xlfn.XLOOKUP("Operating Cash Flow",Inputs!$B:$B,Inputs!N:N),"")</f>
        <v>0.78370077876494459</v>
      </c>
      <c r="N59" s="370">
        <f>IFERROR(_xlfn.XLOOKUP("Investing Cash Flow",Inputs!$B:$B,Inputs!O:O,,,-1)/_xlfn.XLOOKUP("Operating Cash Flow",Inputs!$B:$B,Inputs!O:O),"")</f>
        <v>-0.1468918979309112</v>
      </c>
      <c r="O59" s="370">
        <f>IFERROR(_xlfn.XLOOKUP("Investing Cash Flow",Inputs!$B:$B,Inputs!P:P,,,-1)/_xlfn.XLOOKUP("Operating Cash Flow",Inputs!$B:$B,Inputs!P:P),"")</f>
        <v>-0.26286947857854531</v>
      </c>
      <c r="P59" s="371">
        <f>IFERROR(_xlfn.XLOOKUP("Investing Cash Flow",Inputs!$B:$B,Inputs!Q:Q,,,-1)/_xlfn.XLOOKUP("Operating Cash Flow",Inputs!$B:$B,Inputs!Q:Q),"")</f>
        <v>-0.28680077871512005</v>
      </c>
      <c r="Q59" s="372">
        <f>IFERROR(_xlfn.XLOOKUP("Investing Cash Flow",DCF!$B:$B,DCF!H:H)/_xlfn.XLOOKUP("Operating Cash Flow",DCF!$B:$B,DCF!H:H),"")</f>
        <v>-2.9124434689086182E-2</v>
      </c>
      <c r="R59" s="372">
        <f>IFERROR(_xlfn.XLOOKUP("Investing Cash Flow",DCF!$B:$B,DCF!I:I)/_xlfn.XLOOKUP("Operating Cash Flow",DCF!$B:$B,DCF!I:I),"")</f>
        <v>-4.4204528328457025E-2</v>
      </c>
    </row>
    <row r="60" spans="2:18" ht="15.5" x14ac:dyDescent="0.35">
      <c r="B60" s="18" t="s">
        <v>210</v>
      </c>
      <c r="F60" s="370" t="str">
        <f>IFERROR((_xlfn.XLOOKUP("Debt Borrowing",Inputs!$B:$B,Inputs!G:G,,,-1)-_xlfn.XLOOKUP("Debt Repayment",Inputs!$B:$B,Inputs!G:G))/_xlfn.XLOOKUP("Operating Cash Flow",Inputs!$B:$B,Inputs!G:G),"")</f>
        <v/>
      </c>
      <c r="G60" s="370">
        <f>IFERROR((_xlfn.XLOOKUP("Debt Borrowing",Inputs!$B:$B,Inputs!H:H,,,-1)-_xlfn.XLOOKUP("Debt Repayment",Inputs!$B:$B,Inputs!H:H))/_xlfn.XLOOKUP("Operating Cash Flow",Inputs!$B:$B,Inputs!H:H),"")</f>
        <v>0</v>
      </c>
      <c r="H60" s="370">
        <f>IFERROR((_xlfn.XLOOKUP("Debt Borrowing",Inputs!$B:$B,Inputs!I:I,,,-1)-_xlfn.XLOOKUP("Debt Repayment",Inputs!$B:$B,Inputs!I:I))/_xlfn.XLOOKUP("Operating Cash Flow",Inputs!$B:$B,Inputs!I:I),"")</f>
        <v>0</v>
      </c>
      <c r="I60" s="370">
        <f>IFERROR((_xlfn.XLOOKUP("Debt Borrowing",Inputs!$B:$B,Inputs!J:J,,,-1)-_xlfn.XLOOKUP("Debt Repayment",Inputs!$B:$B,Inputs!J:J))/_xlfn.XLOOKUP("Operating Cash Flow",Inputs!$B:$B,Inputs!J:J),"")</f>
        <v>0</v>
      </c>
      <c r="J60" s="370">
        <f>IFERROR((_xlfn.XLOOKUP("Debt Borrowing",Inputs!$B:$B,Inputs!K:K,,,-1)-_xlfn.XLOOKUP("Debt Repayment",Inputs!$B:$B,Inputs!K:K))/_xlfn.XLOOKUP("Operating Cash Flow",Inputs!$B:$B,Inputs!K:K),"")</f>
        <v>0</v>
      </c>
      <c r="K60" s="370">
        <f>IFERROR((_xlfn.XLOOKUP("Debt Borrowing",Inputs!$B:$B,Inputs!L:L,,,-1)-_xlfn.XLOOKUP("Debt Repayment",Inputs!$B:$B,Inputs!L:L))/_xlfn.XLOOKUP("Operating Cash Flow",Inputs!$B:$B,Inputs!L:L),"")</f>
        <v>0</v>
      </c>
      <c r="L60" s="370">
        <f>IFERROR((_xlfn.XLOOKUP("Debt Borrowing",Inputs!$B:$B,Inputs!M:M,,,-1)-_xlfn.XLOOKUP("Debt Repayment",Inputs!$B:$B,Inputs!M:M))/_xlfn.XLOOKUP("Operating Cash Flow",Inputs!$B:$B,Inputs!M:M),"")</f>
        <v>0</v>
      </c>
      <c r="M60" s="370">
        <f>IFERROR((_xlfn.XLOOKUP("Debt Borrowing",Inputs!$B:$B,Inputs!N:N,,,-1)-_xlfn.XLOOKUP("Debt Repayment",Inputs!$B:$B,Inputs!N:N))/_xlfn.XLOOKUP("Operating Cash Flow",Inputs!$B:$B,Inputs!N:N),"")</f>
        <v>0</v>
      </c>
      <c r="N60" s="370">
        <f>IFERROR((_xlfn.XLOOKUP("Debt Borrowing",Inputs!$B:$B,Inputs!O:O,,,-1)-_xlfn.XLOOKUP("Debt Repayment",Inputs!$B:$B,Inputs!O:O))/_xlfn.XLOOKUP("Operating Cash Flow",Inputs!$B:$B,Inputs!O:O),"")</f>
        <v>0</v>
      </c>
      <c r="O60" s="370">
        <f>IFERROR((_xlfn.XLOOKUP("Debt Borrowing",Inputs!$B:$B,Inputs!P:P,,,-1)-_xlfn.XLOOKUP("Debt Repayment",Inputs!$B:$B,Inputs!P:P))/_xlfn.XLOOKUP("Operating Cash Flow",Inputs!$B:$B,Inputs!P:P),"")</f>
        <v>0</v>
      </c>
      <c r="P60" s="371">
        <f>IFERROR((_xlfn.XLOOKUP("Debt Borrowing",Inputs!$B:$B,Inputs!Q:Q,,,-1)-_xlfn.XLOOKUP("Debt Repayment",Inputs!$B:$B,Inputs!Q:Q))/_xlfn.XLOOKUP("Operating Cash Flow",Inputs!$B:$B,Inputs!Q:Q),"")</f>
        <v>0.12977702790395848</v>
      </c>
      <c r="Q60" s="372">
        <f>IFERROR((_xlfn.XLOOKUP("Debt Borrowing",DCF!$B:$B,DCF!H:H)-_xlfn.XLOOKUP("Debt Repayment",DCF!$B:$B,DCF!H:H))/_xlfn.XLOOKUP("Operating Cash Flow",DCF!$B:$B,DCF!H:H),"")</f>
        <v>0</v>
      </c>
      <c r="R60" s="372">
        <f>IFERROR((_xlfn.XLOOKUP("Debt Borrowing",DCF!$B:$B,DCF!I:I)-_xlfn.XLOOKUP("Debt Repayment",DCF!$B:$B,DCF!I:I))/_xlfn.XLOOKUP("Operating Cash Flow",DCF!$B:$B,DCF!I:I),"")</f>
        <v>0</v>
      </c>
    </row>
    <row r="61" spans="2:18" ht="15.5" x14ac:dyDescent="0.35">
      <c r="B61" s="18" t="s">
        <v>560</v>
      </c>
      <c r="F61" s="370" t="str">
        <f>IFERROR(-_xlfn.XLOOKUP("Debt Repayment",Inputs!$B:$B,Inputs!G:G,,,-1)/_xlfn.XLOOKUP("Debt Borrowing",Inputs!$B:$B,Inputs!G:G),"")</f>
        <v/>
      </c>
      <c r="G61" s="370" t="str">
        <f>IFERROR(-_xlfn.XLOOKUP("Debt Repayment",Inputs!$B:$B,Inputs!H:H,,,-1)/_xlfn.XLOOKUP("Debt Borrowing",Inputs!$B:$B,Inputs!H:H),"")</f>
        <v/>
      </c>
      <c r="H61" s="370" t="str">
        <f>IFERROR(-_xlfn.XLOOKUP("Debt Repayment",Inputs!$B:$B,Inputs!I:I,,,-1)/_xlfn.XLOOKUP("Debt Borrowing",Inputs!$B:$B,Inputs!I:I),"")</f>
        <v/>
      </c>
      <c r="I61" s="370" t="str">
        <f>IFERROR(-_xlfn.XLOOKUP("Debt Repayment",Inputs!$B:$B,Inputs!J:J,,,-1)/_xlfn.XLOOKUP("Debt Borrowing",Inputs!$B:$B,Inputs!J:J),"")</f>
        <v/>
      </c>
      <c r="J61" s="370" t="str">
        <f>IFERROR(-_xlfn.XLOOKUP("Debt Repayment",Inputs!$B:$B,Inputs!K:K,,,-1)/_xlfn.XLOOKUP("Debt Borrowing",Inputs!$B:$B,Inputs!K:K),"")</f>
        <v/>
      </c>
      <c r="K61" s="370" t="str">
        <f>IFERROR(-_xlfn.XLOOKUP("Debt Repayment",Inputs!$B:$B,Inputs!L:L,,,-1)/_xlfn.XLOOKUP("Debt Borrowing",Inputs!$B:$B,Inputs!L:L),"")</f>
        <v/>
      </c>
      <c r="L61" s="370" t="str">
        <f>IFERROR(-_xlfn.XLOOKUP("Debt Repayment",Inputs!$B:$B,Inputs!M:M,,,-1)/_xlfn.XLOOKUP("Debt Borrowing",Inputs!$B:$B,Inputs!M:M),"")</f>
        <v/>
      </c>
      <c r="M61" s="370" t="str">
        <f>IFERROR(-_xlfn.XLOOKUP("Debt Repayment",Inputs!$B:$B,Inputs!N:N,,,-1)/_xlfn.XLOOKUP("Debt Borrowing",Inputs!$B:$B,Inputs!N:N),"")</f>
        <v/>
      </c>
      <c r="N61" s="370" t="str">
        <f>IFERROR(-_xlfn.XLOOKUP("Debt Repayment",Inputs!$B:$B,Inputs!O:O,,,-1)/_xlfn.XLOOKUP("Debt Borrowing",Inputs!$B:$B,Inputs!O:O),"")</f>
        <v/>
      </c>
      <c r="O61" s="370" t="str">
        <f>IFERROR(-_xlfn.XLOOKUP("Debt Repayment",Inputs!$B:$B,Inputs!P:P,,,-1)/_xlfn.XLOOKUP("Debt Borrowing",Inputs!$B:$B,Inputs!P:P),"")</f>
        <v/>
      </c>
      <c r="P61" s="371" t="str">
        <f>IFERROR(-_xlfn.XLOOKUP("Debt Repayment",Inputs!$B:$B,Inputs!Q:Q,,,-1)/_xlfn.XLOOKUP("Debt Borrowing",Inputs!$B:$B,Inputs!Q:Q),"")</f>
        <v/>
      </c>
      <c r="Q61" s="372" t="str">
        <f>IFERROR(-_xlfn.XLOOKUP("Debt Repayment",DCF!$B:$B,DCF!H:H)/_xlfn.XLOOKUP("Debt Borrowing",DCF!$B:$B,DCF!H:H),"")</f>
        <v/>
      </c>
      <c r="R61" s="372" t="str">
        <f>IFERROR(-_xlfn.XLOOKUP("Debt Repayment",DCF!$B:$B,DCF!I:I)/_xlfn.XLOOKUP("Debt Borrowing",DCF!$B:$B,DCF!I:I),"")</f>
        <v/>
      </c>
    </row>
    <row r="62" spans="2:18" ht="15.5" x14ac:dyDescent="0.35">
      <c r="B62" s="18" t="s">
        <v>212</v>
      </c>
      <c r="F62" s="370" t="str">
        <f>IFERROR(_xlfn.XLOOKUP("Financing Cash Flow",Inputs!$B:$B,Inputs!G:G,,,-1)/_xlfn.XLOOKUP("Operating Cash Flow",Inputs!$B:$B,Inputs!G:G),"")</f>
        <v/>
      </c>
      <c r="G62" s="370">
        <f>IFERROR(_xlfn.XLOOKUP("Financing Cash Flow",Inputs!$B:$B,Inputs!H:H,,,-1)/_xlfn.XLOOKUP("Operating Cash Flow",Inputs!$B:$B,Inputs!H:H),"")</f>
        <v>-0.62965410883454509</v>
      </c>
      <c r="H62" s="370">
        <f>IFERROR(_xlfn.XLOOKUP("Financing Cash Flow",Inputs!$B:$B,Inputs!I:I,,,-1)/_xlfn.XLOOKUP("Operating Cash Flow",Inputs!$B:$B,Inputs!I:I),"")</f>
        <v>-2.5865406954232169E-2</v>
      </c>
      <c r="I62" s="370">
        <f>IFERROR(_xlfn.XLOOKUP("Financing Cash Flow",Inputs!$B:$B,Inputs!J:J,,,-1)/_xlfn.XLOOKUP("Operating Cash Flow",Inputs!$B:$B,Inputs!J:J),"")</f>
        <v>4.8395703395703391</v>
      </c>
      <c r="J62" s="370">
        <f>IFERROR(_xlfn.XLOOKUP("Financing Cash Flow",Inputs!$B:$B,Inputs!K:K,,,-1)/_xlfn.XLOOKUP("Operating Cash Flow",Inputs!$B:$B,Inputs!K:K),"")</f>
        <v>-0.96544382574516863</v>
      </c>
      <c r="K62" s="370">
        <f>IFERROR(_xlfn.XLOOKUP("Financing Cash Flow",Inputs!$B:$B,Inputs!L:L,,,-1)/_xlfn.XLOOKUP("Operating Cash Flow",Inputs!$B:$B,Inputs!L:L),"")</f>
        <v>-0.94394389951622226</v>
      </c>
      <c r="L62" s="370">
        <f>IFERROR(_xlfn.XLOOKUP("Financing Cash Flow",Inputs!$B:$B,Inputs!M:M,,,-1)/_xlfn.XLOOKUP("Operating Cash Flow",Inputs!$B:$B,Inputs!M:M),"")</f>
        <v>-0.70729400049788393</v>
      </c>
      <c r="M62" s="370">
        <f>IFERROR(_xlfn.XLOOKUP("Financing Cash Flow",Inputs!$B:$B,Inputs!N:N,,,-1)/_xlfn.XLOOKUP("Operating Cash Flow",Inputs!$B:$B,Inputs!N:N),"")</f>
        <v>-1.447735000548426</v>
      </c>
      <c r="N62" s="370">
        <f>IFERROR(_xlfn.XLOOKUP("Financing Cash Flow",Inputs!$B:$B,Inputs!O:O,,,-1)/_xlfn.XLOOKUP("Operating Cash Flow",Inputs!$B:$B,Inputs!O:O),"")</f>
        <v>-0.95872994592662109</v>
      </c>
      <c r="O62" s="370">
        <f>IFERROR(_xlfn.XLOOKUP("Financing Cash Flow",Inputs!$B:$B,Inputs!P:P,,,-1)/_xlfn.XLOOKUP("Operating Cash Flow",Inputs!$B:$B,Inputs!P:P),"")</f>
        <v>-0.8435320491531052</v>
      </c>
      <c r="P62" s="371">
        <f>IFERROR(_xlfn.XLOOKUP("Financing Cash Flow",Inputs!$B:$B,Inputs!Q:Q,,,-1)/_xlfn.XLOOKUP("Operating Cash Flow",Inputs!$B:$B,Inputs!Q:Q),"")</f>
        <v>-0.44500973393900067</v>
      </c>
      <c r="Q62" s="372">
        <f>IFERROR(_xlfn.XLOOKUP("Financing Cash Flow",DCF!$B:$B,DCF!H:H)/_xlfn.XLOOKUP("Operating Cash Flow",DCF!$B:$B,DCF!H:H),"")</f>
        <v>0.13817261255126401</v>
      </c>
      <c r="R62" s="372">
        <f>IFERROR(_xlfn.XLOOKUP("Financing Cash Flow",DCF!$B:$B,DCF!I:I)/_xlfn.XLOOKUP("Operating Cash Flow",DCF!$B:$B,DCF!I:I),"")</f>
        <v>0.2072376891494245</v>
      </c>
    </row>
    <row r="63" spans="2:18" ht="15.5" x14ac:dyDescent="0.35">
      <c r="B63" s="18" t="s">
        <v>51</v>
      </c>
      <c r="F63" s="370" t="str">
        <f>IFERROR(_xlfn.XLOOKUP("Net Income",Inputs!$B:$B,Inputs!G:G,,,-1)/_xlfn.XLOOKUP("Operating Cash Flow",Inputs!$B:$B,Inputs!G:G),"")</f>
        <v/>
      </c>
      <c r="G63" s="370">
        <f>IFERROR(_xlfn.XLOOKUP("Net Income",Inputs!$B:$B,Inputs!H:H,,,-1)/_xlfn.XLOOKUP("Operating Cash Flow",Inputs!$B:$B,Inputs!H:H),"")</f>
        <v>0.66831901299845797</v>
      </c>
      <c r="H63" s="370">
        <f>IFERROR(_xlfn.XLOOKUP("Net Income",Inputs!$B:$B,Inputs!I:I,,,-1)/_xlfn.XLOOKUP("Operating Cash Flow",Inputs!$B:$B,Inputs!I:I),"")</f>
        <v>0.70138619995353513</v>
      </c>
      <c r="I63" s="370">
        <f>IFERROR(_xlfn.XLOOKUP("Net Income",Inputs!$B:$B,Inputs!J:J,,,-1)/_xlfn.XLOOKUP("Operating Cash Flow",Inputs!$B:$B,Inputs!J:J),"")</f>
        <v>0.97773735273735274</v>
      </c>
      <c r="J63" s="370">
        <f>IFERROR(_xlfn.XLOOKUP("Net Income",Inputs!$B:$B,Inputs!K:K,,,-1)/_xlfn.XLOOKUP("Operating Cash Flow",Inputs!$B:$B,Inputs!K:K),"")</f>
        <v>0.65771372420569918</v>
      </c>
      <c r="K63" s="370">
        <f>IFERROR(_xlfn.XLOOKUP("Net Income",Inputs!$B:$B,Inputs!L:L,,,-1)/_xlfn.XLOOKUP("Operating Cash Flow",Inputs!$B:$B,Inputs!L:L),"")</f>
        <v>0.58008965425413905</v>
      </c>
      <c r="L63" s="370">
        <f>IFERROR(_xlfn.XLOOKUP("Net Income",Inputs!$B:$B,Inputs!M:M,,,-1)/_xlfn.XLOOKUP("Operating Cash Flow",Inputs!$B:$B,Inputs!M:M),"")</f>
        <v>0.53861090365944742</v>
      </c>
      <c r="M63" s="370">
        <f>IFERROR(_xlfn.XLOOKUP("Net Income",Inputs!$B:$B,Inputs!N:N,,,-1)/_xlfn.XLOOKUP("Operating Cash Flow",Inputs!$B:$B,Inputs!N:N),"")</f>
        <v>0.48842821103433154</v>
      </c>
      <c r="N63" s="370">
        <f>IFERROR(_xlfn.XLOOKUP("Net Income",Inputs!$B:$B,Inputs!O:O,,,-1)/_xlfn.XLOOKUP("Operating Cash Flow",Inputs!$B:$B,Inputs!O:O),"")</f>
        <v>0.44351342896724327</v>
      </c>
      <c r="O63" s="370">
        <f>IFERROR(_xlfn.XLOOKUP("Net Income",Inputs!$B:$B,Inputs!P:P,,,-1)/_xlfn.XLOOKUP("Operating Cash Flow",Inputs!$B:$B,Inputs!P:P),"")</f>
        <v>0.49958485552972437</v>
      </c>
      <c r="P63" s="371">
        <f>IFERROR(_xlfn.XLOOKUP("Net Income",Inputs!$B:$B,Inputs!Q:Q,,,-1)/_xlfn.XLOOKUP("Operating Cash Flow",Inputs!$B:$B,Inputs!Q:Q),"")</f>
        <v>0.16724205061648301</v>
      </c>
      <c r="Q63" s="372">
        <f>IFERROR(_xlfn.XLOOKUP("Net Income",DCF!$B:$B,DCF!H:H)/_xlfn.XLOOKUP("Operating Cash Flow",DCF!$B:$B,DCF!H:H),"")</f>
        <v>0.32237276584936536</v>
      </c>
      <c r="R63" s="372">
        <f>IFERROR(_xlfn.XLOOKUP("Net Income",DCF!$B:$B,DCF!I:I)/_xlfn.XLOOKUP("Operating Cash Flow",DCF!$B:$B,DCF!I:I),"")</f>
        <v>0.4215320968864017</v>
      </c>
    </row>
    <row r="64" spans="2:18" ht="15.5" x14ac:dyDescent="0.35">
      <c r="B64" s="33" t="s">
        <v>52</v>
      </c>
      <c r="F64" s="370" t="str">
        <f>IFERROR(_xlfn.XLOOKUP("Net Changes in Cash",Inputs!$B:$B,Inputs!G:G,,,-1)/_xlfn.XLOOKUP("Operating Cash Flow",Inputs!$B:$B,Inputs!G:G),"")</f>
        <v/>
      </c>
      <c r="G64" s="370">
        <f>IFERROR(_xlfn.XLOOKUP("Net Changes in Cash",Inputs!$B:$B,Inputs!H:H,,,-1)/_xlfn.XLOOKUP("Operating Cash Flow",Inputs!$B:$B,Inputs!H:H),"")</f>
        <v>0.34710288609825957</v>
      </c>
      <c r="H64" s="370">
        <f>IFERROR(_xlfn.XLOOKUP("Net Changes in Cash",Inputs!$B:$B,Inputs!I:I,,,-1)/_xlfn.XLOOKUP("Operating Cash Flow",Inputs!$B:$B,Inputs!I:I),"")</f>
        <v>2.8498412452567179E-2</v>
      </c>
      <c r="I64" s="370">
        <f>IFERROR(_xlfn.XLOOKUP("Net Changes in Cash",Inputs!$B:$B,Inputs!J:J,,,-1)/_xlfn.XLOOKUP("Operating Cash Flow",Inputs!$B:$B,Inputs!J:J),"")</f>
        <v>0.10975398475398475</v>
      </c>
      <c r="J64" s="370">
        <f>IFERROR(_xlfn.XLOOKUP("Net Changes in Cash",Inputs!$B:$B,Inputs!K:K,,,-1)/_xlfn.XLOOKUP("Operating Cash Flow",Inputs!$B:$B,Inputs!K:K),"")</f>
        <v>-9.4660989190959707E-2</v>
      </c>
      <c r="K64" s="370">
        <f>IFERROR(_xlfn.XLOOKUP("Net Changes in Cash",Inputs!$B:$B,Inputs!L:L,,,-1)/_xlfn.XLOOKUP("Operating Cash Flow",Inputs!$B:$B,Inputs!L:L),"")</f>
        <v>-7.4697084017575799E-2</v>
      </c>
      <c r="L64" s="370">
        <f>IFERROR(_xlfn.XLOOKUP("Net Changes in Cash",Inputs!$B:$B,Inputs!M:M,,,-1)/_xlfn.XLOOKUP("Operating Cash Flow",Inputs!$B:$B,Inputs!M:M),"")</f>
        <v>0.20288772715957182</v>
      </c>
      <c r="M64" s="370">
        <f>IFERROR(_xlfn.XLOOKUP("Net Changes in Cash",Inputs!$B:$B,Inputs!N:N,,,-1)/_xlfn.XLOOKUP("Operating Cash Flow",Inputs!$B:$B,Inputs!N:N),"")</f>
        <v>0.33713575372015653</v>
      </c>
      <c r="N64" s="370">
        <f>IFERROR(_xlfn.XLOOKUP("Net Changes in Cash",Inputs!$B:$B,Inputs!O:O,,,-1)/_xlfn.XLOOKUP("Operating Cash Flow",Inputs!$B:$B,Inputs!O:O),"")</f>
        <v>-0.11337534075166467</v>
      </c>
      <c r="O64" s="370">
        <f>IFERROR(_xlfn.XLOOKUP("Net Changes in Cash",Inputs!$B:$B,Inputs!P:P,,,-1)/_xlfn.XLOOKUP("Operating Cash Flow",Inputs!$B:$B,Inputs!P:P),"")</f>
        <v>-0.10638077050813682</v>
      </c>
      <c r="P64" s="371">
        <f>IFERROR(_xlfn.XLOOKUP("Net Changes in Cash",Inputs!$B:$B,Inputs!Q:Q,,,-1)/_xlfn.XLOOKUP("Operating Cash Flow",Inputs!$B:$B,Inputs!Q:Q),"")</f>
        <v>0.26821544451654766</v>
      </c>
      <c r="Q64" s="372">
        <f>IFERROR(_xlfn.XLOOKUP("Net Changes in Cash",DCF!$B:$B,DCF!H:H)/_xlfn.XLOOKUP("Operating Cash Flow",DCF!$B:$B,DCF!H:H),"")</f>
        <v>1.1090481778621779</v>
      </c>
      <c r="R64" s="372">
        <f>IFERROR(_xlfn.XLOOKUP("Net Changes in Cash",DCF!$B:$B,DCF!I:I)/_xlfn.XLOOKUP("Operating Cash Flow",DCF!$B:$B,DCF!I:I),"")</f>
        <v>1.1630331608209674</v>
      </c>
    </row>
    <row r="67" spans="2:20" ht="20.149999999999999" customHeight="1" x14ac:dyDescent="0.3">
      <c r="T67" s="1" t="s">
        <v>489</v>
      </c>
    </row>
    <row r="69" spans="2:20" x14ac:dyDescent="0.3">
      <c r="B69" s="402"/>
    </row>
    <row r="70" spans="2:20" x14ac:dyDescent="0.3">
      <c r="B70" s="402"/>
    </row>
    <row r="71" spans="2:20" x14ac:dyDescent="0.3">
      <c r="B71" s="402"/>
    </row>
    <row r="72" spans="2:20" x14ac:dyDescent="0.3">
      <c r="B72" s="402"/>
    </row>
    <row r="73" spans="2:20" x14ac:dyDescent="0.3">
      <c r="B73" s="402"/>
    </row>
    <row r="74" spans="2:20" x14ac:dyDescent="0.3">
      <c r="B74" s="402"/>
    </row>
    <row r="75" spans="2:20" x14ac:dyDescent="0.3">
      <c r="B75" s="402"/>
    </row>
    <row r="76" spans="2:20" x14ac:dyDescent="0.3">
      <c r="B76" s="402"/>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8" tint="0.59999389629810485"/>
  </sheetPr>
  <dimension ref="B2:L10055"/>
  <sheetViews>
    <sheetView showGridLines="0" zoomScale="85" zoomScaleNormal="85" workbookViewId="0">
      <selection activeCell="J8" sqref="J8"/>
    </sheetView>
  </sheetViews>
  <sheetFormatPr defaultColWidth="8.83203125" defaultRowHeight="14" x14ac:dyDescent="0.3"/>
  <cols>
    <col min="1" max="1" width="4" customWidth="1"/>
    <col min="3" max="7" width="8.58203125" customWidth="1"/>
    <col min="10" max="10" width="15.5" customWidth="1"/>
  </cols>
  <sheetData>
    <row r="2" spans="2:12" s="37" customFormat="1" ht="20.149999999999999" customHeight="1" x14ac:dyDescent="0.4">
      <c r="B2" s="40" t="s">
        <v>561</v>
      </c>
    </row>
    <row r="4" spans="2:12" x14ac:dyDescent="0.3">
      <c r="B4" s="649" t="str">
        <f ca="1">IFERROR(Peers!C6&amp;" Fair Value - Blended Discount Rate and Terminal Growth Rate","")</f>
        <v>ADI Fair Value - Blended Discount Rate and Terminal Growth Rate</v>
      </c>
      <c r="J4" s="649" t="str">
        <f ca="1">IFERROR(Peers!C6&amp;" Fair Value - Monte-Carlo Simulations Discount Rate and Terminal Growth Rate","")</f>
        <v>ADI Fair Value - Monte-Carlo Simulations Discount Rate and Terminal Growth Rate</v>
      </c>
    </row>
    <row r="5" spans="2:12" ht="14.5" thickBot="1" x14ac:dyDescent="0.35">
      <c r="B5" t="s">
        <v>490</v>
      </c>
      <c r="F5" s="90" t="s">
        <v>381</v>
      </c>
    </row>
    <row r="6" spans="2:12" ht="14.5" thickBot="1" x14ac:dyDescent="0.35">
      <c r="B6" s="639"/>
      <c r="C6" s="646"/>
      <c r="D6" s="652">
        <f>DCF!AP285</f>
        <v>0</v>
      </c>
      <c r="E6" s="652">
        <f>DCF!AQ285</f>
        <v>0</v>
      </c>
      <c r="F6" s="652">
        <f>DCF!AR285</f>
        <v>0</v>
      </c>
      <c r="G6" s="652">
        <f>DCF!AS285</f>
        <v>0</v>
      </c>
      <c r="H6" s="652">
        <f>DCF!AT285</f>
        <v>0</v>
      </c>
      <c r="J6" s="758" t="s">
        <v>562</v>
      </c>
      <c r="K6" s="758" t="s">
        <v>166</v>
      </c>
      <c r="L6" s="758" t="s">
        <v>563</v>
      </c>
    </row>
    <row r="7" spans="2:12" x14ac:dyDescent="0.3">
      <c r="C7" s="644">
        <f>DCF!AO286</f>
        <v>0.01</v>
      </c>
      <c r="D7" s="748">
        <f ca="1">IFERROR(DCF!AP286/DCF!$Q$210-1,"")</f>
        <v>-1</v>
      </c>
      <c r="E7" s="748">
        <f ca="1">IFERROR(DCF!AQ286/DCF!$Q$210-1,"")</f>
        <v>-1</v>
      </c>
      <c r="F7" s="748">
        <f ca="1">IFERROR(DCF!AR286/DCF!$Q$210-1,"")</f>
        <v>-1</v>
      </c>
      <c r="G7" s="748">
        <f ca="1">IFERROR(DCF!AS286/DCF!$Q$210-1,"")</f>
        <v>-1</v>
      </c>
      <c r="H7" s="748">
        <f ca="1">IFERROR(DCF!AT286/DCF!$Q$210-1,"")</f>
        <v>-1</v>
      </c>
      <c r="J7" t="s">
        <v>381</v>
      </c>
      <c r="K7" s="17">
        <v>0.1009</v>
      </c>
      <c r="L7" s="17">
        <v>0.01</v>
      </c>
    </row>
    <row r="8" spans="2:12" x14ac:dyDescent="0.3">
      <c r="C8" s="644">
        <f>DCF!AO287</f>
        <v>0.02</v>
      </c>
      <c r="D8" s="748">
        <f ca="1">IFERROR(DCF!AP287/DCF!$Q$210-1,"")</f>
        <v>-1</v>
      </c>
      <c r="E8" s="748">
        <f ca="1">IFERROR(DCF!AQ287/DCF!$Q$210-1,"")</f>
        <v>-1</v>
      </c>
      <c r="F8" s="748">
        <f ca="1">IFERROR(DCF!AR287/DCF!$Q$210-1,"")</f>
        <v>-1</v>
      </c>
      <c r="G8" s="748">
        <f ca="1">IFERROR(DCF!AS287/DCF!$Q$210-1,"")</f>
        <v>-1</v>
      </c>
      <c r="H8" s="748">
        <f ca="1">IFERROR(DCF!AT287/DCF!$Q$210-1,"")</f>
        <v>-1</v>
      </c>
      <c r="J8" t="s">
        <v>161</v>
      </c>
      <c r="K8" s="17">
        <f>+DCF!I7</f>
        <v>0</v>
      </c>
      <c r="L8" s="32">
        <f>+DCF!L7</f>
        <v>0.02</v>
      </c>
    </row>
    <row r="9" spans="2:12" ht="14.5" thickBot="1" x14ac:dyDescent="0.35">
      <c r="B9" s="24" t="s">
        <v>383</v>
      </c>
      <c r="C9" s="644">
        <f>DCF!AO288</f>
        <v>0.03</v>
      </c>
      <c r="D9" s="748">
        <f ca="1">IFERROR(DCF!AP288/DCF!$Q$210-1,"")</f>
        <v>-1</v>
      </c>
      <c r="E9" s="748">
        <f ca="1">IFERROR(DCF!AQ288/DCF!$Q$210-1,"")</f>
        <v>-1</v>
      </c>
      <c r="F9" s="748">
        <f ca="1">IFERROR(DCF!AR288/DCF!$Q$210-1,"")</f>
        <v>-1</v>
      </c>
      <c r="G9" s="748">
        <f ca="1">IFERROR(DCF!AS288/DCF!$Q$210-1,"")</f>
        <v>-1</v>
      </c>
      <c r="H9" s="748">
        <f ca="1">IFERROR(DCF!AT288/DCF!$Q$210-1,"")</f>
        <v>-1</v>
      </c>
      <c r="J9" s="639" t="s">
        <v>21</v>
      </c>
      <c r="K9" s="652">
        <f>+DCF!I8</f>
        <v>0</v>
      </c>
      <c r="L9" s="652">
        <f>+DCF!L8</f>
        <v>0.01</v>
      </c>
    </row>
    <row r="10" spans="2:12" ht="14.5" thickBot="1" x14ac:dyDescent="0.35">
      <c r="C10" s="644">
        <f>DCF!AO289</f>
        <v>0.04</v>
      </c>
      <c r="D10" s="748">
        <f ca="1">IFERROR(DCF!AP289/DCF!$Q$210-1,"")</f>
        <v>-1</v>
      </c>
      <c r="E10" s="748">
        <f ca="1">IFERROR(DCF!AQ289/DCF!$Q$210-1,"")</f>
        <v>-1</v>
      </c>
      <c r="F10" s="748">
        <f ca="1">IFERROR(DCF!AR289/DCF!$Q$210-1,"")</f>
        <v>-1</v>
      </c>
      <c r="G10" s="748">
        <f ca="1">IFERROR(DCF!AS289/DCF!$Q$210-1,"")</f>
        <v>-1</v>
      </c>
      <c r="H10" s="748">
        <f ca="1">IFERROR(DCF!AT289/DCF!$Q$210-1,"")</f>
        <v>-1</v>
      </c>
      <c r="L10" s="759"/>
    </row>
    <row r="11" spans="2:12" ht="14.5" thickBot="1" x14ac:dyDescent="0.35">
      <c r="B11" s="639"/>
      <c r="C11" s="645">
        <f>DCF!AO290</f>
        <v>0.05</v>
      </c>
      <c r="D11" s="749">
        <f ca="1">IFERROR(DCF!AP290/DCF!$Q$210-1,"")</f>
        <v>-1</v>
      </c>
      <c r="E11" s="749">
        <f ca="1">IFERROR(DCF!AQ290/DCF!$Q$210-1,"")</f>
        <v>-1</v>
      </c>
      <c r="F11" s="749">
        <f ca="1">IFERROR(DCF!AR290/DCF!$Q$210-1,"")</f>
        <v>-1</v>
      </c>
      <c r="G11" s="749">
        <f ca="1">IFERROR(DCF!AS290/DCF!$Q$210-1,"")</f>
        <v>-1</v>
      </c>
      <c r="H11" s="749">
        <f ca="1">IFERROR(DCF!AT290/DCF!$Q$210-1,"")</f>
        <v>-1</v>
      </c>
      <c r="J11" s="758" t="s">
        <v>564</v>
      </c>
      <c r="K11" s="638"/>
      <c r="L11" s="638" t="s">
        <v>565</v>
      </c>
    </row>
    <row r="12" spans="2:12" x14ac:dyDescent="0.3">
      <c r="J12" s="648" t="s">
        <v>566</v>
      </c>
      <c r="K12" s="757">
        <f>MIN(B56:B10055)</f>
        <v>0</v>
      </c>
      <c r="L12" s="65">
        <f ca="1">IFERROR(K12/DCF!$Q$210-1,"")</f>
        <v>-1</v>
      </c>
    </row>
    <row r="13" spans="2:12" x14ac:dyDescent="0.3">
      <c r="B13" s="649" t="str">
        <f ca="1">IFERROR(Peers!C6&amp;" Fair Value - Blended Revenue Growth and Operating Margin","")</f>
        <v>ADI Fair Value - Blended Revenue Growth and Operating Margin</v>
      </c>
      <c r="J13" s="762" t="s">
        <v>567</v>
      </c>
      <c r="K13" s="763" t="e">
        <f>AVERAGE(B56:B10055)</f>
        <v>#DIV/0!</v>
      </c>
      <c r="L13" s="68" t="str">
        <f ca="1">IFERROR(K13/DCF!$Q$210-1,"")</f>
        <v/>
      </c>
    </row>
    <row r="14" spans="2:12" ht="14.5" thickBot="1" x14ac:dyDescent="0.35">
      <c r="B14" t="s">
        <v>490</v>
      </c>
      <c r="J14" s="760" t="s">
        <v>568</v>
      </c>
      <c r="K14" s="757" t="e">
        <f>MEDIAN(B56:B10055)</f>
        <v>#NUM!</v>
      </c>
      <c r="L14" s="764" t="str">
        <f ca="1">IFERROR(K14/DCF!$Q$210-1,"")</f>
        <v/>
      </c>
    </row>
    <row r="15" spans="2:12" x14ac:dyDescent="0.3">
      <c r="B15" s="647"/>
      <c r="C15" s="648"/>
      <c r="D15" s="647"/>
      <c r="E15" s="653" t="s">
        <v>175</v>
      </c>
      <c r="F15" s="647"/>
      <c r="J15" s="760" t="s">
        <v>569</v>
      </c>
      <c r="K15" s="757">
        <f>MAX(B56:B10055)</f>
        <v>0</v>
      </c>
      <c r="L15" s="65">
        <f ca="1">IFERROR(K15/DCF!$Q$210-1,"")</f>
        <v>-1</v>
      </c>
    </row>
    <row r="16" spans="2:12" ht="14.5" thickBot="1" x14ac:dyDescent="0.35">
      <c r="B16" s="639"/>
      <c r="C16" s="646"/>
      <c r="D16" s="652">
        <f>DCF!F7</f>
        <v>-0.02</v>
      </c>
      <c r="E16" s="652">
        <f>DCF!I7</f>
        <v>0</v>
      </c>
      <c r="F16" s="652">
        <f>DCF!L7</f>
        <v>0.02</v>
      </c>
      <c r="J16" s="646" t="s">
        <v>570</v>
      </c>
      <c r="K16" s="761" t="e">
        <f>_xlfn.STDEV.P(B56:B10055)</f>
        <v>#DIV/0!</v>
      </c>
      <c r="L16" s="750"/>
    </row>
    <row r="17" spans="2:8" x14ac:dyDescent="0.3">
      <c r="C17" s="654">
        <f>DCF!F8</f>
        <v>-0.01</v>
      </c>
      <c r="D17" s="65">
        <f ca="1">IFERROR(DCF!AP296/DCF!$Q$210-1,"")</f>
        <v>-1</v>
      </c>
      <c r="E17" s="65">
        <f ca="1">IFERROR(DCF!AQ296/DCF!$Q$210-1,"")</f>
        <v>-1</v>
      </c>
      <c r="F17" s="65">
        <f ca="1">IFERROR(DCF!AR296/DCF!$Q$210-1,"")</f>
        <v>-1</v>
      </c>
    </row>
    <row r="18" spans="2:8" x14ac:dyDescent="0.3">
      <c r="B18" s="24" t="s">
        <v>379</v>
      </c>
      <c r="C18" s="654">
        <f>DCF!I8</f>
        <v>0</v>
      </c>
      <c r="D18" s="65">
        <f ca="1">IFERROR(DCF!AP297/DCF!$Q$210-1,"")</f>
        <v>-1</v>
      </c>
      <c r="E18" s="65">
        <f ca="1">IFERROR(DCF!AQ297/DCF!$Q$210-1,"")</f>
        <v>-1</v>
      </c>
      <c r="F18" s="65">
        <f ca="1">IFERROR(DCF!AR297/DCF!$Q$210-1,"")</f>
        <v>-1</v>
      </c>
    </row>
    <row r="19" spans="2:8" ht="14.5" thickBot="1" x14ac:dyDescent="0.35">
      <c r="B19" s="639"/>
      <c r="C19" s="655">
        <f>DCF!L8</f>
        <v>0.01</v>
      </c>
      <c r="D19" s="750">
        <f ca="1">IFERROR(DCF!AP298/DCF!$Q$210-1,"")</f>
        <v>-1</v>
      </c>
      <c r="E19" s="750">
        <f ca="1">IFERROR(DCF!AQ298/DCF!$Q$210-1,"")</f>
        <v>-1</v>
      </c>
      <c r="F19" s="750">
        <f ca="1">IFERROR(DCF!AR298/DCF!$Q$210-1,"")</f>
        <v>-1</v>
      </c>
    </row>
    <row r="22" spans="2:8" x14ac:dyDescent="0.3">
      <c r="B22" s="657" t="s">
        <v>491</v>
      </c>
      <c r="C22" s="37"/>
      <c r="D22" s="37"/>
      <c r="E22" s="37"/>
      <c r="F22" s="37"/>
      <c r="G22" s="37"/>
      <c r="H22" s="37"/>
    </row>
    <row r="26" spans="2:8" x14ac:dyDescent="0.3">
      <c r="E26" s="759"/>
    </row>
    <row r="42" spans="2:2" x14ac:dyDescent="0.3">
      <c r="B42" s="1"/>
    </row>
    <row r="43" spans="2:2" x14ac:dyDescent="0.3">
      <c r="B43" s="1"/>
    </row>
    <row r="44" spans="2:2" x14ac:dyDescent="0.3">
      <c r="B44" s="1"/>
    </row>
    <row r="45" spans="2:2" x14ac:dyDescent="0.3">
      <c r="B45" s="1"/>
    </row>
    <row r="46" spans="2:2" x14ac:dyDescent="0.3">
      <c r="B46" s="1"/>
    </row>
    <row r="47" spans="2:2" x14ac:dyDescent="0.3">
      <c r="B47" s="1"/>
    </row>
    <row r="48" spans="2:2" x14ac:dyDescent="0.3">
      <c r="B48" s="1"/>
    </row>
    <row r="49" spans="2:6" x14ac:dyDescent="0.3">
      <c r="B49" s="1"/>
    </row>
    <row r="50" spans="2:6" x14ac:dyDescent="0.3">
      <c r="B50" s="1"/>
    </row>
    <row r="51" spans="2:6" x14ac:dyDescent="0.3">
      <c r="B51" s="1"/>
    </row>
    <row r="52" spans="2:6" x14ac:dyDescent="0.3">
      <c r="B52" s="1"/>
    </row>
    <row r="53" spans="2:6" x14ac:dyDescent="0.3">
      <c r="B53" s="1"/>
    </row>
    <row r="54" spans="2:6" x14ac:dyDescent="0.3">
      <c r="B54" s="1"/>
    </row>
    <row r="55" spans="2:6" x14ac:dyDescent="0.3">
      <c r="B55" s="1" t="s">
        <v>571</v>
      </c>
      <c r="E55" s="32"/>
      <c r="F55" s="32"/>
    </row>
    <row r="56" spans="2:6" ht="15.5" x14ac:dyDescent="0.35">
      <c r="B56" s="171"/>
      <c r="E56" s="32"/>
      <c r="F56" s="32"/>
    </row>
    <row r="57" spans="2:6" ht="15.5" x14ac:dyDescent="0.35">
      <c r="B57" s="171"/>
      <c r="E57" s="32"/>
      <c r="F57" s="656"/>
    </row>
    <row r="58" spans="2:6" ht="15.5" x14ac:dyDescent="0.35">
      <c r="B58" s="171"/>
      <c r="E58" s="32"/>
      <c r="F58" s="656"/>
    </row>
    <row r="59" spans="2:6" ht="15.5" x14ac:dyDescent="0.35">
      <c r="B59" s="171"/>
    </row>
    <row r="60" spans="2:6" ht="15.5" x14ac:dyDescent="0.35">
      <c r="B60" s="171"/>
    </row>
    <row r="61" spans="2:6" ht="15.5" x14ac:dyDescent="0.35">
      <c r="B61" s="171"/>
    </row>
    <row r="62" spans="2:6" ht="15.5" x14ac:dyDescent="0.35">
      <c r="B62" s="171"/>
    </row>
    <row r="63" spans="2:6" ht="15.5" x14ac:dyDescent="0.35">
      <c r="B63" s="171"/>
    </row>
    <row r="64" spans="2:6" ht="15.5" x14ac:dyDescent="0.35">
      <c r="B64" s="171"/>
    </row>
    <row r="65" spans="2:2" ht="15.5" x14ac:dyDescent="0.35">
      <c r="B65" s="171"/>
    </row>
    <row r="66" spans="2:2" ht="15.5" x14ac:dyDescent="0.35">
      <c r="B66" s="171"/>
    </row>
    <row r="67" spans="2:2" ht="15.5" x14ac:dyDescent="0.35">
      <c r="B67" s="171"/>
    </row>
    <row r="68" spans="2:2" ht="15.5" x14ac:dyDescent="0.35">
      <c r="B68" s="171"/>
    </row>
    <row r="69" spans="2:2" ht="15.5" x14ac:dyDescent="0.35">
      <c r="B69" s="171"/>
    </row>
    <row r="70" spans="2:2" ht="15.5" x14ac:dyDescent="0.35">
      <c r="B70" s="171"/>
    </row>
    <row r="71" spans="2:2" ht="15.5" x14ac:dyDescent="0.35">
      <c r="B71" s="171"/>
    </row>
    <row r="72" spans="2:2" ht="15.5" x14ac:dyDescent="0.35">
      <c r="B72" s="171"/>
    </row>
    <row r="73" spans="2:2" ht="15.5" x14ac:dyDescent="0.35">
      <c r="B73" s="171"/>
    </row>
    <row r="74" spans="2:2" ht="15.5" x14ac:dyDescent="0.35">
      <c r="B74" s="171"/>
    </row>
    <row r="75" spans="2:2" ht="15.5" x14ac:dyDescent="0.35">
      <c r="B75" s="171"/>
    </row>
    <row r="76" spans="2:2" ht="15.5" x14ac:dyDescent="0.35">
      <c r="B76" s="171"/>
    </row>
    <row r="77" spans="2:2" ht="15.5" x14ac:dyDescent="0.35">
      <c r="B77" s="171"/>
    </row>
    <row r="78" spans="2:2" ht="15.5" x14ac:dyDescent="0.35">
      <c r="B78" s="171"/>
    </row>
    <row r="79" spans="2:2" ht="15.5" x14ac:dyDescent="0.35">
      <c r="B79" s="171"/>
    </row>
    <row r="80" spans="2:2" ht="15.5" x14ac:dyDescent="0.35">
      <c r="B80" s="171"/>
    </row>
    <row r="81" spans="2:2" ht="15.5" x14ac:dyDescent="0.35">
      <c r="B81" s="171"/>
    </row>
    <row r="82" spans="2:2" ht="15.5" x14ac:dyDescent="0.35">
      <c r="B82" s="171"/>
    </row>
    <row r="83" spans="2:2" ht="15.5" x14ac:dyDescent="0.35">
      <c r="B83" s="171"/>
    </row>
    <row r="84" spans="2:2" ht="15.5" x14ac:dyDescent="0.35">
      <c r="B84" s="171"/>
    </row>
    <row r="85" spans="2:2" ht="15.5" x14ac:dyDescent="0.35">
      <c r="B85" s="171"/>
    </row>
    <row r="86" spans="2:2" ht="15.5" x14ac:dyDescent="0.35">
      <c r="B86" s="171"/>
    </row>
    <row r="87" spans="2:2" ht="15.5" x14ac:dyDescent="0.35">
      <c r="B87" s="171"/>
    </row>
    <row r="88" spans="2:2" ht="15.5" x14ac:dyDescent="0.35">
      <c r="B88" s="171"/>
    </row>
    <row r="89" spans="2:2" ht="15.5" x14ac:dyDescent="0.35">
      <c r="B89" s="171"/>
    </row>
    <row r="90" spans="2:2" ht="15.5" x14ac:dyDescent="0.35">
      <c r="B90" s="171"/>
    </row>
    <row r="91" spans="2:2" ht="15.5" x14ac:dyDescent="0.35">
      <c r="B91" s="171"/>
    </row>
    <row r="92" spans="2:2" ht="15.5" x14ac:dyDescent="0.35">
      <c r="B92" s="171"/>
    </row>
    <row r="93" spans="2:2" ht="15.5" x14ac:dyDescent="0.35">
      <c r="B93" s="171"/>
    </row>
    <row r="94" spans="2:2" ht="15.5" x14ac:dyDescent="0.35">
      <c r="B94" s="171"/>
    </row>
    <row r="95" spans="2:2" ht="15.5" x14ac:dyDescent="0.35">
      <c r="B95" s="171"/>
    </row>
    <row r="96" spans="2:2" ht="15.5" x14ac:dyDescent="0.35">
      <c r="B96" s="171"/>
    </row>
    <row r="97" spans="2:2" ht="15.5" x14ac:dyDescent="0.35">
      <c r="B97" s="171"/>
    </row>
    <row r="98" spans="2:2" ht="15.5" x14ac:dyDescent="0.35">
      <c r="B98" s="171"/>
    </row>
    <row r="99" spans="2:2" ht="15.5" x14ac:dyDescent="0.35">
      <c r="B99" s="171"/>
    </row>
    <row r="100" spans="2:2" ht="15.5" x14ac:dyDescent="0.35">
      <c r="B100" s="171"/>
    </row>
    <row r="101" spans="2:2" ht="15.5" x14ac:dyDescent="0.35">
      <c r="B101" s="171"/>
    </row>
    <row r="102" spans="2:2" ht="15.5" x14ac:dyDescent="0.35">
      <c r="B102" s="171"/>
    </row>
    <row r="103" spans="2:2" ht="15.5" x14ac:dyDescent="0.35">
      <c r="B103" s="171"/>
    </row>
    <row r="104" spans="2:2" ht="15.5" x14ac:dyDescent="0.35">
      <c r="B104" s="171"/>
    </row>
    <row r="105" spans="2:2" ht="15.5" x14ac:dyDescent="0.35">
      <c r="B105" s="171"/>
    </row>
    <row r="106" spans="2:2" ht="15.5" x14ac:dyDescent="0.35">
      <c r="B106" s="171"/>
    </row>
    <row r="107" spans="2:2" ht="15.5" x14ac:dyDescent="0.35">
      <c r="B107" s="171"/>
    </row>
    <row r="108" spans="2:2" ht="15.5" x14ac:dyDescent="0.35">
      <c r="B108" s="171"/>
    </row>
    <row r="109" spans="2:2" ht="15.5" x14ac:dyDescent="0.35">
      <c r="B109" s="171"/>
    </row>
    <row r="110" spans="2:2" ht="15.5" x14ac:dyDescent="0.35">
      <c r="B110" s="171"/>
    </row>
    <row r="111" spans="2:2" ht="15.5" x14ac:dyDescent="0.35">
      <c r="B111" s="171"/>
    </row>
    <row r="112" spans="2:2" ht="15.5" x14ac:dyDescent="0.35">
      <c r="B112" s="171"/>
    </row>
    <row r="113" spans="2:2" ht="15.5" x14ac:dyDescent="0.35">
      <c r="B113" s="171"/>
    </row>
    <row r="114" spans="2:2" ht="15.5" x14ac:dyDescent="0.35">
      <c r="B114" s="171"/>
    </row>
    <row r="115" spans="2:2" ht="15.5" x14ac:dyDescent="0.35">
      <c r="B115" s="171"/>
    </row>
    <row r="116" spans="2:2" ht="15.5" x14ac:dyDescent="0.35">
      <c r="B116" s="171"/>
    </row>
    <row r="117" spans="2:2" ht="15.5" x14ac:dyDescent="0.35">
      <c r="B117" s="171"/>
    </row>
    <row r="118" spans="2:2" ht="15.5" x14ac:dyDescent="0.35">
      <c r="B118" s="171"/>
    </row>
    <row r="119" spans="2:2" ht="15.5" x14ac:dyDescent="0.35">
      <c r="B119" s="171"/>
    </row>
    <row r="120" spans="2:2" ht="15.5" x14ac:dyDescent="0.35">
      <c r="B120" s="171"/>
    </row>
    <row r="121" spans="2:2" ht="15.5" x14ac:dyDescent="0.35">
      <c r="B121" s="171"/>
    </row>
    <row r="122" spans="2:2" ht="15.5" x14ac:dyDescent="0.35">
      <c r="B122" s="171"/>
    </row>
    <row r="123" spans="2:2" ht="15.5" x14ac:dyDescent="0.35">
      <c r="B123" s="171"/>
    </row>
    <row r="124" spans="2:2" ht="15.5" x14ac:dyDescent="0.35">
      <c r="B124" s="171"/>
    </row>
    <row r="125" spans="2:2" ht="15.5" x14ac:dyDescent="0.35">
      <c r="B125" s="171"/>
    </row>
    <row r="126" spans="2:2" ht="15.5" x14ac:dyDescent="0.35">
      <c r="B126" s="171"/>
    </row>
    <row r="127" spans="2:2" ht="15.5" x14ac:dyDescent="0.35">
      <c r="B127" s="171"/>
    </row>
    <row r="128" spans="2:2" ht="15.5" x14ac:dyDescent="0.35">
      <c r="B128" s="171"/>
    </row>
    <row r="129" spans="2:2" ht="15.5" x14ac:dyDescent="0.35">
      <c r="B129" s="171"/>
    </row>
    <row r="130" spans="2:2" ht="15.5" x14ac:dyDescent="0.35">
      <c r="B130" s="171"/>
    </row>
    <row r="131" spans="2:2" ht="15.5" x14ac:dyDescent="0.35">
      <c r="B131" s="171"/>
    </row>
    <row r="132" spans="2:2" ht="15.5" x14ac:dyDescent="0.35">
      <c r="B132" s="171"/>
    </row>
    <row r="133" spans="2:2" ht="15.5" x14ac:dyDescent="0.35">
      <c r="B133" s="171"/>
    </row>
    <row r="134" spans="2:2" ht="15.5" x14ac:dyDescent="0.35">
      <c r="B134" s="171"/>
    </row>
    <row r="135" spans="2:2" ht="15.5" x14ac:dyDescent="0.35">
      <c r="B135" s="171"/>
    </row>
    <row r="136" spans="2:2" ht="15.5" x14ac:dyDescent="0.35">
      <c r="B136" s="171"/>
    </row>
    <row r="137" spans="2:2" ht="15.5" x14ac:dyDescent="0.35">
      <c r="B137" s="171"/>
    </row>
    <row r="138" spans="2:2" ht="15.5" x14ac:dyDescent="0.35">
      <c r="B138" s="171"/>
    </row>
    <row r="139" spans="2:2" ht="15.5" x14ac:dyDescent="0.35">
      <c r="B139" s="171"/>
    </row>
    <row r="140" spans="2:2" ht="15.5" x14ac:dyDescent="0.35">
      <c r="B140" s="171"/>
    </row>
    <row r="141" spans="2:2" ht="15.5" x14ac:dyDescent="0.35">
      <c r="B141" s="171"/>
    </row>
    <row r="142" spans="2:2" ht="15.5" x14ac:dyDescent="0.35">
      <c r="B142" s="171"/>
    </row>
    <row r="143" spans="2:2" ht="15.5" x14ac:dyDescent="0.35">
      <c r="B143" s="171"/>
    </row>
    <row r="144" spans="2:2" ht="15.5" x14ac:dyDescent="0.35">
      <c r="B144" s="171"/>
    </row>
    <row r="145" spans="2:2" ht="15.5" x14ac:dyDescent="0.35">
      <c r="B145" s="171"/>
    </row>
    <row r="146" spans="2:2" ht="15.5" x14ac:dyDescent="0.35">
      <c r="B146" s="171"/>
    </row>
    <row r="147" spans="2:2" ht="15.5" x14ac:dyDescent="0.35">
      <c r="B147" s="171"/>
    </row>
    <row r="148" spans="2:2" ht="15.5" x14ac:dyDescent="0.35">
      <c r="B148" s="171"/>
    </row>
    <row r="149" spans="2:2" ht="15.5" x14ac:dyDescent="0.35">
      <c r="B149" s="171"/>
    </row>
    <row r="150" spans="2:2" ht="15.5" x14ac:dyDescent="0.35">
      <c r="B150" s="171"/>
    </row>
    <row r="151" spans="2:2" ht="15.5" x14ac:dyDescent="0.35">
      <c r="B151" s="171"/>
    </row>
    <row r="152" spans="2:2" ht="15.5" x14ac:dyDescent="0.35">
      <c r="B152" s="171"/>
    </row>
    <row r="153" spans="2:2" ht="15.5" x14ac:dyDescent="0.35">
      <c r="B153" s="171"/>
    </row>
    <row r="154" spans="2:2" ht="15.5" x14ac:dyDescent="0.35">
      <c r="B154" s="171"/>
    </row>
    <row r="155" spans="2:2" ht="15.5" x14ac:dyDescent="0.35">
      <c r="B155" s="171"/>
    </row>
    <row r="156" spans="2:2" ht="15.5" x14ac:dyDescent="0.35">
      <c r="B156" s="171"/>
    </row>
    <row r="157" spans="2:2" ht="15.5" x14ac:dyDescent="0.35">
      <c r="B157" s="171"/>
    </row>
    <row r="158" spans="2:2" ht="15.5" x14ac:dyDescent="0.35">
      <c r="B158" s="171"/>
    </row>
    <row r="159" spans="2:2" ht="15.5" x14ac:dyDescent="0.35">
      <c r="B159" s="171"/>
    </row>
    <row r="160" spans="2:2" ht="15.5" x14ac:dyDescent="0.35">
      <c r="B160" s="171"/>
    </row>
    <row r="161" spans="2:2" ht="15.5" x14ac:dyDescent="0.35">
      <c r="B161" s="171"/>
    </row>
    <row r="162" spans="2:2" ht="15.5" x14ac:dyDescent="0.35">
      <c r="B162" s="171"/>
    </row>
    <row r="163" spans="2:2" ht="15.5" x14ac:dyDescent="0.35">
      <c r="B163" s="171"/>
    </row>
    <row r="164" spans="2:2" ht="15.5" x14ac:dyDescent="0.35">
      <c r="B164" s="171"/>
    </row>
    <row r="165" spans="2:2" ht="15.5" x14ac:dyDescent="0.35">
      <c r="B165" s="171"/>
    </row>
    <row r="166" spans="2:2" ht="15.5" x14ac:dyDescent="0.35">
      <c r="B166" s="171"/>
    </row>
    <row r="167" spans="2:2" ht="15.5" x14ac:dyDescent="0.35">
      <c r="B167" s="171"/>
    </row>
    <row r="168" spans="2:2" ht="15.5" x14ac:dyDescent="0.35">
      <c r="B168" s="171"/>
    </row>
    <row r="169" spans="2:2" ht="15.5" x14ac:dyDescent="0.35">
      <c r="B169" s="171"/>
    </row>
    <row r="170" spans="2:2" ht="15.5" x14ac:dyDescent="0.35">
      <c r="B170" s="171"/>
    </row>
    <row r="171" spans="2:2" ht="15.5" x14ac:dyDescent="0.35">
      <c r="B171" s="171"/>
    </row>
    <row r="172" spans="2:2" ht="15.5" x14ac:dyDescent="0.35">
      <c r="B172" s="171"/>
    </row>
    <row r="173" spans="2:2" ht="15.5" x14ac:dyDescent="0.35">
      <c r="B173" s="171"/>
    </row>
    <row r="174" spans="2:2" ht="15.5" x14ac:dyDescent="0.35">
      <c r="B174" s="171"/>
    </row>
    <row r="175" spans="2:2" ht="15.5" x14ac:dyDescent="0.35">
      <c r="B175" s="171"/>
    </row>
    <row r="176" spans="2:2" ht="15.5" x14ac:dyDescent="0.35">
      <c r="B176" s="171"/>
    </row>
    <row r="177" spans="2:2" ht="15.5" x14ac:dyDescent="0.35">
      <c r="B177" s="171"/>
    </row>
    <row r="178" spans="2:2" ht="15.5" x14ac:dyDescent="0.35">
      <c r="B178" s="171"/>
    </row>
    <row r="179" spans="2:2" ht="15.5" x14ac:dyDescent="0.35">
      <c r="B179" s="171"/>
    </row>
    <row r="180" spans="2:2" ht="15.5" x14ac:dyDescent="0.35">
      <c r="B180" s="171"/>
    </row>
    <row r="181" spans="2:2" ht="15.5" x14ac:dyDescent="0.35">
      <c r="B181" s="171"/>
    </row>
    <row r="182" spans="2:2" ht="15.5" x14ac:dyDescent="0.35">
      <c r="B182" s="171"/>
    </row>
    <row r="183" spans="2:2" ht="15.5" x14ac:dyDescent="0.35">
      <c r="B183" s="171"/>
    </row>
    <row r="184" spans="2:2" ht="15.5" x14ac:dyDescent="0.35">
      <c r="B184" s="171"/>
    </row>
    <row r="185" spans="2:2" ht="15.5" x14ac:dyDescent="0.35">
      <c r="B185" s="171"/>
    </row>
    <row r="186" spans="2:2" ht="15.5" x14ac:dyDescent="0.35">
      <c r="B186" s="171"/>
    </row>
    <row r="187" spans="2:2" ht="15.5" x14ac:dyDescent="0.35">
      <c r="B187" s="171"/>
    </row>
    <row r="188" spans="2:2" ht="15.5" x14ac:dyDescent="0.35">
      <c r="B188" s="171"/>
    </row>
    <row r="189" spans="2:2" ht="15.5" x14ac:dyDescent="0.35">
      <c r="B189" s="171"/>
    </row>
    <row r="190" spans="2:2" ht="15.5" x14ac:dyDescent="0.35">
      <c r="B190" s="171"/>
    </row>
    <row r="191" spans="2:2" ht="15.5" x14ac:dyDescent="0.35">
      <c r="B191" s="171"/>
    </row>
    <row r="192" spans="2:2" ht="15.5" x14ac:dyDescent="0.35">
      <c r="B192" s="171"/>
    </row>
    <row r="193" spans="2:2" ht="15.5" x14ac:dyDescent="0.35">
      <c r="B193" s="171"/>
    </row>
    <row r="194" spans="2:2" ht="15.5" x14ac:dyDescent="0.35">
      <c r="B194" s="171"/>
    </row>
    <row r="195" spans="2:2" ht="15.5" x14ac:dyDescent="0.35">
      <c r="B195" s="171"/>
    </row>
    <row r="196" spans="2:2" ht="15.5" x14ac:dyDescent="0.35">
      <c r="B196" s="171"/>
    </row>
    <row r="197" spans="2:2" ht="15.5" x14ac:dyDescent="0.35">
      <c r="B197" s="171"/>
    </row>
    <row r="198" spans="2:2" ht="15.5" x14ac:dyDescent="0.35">
      <c r="B198" s="171"/>
    </row>
    <row r="199" spans="2:2" ht="15.5" x14ac:dyDescent="0.35">
      <c r="B199" s="171"/>
    </row>
    <row r="200" spans="2:2" ht="15.5" x14ac:dyDescent="0.35">
      <c r="B200" s="171"/>
    </row>
    <row r="201" spans="2:2" ht="15.5" x14ac:dyDescent="0.35">
      <c r="B201" s="171"/>
    </row>
    <row r="202" spans="2:2" ht="15.5" x14ac:dyDescent="0.35">
      <c r="B202" s="171"/>
    </row>
    <row r="203" spans="2:2" ht="15.5" x14ac:dyDescent="0.35">
      <c r="B203" s="171"/>
    </row>
    <row r="204" spans="2:2" ht="15.5" x14ac:dyDescent="0.35">
      <c r="B204" s="171"/>
    </row>
    <row r="205" spans="2:2" ht="15.5" x14ac:dyDescent="0.35">
      <c r="B205" s="171"/>
    </row>
    <row r="206" spans="2:2" ht="15.5" x14ac:dyDescent="0.35">
      <c r="B206" s="171"/>
    </row>
    <row r="207" spans="2:2" ht="15.5" x14ac:dyDescent="0.35">
      <c r="B207" s="171"/>
    </row>
    <row r="208" spans="2:2" ht="15.5" x14ac:dyDescent="0.35">
      <c r="B208" s="171"/>
    </row>
    <row r="209" spans="2:2" ht="15.5" x14ac:dyDescent="0.35">
      <c r="B209" s="171"/>
    </row>
    <row r="210" spans="2:2" ht="15.5" x14ac:dyDescent="0.35">
      <c r="B210" s="171"/>
    </row>
    <row r="211" spans="2:2" ht="15.5" x14ac:dyDescent="0.35">
      <c r="B211" s="171"/>
    </row>
    <row r="212" spans="2:2" ht="15.5" x14ac:dyDescent="0.35">
      <c r="B212" s="171"/>
    </row>
    <row r="213" spans="2:2" ht="15.5" x14ac:dyDescent="0.35">
      <c r="B213" s="171"/>
    </row>
    <row r="214" spans="2:2" ht="15.5" x14ac:dyDescent="0.35">
      <c r="B214" s="171"/>
    </row>
    <row r="215" spans="2:2" ht="15.5" x14ac:dyDescent="0.35">
      <c r="B215" s="171"/>
    </row>
    <row r="216" spans="2:2" ht="15.5" x14ac:dyDescent="0.35">
      <c r="B216" s="171"/>
    </row>
    <row r="217" spans="2:2" ht="15.5" x14ac:dyDescent="0.35">
      <c r="B217" s="171"/>
    </row>
    <row r="218" spans="2:2" ht="15.5" x14ac:dyDescent="0.35">
      <c r="B218" s="171"/>
    </row>
    <row r="219" spans="2:2" ht="15.5" x14ac:dyDescent="0.35">
      <c r="B219" s="171"/>
    </row>
    <row r="220" spans="2:2" ht="15.5" x14ac:dyDescent="0.35">
      <c r="B220" s="171"/>
    </row>
    <row r="221" spans="2:2" ht="15.5" x14ac:dyDescent="0.35">
      <c r="B221" s="171"/>
    </row>
    <row r="222" spans="2:2" ht="15.5" x14ac:dyDescent="0.35">
      <c r="B222" s="171"/>
    </row>
    <row r="223" spans="2:2" ht="15.5" x14ac:dyDescent="0.35">
      <c r="B223" s="171"/>
    </row>
    <row r="224" spans="2:2" ht="15.5" x14ac:dyDescent="0.35">
      <c r="B224" s="171"/>
    </row>
    <row r="225" spans="2:2" ht="15.5" x14ac:dyDescent="0.35">
      <c r="B225" s="171"/>
    </row>
    <row r="226" spans="2:2" ht="15.5" x14ac:dyDescent="0.35">
      <c r="B226" s="171"/>
    </row>
    <row r="227" spans="2:2" ht="15.5" x14ac:dyDescent="0.35">
      <c r="B227" s="171"/>
    </row>
    <row r="228" spans="2:2" ht="15.5" x14ac:dyDescent="0.35">
      <c r="B228" s="171"/>
    </row>
    <row r="229" spans="2:2" ht="15.5" x14ac:dyDescent="0.35">
      <c r="B229" s="171"/>
    </row>
    <row r="230" spans="2:2" ht="15.5" x14ac:dyDescent="0.35">
      <c r="B230" s="171"/>
    </row>
    <row r="231" spans="2:2" ht="15.5" x14ac:dyDescent="0.35">
      <c r="B231" s="171"/>
    </row>
    <row r="232" spans="2:2" ht="15.5" x14ac:dyDescent="0.35">
      <c r="B232" s="171"/>
    </row>
    <row r="233" spans="2:2" ht="15.5" x14ac:dyDescent="0.35">
      <c r="B233" s="171"/>
    </row>
    <row r="234" spans="2:2" ht="15.5" x14ac:dyDescent="0.35">
      <c r="B234" s="171"/>
    </row>
    <row r="235" spans="2:2" ht="15.5" x14ac:dyDescent="0.35">
      <c r="B235" s="171"/>
    </row>
    <row r="236" spans="2:2" ht="15.5" x14ac:dyDescent="0.35">
      <c r="B236" s="171"/>
    </row>
    <row r="237" spans="2:2" ht="15.5" x14ac:dyDescent="0.35">
      <c r="B237" s="171"/>
    </row>
    <row r="238" spans="2:2" ht="15.5" x14ac:dyDescent="0.35">
      <c r="B238" s="171"/>
    </row>
    <row r="239" spans="2:2" ht="15.5" x14ac:dyDescent="0.35">
      <c r="B239" s="171"/>
    </row>
    <row r="240" spans="2:2" ht="15.5" x14ac:dyDescent="0.35">
      <c r="B240" s="171"/>
    </row>
    <row r="241" spans="2:2" ht="15.5" x14ac:dyDescent="0.35">
      <c r="B241" s="171"/>
    </row>
    <row r="242" spans="2:2" ht="15.5" x14ac:dyDescent="0.35">
      <c r="B242" s="171"/>
    </row>
    <row r="243" spans="2:2" ht="15.5" x14ac:dyDescent="0.35">
      <c r="B243" s="171"/>
    </row>
    <row r="244" spans="2:2" ht="15.5" x14ac:dyDescent="0.35">
      <c r="B244" s="171"/>
    </row>
    <row r="245" spans="2:2" ht="15.5" x14ac:dyDescent="0.35">
      <c r="B245" s="171"/>
    </row>
    <row r="246" spans="2:2" ht="15.5" x14ac:dyDescent="0.35">
      <c r="B246" s="171"/>
    </row>
    <row r="247" spans="2:2" ht="15.5" x14ac:dyDescent="0.35">
      <c r="B247" s="171"/>
    </row>
    <row r="248" spans="2:2" ht="15.5" x14ac:dyDescent="0.35">
      <c r="B248" s="171"/>
    </row>
    <row r="249" spans="2:2" ht="15.5" x14ac:dyDescent="0.35">
      <c r="B249" s="171"/>
    </row>
    <row r="250" spans="2:2" ht="15.5" x14ac:dyDescent="0.35">
      <c r="B250" s="171"/>
    </row>
    <row r="251" spans="2:2" ht="15.5" x14ac:dyDescent="0.35">
      <c r="B251" s="171"/>
    </row>
    <row r="252" spans="2:2" ht="15.5" x14ac:dyDescent="0.35">
      <c r="B252" s="171"/>
    </row>
    <row r="253" spans="2:2" ht="15.5" x14ac:dyDescent="0.35">
      <c r="B253" s="171"/>
    </row>
    <row r="254" spans="2:2" ht="15.5" x14ac:dyDescent="0.35">
      <c r="B254" s="171"/>
    </row>
    <row r="255" spans="2:2" ht="15.5" x14ac:dyDescent="0.35">
      <c r="B255" s="171"/>
    </row>
    <row r="256" spans="2:2" ht="15.5" x14ac:dyDescent="0.35">
      <c r="B256" s="171"/>
    </row>
    <row r="257" spans="2:2" ht="15.5" x14ac:dyDescent="0.35">
      <c r="B257" s="171"/>
    </row>
    <row r="258" spans="2:2" ht="15.5" x14ac:dyDescent="0.35">
      <c r="B258" s="171"/>
    </row>
    <row r="259" spans="2:2" ht="15.5" x14ac:dyDescent="0.35">
      <c r="B259" s="171"/>
    </row>
    <row r="260" spans="2:2" ht="15.5" x14ac:dyDescent="0.35">
      <c r="B260" s="171"/>
    </row>
    <row r="261" spans="2:2" ht="15.5" x14ac:dyDescent="0.35">
      <c r="B261" s="171"/>
    </row>
    <row r="262" spans="2:2" ht="15.5" x14ac:dyDescent="0.35">
      <c r="B262" s="171"/>
    </row>
    <row r="263" spans="2:2" ht="15.5" x14ac:dyDescent="0.35">
      <c r="B263" s="171"/>
    </row>
    <row r="264" spans="2:2" ht="15.5" x14ac:dyDescent="0.35">
      <c r="B264" s="171"/>
    </row>
    <row r="265" spans="2:2" ht="15.5" x14ac:dyDescent="0.35">
      <c r="B265" s="171"/>
    </row>
    <row r="266" spans="2:2" ht="15.5" x14ac:dyDescent="0.35">
      <c r="B266" s="171"/>
    </row>
    <row r="267" spans="2:2" ht="15.5" x14ac:dyDescent="0.35">
      <c r="B267" s="171"/>
    </row>
    <row r="268" spans="2:2" ht="15.5" x14ac:dyDescent="0.35">
      <c r="B268" s="171"/>
    </row>
    <row r="269" spans="2:2" ht="15.5" x14ac:dyDescent="0.35">
      <c r="B269" s="171"/>
    </row>
    <row r="270" spans="2:2" ht="15.5" x14ac:dyDescent="0.35">
      <c r="B270" s="171"/>
    </row>
    <row r="271" spans="2:2" ht="15.5" x14ac:dyDescent="0.35">
      <c r="B271" s="171"/>
    </row>
    <row r="272" spans="2:2" ht="15.5" x14ac:dyDescent="0.35">
      <c r="B272" s="171"/>
    </row>
    <row r="273" spans="2:2" ht="15.5" x14ac:dyDescent="0.35">
      <c r="B273" s="171"/>
    </row>
    <row r="274" spans="2:2" ht="15.5" x14ac:dyDescent="0.35">
      <c r="B274" s="171"/>
    </row>
    <row r="275" spans="2:2" ht="15.5" x14ac:dyDescent="0.35">
      <c r="B275" s="171"/>
    </row>
    <row r="276" spans="2:2" ht="15.5" x14ac:dyDescent="0.35">
      <c r="B276" s="171"/>
    </row>
    <row r="277" spans="2:2" ht="15.5" x14ac:dyDescent="0.35">
      <c r="B277" s="171"/>
    </row>
    <row r="278" spans="2:2" ht="15.5" x14ac:dyDescent="0.35">
      <c r="B278" s="171"/>
    </row>
    <row r="279" spans="2:2" ht="15.5" x14ac:dyDescent="0.35">
      <c r="B279" s="171"/>
    </row>
    <row r="280" spans="2:2" ht="15.5" x14ac:dyDescent="0.35">
      <c r="B280" s="171"/>
    </row>
    <row r="281" spans="2:2" ht="15.5" x14ac:dyDescent="0.35">
      <c r="B281" s="171"/>
    </row>
    <row r="282" spans="2:2" ht="15.5" x14ac:dyDescent="0.35">
      <c r="B282" s="171"/>
    </row>
    <row r="283" spans="2:2" ht="15.5" x14ac:dyDescent="0.35">
      <c r="B283" s="171"/>
    </row>
    <row r="284" spans="2:2" ht="15.5" x14ac:dyDescent="0.35">
      <c r="B284" s="171"/>
    </row>
    <row r="285" spans="2:2" ht="15.5" x14ac:dyDescent="0.35">
      <c r="B285" s="171"/>
    </row>
    <row r="286" spans="2:2" ht="15.5" x14ac:dyDescent="0.35">
      <c r="B286" s="171"/>
    </row>
    <row r="287" spans="2:2" ht="15.5" x14ac:dyDescent="0.35">
      <c r="B287" s="171"/>
    </row>
    <row r="288" spans="2:2" ht="15.5" x14ac:dyDescent="0.35">
      <c r="B288" s="171"/>
    </row>
    <row r="289" spans="2:2" ht="15.5" x14ac:dyDescent="0.35">
      <c r="B289" s="171"/>
    </row>
    <row r="290" spans="2:2" ht="15.5" x14ac:dyDescent="0.35">
      <c r="B290" s="171"/>
    </row>
    <row r="291" spans="2:2" ht="15.5" x14ac:dyDescent="0.35">
      <c r="B291" s="171"/>
    </row>
    <row r="292" spans="2:2" ht="15.5" x14ac:dyDescent="0.35">
      <c r="B292" s="171"/>
    </row>
    <row r="293" spans="2:2" ht="15.5" x14ac:dyDescent="0.35">
      <c r="B293" s="171"/>
    </row>
    <row r="294" spans="2:2" ht="15.5" x14ac:dyDescent="0.35">
      <c r="B294" s="171"/>
    </row>
    <row r="295" spans="2:2" ht="15.5" x14ac:dyDescent="0.35">
      <c r="B295" s="171"/>
    </row>
    <row r="296" spans="2:2" ht="15.5" x14ac:dyDescent="0.35">
      <c r="B296" s="171"/>
    </row>
    <row r="297" spans="2:2" ht="15.5" x14ac:dyDescent="0.35">
      <c r="B297" s="171"/>
    </row>
    <row r="298" spans="2:2" ht="15.5" x14ac:dyDescent="0.35">
      <c r="B298" s="171"/>
    </row>
    <row r="299" spans="2:2" ht="15.5" x14ac:dyDescent="0.35">
      <c r="B299" s="171"/>
    </row>
    <row r="300" spans="2:2" ht="15.5" x14ac:dyDescent="0.35">
      <c r="B300" s="171"/>
    </row>
    <row r="301" spans="2:2" ht="15.5" x14ac:dyDescent="0.35">
      <c r="B301" s="171"/>
    </row>
    <row r="302" spans="2:2" ht="15.5" x14ac:dyDescent="0.35">
      <c r="B302" s="171"/>
    </row>
    <row r="303" spans="2:2" ht="15.5" x14ac:dyDescent="0.35">
      <c r="B303" s="171"/>
    </row>
    <row r="304" spans="2:2" ht="15.5" x14ac:dyDescent="0.35">
      <c r="B304" s="171"/>
    </row>
    <row r="305" spans="2:2" ht="15.5" x14ac:dyDescent="0.35">
      <c r="B305" s="171"/>
    </row>
    <row r="306" spans="2:2" ht="15.5" x14ac:dyDescent="0.35">
      <c r="B306" s="171"/>
    </row>
    <row r="307" spans="2:2" ht="15.5" x14ac:dyDescent="0.35">
      <c r="B307" s="171"/>
    </row>
    <row r="308" spans="2:2" ht="15.5" x14ac:dyDescent="0.35">
      <c r="B308" s="171"/>
    </row>
    <row r="309" spans="2:2" ht="15.5" x14ac:dyDescent="0.35">
      <c r="B309" s="171"/>
    </row>
    <row r="310" spans="2:2" ht="15.5" x14ac:dyDescent="0.35">
      <c r="B310" s="171"/>
    </row>
    <row r="311" spans="2:2" ht="15.5" x14ac:dyDescent="0.35">
      <c r="B311" s="171"/>
    </row>
    <row r="312" spans="2:2" ht="15.5" x14ac:dyDescent="0.35">
      <c r="B312" s="171"/>
    </row>
    <row r="313" spans="2:2" ht="15.5" x14ac:dyDescent="0.35">
      <c r="B313" s="171"/>
    </row>
    <row r="314" spans="2:2" ht="15.5" x14ac:dyDescent="0.35">
      <c r="B314" s="171"/>
    </row>
    <row r="315" spans="2:2" ht="15.5" x14ac:dyDescent="0.35">
      <c r="B315" s="171"/>
    </row>
    <row r="316" spans="2:2" ht="15.5" x14ac:dyDescent="0.35">
      <c r="B316" s="171"/>
    </row>
    <row r="317" spans="2:2" ht="15.5" x14ac:dyDescent="0.35">
      <c r="B317" s="171"/>
    </row>
    <row r="318" spans="2:2" ht="15.5" x14ac:dyDescent="0.35">
      <c r="B318" s="171"/>
    </row>
    <row r="319" spans="2:2" ht="15.5" x14ac:dyDescent="0.35">
      <c r="B319" s="171"/>
    </row>
    <row r="320" spans="2:2" ht="15.5" x14ac:dyDescent="0.35">
      <c r="B320" s="171"/>
    </row>
    <row r="321" spans="2:2" ht="15.5" x14ac:dyDescent="0.35">
      <c r="B321" s="171"/>
    </row>
    <row r="322" spans="2:2" ht="15.5" x14ac:dyDescent="0.35">
      <c r="B322" s="171"/>
    </row>
    <row r="323" spans="2:2" ht="15.5" x14ac:dyDescent="0.35">
      <c r="B323" s="171"/>
    </row>
    <row r="324" spans="2:2" ht="15.5" x14ac:dyDescent="0.35">
      <c r="B324" s="171"/>
    </row>
    <row r="325" spans="2:2" ht="15.5" x14ac:dyDescent="0.35">
      <c r="B325" s="171"/>
    </row>
    <row r="326" spans="2:2" ht="15.5" x14ac:dyDescent="0.35">
      <c r="B326" s="171"/>
    </row>
    <row r="327" spans="2:2" ht="15.5" x14ac:dyDescent="0.35">
      <c r="B327" s="171"/>
    </row>
    <row r="328" spans="2:2" ht="15.5" x14ac:dyDescent="0.35">
      <c r="B328" s="171"/>
    </row>
    <row r="329" spans="2:2" ht="15.5" x14ac:dyDescent="0.35">
      <c r="B329" s="171"/>
    </row>
    <row r="330" spans="2:2" ht="15.5" x14ac:dyDescent="0.35">
      <c r="B330" s="171"/>
    </row>
    <row r="331" spans="2:2" ht="15.5" x14ac:dyDescent="0.35">
      <c r="B331" s="171"/>
    </row>
    <row r="332" spans="2:2" ht="15.5" x14ac:dyDescent="0.35">
      <c r="B332" s="171"/>
    </row>
    <row r="333" spans="2:2" ht="15.5" x14ac:dyDescent="0.35">
      <c r="B333" s="171"/>
    </row>
    <row r="334" spans="2:2" ht="15.5" x14ac:dyDescent="0.35">
      <c r="B334" s="171"/>
    </row>
    <row r="335" spans="2:2" ht="15.5" x14ac:dyDescent="0.35">
      <c r="B335" s="171"/>
    </row>
    <row r="336" spans="2:2" ht="15.5" x14ac:dyDescent="0.35">
      <c r="B336" s="171"/>
    </row>
    <row r="337" spans="2:2" ht="15.5" x14ac:dyDescent="0.35">
      <c r="B337" s="171"/>
    </row>
    <row r="338" spans="2:2" ht="15.5" x14ac:dyDescent="0.35">
      <c r="B338" s="171"/>
    </row>
    <row r="339" spans="2:2" ht="15.5" x14ac:dyDescent="0.35">
      <c r="B339" s="171"/>
    </row>
    <row r="340" spans="2:2" ht="15.5" x14ac:dyDescent="0.35">
      <c r="B340" s="171"/>
    </row>
    <row r="341" spans="2:2" ht="15.5" x14ac:dyDescent="0.35">
      <c r="B341" s="171"/>
    </row>
    <row r="342" spans="2:2" ht="15.5" x14ac:dyDescent="0.35">
      <c r="B342" s="171"/>
    </row>
    <row r="343" spans="2:2" ht="15.5" x14ac:dyDescent="0.35">
      <c r="B343" s="171"/>
    </row>
    <row r="344" spans="2:2" ht="15.5" x14ac:dyDescent="0.35">
      <c r="B344" s="171"/>
    </row>
    <row r="345" spans="2:2" ht="15.5" x14ac:dyDescent="0.35">
      <c r="B345" s="171"/>
    </row>
    <row r="346" spans="2:2" ht="15.5" x14ac:dyDescent="0.35">
      <c r="B346" s="171"/>
    </row>
    <row r="347" spans="2:2" ht="15.5" x14ac:dyDescent="0.35">
      <c r="B347" s="171"/>
    </row>
    <row r="348" spans="2:2" ht="15.5" x14ac:dyDescent="0.35">
      <c r="B348" s="171"/>
    </row>
    <row r="349" spans="2:2" ht="15.5" x14ac:dyDescent="0.35">
      <c r="B349" s="171"/>
    </row>
    <row r="350" spans="2:2" ht="15.5" x14ac:dyDescent="0.35">
      <c r="B350" s="171"/>
    </row>
    <row r="351" spans="2:2" ht="15.5" x14ac:dyDescent="0.35">
      <c r="B351" s="171"/>
    </row>
    <row r="352" spans="2:2" ht="15.5" x14ac:dyDescent="0.35">
      <c r="B352" s="171"/>
    </row>
    <row r="353" spans="2:2" ht="15.5" x14ac:dyDescent="0.35">
      <c r="B353" s="171"/>
    </row>
    <row r="354" spans="2:2" ht="15.5" x14ac:dyDescent="0.35">
      <c r="B354" s="171"/>
    </row>
    <row r="355" spans="2:2" ht="15.5" x14ac:dyDescent="0.35">
      <c r="B355" s="171"/>
    </row>
    <row r="356" spans="2:2" ht="15.5" x14ac:dyDescent="0.35">
      <c r="B356" s="171"/>
    </row>
    <row r="357" spans="2:2" ht="15.5" x14ac:dyDescent="0.35">
      <c r="B357" s="171"/>
    </row>
    <row r="358" spans="2:2" ht="15.5" x14ac:dyDescent="0.35">
      <c r="B358" s="171"/>
    </row>
    <row r="359" spans="2:2" ht="15.5" x14ac:dyDescent="0.35">
      <c r="B359" s="171"/>
    </row>
    <row r="360" spans="2:2" ht="15.5" x14ac:dyDescent="0.35">
      <c r="B360" s="171"/>
    </row>
    <row r="361" spans="2:2" ht="15.5" x14ac:dyDescent="0.35">
      <c r="B361" s="171"/>
    </row>
    <row r="362" spans="2:2" ht="15.5" x14ac:dyDescent="0.35">
      <c r="B362" s="171"/>
    </row>
    <row r="363" spans="2:2" ht="15.5" x14ac:dyDescent="0.35">
      <c r="B363" s="171"/>
    </row>
    <row r="364" spans="2:2" ht="15.5" x14ac:dyDescent="0.35">
      <c r="B364" s="171"/>
    </row>
    <row r="365" spans="2:2" ht="15.5" x14ac:dyDescent="0.35">
      <c r="B365" s="171"/>
    </row>
    <row r="366" spans="2:2" ht="15.5" x14ac:dyDescent="0.35">
      <c r="B366" s="171"/>
    </row>
    <row r="367" spans="2:2" ht="15.5" x14ac:dyDescent="0.35">
      <c r="B367" s="171"/>
    </row>
    <row r="368" spans="2:2" ht="15.5" x14ac:dyDescent="0.35">
      <c r="B368" s="171"/>
    </row>
    <row r="369" spans="2:2" ht="15.5" x14ac:dyDescent="0.35">
      <c r="B369" s="171"/>
    </row>
    <row r="370" spans="2:2" ht="15.5" x14ac:dyDescent="0.35">
      <c r="B370" s="171"/>
    </row>
    <row r="371" spans="2:2" ht="15.5" x14ac:dyDescent="0.35">
      <c r="B371" s="171"/>
    </row>
    <row r="372" spans="2:2" ht="15.5" x14ac:dyDescent="0.35">
      <c r="B372" s="171"/>
    </row>
    <row r="373" spans="2:2" ht="15.5" x14ac:dyDescent="0.35">
      <c r="B373" s="171"/>
    </row>
    <row r="374" spans="2:2" ht="15.5" x14ac:dyDescent="0.35">
      <c r="B374" s="171"/>
    </row>
    <row r="375" spans="2:2" ht="15.5" x14ac:dyDescent="0.35">
      <c r="B375" s="171"/>
    </row>
    <row r="376" spans="2:2" ht="15.5" x14ac:dyDescent="0.35">
      <c r="B376" s="171"/>
    </row>
    <row r="377" spans="2:2" ht="15.5" x14ac:dyDescent="0.35">
      <c r="B377" s="171"/>
    </row>
    <row r="378" spans="2:2" ht="15.5" x14ac:dyDescent="0.35">
      <c r="B378" s="171"/>
    </row>
    <row r="379" spans="2:2" ht="15.5" x14ac:dyDescent="0.35">
      <c r="B379" s="171"/>
    </row>
    <row r="380" spans="2:2" ht="15.5" x14ac:dyDescent="0.35">
      <c r="B380" s="171"/>
    </row>
    <row r="381" spans="2:2" ht="15.5" x14ac:dyDescent="0.35">
      <c r="B381" s="171"/>
    </row>
    <row r="382" spans="2:2" ht="15.5" x14ac:dyDescent="0.35">
      <c r="B382" s="171"/>
    </row>
    <row r="383" spans="2:2" ht="15.5" x14ac:dyDescent="0.35">
      <c r="B383" s="171"/>
    </row>
    <row r="384" spans="2:2" ht="15.5" x14ac:dyDescent="0.35">
      <c r="B384" s="171"/>
    </row>
    <row r="385" spans="2:2" ht="15.5" x14ac:dyDescent="0.35">
      <c r="B385" s="171"/>
    </row>
    <row r="386" spans="2:2" ht="15.5" x14ac:dyDescent="0.35">
      <c r="B386" s="171"/>
    </row>
    <row r="387" spans="2:2" ht="15.5" x14ac:dyDescent="0.35">
      <c r="B387" s="171"/>
    </row>
    <row r="388" spans="2:2" ht="15.5" x14ac:dyDescent="0.35">
      <c r="B388" s="171"/>
    </row>
    <row r="389" spans="2:2" ht="15.5" x14ac:dyDescent="0.35">
      <c r="B389" s="171"/>
    </row>
    <row r="390" spans="2:2" ht="15.5" x14ac:dyDescent="0.35">
      <c r="B390" s="171"/>
    </row>
    <row r="391" spans="2:2" ht="15.5" x14ac:dyDescent="0.35">
      <c r="B391" s="171"/>
    </row>
    <row r="392" spans="2:2" ht="15.5" x14ac:dyDescent="0.35">
      <c r="B392" s="171"/>
    </row>
    <row r="393" spans="2:2" ht="15.5" x14ac:dyDescent="0.35">
      <c r="B393" s="171"/>
    </row>
    <row r="394" spans="2:2" ht="15.5" x14ac:dyDescent="0.35">
      <c r="B394" s="171"/>
    </row>
    <row r="395" spans="2:2" ht="15.5" x14ac:dyDescent="0.35">
      <c r="B395" s="171"/>
    </row>
    <row r="396" spans="2:2" ht="15.5" x14ac:dyDescent="0.35">
      <c r="B396" s="171"/>
    </row>
    <row r="397" spans="2:2" ht="15.5" x14ac:dyDescent="0.35">
      <c r="B397" s="171"/>
    </row>
    <row r="398" spans="2:2" ht="15.5" x14ac:dyDescent="0.35">
      <c r="B398" s="171"/>
    </row>
    <row r="399" spans="2:2" ht="15.5" x14ac:dyDescent="0.35">
      <c r="B399" s="171"/>
    </row>
    <row r="400" spans="2:2" ht="15.5" x14ac:dyDescent="0.35">
      <c r="B400" s="171"/>
    </row>
    <row r="401" spans="2:2" ht="15.5" x14ac:dyDescent="0.35">
      <c r="B401" s="171"/>
    </row>
    <row r="402" spans="2:2" ht="15.5" x14ac:dyDescent="0.35">
      <c r="B402" s="171"/>
    </row>
    <row r="403" spans="2:2" ht="15.5" x14ac:dyDescent="0.35">
      <c r="B403" s="171"/>
    </row>
    <row r="404" spans="2:2" ht="15.5" x14ac:dyDescent="0.35">
      <c r="B404" s="171"/>
    </row>
    <row r="405" spans="2:2" ht="15.5" x14ac:dyDescent="0.35">
      <c r="B405" s="171"/>
    </row>
    <row r="406" spans="2:2" ht="15.5" x14ac:dyDescent="0.35">
      <c r="B406" s="171"/>
    </row>
    <row r="407" spans="2:2" ht="15.5" x14ac:dyDescent="0.35">
      <c r="B407" s="171"/>
    </row>
    <row r="408" spans="2:2" ht="15.5" x14ac:dyDescent="0.35">
      <c r="B408" s="171"/>
    </row>
    <row r="409" spans="2:2" ht="15.5" x14ac:dyDescent="0.35">
      <c r="B409" s="171"/>
    </row>
    <row r="410" spans="2:2" ht="15.5" x14ac:dyDescent="0.35">
      <c r="B410" s="171"/>
    </row>
    <row r="411" spans="2:2" ht="15.5" x14ac:dyDescent="0.35">
      <c r="B411" s="171"/>
    </row>
    <row r="412" spans="2:2" ht="15.5" x14ac:dyDescent="0.35">
      <c r="B412" s="171"/>
    </row>
    <row r="413" spans="2:2" ht="15.5" x14ac:dyDescent="0.35">
      <c r="B413" s="171"/>
    </row>
    <row r="414" spans="2:2" ht="15.5" x14ac:dyDescent="0.35">
      <c r="B414" s="171"/>
    </row>
    <row r="415" spans="2:2" ht="15.5" x14ac:dyDescent="0.35">
      <c r="B415" s="171"/>
    </row>
    <row r="416" spans="2:2" ht="15.5" x14ac:dyDescent="0.35">
      <c r="B416" s="171"/>
    </row>
    <row r="417" spans="2:2" ht="15.5" x14ac:dyDescent="0.35">
      <c r="B417" s="171"/>
    </row>
    <row r="418" spans="2:2" ht="15.5" x14ac:dyDescent="0.35">
      <c r="B418" s="171"/>
    </row>
    <row r="419" spans="2:2" ht="15.5" x14ac:dyDescent="0.35">
      <c r="B419" s="171"/>
    </row>
    <row r="420" spans="2:2" ht="15.5" x14ac:dyDescent="0.35">
      <c r="B420" s="171"/>
    </row>
    <row r="421" spans="2:2" ht="15.5" x14ac:dyDescent="0.35">
      <c r="B421" s="171"/>
    </row>
    <row r="422" spans="2:2" ht="15.5" x14ac:dyDescent="0.35">
      <c r="B422" s="171"/>
    </row>
    <row r="423" spans="2:2" ht="15.5" x14ac:dyDescent="0.35">
      <c r="B423" s="171"/>
    </row>
    <row r="424" spans="2:2" ht="15.5" x14ac:dyDescent="0.35">
      <c r="B424" s="171"/>
    </row>
    <row r="425" spans="2:2" ht="15.5" x14ac:dyDescent="0.35">
      <c r="B425" s="171"/>
    </row>
    <row r="426" spans="2:2" ht="15.5" x14ac:dyDescent="0.35">
      <c r="B426" s="171"/>
    </row>
    <row r="427" spans="2:2" ht="15.5" x14ac:dyDescent="0.35">
      <c r="B427" s="171"/>
    </row>
    <row r="428" spans="2:2" ht="15.5" x14ac:dyDescent="0.35">
      <c r="B428" s="171"/>
    </row>
    <row r="429" spans="2:2" ht="15.5" x14ac:dyDescent="0.35">
      <c r="B429" s="171"/>
    </row>
    <row r="430" spans="2:2" ht="15.5" x14ac:dyDescent="0.35">
      <c r="B430" s="171"/>
    </row>
    <row r="431" spans="2:2" ht="15.5" x14ac:dyDescent="0.35">
      <c r="B431" s="171"/>
    </row>
    <row r="432" spans="2:2" ht="15.5" x14ac:dyDescent="0.35">
      <c r="B432" s="171"/>
    </row>
    <row r="433" spans="2:2" ht="15.5" x14ac:dyDescent="0.35">
      <c r="B433" s="171"/>
    </row>
    <row r="434" spans="2:2" ht="15.5" x14ac:dyDescent="0.35">
      <c r="B434" s="171"/>
    </row>
    <row r="435" spans="2:2" ht="15.5" x14ac:dyDescent="0.35">
      <c r="B435" s="171"/>
    </row>
    <row r="436" spans="2:2" ht="15.5" x14ac:dyDescent="0.35">
      <c r="B436" s="171"/>
    </row>
    <row r="437" spans="2:2" ht="15.5" x14ac:dyDescent="0.35">
      <c r="B437" s="171"/>
    </row>
    <row r="438" spans="2:2" ht="15.5" x14ac:dyDescent="0.35">
      <c r="B438" s="171"/>
    </row>
    <row r="439" spans="2:2" ht="15.5" x14ac:dyDescent="0.35">
      <c r="B439" s="171"/>
    </row>
    <row r="440" spans="2:2" ht="15.5" x14ac:dyDescent="0.35">
      <c r="B440" s="171"/>
    </row>
    <row r="441" spans="2:2" ht="15.5" x14ac:dyDescent="0.35">
      <c r="B441" s="171"/>
    </row>
    <row r="442" spans="2:2" ht="15.5" x14ac:dyDescent="0.35">
      <c r="B442" s="171"/>
    </row>
    <row r="443" spans="2:2" ht="15.5" x14ac:dyDescent="0.35">
      <c r="B443" s="171"/>
    </row>
    <row r="444" spans="2:2" ht="15.5" x14ac:dyDescent="0.35">
      <c r="B444" s="171"/>
    </row>
    <row r="445" spans="2:2" ht="15.5" x14ac:dyDescent="0.35">
      <c r="B445" s="171"/>
    </row>
    <row r="446" spans="2:2" ht="15.5" x14ac:dyDescent="0.35">
      <c r="B446" s="171"/>
    </row>
    <row r="447" spans="2:2" ht="15.5" x14ac:dyDescent="0.35">
      <c r="B447" s="171"/>
    </row>
    <row r="448" spans="2:2" ht="15.5" x14ac:dyDescent="0.35">
      <c r="B448" s="171"/>
    </row>
    <row r="449" spans="2:2" ht="15.5" x14ac:dyDescent="0.35">
      <c r="B449" s="171"/>
    </row>
    <row r="450" spans="2:2" ht="15.5" x14ac:dyDescent="0.35">
      <c r="B450" s="171"/>
    </row>
    <row r="451" spans="2:2" ht="15.5" x14ac:dyDescent="0.35">
      <c r="B451" s="171"/>
    </row>
    <row r="452" spans="2:2" ht="15.5" x14ac:dyDescent="0.35">
      <c r="B452" s="171"/>
    </row>
    <row r="453" spans="2:2" ht="15.5" x14ac:dyDescent="0.35">
      <c r="B453" s="171"/>
    </row>
    <row r="454" spans="2:2" ht="15.5" x14ac:dyDescent="0.35">
      <c r="B454" s="171"/>
    </row>
    <row r="455" spans="2:2" ht="15.5" x14ac:dyDescent="0.35">
      <c r="B455" s="171"/>
    </row>
    <row r="456" spans="2:2" ht="15.5" x14ac:dyDescent="0.35">
      <c r="B456" s="171"/>
    </row>
    <row r="457" spans="2:2" ht="15.5" x14ac:dyDescent="0.35">
      <c r="B457" s="171"/>
    </row>
    <row r="458" spans="2:2" ht="15.5" x14ac:dyDescent="0.35">
      <c r="B458" s="171"/>
    </row>
    <row r="459" spans="2:2" ht="15.5" x14ac:dyDescent="0.35">
      <c r="B459" s="171"/>
    </row>
    <row r="460" spans="2:2" ht="15.5" x14ac:dyDescent="0.35">
      <c r="B460" s="171"/>
    </row>
    <row r="461" spans="2:2" ht="15.5" x14ac:dyDescent="0.35">
      <c r="B461" s="171"/>
    </row>
    <row r="462" spans="2:2" ht="15.5" x14ac:dyDescent="0.35">
      <c r="B462" s="171"/>
    </row>
    <row r="463" spans="2:2" ht="15.5" x14ac:dyDescent="0.35">
      <c r="B463" s="171"/>
    </row>
    <row r="464" spans="2:2" ht="15.5" x14ac:dyDescent="0.35">
      <c r="B464" s="171"/>
    </row>
    <row r="465" spans="2:2" ht="15.5" x14ac:dyDescent="0.35">
      <c r="B465" s="171"/>
    </row>
    <row r="466" spans="2:2" ht="15.5" x14ac:dyDescent="0.35">
      <c r="B466" s="171"/>
    </row>
    <row r="467" spans="2:2" ht="15.5" x14ac:dyDescent="0.35">
      <c r="B467" s="171"/>
    </row>
    <row r="468" spans="2:2" ht="15.5" x14ac:dyDescent="0.35">
      <c r="B468" s="171"/>
    </row>
    <row r="469" spans="2:2" ht="15.5" x14ac:dyDescent="0.35">
      <c r="B469" s="171"/>
    </row>
    <row r="470" spans="2:2" ht="15.5" x14ac:dyDescent="0.35">
      <c r="B470" s="171"/>
    </row>
    <row r="471" spans="2:2" ht="15.5" x14ac:dyDescent="0.35">
      <c r="B471" s="171"/>
    </row>
    <row r="472" spans="2:2" ht="15.5" x14ac:dyDescent="0.35">
      <c r="B472" s="171"/>
    </row>
    <row r="473" spans="2:2" ht="15.5" x14ac:dyDescent="0.35">
      <c r="B473" s="171"/>
    </row>
    <row r="474" spans="2:2" ht="15.5" x14ac:dyDescent="0.35">
      <c r="B474" s="171"/>
    </row>
    <row r="475" spans="2:2" ht="15.5" x14ac:dyDescent="0.35">
      <c r="B475" s="171"/>
    </row>
    <row r="476" spans="2:2" ht="15.5" x14ac:dyDescent="0.35">
      <c r="B476" s="171"/>
    </row>
    <row r="477" spans="2:2" ht="15.5" x14ac:dyDescent="0.35">
      <c r="B477" s="171"/>
    </row>
    <row r="478" spans="2:2" ht="15.5" x14ac:dyDescent="0.35">
      <c r="B478" s="171"/>
    </row>
    <row r="479" spans="2:2" ht="15.5" x14ac:dyDescent="0.35">
      <c r="B479" s="171"/>
    </row>
    <row r="480" spans="2:2" ht="15.5" x14ac:dyDescent="0.35">
      <c r="B480" s="171"/>
    </row>
    <row r="481" spans="2:2" ht="15.5" x14ac:dyDescent="0.35">
      <c r="B481" s="171"/>
    </row>
    <row r="482" spans="2:2" ht="15.5" x14ac:dyDescent="0.35">
      <c r="B482" s="171"/>
    </row>
    <row r="483" spans="2:2" ht="15.5" x14ac:dyDescent="0.35">
      <c r="B483" s="171"/>
    </row>
    <row r="484" spans="2:2" ht="15.5" x14ac:dyDescent="0.35">
      <c r="B484" s="171"/>
    </row>
    <row r="485" spans="2:2" ht="15.5" x14ac:dyDescent="0.35">
      <c r="B485" s="171"/>
    </row>
    <row r="486" spans="2:2" ht="15.5" x14ac:dyDescent="0.35">
      <c r="B486" s="171"/>
    </row>
    <row r="487" spans="2:2" ht="15.5" x14ac:dyDescent="0.35">
      <c r="B487" s="171"/>
    </row>
    <row r="488" spans="2:2" ht="15.5" x14ac:dyDescent="0.35">
      <c r="B488" s="171"/>
    </row>
    <row r="489" spans="2:2" ht="15.5" x14ac:dyDescent="0.35">
      <c r="B489" s="171"/>
    </row>
    <row r="490" spans="2:2" ht="15.5" x14ac:dyDescent="0.35">
      <c r="B490" s="171"/>
    </row>
    <row r="491" spans="2:2" ht="15.5" x14ac:dyDescent="0.35">
      <c r="B491" s="171"/>
    </row>
    <row r="492" spans="2:2" ht="15.5" x14ac:dyDescent="0.35">
      <c r="B492" s="171"/>
    </row>
    <row r="493" spans="2:2" ht="15.5" x14ac:dyDescent="0.35">
      <c r="B493" s="171"/>
    </row>
    <row r="494" spans="2:2" ht="15.5" x14ac:dyDescent="0.35">
      <c r="B494" s="171"/>
    </row>
    <row r="495" spans="2:2" ht="15.5" x14ac:dyDescent="0.35">
      <c r="B495" s="171"/>
    </row>
    <row r="496" spans="2:2" ht="15.5" x14ac:dyDescent="0.35">
      <c r="B496" s="171"/>
    </row>
    <row r="497" spans="2:2" ht="15.5" x14ac:dyDescent="0.35">
      <c r="B497" s="171"/>
    </row>
    <row r="498" spans="2:2" ht="15.5" x14ac:dyDescent="0.35">
      <c r="B498" s="171"/>
    </row>
    <row r="499" spans="2:2" ht="15.5" x14ac:dyDescent="0.35">
      <c r="B499" s="171"/>
    </row>
    <row r="500" spans="2:2" ht="15.5" x14ac:dyDescent="0.35">
      <c r="B500" s="171"/>
    </row>
    <row r="501" spans="2:2" ht="15.5" x14ac:dyDescent="0.35">
      <c r="B501" s="171"/>
    </row>
    <row r="502" spans="2:2" ht="15.5" x14ac:dyDescent="0.35">
      <c r="B502" s="171"/>
    </row>
    <row r="503" spans="2:2" ht="15.5" x14ac:dyDescent="0.35">
      <c r="B503" s="171"/>
    </row>
    <row r="504" spans="2:2" ht="15.5" x14ac:dyDescent="0.35">
      <c r="B504" s="171"/>
    </row>
    <row r="505" spans="2:2" ht="15.5" x14ac:dyDescent="0.35">
      <c r="B505" s="171"/>
    </row>
    <row r="506" spans="2:2" ht="15.5" x14ac:dyDescent="0.35">
      <c r="B506" s="171"/>
    </row>
    <row r="507" spans="2:2" ht="15.5" x14ac:dyDescent="0.35">
      <c r="B507" s="171"/>
    </row>
    <row r="508" spans="2:2" ht="15.5" x14ac:dyDescent="0.35">
      <c r="B508" s="171"/>
    </row>
    <row r="509" spans="2:2" ht="15.5" x14ac:dyDescent="0.35">
      <c r="B509" s="171"/>
    </row>
    <row r="510" spans="2:2" ht="15.5" x14ac:dyDescent="0.35">
      <c r="B510" s="171"/>
    </row>
    <row r="511" spans="2:2" ht="15.5" x14ac:dyDescent="0.35">
      <c r="B511" s="171"/>
    </row>
    <row r="512" spans="2:2" ht="15.5" x14ac:dyDescent="0.35">
      <c r="B512" s="171"/>
    </row>
    <row r="513" spans="2:2" ht="15.5" x14ac:dyDescent="0.35">
      <c r="B513" s="171"/>
    </row>
    <row r="514" spans="2:2" ht="15.5" x14ac:dyDescent="0.35">
      <c r="B514" s="171"/>
    </row>
    <row r="515" spans="2:2" ht="15.5" x14ac:dyDescent="0.35">
      <c r="B515" s="171"/>
    </row>
    <row r="516" spans="2:2" ht="15.5" x14ac:dyDescent="0.35">
      <c r="B516" s="171"/>
    </row>
    <row r="517" spans="2:2" ht="15.5" x14ac:dyDescent="0.35">
      <c r="B517" s="171"/>
    </row>
    <row r="518" spans="2:2" ht="15.5" x14ac:dyDescent="0.35">
      <c r="B518" s="171"/>
    </row>
    <row r="519" spans="2:2" ht="15.5" x14ac:dyDescent="0.35">
      <c r="B519" s="171"/>
    </row>
    <row r="520" spans="2:2" ht="15.5" x14ac:dyDescent="0.35">
      <c r="B520" s="171"/>
    </row>
    <row r="521" spans="2:2" ht="15.5" x14ac:dyDescent="0.35">
      <c r="B521" s="171"/>
    </row>
    <row r="522" spans="2:2" ht="15.5" x14ac:dyDescent="0.35">
      <c r="B522" s="171"/>
    </row>
    <row r="523" spans="2:2" ht="15.5" x14ac:dyDescent="0.35">
      <c r="B523" s="171"/>
    </row>
    <row r="524" spans="2:2" ht="15.5" x14ac:dyDescent="0.35">
      <c r="B524" s="171"/>
    </row>
    <row r="525" spans="2:2" ht="15.5" x14ac:dyDescent="0.35">
      <c r="B525" s="171"/>
    </row>
    <row r="526" spans="2:2" ht="15.5" x14ac:dyDescent="0.35">
      <c r="B526" s="171"/>
    </row>
    <row r="527" spans="2:2" ht="15.5" x14ac:dyDescent="0.35">
      <c r="B527" s="171"/>
    </row>
    <row r="528" spans="2:2" ht="15.5" x14ac:dyDescent="0.35">
      <c r="B528" s="171"/>
    </row>
    <row r="529" spans="2:2" ht="15.5" x14ac:dyDescent="0.35">
      <c r="B529" s="171"/>
    </row>
    <row r="530" spans="2:2" ht="15.5" x14ac:dyDescent="0.35">
      <c r="B530" s="171"/>
    </row>
    <row r="531" spans="2:2" ht="15.5" x14ac:dyDescent="0.35">
      <c r="B531" s="171"/>
    </row>
    <row r="532" spans="2:2" ht="15.5" x14ac:dyDescent="0.35">
      <c r="B532" s="171"/>
    </row>
    <row r="533" spans="2:2" ht="15.5" x14ac:dyDescent="0.35">
      <c r="B533" s="171"/>
    </row>
    <row r="534" spans="2:2" ht="15.5" x14ac:dyDescent="0.35">
      <c r="B534" s="171"/>
    </row>
    <row r="535" spans="2:2" ht="15.5" x14ac:dyDescent="0.35">
      <c r="B535" s="171"/>
    </row>
    <row r="536" spans="2:2" ht="15.5" x14ac:dyDescent="0.35">
      <c r="B536" s="171"/>
    </row>
    <row r="537" spans="2:2" ht="15.5" x14ac:dyDescent="0.35">
      <c r="B537" s="171"/>
    </row>
    <row r="538" spans="2:2" ht="15.5" x14ac:dyDescent="0.35">
      <c r="B538" s="171"/>
    </row>
    <row r="539" spans="2:2" ht="15.5" x14ac:dyDescent="0.35">
      <c r="B539" s="171"/>
    </row>
    <row r="540" spans="2:2" ht="15.5" x14ac:dyDescent="0.35">
      <c r="B540" s="171"/>
    </row>
    <row r="541" spans="2:2" ht="15.5" x14ac:dyDescent="0.35">
      <c r="B541" s="171"/>
    </row>
    <row r="542" spans="2:2" ht="15.5" x14ac:dyDescent="0.35">
      <c r="B542" s="171"/>
    </row>
    <row r="543" spans="2:2" ht="15.5" x14ac:dyDescent="0.35">
      <c r="B543" s="171"/>
    </row>
    <row r="544" spans="2:2" ht="15.5" x14ac:dyDescent="0.35">
      <c r="B544" s="171"/>
    </row>
    <row r="545" spans="2:2" ht="15.5" x14ac:dyDescent="0.35">
      <c r="B545" s="171"/>
    </row>
    <row r="546" spans="2:2" ht="15.5" x14ac:dyDescent="0.35">
      <c r="B546" s="171"/>
    </row>
    <row r="547" spans="2:2" ht="15.5" x14ac:dyDescent="0.35">
      <c r="B547" s="171"/>
    </row>
    <row r="548" spans="2:2" ht="15.5" x14ac:dyDescent="0.35">
      <c r="B548" s="171"/>
    </row>
    <row r="549" spans="2:2" ht="15.5" x14ac:dyDescent="0.35">
      <c r="B549" s="171"/>
    </row>
    <row r="550" spans="2:2" ht="15.5" x14ac:dyDescent="0.35">
      <c r="B550" s="171"/>
    </row>
    <row r="551" spans="2:2" ht="15.5" x14ac:dyDescent="0.35">
      <c r="B551" s="171"/>
    </row>
    <row r="552" spans="2:2" ht="15.5" x14ac:dyDescent="0.35">
      <c r="B552" s="171"/>
    </row>
    <row r="553" spans="2:2" ht="15.5" x14ac:dyDescent="0.35">
      <c r="B553" s="171"/>
    </row>
    <row r="554" spans="2:2" ht="15.5" x14ac:dyDescent="0.35">
      <c r="B554" s="171"/>
    </row>
    <row r="555" spans="2:2" ht="15.5" x14ac:dyDescent="0.35">
      <c r="B555" s="171"/>
    </row>
    <row r="556" spans="2:2" ht="15.5" x14ac:dyDescent="0.35">
      <c r="B556" s="171"/>
    </row>
    <row r="557" spans="2:2" ht="15.5" x14ac:dyDescent="0.35">
      <c r="B557" s="171"/>
    </row>
    <row r="558" spans="2:2" ht="15.5" x14ac:dyDescent="0.35">
      <c r="B558" s="171"/>
    </row>
    <row r="559" spans="2:2" ht="15.5" x14ac:dyDescent="0.35">
      <c r="B559" s="171"/>
    </row>
    <row r="560" spans="2:2" ht="15.5" x14ac:dyDescent="0.35">
      <c r="B560" s="171"/>
    </row>
    <row r="561" spans="2:2" ht="15.5" x14ac:dyDescent="0.35">
      <c r="B561" s="171"/>
    </row>
    <row r="562" spans="2:2" ht="15.5" x14ac:dyDescent="0.35">
      <c r="B562" s="171"/>
    </row>
    <row r="563" spans="2:2" ht="15.5" x14ac:dyDescent="0.35">
      <c r="B563" s="171"/>
    </row>
    <row r="564" spans="2:2" ht="15.5" x14ac:dyDescent="0.35">
      <c r="B564" s="171"/>
    </row>
    <row r="565" spans="2:2" ht="15.5" x14ac:dyDescent="0.35">
      <c r="B565" s="171"/>
    </row>
    <row r="566" spans="2:2" ht="15.5" x14ac:dyDescent="0.35">
      <c r="B566" s="171"/>
    </row>
    <row r="567" spans="2:2" ht="15.5" x14ac:dyDescent="0.35">
      <c r="B567" s="171"/>
    </row>
    <row r="568" spans="2:2" ht="15.5" x14ac:dyDescent="0.35">
      <c r="B568" s="171"/>
    </row>
    <row r="569" spans="2:2" ht="15.5" x14ac:dyDescent="0.35">
      <c r="B569" s="171"/>
    </row>
    <row r="570" spans="2:2" ht="15.5" x14ac:dyDescent="0.35">
      <c r="B570" s="171"/>
    </row>
    <row r="571" spans="2:2" ht="15.5" x14ac:dyDescent="0.35">
      <c r="B571" s="171"/>
    </row>
    <row r="572" spans="2:2" ht="15.5" x14ac:dyDescent="0.35">
      <c r="B572" s="171"/>
    </row>
    <row r="573" spans="2:2" ht="15.5" x14ac:dyDescent="0.35">
      <c r="B573" s="171"/>
    </row>
    <row r="574" spans="2:2" ht="15.5" x14ac:dyDescent="0.35">
      <c r="B574" s="171"/>
    </row>
    <row r="575" spans="2:2" ht="15.5" x14ac:dyDescent="0.35">
      <c r="B575" s="171"/>
    </row>
    <row r="576" spans="2:2" ht="15.5" x14ac:dyDescent="0.35">
      <c r="B576" s="171"/>
    </row>
    <row r="577" spans="2:2" ht="15.5" x14ac:dyDescent="0.35">
      <c r="B577" s="171"/>
    </row>
    <row r="578" spans="2:2" ht="15.5" x14ac:dyDescent="0.35">
      <c r="B578" s="171"/>
    </row>
    <row r="579" spans="2:2" ht="15.5" x14ac:dyDescent="0.35">
      <c r="B579" s="171"/>
    </row>
    <row r="580" spans="2:2" ht="15.5" x14ac:dyDescent="0.35">
      <c r="B580" s="171"/>
    </row>
    <row r="581" spans="2:2" ht="15.5" x14ac:dyDescent="0.35">
      <c r="B581" s="171"/>
    </row>
    <row r="582" spans="2:2" ht="15.5" x14ac:dyDescent="0.35">
      <c r="B582" s="171"/>
    </row>
    <row r="583" spans="2:2" ht="15.5" x14ac:dyDescent="0.35">
      <c r="B583" s="171"/>
    </row>
    <row r="584" spans="2:2" ht="15.5" x14ac:dyDescent="0.35">
      <c r="B584" s="171"/>
    </row>
    <row r="585" spans="2:2" ht="15.5" x14ac:dyDescent="0.35">
      <c r="B585" s="171"/>
    </row>
    <row r="586" spans="2:2" ht="15.5" x14ac:dyDescent="0.35">
      <c r="B586" s="171"/>
    </row>
    <row r="587" spans="2:2" ht="15.5" x14ac:dyDescent="0.35">
      <c r="B587" s="171"/>
    </row>
    <row r="588" spans="2:2" ht="15.5" x14ac:dyDescent="0.35">
      <c r="B588" s="171"/>
    </row>
    <row r="589" spans="2:2" ht="15.5" x14ac:dyDescent="0.35">
      <c r="B589" s="171"/>
    </row>
    <row r="590" spans="2:2" ht="15.5" x14ac:dyDescent="0.35">
      <c r="B590" s="171"/>
    </row>
    <row r="591" spans="2:2" ht="15.5" x14ac:dyDescent="0.35">
      <c r="B591" s="171"/>
    </row>
    <row r="592" spans="2:2" ht="15.5" x14ac:dyDescent="0.35">
      <c r="B592" s="171"/>
    </row>
    <row r="593" spans="2:2" ht="15.5" x14ac:dyDescent="0.35">
      <c r="B593" s="171"/>
    </row>
    <row r="594" spans="2:2" ht="15.5" x14ac:dyDescent="0.35">
      <c r="B594" s="171"/>
    </row>
    <row r="595" spans="2:2" ht="15.5" x14ac:dyDescent="0.35">
      <c r="B595" s="171"/>
    </row>
    <row r="596" spans="2:2" ht="15.5" x14ac:dyDescent="0.35">
      <c r="B596" s="171"/>
    </row>
    <row r="597" spans="2:2" ht="15.5" x14ac:dyDescent="0.35">
      <c r="B597" s="171"/>
    </row>
    <row r="598" spans="2:2" ht="15.5" x14ac:dyDescent="0.35">
      <c r="B598" s="171"/>
    </row>
    <row r="599" spans="2:2" ht="15.5" x14ac:dyDescent="0.35">
      <c r="B599" s="171"/>
    </row>
    <row r="600" spans="2:2" ht="15.5" x14ac:dyDescent="0.35">
      <c r="B600" s="171"/>
    </row>
    <row r="601" spans="2:2" ht="15.5" x14ac:dyDescent="0.35">
      <c r="B601" s="171"/>
    </row>
    <row r="602" spans="2:2" ht="15.5" x14ac:dyDescent="0.35">
      <c r="B602" s="171"/>
    </row>
    <row r="603" spans="2:2" ht="15.5" x14ac:dyDescent="0.35">
      <c r="B603" s="171"/>
    </row>
    <row r="604" spans="2:2" ht="15.5" x14ac:dyDescent="0.35">
      <c r="B604" s="171"/>
    </row>
    <row r="605" spans="2:2" ht="15.5" x14ac:dyDescent="0.35">
      <c r="B605" s="171"/>
    </row>
    <row r="606" spans="2:2" ht="15.5" x14ac:dyDescent="0.35">
      <c r="B606" s="171"/>
    </row>
    <row r="607" spans="2:2" ht="15.5" x14ac:dyDescent="0.35">
      <c r="B607" s="171"/>
    </row>
    <row r="608" spans="2:2" ht="15.5" x14ac:dyDescent="0.35">
      <c r="B608" s="171"/>
    </row>
    <row r="609" spans="2:2" ht="15.5" x14ac:dyDescent="0.35">
      <c r="B609" s="171"/>
    </row>
    <row r="610" spans="2:2" ht="15.5" x14ac:dyDescent="0.35">
      <c r="B610" s="171"/>
    </row>
    <row r="611" spans="2:2" ht="15.5" x14ac:dyDescent="0.35">
      <c r="B611" s="171"/>
    </row>
    <row r="612" spans="2:2" ht="15.5" x14ac:dyDescent="0.35">
      <c r="B612" s="171"/>
    </row>
    <row r="613" spans="2:2" ht="15.5" x14ac:dyDescent="0.35">
      <c r="B613" s="171"/>
    </row>
    <row r="614" spans="2:2" ht="15.5" x14ac:dyDescent="0.35">
      <c r="B614" s="171"/>
    </row>
    <row r="615" spans="2:2" ht="15.5" x14ac:dyDescent="0.35">
      <c r="B615" s="171"/>
    </row>
    <row r="616" spans="2:2" ht="15.5" x14ac:dyDescent="0.35">
      <c r="B616" s="171"/>
    </row>
    <row r="617" spans="2:2" ht="15.5" x14ac:dyDescent="0.35">
      <c r="B617" s="171"/>
    </row>
    <row r="618" spans="2:2" ht="15.5" x14ac:dyDescent="0.35">
      <c r="B618" s="171"/>
    </row>
    <row r="619" spans="2:2" ht="15.5" x14ac:dyDescent="0.35">
      <c r="B619" s="171"/>
    </row>
    <row r="620" spans="2:2" ht="15.5" x14ac:dyDescent="0.35">
      <c r="B620" s="171"/>
    </row>
    <row r="621" spans="2:2" ht="15.5" x14ac:dyDescent="0.35">
      <c r="B621" s="171"/>
    </row>
    <row r="622" spans="2:2" ht="15.5" x14ac:dyDescent="0.35">
      <c r="B622" s="171"/>
    </row>
    <row r="623" spans="2:2" ht="15.5" x14ac:dyDescent="0.35">
      <c r="B623" s="171"/>
    </row>
    <row r="624" spans="2:2" ht="15.5" x14ac:dyDescent="0.35">
      <c r="B624" s="171"/>
    </row>
    <row r="625" spans="2:2" ht="15.5" x14ac:dyDescent="0.35">
      <c r="B625" s="171"/>
    </row>
    <row r="626" spans="2:2" ht="15.5" x14ac:dyDescent="0.35">
      <c r="B626" s="171"/>
    </row>
    <row r="627" spans="2:2" ht="15.5" x14ac:dyDescent="0.35">
      <c r="B627" s="171"/>
    </row>
    <row r="628" spans="2:2" ht="15.5" x14ac:dyDescent="0.35">
      <c r="B628" s="171"/>
    </row>
    <row r="629" spans="2:2" ht="15.5" x14ac:dyDescent="0.35">
      <c r="B629" s="171"/>
    </row>
    <row r="630" spans="2:2" ht="15.5" x14ac:dyDescent="0.35">
      <c r="B630" s="171"/>
    </row>
    <row r="631" spans="2:2" ht="15.5" x14ac:dyDescent="0.35">
      <c r="B631" s="171"/>
    </row>
    <row r="632" spans="2:2" ht="15.5" x14ac:dyDescent="0.35">
      <c r="B632" s="171"/>
    </row>
    <row r="633" spans="2:2" ht="15.5" x14ac:dyDescent="0.35">
      <c r="B633" s="171"/>
    </row>
    <row r="634" spans="2:2" ht="15.5" x14ac:dyDescent="0.35">
      <c r="B634" s="171"/>
    </row>
    <row r="635" spans="2:2" ht="15.5" x14ac:dyDescent="0.35">
      <c r="B635" s="171"/>
    </row>
    <row r="636" spans="2:2" ht="15.5" x14ac:dyDescent="0.35">
      <c r="B636" s="171"/>
    </row>
    <row r="637" spans="2:2" ht="15.5" x14ac:dyDescent="0.35">
      <c r="B637" s="171"/>
    </row>
    <row r="638" spans="2:2" ht="15.5" x14ac:dyDescent="0.35">
      <c r="B638" s="171"/>
    </row>
    <row r="639" spans="2:2" ht="15.5" x14ac:dyDescent="0.35">
      <c r="B639" s="171"/>
    </row>
    <row r="640" spans="2:2" ht="15.5" x14ac:dyDescent="0.35">
      <c r="B640" s="171"/>
    </row>
    <row r="641" spans="2:2" ht="15.5" x14ac:dyDescent="0.35">
      <c r="B641" s="171"/>
    </row>
    <row r="642" spans="2:2" ht="15.5" x14ac:dyDescent="0.35">
      <c r="B642" s="171"/>
    </row>
    <row r="643" spans="2:2" ht="15.5" x14ac:dyDescent="0.35">
      <c r="B643" s="171"/>
    </row>
    <row r="644" spans="2:2" ht="15.5" x14ac:dyDescent="0.35">
      <c r="B644" s="171"/>
    </row>
    <row r="645" spans="2:2" ht="15.5" x14ac:dyDescent="0.35">
      <c r="B645" s="171"/>
    </row>
    <row r="646" spans="2:2" ht="15.5" x14ac:dyDescent="0.35">
      <c r="B646" s="171"/>
    </row>
    <row r="647" spans="2:2" ht="15.5" x14ac:dyDescent="0.35">
      <c r="B647" s="171"/>
    </row>
    <row r="648" spans="2:2" ht="15.5" x14ac:dyDescent="0.35">
      <c r="B648" s="171"/>
    </row>
    <row r="649" spans="2:2" ht="15.5" x14ac:dyDescent="0.35">
      <c r="B649" s="171"/>
    </row>
    <row r="650" spans="2:2" ht="15.5" x14ac:dyDescent="0.35">
      <c r="B650" s="171"/>
    </row>
    <row r="651" spans="2:2" ht="15.5" x14ac:dyDescent="0.35">
      <c r="B651" s="171"/>
    </row>
    <row r="652" spans="2:2" ht="15.5" x14ac:dyDescent="0.35">
      <c r="B652" s="171"/>
    </row>
    <row r="653" spans="2:2" ht="15.5" x14ac:dyDescent="0.35">
      <c r="B653" s="171"/>
    </row>
    <row r="654" spans="2:2" ht="15.5" x14ac:dyDescent="0.35">
      <c r="B654" s="171"/>
    </row>
    <row r="655" spans="2:2" ht="15.5" x14ac:dyDescent="0.35">
      <c r="B655" s="171"/>
    </row>
    <row r="656" spans="2:2" ht="15.5" x14ac:dyDescent="0.35">
      <c r="B656" s="171"/>
    </row>
    <row r="657" spans="2:2" ht="15.5" x14ac:dyDescent="0.35">
      <c r="B657" s="171"/>
    </row>
    <row r="658" spans="2:2" ht="15.5" x14ac:dyDescent="0.35">
      <c r="B658" s="171"/>
    </row>
    <row r="659" spans="2:2" ht="15.5" x14ac:dyDescent="0.35">
      <c r="B659" s="171"/>
    </row>
    <row r="660" spans="2:2" ht="15.5" x14ac:dyDescent="0.35">
      <c r="B660" s="171"/>
    </row>
    <row r="661" spans="2:2" ht="15.5" x14ac:dyDescent="0.35">
      <c r="B661" s="171"/>
    </row>
    <row r="662" spans="2:2" ht="15.5" x14ac:dyDescent="0.35">
      <c r="B662" s="171"/>
    </row>
    <row r="663" spans="2:2" ht="15.5" x14ac:dyDescent="0.35">
      <c r="B663" s="171"/>
    </row>
    <row r="664" spans="2:2" ht="15.5" x14ac:dyDescent="0.35">
      <c r="B664" s="171"/>
    </row>
    <row r="665" spans="2:2" ht="15.5" x14ac:dyDescent="0.35">
      <c r="B665" s="171"/>
    </row>
    <row r="666" spans="2:2" ht="15.5" x14ac:dyDescent="0.35">
      <c r="B666" s="171"/>
    </row>
    <row r="667" spans="2:2" ht="15.5" x14ac:dyDescent="0.35">
      <c r="B667" s="171"/>
    </row>
    <row r="668" spans="2:2" ht="15.5" x14ac:dyDescent="0.35">
      <c r="B668" s="171"/>
    </row>
    <row r="669" spans="2:2" ht="15.5" x14ac:dyDescent="0.35">
      <c r="B669" s="171"/>
    </row>
    <row r="670" spans="2:2" ht="15.5" x14ac:dyDescent="0.35">
      <c r="B670" s="171"/>
    </row>
    <row r="671" spans="2:2" ht="15.5" x14ac:dyDescent="0.35">
      <c r="B671" s="171"/>
    </row>
    <row r="672" spans="2:2" ht="15.5" x14ac:dyDescent="0.35">
      <c r="B672" s="171"/>
    </row>
    <row r="673" spans="2:2" ht="15.5" x14ac:dyDescent="0.35">
      <c r="B673" s="171"/>
    </row>
    <row r="674" spans="2:2" ht="15.5" x14ac:dyDescent="0.35">
      <c r="B674" s="171"/>
    </row>
    <row r="675" spans="2:2" ht="15.5" x14ac:dyDescent="0.35">
      <c r="B675" s="171"/>
    </row>
    <row r="676" spans="2:2" ht="15.5" x14ac:dyDescent="0.35">
      <c r="B676" s="171"/>
    </row>
    <row r="677" spans="2:2" ht="15.5" x14ac:dyDescent="0.35">
      <c r="B677" s="171"/>
    </row>
    <row r="678" spans="2:2" ht="15.5" x14ac:dyDescent="0.35">
      <c r="B678" s="171"/>
    </row>
    <row r="679" spans="2:2" ht="15.5" x14ac:dyDescent="0.35">
      <c r="B679" s="171"/>
    </row>
    <row r="680" spans="2:2" ht="15.5" x14ac:dyDescent="0.35">
      <c r="B680" s="171"/>
    </row>
    <row r="681" spans="2:2" ht="15.5" x14ac:dyDescent="0.35">
      <c r="B681" s="171"/>
    </row>
    <row r="682" spans="2:2" ht="15.5" x14ac:dyDescent="0.35">
      <c r="B682" s="171"/>
    </row>
    <row r="683" spans="2:2" ht="15.5" x14ac:dyDescent="0.35">
      <c r="B683" s="171"/>
    </row>
    <row r="684" spans="2:2" ht="15.5" x14ac:dyDescent="0.35">
      <c r="B684" s="171"/>
    </row>
    <row r="685" spans="2:2" ht="15.5" x14ac:dyDescent="0.35">
      <c r="B685" s="171"/>
    </row>
    <row r="686" spans="2:2" ht="15.5" x14ac:dyDescent="0.35">
      <c r="B686" s="171"/>
    </row>
    <row r="687" spans="2:2" ht="15.5" x14ac:dyDescent="0.35">
      <c r="B687" s="171"/>
    </row>
    <row r="688" spans="2:2" ht="15.5" x14ac:dyDescent="0.35">
      <c r="B688" s="171"/>
    </row>
    <row r="689" spans="2:2" ht="15.5" x14ac:dyDescent="0.35">
      <c r="B689" s="171"/>
    </row>
    <row r="690" spans="2:2" ht="15.5" x14ac:dyDescent="0.35">
      <c r="B690" s="171"/>
    </row>
    <row r="691" spans="2:2" ht="15.5" x14ac:dyDescent="0.35">
      <c r="B691" s="171"/>
    </row>
    <row r="692" spans="2:2" ht="15.5" x14ac:dyDescent="0.35">
      <c r="B692" s="171"/>
    </row>
    <row r="693" spans="2:2" ht="15.5" x14ac:dyDescent="0.35">
      <c r="B693" s="171"/>
    </row>
    <row r="694" spans="2:2" ht="15.5" x14ac:dyDescent="0.35">
      <c r="B694" s="171"/>
    </row>
    <row r="695" spans="2:2" ht="15.5" x14ac:dyDescent="0.35">
      <c r="B695" s="171"/>
    </row>
    <row r="696" spans="2:2" ht="15.5" x14ac:dyDescent="0.35">
      <c r="B696" s="171"/>
    </row>
    <row r="697" spans="2:2" ht="15.5" x14ac:dyDescent="0.35">
      <c r="B697" s="171"/>
    </row>
    <row r="698" spans="2:2" ht="15.5" x14ac:dyDescent="0.35">
      <c r="B698" s="171"/>
    </row>
    <row r="699" spans="2:2" ht="15.5" x14ac:dyDescent="0.35">
      <c r="B699" s="171"/>
    </row>
    <row r="700" spans="2:2" ht="15.5" x14ac:dyDescent="0.35">
      <c r="B700" s="171"/>
    </row>
    <row r="701" spans="2:2" ht="15.5" x14ac:dyDescent="0.35">
      <c r="B701" s="171"/>
    </row>
    <row r="702" spans="2:2" ht="15.5" x14ac:dyDescent="0.35">
      <c r="B702" s="171"/>
    </row>
    <row r="703" spans="2:2" ht="15.5" x14ac:dyDescent="0.35">
      <c r="B703" s="171"/>
    </row>
    <row r="704" spans="2:2" ht="15.5" x14ac:dyDescent="0.35">
      <c r="B704" s="171"/>
    </row>
    <row r="705" spans="2:2" ht="15.5" x14ac:dyDescent="0.35">
      <c r="B705" s="171"/>
    </row>
    <row r="706" spans="2:2" ht="15.5" x14ac:dyDescent="0.35">
      <c r="B706" s="171"/>
    </row>
    <row r="707" spans="2:2" ht="15.5" x14ac:dyDescent="0.35">
      <c r="B707" s="171"/>
    </row>
    <row r="708" spans="2:2" ht="15.5" x14ac:dyDescent="0.35">
      <c r="B708" s="171"/>
    </row>
    <row r="709" spans="2:2" ht="15.5" x14ac:dyDescent="0.35">
      <c r="B709" s="171"/>
    </row>
    <row r="710" spans="2:2" ht="15.5" x14ac:dyDescent="0.35">
      <c r="B710" s="171"/>
    </row>
    <row r="711" spans="2:2" ht="15.5" x14ac:dyDescent="0.35">
      <c r="B711" s="171"/>
    </row>
    <row r="712" spans="2:2" ht="15.5" x14ac:dyDescent="0.35">
      <c r="B712" s="171"/>
    </row>
    <row r="713" spans="2:2" ht="15.5" x14ac:dyDescent="0.35">
      <c r="B713" s="171"/>
    </row>
    <row r="714" spans="2:2" ht="15.5" x14ac:dyDescent="0.35">
      <c r="B714" s="171"/>
    </row>
    <row r="715" spans="2:2" ht="15.5" x14ac:dyDescent="0.35">
      <c r="B715" s="171"/>
    </row>
    <row r="716" spans="2:2" ht="15.5" x14ac:dyDescent="0.35">
      <c r="B716" s="171"/>
    </row>
    <row r="717" spans="2:2" ht="15.5" x14ac:dyDescent="0.35">
      <c r="B717" s="171"/>
    </row>
    <row r="718" spans="2:2" ht="15.5" x14ac:dyDescent="0.35">
      <c r="B718" s="171"/>
    </row>
    <row r="719" spans="2:2" ht="15.5" x14ac:dyDescent="0.35">
      <c r="B719" s="171"/>
    </row>
    <row r="720" spans="2:2" ht="15.5" x14ac:dyDescent="0.35">
      <c r="B720" s="171"/>
    </row>
    <row r="721" spans="2:2" ht="15.5" x14ac:dyDescent="0.35">
      <c r="B721" s="171"/>
    </row>
    <row r="722" spans="2:2" ht="15.5" x14ac:dyDescent="0.35">
      <c r="B722" s="171"/>
    </row>
    <row r="723" spans="2:2" ht="15.5" x14ac:dyDescent="0.35">
      <c r="B723" s="171"/>
    </row>
    <row r="724" spans="2:2" ht="15.5" x14ac:dyDescent="0.35">
      <c r="B724" s="171"/>
    </row>
    <row r="725" spans="2:2" ht="15.5" x14ac:dyDescent="0.35">
      <c r="B725" s="171"/>
    </row>
    <row r="726" spans="2:2" ht="15.5" x14ac:dyDescent="0.35">
      <c r="B726" s="171"/>
    </row>
    <row r="727" spans="2:2" ht="15.5" x14ac:dyDescent="0.35">
      <c r="B727" s="171"/>
    </row>
    <row r="728" spans="2:2" ht="15.5" x14ac:dyDescent="0.35">
      <c r="B728" s="171"/>
    </row>
    <row r="729" spans="2:2" ht="15.5" x14ac:dyDescent="0.35">
      <c r="B729" s="171"/>
    </row>
    <row r="730" spans="2:2" ht="15.5" x14ac:dyDescent="0.35">
      <c r="B730" s="171"/>
    </row>
    <row r="731" spans="2:2" ht="15.5" x14ac:dyDescent="0.35">
      <c r="B731" s="171"/>
    </row>
    <row r="732" spans="2:2" ht="15.5" x14ac:dyDescent="0.35">
      <c r="B732" s="171"/>
    </row>
    <row r="733" spans="2:2" ht="15.5" x14ac:dyDescent="0.35">
      <c r="B733" s="171"/>
    </row>
    <row r="734" spans="2:2" ht="15.5" x14ac:dyDescent="0.35">
      <c r="B734" s="171"/>
    </row>
    <row r="735" spans="2:2" ht="15.5" x14ac:dyDescent="0.35">
      <c r="B735" s="171"/>
    </row>
    <row r="736" spans="2:2" ht="15.5" x14ac:dyDescent="0.35">
      <c r="B736" s="171"/>
    </row>
    <row r="737" spans="2:2" ht="15.5" x14ac:dyDescent="0.35">
      <c r="B737" s="171"/>
    </row>
    <row r="738" spans="2:2" ht="15.5" x14ac:dyDescent="0.35">
      <c r="B738" s="171"/>
    </row>
    <row r="739" spans="2:2" ht="15.5" x14ac:dyDescent="0.35">
      <c r="B739" s="171"/>
    </row>
    <row r="740" spans="2:2" ht="15.5" x14ac:dyDescent="0.35">
      <c r="B740" s="171"/>
    </row>
    <row r="741" spans="2:2" ht="15.5" x14ac:dyDescent="0.35">
      <c r="B741" s="171"/>
    </row>
    <row r="742" spans="2:2" ht="15.5" x14ac:dyDescent="0.35">
      <c r="B742" s="171"/>
    </row>
    <row r="743" spans="2:2" ht="15.5" x14ac:dyDescent="0.35">
      <c r="B743" s="171"/>
    </row>
    <row r="744" spans="2:2" ht="15.5" x14ac:dyDescent="0.35">
      <c r="B744" s="171"/>
    </row>
    <row r="745" spans="2:2" ht="15.5" x14ac:dyDescent="0.35">
      <c r="B745" s="171"/>
    </row>
    <row r="746" spans="2:2" ht="15.5" x14ac:dyDescent="0.35">
      <c r="B746" s="171"/>
    </row>
    <row r="747" spans="2:2" ht="15.5" x14ac:dyDescent="0.35">
      <c r="B747" s="171"/>
    </row>
    <row r="748" spans="2:2" ht="15.5" x14ac:dyDescent="0.35">
      <c r="B748" s="171"/>
    </row>
    <row r="749" spans="2:2" ht="15.5" x14ac:dyDescent="0.35">
      <c r="B749" s="171"/>
    </row>
    <row r="750" spans="2:2" ht="15.5" x14ac:dyDescent="0.35">
      <c r="B750" s="171"/>
    </row>
    <row r="751" spans="2:2" ht="15.5" x14ac:dyDescent="0.35">
      <c r="B751" s="171"/>
    </row>
    <row r="752" spans="2:2" ht="15.5" x14ac:dyDescent="0.35">
      <c r="B752" s="171"/>
    </row>
    <row r="753" spans="2:2" ht="15.5" x14ac:dyDescent="0.35">
      <c r="B753" s="171"/>
    </row>
    <row r="754" spans="2:2" ht="15.5" x14ac:dyDescent="0.35">
      <c r="B754" s="171"/>
    </row>
    <row r="755" spans="2:2" ht="15.5" x14ac:dyDescent="0.35">
      <c r="B755" s="171"/>
    </row>
    <row r="756" spans="2:2" ht="15.5" x14ac:dyDescent="0.35">
      <c r="B756" s="171"/>
    </row>
    <row r="757" spans="2:2" ht="15.5" x14ac:dyDescent="0.35">
      <c r="B757" s="171"/>
    </row>
    <row r="758" spans="2:2" ht="15.5" x14ac:dyDescent="0.35">
      <c r="B758" s="171"/>
    </row>
    <row r="759" spans="2:2" ht="15.5" x14ac:dyDescent="0.35">
      <c r="B759" s="171"/>
    </row>
    <row r="760" spans="2:2" ht="15.5" x14ac:dyDescent="0.35">
      <c r="B760" s="171"/>
    </row>
    <row r="761" spans="2:2" ht="15.5" x14ac:dyDescent="0.35">
      <c r="B761" s="171"/>
    </row>
    <row r="762" spans="2:2" ht="15.5" x14ac:dyDescent="0.35">
      <c r="B762" s="171"/>
    </row>
    <row r="763" spans="2:2" ht="15.5" x14ac:dyDescent="0.35">
      <c r="B763" s="171"/>
    </row>
    <row r="764" spans="2:2" ht="15.5" x14ac:dyDescent="0.35">
      <c r="B764" s="171"/>
    </row>
    <row r="765" spans="2:2" ht="15.5" x14ac:dyDescent="0.35">
      <c r="B765" s="171"/>
    </row>
    <row r="766" spans="2:2" ht="15.5" x14ac:dyDescent="0.35">
      <c r="B766" s="171"/>
    </row>
    <row r="767" spans="2:2" ht="15.5" x14ac:dyDescent="0.35">
      <c r="B767" s="171"/>
    </row>
    <row r="768" spans="2:2" ht="15.5" x14ac:dyDescent="0.35">
      <c r="B768" s="171"/>
    </row>
    <row r="769" spans="2:2" ht="15.5" x14ac:dyDescent="0.35">
      <c r="B769" s="171"/>
    </row>
    <row r="770" spans="2:2" ht="15.5" x14ac:dyDescent="0.35">
      <c r="B770" s="171"/>
    </row>
    <row r="771" spans="2:2" ht="15.5" x14ac:dyDescent="0.35">
      <c r="B771" s="171"/>
    </row>
    <row r="772" spans="2:2" ht="15.5" x14ac:dyDescent="0.35">
      <c r="B772" s="171"/>
    </row>
    <row r="773" spans="2:2" ht="15.5" x14ac:dyDescent="0.35">
      <c r="B773" s="171"/>
    </row>
    <row r="774" spans="2:2" ht="15.5" x14ac:dyDescent="0.35">
      <c r="B774" s="171"/>
    </row>
    <row r="775" spans="2:2" ht="15.5" x14ac:dyDescent="0.35">
      <c r="B775" s="171"/>
    </row>
    <row r="776" spans="2:2" ht="15.5" x14ac:dyDescent="0.35">
      <c r="B776" s="171"/>
    </row>
    <row r="777" spans="2:2" ht="15.5" x14ac:dyDescent="0.35">
      <c r="B777" s="171"/>
    </row>
    <row r="778" spans="2:2" ht="15.5" x14ac:dyDescent="0.35">
      <c r="B778" s="171"/>
    </row>
    <row r="779" spans="2:2" ht="15.5" x14ac:dyDescent="0.35">
      <c r="B779" s="171"/>
    </row>
    <row r="780" spans="2:2" ht="15.5" x14ac:dyDescent="0.35">
      <c r="B780" s="171"/>
    </row>
    <row r="781" spans="2:2" ht="15.5" x14ac:dyDescent="0.35">
      <c r="B781" s="171"/>
    </row>
    <row r="782" spans="2:2" ht="15.5" x14ac:dyDescent="0.35">
      <c r="B782" s="171"/>
    </row>
    <row r="783" spans="2:2" ht="15.5" x14ac:dyDescent="0.35">
      <c r="B783" s="171"/>
    </row>
    <row r="784" spans="2:2" ht="15.5" x14ac:dyDescent="0.35">
      <c r="B784" s="171"/>
    </row>
    <row r="785" spans="2:2" ht="15.5" x14ac:dyDescent="0.35">
      <c r="B785" s="171"/>
    </row>
    <row r="786" spans="2:2" ht="15.5" x14ac:dyDescent="0.35">
      <c r="B786" s="171"/>
    </row>
    <row r="787" spans="2:2" ht="15.5" x14ac:dyDescent="0.35">
      <c r="B787" s="171"/>
    </row>
    <row r="788" spans="2:2" ht="15.5" x14ac:dyDescent="0.35">
      <c r="B788" s="171"/>
    </row>
    <row r="789" spans="2:2" ht="15.5" x14ac:dyDescent="0.35">
      <c r="B789" s="171"/>
    </row>
    <row r="790" spans="2:2" ht="15.5" x14ac:dyDescent="0.35">
      <c r="B790" s="171"/>
    </row>
    <row r="791" spans="2:2" ht="15.5" x14ac:dyDescent="0.35">
      <c r="B791" s="171"/>
    </row>
    <row r="792" spans="2:2" ht="15.5" x14ac:dyDescent="0.35">
      <c r="B792" s="171"/>
    </row>
    <row r="793" spans="2:2" ht="15.5" x14ac:dyDescent="0.35">
      <c r="B793" s="171"/>
    </row>
    <row r="794" spans="2:2" ht="15.5" x14ac:dyDescent="0.35">
      <c r="B794" s="171"/>
    </row>
    <row r="795" spans="2:2" ht="15.5" x14ac:dyDescent="0.35">
      <c r="B795" s="171"/>
    </row>
    <row r="796" spans="2:2" ht="15.5" x14ac:dyDescent="0.35">
      <c r="B796" s="171"/>
    </row>
    <row r="797" spans="2:2" ht="15.5" x14ac:dyDescent="0.35">
      <c r="B797" s="171"/>
    </row>
    <row r="798" spans="2:2" ht="15.5" x14ac:dyDescent="0.35">
      <c r="B798" s="171"/>
    </row>
    <row r="799" spans="2:2" ht="15.5" x14ac:dyDescent="0.35">
      <c r="B799" s="171"/>
    </row>
    <row r="800" spans="2:2" ht="15.5" x14ac:dyDescent="0.35">
      <c r="B800" s="171"/>
    </row>
    <row r="801" spans="2:2" ht="15.5" x14ac:dyDescent="0.35">
      <c r="B801" s="171"/>
    </row>
    <row r="802" spans="2:2" ht="15.5" x14ac:dyDescent="0.35">
      <c r="B802" s="171"/>
    </row>
    <row r="803" spans="2:2" ht="15.5" x14ac:dyDescent="0.35">
      <c r="B803" s="171"/>
    </row>
    <row r="804" spans="2:2" ht="15.5" x14ac:dyDescent="0.35">
      <c r="B804" s="171"/>
    </row>
    <row r="805" spans="2:2" ht="15.5" x14ac:dyDescent="0.35">
      <c r="B805" s="171"/>
    </row>
    <row r="806" spans="2:2" ht="15.5" x14ac:dyDescent="0.35">
      <c r="B806" s="171"/>
    </row>
    <row r="807" spans="2:2" ht="15.5" x14ac:dyDescent="0.35">
      <c r="B807" s="171"/>
    </row>
    <row r="808" spans="2:2" ht="15.5" x14ac:dyDescent="0.35">
      <c r="B808" s="171"/>
    </row>
    <row r="809" spans="2:2" ht="15.5" x14ac:dyDescent="0.35">
      <c r="B809" s="171"/>
    </row>
    <row r="810" spans="2:2" ht="15.5" x14ac:dyDescent="0.35">
      <c r="B810" s="171"/>
    </row>
    <row r="811" spans="2:2" ht="15.5" x14ac:dyDescent="0.35">
      <c r="B811" s="171"/>
    </row>
    <row r="812" spans="2:2" ht="15.5" x14ac:dyDescent="0.35">
      <c r="B812" s="171"/>
    </row>
    <row r="813" spans="2:2" ht="15.5" x14ac:dyDescent="0.35">
      <c r="B813" s="171"/>
    </row>
    <row r="814" spans="2:2" ht="15.5" x14ac:dyDescent="0.35">
      <c r="B814" s="171"/>
    </row>
    <row r="815" spans="2:2" ht="15.5" x14ac:dyDescent="0.35">
      <c r="B815" s="171"/>
    </row>
    <row r="816" spans="2:2" ht="15.5" x14ac:dyDescent="0.35">
      <c r="B816" s="171"/>
    </row>
    <row r="817" spans="2:2" ht="15.5" x14ac:dyDescent="0.35">
      <c r="B817" s="171"/>
    </row>
    <row r="818" spans="2:2" ht="15.5" x14ac:dyDescent="0.35">
      <c r="B818" s="171"/>
    </row>
    <row r="819" spans="2:2" ht="15.5" x14ac:dyDescent="0.35">
      <c r="B819" s="171"/>
    </row>
    <row r="820" spans="2:2" ht="15.5" x14ac:dyDescent="0.35">
      <c r="B820" s="171"/>
    </row>
    <row r="821" spans="2:2" ht="15.5" x14ac:dyDescent="0.35">
      <c r="B821" s="171"/>
    </row>
    <row r="822" spans="2:2" ht="15.5" x14ac:dyDescent="0.35">
      <c r="B822" s="171"/>
    </row>
    <row r="823" spans="2:2" ht="15.5" x14ac:dyDescent="0.35">
      <c r="B823" s="171"/>
    </row>
    <row r="824" spans="2:2" ht="15.5" x14ac:dyDescent="0.35">
      <c r="B824" s="171"/>
    </row>
    <row r="825" spans="2:2" ht="15.5" x14ac:dyDescent="0.35">
      <c r="B825" s="171"/>
    </row>
    <row r="826" spans="2:2" ht="15.5" x14ac:dyDescent="0.35">
      <c r="B826" s="171"/>
    </row>
    <row r="827" spans="2:2" ht="15.5" x14ac:dyDescent="0.35">
      <c r="B827" s="171"/>
    </row>
    <row r="828" spans="2:2" ht="15.5" x14ac:dyDescent="0.35">
      <c r="B828" s="171"/>
    </row>
    <row r="829" spans="2:2" ht="15.5" x14ac:dyDescent="0.35">
      <c r="B829" s="171"/>
    </row>
    <row r="830" spans="2:2" ht="15.5" x14ac:dyDescent="0.35">
      <c r="B830" s="171"/>
    </row>
    <row r="831" spans="2:2" ht="15.5" x14ac:dyDescent="0.35">
      <c r="B831" s="171"/>
    </row>
    <row r="832" spans="2:2" ht="15.5" x14ac:dyDescent="0.35">
      <c r="B832" s="171"/>
    </row>
    <row r="833" spans="2:2" ht="15.5" x14ac:dyDescent="0.35">
      <c r="B833" s="171"/>
    </row>
    <row r="834" spans="2:2" ht="15.5" x14ac:dyDescent="0.35">
      <c r="B834" s="171"/>
    </row>
    <row r="835" spans="2:2" ht="15.5" x14ac:dyDescent="0.35">
      <c r="B835" s="171"/>
    </row>
    <row r="836" spans="2:2" ht="15.5" x14ac:dyDescent="0.35">
      <c r="B836" s="171"/>
    </row>
    <row r="837" spans="2:2" ht="15.5" x14ac:dyDescent="0.35">
      <c r="B837" s="171"/>
    </row>
    <row r="838" spans="2:2" ht="15.5" x14ac:dyDescent="0.35">
      <c r="B838" s="171"/>
    </row>
    <row r="839" spans="2:2" ht="15.5" x14ac:dyDescent="0.35">
      <c r="B839" s="171"/>
    </row>
    <row r="840" spans="2:2" ht="15.5" x14ac:dyDescent="0.35">
      <c r="B840" s="171"/>
    </row>
    <row r="841" spans="2:2" ht="15.5" x14ac:dyDescent="0.35">
      <c r="B841" s="171"/>
    </row>
    <row r="842" spans="2:2" ht="15.5" x14ac:dyDescent="0.35">
      <c r="B842" s="171"/>
    </row>
    <row r="843" spans="2:2" ht="15.5" x14ac:dyDescent="0.35">
      <c r="B843" s="171"/>
    </row>
    <row r="844" spans="2:2" ht="15.5" x14ac:dyDescent="0.35">
      <c r="B844" s="171"/>
    </row>
    <row r="845" spans="2:2" ht="15.5" x14ac:dyDescent="0.35">
      <c r="B845" s="171"/>
    </row>
    <row r="846" spans="2:2" ht="15.5" x14ac:dyDescent="0.35">
      <c r="B846" s="171"/>
    </row>
    <row r="847" spans="2:2" ht="15.5" x14ac:dyDescent="0.35">
      <c r="B847" s="171"/>
    </row>
    <row r="848" spans="2:2" ht="15.5" x14ac:dyDescent="0.35">
      <c r="B848" s="171"/>
    </row>
    <row r="849" spans="2:2" ht="15.5" x14ac:dyDescent="0.35">
      <c r="B849" s="171"/>
    </row>
    <row r="850" spans="2:2" ht="15.5" x14ac:dyDescent="0.35">
      <c r="B850" s="171"/>
    </row>
    <row r="851" spans="2:2" ht="15.5" x14ac:dyDescent="0.35">
      <c r="B851" s="171"/>
    </row>
    <row r="852" spans="2:2" ht="15.5" x14ac:dyDescent="0.35">
      <c r="B852" s="171"/>
    </row>
    <row r="853" spans="2:2" ht="15.5" x14ac:dyDescent="0.35">
      <c r="B853" s="171"/>
    </row>
    <row r="854" spans="2:2" ht="15.5" x14ac:dyDescent="0.35">
      <c r="B854" s="171"/>
    </row>
    <row r="855" spans="2:2" ht="15.5" x14ac:dyDescent="0.35">
      <c r="B855" s="171"/>
    </row>
    <row r="856" spans="2:2" ht="15.5" x14ac:dyDescent="0.35">
      <c r="B856" s="171"/>
    </row>
    <row r="857" spans="2:2" ht="15.5" x14ac:dyDescent="0.35">
      <c r="B857" s="171"/>
    </row>
    <row r="858" spans="2:2" ht="15.5" x14ac:dyDescent="0.35">
      <c r="B858" s="171"/>
    </row>
    <row r="859" spans="2:2" ht="15.5" x14ac:dyDescent="0.35">
      <c r="B859" s="171"/>
    </row>
    <row r="860" spans="2:2" ht="15.5" x14ac:dyDescent="0.35">
      <c r="B860" s="171"/>
    </row>
    <row r="861" spans="2:2" ht="15.5" x14ac:dyDescent="0.35">
      <c r="B861" s="171"/>
    </row>
    <row r="862" spans="2:2" ht="15.5" x14ac:dyDescent="0.35">
      <c r="B862" s="171"/>
    </row>
    <row r="863" spans="2:2" ht="15.5" x14ac:dyDescent="0.35">
      <c r="B863" s="171"/>
    </row>
    <row r="864" spans="2:2" ht="15.5" x14ac:dyDescent="0.35">
      <c r="B864" s="171"/>
    </row>
    <row r="865" spans="2:2" ht="15.5" x14ac:dyDescent="0.35">
      <c r="B865" s="171"/>
    </row>
    <row r="866" spans="2:2" ht="15.5" x14ac:dyDescent="0.35">
      <c r="B866" s="171"/>
    </row>
    <row r="867" spans="2:2" ht="15.5" x14ac:dyDescent="0.35">
      <c r="B867" s="171"/>
    </row>
    <row r="868" spans="2:2" ht="15.5" x14ac:dyDescent="0.35">
      <c r="B868" s="171"/>
    </row>
    <row r="869" spans="2:2" ht="15.5" x14ac:dyDescent="0.35">
      <c r="B869" s="171"/>
    </row>
    <row r="870" spans="2:2" ht="15.5" x14ac:dyDescent="0.35">
      <c r="B870" s="171"/>
    </row>
    <row r="871" spans="2:2" ht="15.5" x14ac:dyDescent="0.35">
      <c r="B871" s="171"/>
    </row>
    <row r="872" spans="2:2" ht="15.5" x14ac:dyDescent="0.35">
      <c r="B872" s="171"/>
    </row>
    <row r="873" spans="2:2" ht="15.5" x14ac:dyDescent="0.35">
      <c r="B873" s="171"/>
    </row>
    <row r="874" spans="2:2" ht="15.5" x14ac:dyDescent="0.35">
      <c r="B874" s="171"/>
    </row>
    <row r="875" spans="2:2" ht="15.5" x14ac:dyDescent="0.35">
      <c r="B875" s="171"/>
    </row>
    <row r="876" spans="2:2" ht="15.5" x14ac:dyDescent="0.35">
      <c r="B876" s="171"/>
    </row>
    <row r="877" spans="2:2" ht="15.5" x14ac:dyDescent="0.35">
      <c r="B877" s="171"/>
    </row>
    <row r="878" spans="2:2" ht="15.5" x14ac:dyDescent="0.35">
      <c r="B878" s="171"/>
    </row>
    <row r="879" spans="2:2" ht="15.5" x14ac:dyDescent="0.35">
      <c r="B879" s="171"/>
    </row>
    <row r="880" spans="2:2" ht="15.5" x14ac:dyDescent="0.35">
      <c r="B880" s="171"/>
    </row>
    <row r="881" spans="2:2" ht="15.5" x14ac:dyDescent="0.35">
      <c r="B881" s="171"/>
    </row>
    <row r="882" spans="2:2" ht="15.5" x14ac:dyDescent="0.35">
      <c r="B882" s="171"/>
    </row>
    <row r="883" spans="2:2" ht="15.5" x14ac:dyDescent="0.35">
      <c r="B883" s="171"/>
    </row>
    <row r="884" spans="2:2" ht="15.5" x14ac:dyDescent="0.35">
      <c r="B884" s="171"/>
    </row>
    <row r="885" spans="2:2" ht="15.5" x14ac:dyDescent="0.35">
      <c r="B885" s="171"/>
    </row>
    <row r="886" spans="2:2" ht="15.5" x14ac:dyDescent="0.35">
      <c r="B886" s="171"/>
    </row>
    <row r="887" spans="2:2" ht="15.5" x14ac:dyDescent="0.35">
      <c r="B887" s="171"/>
    </row>
    <row r="888" spans="2:2" ht="15.5" x14ac:dyDescent="0.35">
      <c r="B888" s="171"/>
    </row>
    <row r="889" spans="2:2" ht="15.5" x14ac:dyDescent="0.35">
      <c r="B889" s="171"/>
    </row>
    <row r="890" spans="2:2" ht="15.5" x14ac:dyDescent="0.35">
      <c r="B890" s="171"/>
    </row>
    <row r="891" spans="2:2" ht="15.5" x14ac:dyDescent="0.35">
      <c r="B891" s="171"/>
    </row>
    <row r="892" spans="2:2" ht="15.5" x14ac:dyDescent="0.35">
      <c r="B892" s="171"/>
    </row>
    <row r="893" spans="2:2" ht="15.5" x14ac:dyDescent="0.35">
      <c r="B893" s="171"/>
    </row>
    <row r="894" spans="2:2" ht="15.5" x14ac:dyDescent="0.35">
      <c r="B894" s="171"/>
    </row>
    <row r="895" spans="2:2" ht="15.5" x14ac:dyDescent="0.35">
      <c r="B895" s="171"/>
    </row>
    <row r="896" spans="2:2" ht="15.5" x14ac:dyDescent="0.35">
      <c r="B896" s="171"/>
    </row>
    <row r="897" spans="2:2" ht="15.5" x14ac:dyDescent="0.35">
      <c r="B897" s="171"/>
    </row>
    <row r="898" spans="2:2" ht="15.5" x14ac:dyDescent="0.35">
      <c r="B898" s="171"/>
    </row>
    <row r="899" spans="2:2" ht="15.5" x14ac:dyDescent="0.35">
      <c r="B899" s="171"/>
    </row>
    <row r="900" spans="2:2" ht="15.5" x14ac:dyDescent="0.35">
      <c r="B900" s="171"/>
    </row>
    <row r="901" spans="2:2" ht="15.5" x14ac:dyDescent="0.35">
      <c r="B901" s="171"/>
    </row>
    <row r="902" spans="2:2" ht="15.5" x14ac:dyDescent="0.35">
      <c r="B902" s="171"/>
    </row>
    <row r="903" spans="2:2" ht="15.5" x14ac:dyDescent="0.35">
      <c r="B903" s="171"/>
    </row>
    <row r="904" spans="2:2" ht="15.5" x14ac:dyDescent="0.35">
      <c r="B904" s="171"/>
    </row>
    <row r="905" spans="2:2" ht="15.5" x14ac:dyDescent="0.35">
      <c r="B905" s="171"/>
    </row>
    <row r="906" spans="2:2" ht="15.5" x14ac:dyDescent="0.35">
      <c r="B906" s="171"/>
    </row>
    <row r="907" spans="2:2" ht="15.5" x14ac:dyDescent="0.35">
      <c r="B907" s="171"/>
    </row>
    <row r="908" spans="2:2" ht="15.5" x14ac:dyDescent="0.35">
      <c r="B908" s="171"/>
    </row>
    <row r="909" spans="2:2" ht="15.5" x14ac:dyDescent="0.35">
      <c r="B909" s="171"/>
    </row>
    <row r="910" spans="2:2" ht="15.5" x14ac:dyDescent="0.35">
      <c r="B910" s="171"/>
    </row>
    <row r="911" spans="2:2" ht="15.5" x14ac:dyDescent="0.35">
      <c r="B911" s="171"/>
    </row>
    <row r="912" spans="2:2" ht="15.5" x14ac:dyDescent="0.35">
      <c r="B912" s="171"/>
    </row>
    <row r="913" spans="2:2" ht="15.5" x14ac:dyDescent="0.35">
      <c r="B913" s="171"/>
    </row>
    <row r="914" spans="2:2" ht="15.5" x14ac:dyDescent="0.35">
      <c r="B914" s="171"/>
    </row>
    <row r="915" spans="2:2" ht="15.5" x14ac:dyDescent="0.35">
      <c r="B915" s="171"/>
    </row>
    <row r="916" spans="2:2" ht="15.5" x14ac:dyDescent="0.35">
      <c r="B916" s="171"/>
    </row>
    <row r="917" spans="2:2" ht="15.5" x14ac:dyDescent="0.35">
      <c r="B917" s="171"/>
    </row>
    <row r="918" spans="2:2" ht="15.5" x14ac:dyDescent="0.35">
      <c r="B918" s="171"/>
    </row>
    <row r="919" spans="2:2" ht="15.5" x14ac:dyDescent="0.35">
      <c r="B919" s="171"/>
    </row>
    <row r="920" spans="2:2" ht="15.5" x14ac:dyDescent="0.35">
      <c r="B920" s="171"/>
    </row>
    <row r="921" spans="2:2" ht="15.5" x14ac:dyDescent="0.35">
      <c r="B921" s="171"/>
    </row>
    <row r="922" spans="2:2" ht="15.5" x14ac:dyDescent="0.35">
      <c r="B922" s="171"/>
    </row>
    <row r="923" spans="2:2" ht="15.5" x14ac:dyDescent="0.35">
      <c r="B923" s="171"/>
    </row>
    <row r="924" spans="2:2" ht="15.5" x14ac:dyDescent="0.35">
      <c r="B924" s="171"/>
    </row>
    <row r="925" spans="2:2" ht="15.5" x14ac:dyDescent="0.35">
      <c r="B925" s="171"/>
    </row>
    <row r="926" spans="2:2" ht="15.5" x14ac:dyDescent="0.35">
      <c r="B926" s="171"/>
    </row>
    <row r="927" spans="2:2" ht="15.5" x14ac:dyDescent="0.35">
      <c r="B927" s="171"/>
    </row>
    <row r="928" spans="2:2" ht="15.5" x14ac:dyDescent="0.35">
      <c r="B928" s="171"/>
    </row>
    <row r="929" spans="2:2" ht="15.5" x14ac:dyDescent="0.35">
      <c r="B929" s="171"/>
    </row>
    <row r="930" spans="2:2" ht="15.5" x14ac:dyDescent="0.35">
      <c r="B930" s="171"/>
    </row>
    <row r="931" spans="2:2" ht="15.5" x14ac:dyDescent="0.35">
      <c r="B931" s="171"/>
    </row>
    <row r="932" spans="2:2" ht="15.5" x14ac:dyDescent="0.35">
      <c r="B932" s="171"/>
    </row>
    <row r="933" spans="2:2" ht="15.5" x14ac:dyDescent="0.35">
      <c r="B933" s="171"/>
    </row>
    <row r="934" spans="2:2" ht="15.5" x14ac:dyDescent="0.35">
      <c r="B934" s="171"/>
    </row>
    <row r="935" spans="2:2" ht="15.5" x14ac:dyDescent="0.35">
      <c r="B935" s="171"/>
    </row>
    <row r="936" spans="2:2" ht="15.5" x14ac:dyDescent="0.35">
      <c r="B936" s="171"/>
    </row>
    <row r="937" spans="2:2" ht="15.5" x14ac:dyDescent="0.35">
      <c r="B937" s="171"/>
    </row>
    <row r="938" spans="2:2" ht="15.5" x14ac:dyDescent="0.35">
      <c r="B938" s="171"/>
    </row>
    <row r="939" spans="2:2" ht="15.5" x14ac:dyDescent="0.35">
      <c r="B939" s="171"/>
    </row>
    <row r="940" spans="2:2" ht="15.5" x14ac:dyDescent="0.35">
      <c r="B940" s="171"/>
    </row>
    <row r="941" spans="2:2" ht="15.5" x14ac:dyDescent="0.35">
      <c r="B941" s="171"/>
    </row>
    <row r="942" spans="2:2" ht="15.5" x14ac:dyDescent="0.35">
      <c r="B942" s="171"/>
    </row>
    <row r="943" spans="2:2" ht="15.5" x14ac:dyDescent="0.35">
      <c r="B943" s="171"/>
    </row>
    <row r="944" spans="2:2" ht="15.5" x14ac:dyDescent="0.35">
      <c r="B944" s="171"/>
    </row>
    <row r="945" spans="2:2" ht="15.5" x14ac:dyDescent="0.35">
      <c r="B945" s="171"/>
    </row>
    <row r="946" spans="2:2" ht="15.5" x14ac:dyDescent="0.35">
      <c r="B946" s="171"/>
    </row>
    <row r="947" spans="2:2" ht="15.5" x14ac:dyDescent="0.35">
      <c r="B947" s="171"/>
    </row>
    <row r="948" spans="2:2" ht="15.5" x14ac:dyDescent="0.35">
      <c r="B948" s="171"/>
    </row>
    <row r="949" spans="2:2" ht="15.5" x14ac:dyDescent="0.35">
      <c r="B949" s="171"/>
    </row>
    <row r="950" spans="2:2" ht="15.5" x14ac:dyDescent="0.35">
      <c r="B950" s="171"/>
    </row>
    <row r="951" spans="2:2" ht="15.5" x14ac:dyDescent="0.35">
      <c r="B951" s="171"/>
    </row>
    <row r="952" spans="2:2" ht="15.5" x14ac:dyDescent="0.35">
      <c r="B952" s="171"/>
    </row>
    <row r="953" spans="2:2" ht="15.5" x14ac:dyDescent="0.35">
      <c r="B953" s="171"/>
    </row>
    <row r="954" spans="2:2" ht="15.5" x14ac:dyDescent="0.35">
      <c r="B954" s="171"/>
    </row>
    <row r="955" spans="2:2" ht="15.5" x14ac:dyDescent="0.35">
      <c r="B955" s="171"/>
    </row>
    <row r="956" spans="2:2" ht="15.5" x14ac:dyDescent="0.35">
      <c r="B956" s="171"/>
    </row>
    <row r="957" spans="2:2" ht="15.5" x14ac:dyDescent="0.35">
      <c r="B957" s="171"/>
    </row>
    <row r="958" spans="2:2" ht="15.5" x14ac:dyDescent="0.35">
      <c r="B958" s="171"/>
    </row>
    <row r="959" spans="2:2" ht="15.5" x14ac:dyDescent="0.35">
      <c r="B959" s="171"/>
    </row>
    <row r="960" spans="2:2" ht="15.5" x14ac:dyDescent="0.35">
      <c r="B960" s="171"/>
    </row>
    <row r="961" spans="2:2" ht="15.5" x14ac:dyDescent="0.35">
      <c r="B961" s="171"/>
    </row>
    <row r="962" spans="2:2" ht="15.5" x14ac:dyDescent="0.35">
      <c r="B962" s="171"/>
    </row>
    <row r="963" spans="2:2" ht="15.5" x14ac:dyDescent="0.35">
      <c r="B963" s="171"/>
    </row>
    <row r="964" spans="2:2" ht="15.5" x14ac:dyDescent="0.35">
      <c r="B964" s="171"/>
    </row>
    <row r="965" spans="2:2" ht="15.5" x14ac:dyDescent="0.35">
      <c r="B965" s="171"/>
    </row>
    <row r="966" spans="2:2" ht="15.5" x14ac:dyDescent="0.35">
      <c r="B966" s="171"/>
    </row>
    <row r="967" spans="2:2" ht="15.5" x14ac:dyDescent="0.35">
      <c r="B967" s="171"/>
    </row>
    <row r="968" spans="2:2" ht="15.5" x14ac:dyDescent="0.35">
      <c r="B968" s="171"/>
    </row>
    <row r="969" spans="2:2" ht="15.5" x14ac:dyDescent="0.35">
      <c r="B969" s="171"/>
    </row>
    <row r="970" spans="2:2" ht="15.5" x14ac:dyDescent="0.35">
      <c r="B970" s="171"/>
    </row>
    <row r="971" spans="2:2" ht="15.5" x14ac:dyDescent="0.35">
      <c r="B971" s="171"/>
    </row>
    <row r="972" spans="2:2" ht="15.5" x14ac:dyDescent="0.35">
      <c r="B972" s="171"/>
    </row>
    <row r="973" spans="2:2" ht="15.5" x14ac:dyDescent="0.35">
      <c r="B973" s="171"/>
    </row>
    <row r="974" spans="2:2" ht="15.5" x14ac:dyDescent="0.35">
      <c r="B974" s="171"/>
    </row>
    <row r="975" spans="2:2" ht="15.5" x14ac:dyDescent="0.35">
      <c r="B975" s="171"/>
    </row>
    <row r="976" spans="2:2" ht="15.5" x14ac:dyDescent="0.35">
      <c r="B976" s="171"/>
    </row>
    <row r="977" spans="2:2" ht="15.5" x14ac:dyDescent="0.35">
      <c r="B977" s="171"/>
    </row>
    <row r="978" spans="2:2" ht="15.5" x14ac:dyDescent="0.35">
      <c r="B978" s="171"/>
    </row>
    <row r="979" spans="2:2" ht="15.5" x14ac:dyDescent="0.35">
      <c r="B979" s="171"/>
    </row>
    <row r="980" spans="2:2" ht="15.5" x14ac:dyDescent="0.35">
      <c r="B980" s="171"/>
    </row>
    <row r="981" spans="2:2" ht="15.5" x14ac:dyDescent="0.35">
      <c r="B981" s="171"/>
    </row>
    <row r="982" spans="2:2" ht="15.5" x14ac:dyDescent="0.35">
      <c r="B982" s="171"/>
    </row>
    <row r="983" spans="2:2" ht="15.5" x14ac:dyDescent="0.35">
      <c r="B983" s="171"/>
    </row>
    <row r="984" spans="2:2" ht="15.5" x14ac:dyDescent="0.35">
      <c r="B984" s="171"/>
    </row>
    <row r="985" spans="2:2" ht="15.5" x14ac:dyDescent="0.35">
      <c r="B985" s="171"/>
    </row>
    <row r="986" spans="2:2" ht="15.5" x14ac:dyDescent="0.35">
      <c r="B986" s="171"/>
    </row>
    <row r="987" spans="2:2" ht="15.5" x14ac:dyDescent="0.35">
      <c r="B987" s="171"/>
    </row>
    <row r="988" spans="2:2" ht="15.5" x14ac:dyDescent="0.35">
      <c r="B988" s="171"/>
    </row>
    <row r="989" spans="2:2" ht="15.5" x14ac:dyDescent="0.35">
      <c r="B989" s="171"/>
    </row>
    <row r="990" spans="2:2" ht="15.5" x14ac:dyDescent="0.35">
      <c r="B990" s="171"/>
    </row>
    <row r="991" spans="2:2" ht="15.5" x14ac:dyDescent="0.35">
      <c r="B991" s="171"/>
    </row>
    <row r="992" spans="2:2" ht="15.5" x14ac:dyDescent="0.35">
      <c r="B992" s="171"/>
    </row>
    <row r="993" spans="2:2" ht="15.5" x14ac:dyDescent="0.35">
      <c r="B993" s="171"/>
    </row>
    <row r="994" spans="2:2" ht="15.5" x14ac:dyDescent="0.35">
      <c r="B994" s="171"/>
    </row>
    <row r="995" spans="2:2" ht="15.5" x14ac:dyDescent="0.35">
      <c r="B995" s="171"/>
    </row>
    <row r="996" spans="2:2" ht="15.5" x14ac:dyDescent="0.35">
      <c r="B996" s="171"/>
    </row>
    <row r="997" spans="2:2" ht="15.5" x14ac:dyDescent="0.35">
      <c r="B997" s="171"/>
    </row>
    <row r="998" spans="2:2" ht="15.5" x14ac:dyDescent="0.35">
      <c r="B998" s="171"/>
    </row>
    <row r="999" spans="2:2" ht="15.5" x14ac:dyDescent="0.35">
      <c r="B999" s="171"/>
    </row>
    <row r="1000" spans="2:2" ht="15.5" x14ac:dyDescent="0.35">
      <c r="B1000" s="171"/>
    </row>
    <row r="1001" spans="2:2" ht="15.5" x14ac:dyDescent="0.35">
      <c r="B1001" s="171"/>
    </row>
    <row r="1002" spans="2:2" ht="15.5" x14ac:dyDescent="0.35">
      <c r="B1002" s="171"/>
    </row>
    <row r="1003" spans="2:2" ht="15.5" x14ac:dyDescent="0.35">
      <c r="B1003" s="171"/>
    </row>
    <row r="1004" spans="2:2" ht="15.5" x14ac:dyDescent="0.35">
      <c r="B1004" s="171"/>
    </row>
    <row r="1005" spans="2:2" ht="15.5" x14ac:dyDescent="0.35">
      <c r="B1005" s="171"/>
    </row>
    <row r="1006" spans="2:2" ht="15.5" x14ac:dyDescent="0.35">
      <c r="B1006" s="171"/>
    </row>
    <row r="1007" spans="2:2" ht="15.5" x14ac:dyDescent="0.35">
      <c r="B1007" s="171"/>
    </row>
    <row r="1008" spans="2:2" ht="15.5" x14ac:dyDescent="0.35">
      <c r="B1008" s="171"/>
    </row>
    <row r="1009" spans="2:2" ht="15.5" x14ac:dyDescent="0.35">
      <c r="B1009" s="171"/>
    </row>
    <row r="1010" spans="2:2" ht="15.5" x14ac:dyDescent="0.35">
      <c r="B1010" s="171"/>
    </row>
    <row r="1011" spans="2:2" ht="15.5" x14ac:dyDescent="0.35">
      <c r="B1011" s="171"/>
    </row>
    <row r="1012" spans="2:2" ht="15.5" x14ac:dyDescent="0.35">
      <c r="B1012" s="171"/>
    </row>
    <row r="1013" spans="2:2" ht="15.5" x14ac:dyDescent="0.35">
      <c r="B1013" s="171"/>
    </row>
    <row r="1014" spans="2:2" ht="15.5" x14ac:dyDescent="0.35">
      <c r="B1014" s="171"/>
    </row>
    <row r="1015" spans="2:2" ht="15.5" x14ac:dyDescent="0.35">
      <c r="B1015" s="171"/>
    </row>
    <row r="1016" spans="2:2" ht="15.5" x14ac:dyDescent="0.35">
      <c r="B1016" s="171"/>
    </row>
    <row r="1017" spans="2:2" ht="15.5" x14ac:dyDescent="0.35">
      <c r="B1017" s="171"/>
    </row>
    <row r="1018" spans="2:2" ht="15.5" x14ac:dyDescent="0.35">
      <c r="B1018" s="171"/>
    </row>
    <row r="1019" spans="2:2" ht="15.5" x14ac:dyDescent="0.35">
      <c r="B1019" s="171"/>
    </row>
    <row r="1020" spans="2:2" ht="15.5" x14ac:dyDescent="0.35">
      <c r="B1020" s="171"/>
    </row>
    <row r="1021" spans="2:2" ht="15.5" x14ac:dyDescent="0.35">
      <c r="B1021" s="171"/>
    </row>
    <row r="1022" spans="2:2" ht="15.5" x14ac:dyDescent="0.35">
      <c r="B1022" s="171"/>
    </row>
    <row r="1023" spans="2:2" ht="15.5" x14ac:dyDescent="0.35">
      <c r="B1023" s="171"/>
    </row>
    <row r="1024" spans="2:2" ht="15.5" x14ac:dyDescent="0.35">
      <c r="B1024" s="171"/>
    </row>
    <row r="1025" spans="2:2" ht="15.5" x14ac:dyDescent="0.35">
      <c r="B1025" s="171"/>
    </row>
    <row r="1026" spans="2:2" ht="15.5" x14ac:dyDescent="0.35">
      <c r="B1026" s="171"/>
    </row>
    <row r="1027" spans="2:2" ht="15.5" x14ac:dyDescent="0.35">
      <c r="B1027" s="171"/>
    </row>
    <row r="1028" spans="2:2" ht="15.5" x14ac:dyDescent="0.35">
      <c r="B1028" s="171"/>
    </row>
    <row r="1029" spans="2:2" ht="15.5" x14ac:dyDescent="0.35">
      <c r="B1029" s="171"/>
    </row>
    <row r="1030" spans="2:2" ht="15.5" x14ac:dyDescent="0.35">
      <c r="B1030" s="171"/>
    </row>
    <row r="1031" spans="2:2" ht="15.5" x14ac:dyDescent="0.35">
      <c r="B1031" s="171"/>
    </row>
    <row r="1032" spans="2:2" ht="15.5" x14ac:dyDescent="0.35">
      <c r="B1032" s="171"/>
    </row>
    <row r="1033" spans="2:2" ht="15.5" x14ac:dyDescent="0.35">
      <c r="B1033" s="171"/>
    </row>
    <row r="1034" spans="2:2" ht="15.5" x14ac:dyDescent="0.35">
      <c r="B1034" s="171"/>
    </row>
    <row r="1035" spans="2:2" ht="15.5" x14ac:dyDescent="0.35">
      <c r="B1035" s="171"/>
    </row>
    <row r="1036" spans="2:2" ht="15.5" x14ac:dyDescent="0.35">
      <c r="B1036" s="171"/>
    </row>
    <row r="1037" spans="2:2" ht="15.5" x14ac:dyDescent="0.35">
      <c r="B1037" s="171"/>
    </row>
    <row r="1038" spans="2:2" ht="15.5" x14ac:dyDescent="0.35">
      <c r="B1038" s="171"/>
    </row>
    <row r="1039" spans="2:2" ht="15.5" x14ac:dyDescent="0.35">
      <c r="B1039" s="171"/>
    </row>
    <row r="1040" spans="2:2" ht="15.5" x14ac:dyDescent="0.35">
      <c r="B1040" s="171"/>
    </row>
    <row r="1041" spans="2:2" ht="15.5" x14ac:dyDescent="0.35">
      <c r="B1041" s="171"/>
    </row>
    <row r="1042" spans="2:2" ht="15.5" x14ac:dyDescent="0.35">
      <c r="B1042" s="171"/>
    </row>
    <row r="1043" spans="2:2" ht="15.5" x14ac:dyDescent="0.35">
      <c r="B1043" s="171"/>
    </row>
    <row r="1044" spans="2:2" ht="15.5" x14ac:dyDescent="0.35">
      <c r="B1044" s="171"/>
    </row>
    <row r="1045" spans="2:2" ht="15.5" x14ac:dyDescent="0.35">
      <c r="B1045" s="171"/>
    </row>
    <row r="1046" spans="2:2" ht="15.5" x14ac:dyDescent="0.35">
      <c r="B1046" s="171"/>
    </row>
    <row r="1047" spans="2:2" ht="15.5" x14ac:dyDescent="0.35">
      <c r="B1047" s="171"/>
    </row>
    <row r="1048" spans="2:2" ht="15.5" x14ac:dyDescent="0.35">
      <c r="B1048" s="171"/>
    </row>
    <row r="1049" spans="2:2" ht="15.5" x14ac:dyDescent="0.35">
      <c r="B1049" s="171"/>
    </row>
    <row r="1050" spans="2:2" ht="15.5" x14ac:dyDescent="0.35">
      <c r="B1050" s="171"/>
    </row>
    <row r="1051" spans="2:2" ht="15.5" x14ac:dyDescent="0.35">
      <c r="B1051" s="171"/>
    </row>
    <row r="1052" spans="2:2" ht="15.5" x14ac:dyDescent="0.35">
      <c r="B1052" s="171"/>
    </row>
    <row r="1053" spans="2:2" ht="15.5" x14ac:dyDescent="0.35">
      <c r="B1053" s="171"/>
    </row>
    <row r="1054" spans="2:2" ht="15.5" x14ac:dyDescent="0.35">
      <c r="B1054" s="171"/>
    </row>
    <row r="1055" spans="2:2" ht="15.5" x14ac:dyDescent="0.35">
      <c r="B1055" s="171"/>
    </row>
    <row r="1056" spans="2:2" ht="15.5" x14ac:dyDescent="0.35">
      <c r="B1056" s="171"/>
    </row>
    <row r="1057" spans="2:2" ht="15.5" x14ac:dyDescent="0.35">
      <c r="B1057" s="171"/>
    </row>
    <row r="1058" spans="2:2" ht="15.5" x14ac:dyDescent="0.35">
      <c r="B1058" s="171"/>
    </row>
    <row r="1059" spans="2:2" ht="15.5" x14ac:dyDescent="0.35">
      <c r="B1059" s="171"/>
    </row>
    <row r="1060" spans="2:2" ht="15.5" x14ac:dyDescent="0.35">
      <c r="B1060" s="171"/>
    </row>
    <row r="1061" spans="2:2" ht="15.5" x14ac:dyDescent="0.35">
      <c r="B1061" s="171"/>
    </row>
    <row r="1062" spans="2:2" ht="15.5" x14ac:dyDescent="0.35">
      <c r="B1062" s="171"/>
    </row>
    <row r="1063" spans="2:2" ht="15.5" x14ac:dyDescent="0.35">
      <c r="B1063" s="171"/>
    </row>
    <row r="1064" spans="2:2" ht="15.5" x14ac:dyDescent="0.35">
      <c r="B1064" s="171"/>
    </row>
    <row r="1065" spans="2:2" ht="15.5" x14ac:dyDescent="0.35">
      <c r="B1065" s="171"/>
    </row>
    <row r="1066" spans="2:2" ht="15.5" x14ac:dyDescent="0.35">
      <c r="B1066" s="171"/>
    </row>
    <row r="1067" spans="2:2" ht="15.5" x14ac:dyDescent="0.35">
      <c r="B1067" s="171"/>
    </row>
    <row r="1068" spans="2:2" ht="15.5" x14ac:dyDescent="0.35">
      <c r="B1068" s="171"/>
    </row>
    <row r="1069" spans="2:2" ht="15.5" x14ac:dyDescent="0.35">
      <c r="B1069" s="171"/>
    </row>
    <row r="1070" spans="2:2" ht="15.5" x14ac:dyDescent="0.35">
      <c r="B1070" s="171"/>
    </row>
    <row r="1071" spans="2:2" ht="15.5" x14ac:dyDescent="0.35">
      <c r="B1071" s="171"/>
    </row>
    <row r="1072" spans="2:2" ht="15.5" x14ac:dyDescent="0.35">
      <c r="B1072" s="171"/>
    </row>
    <row r="1073" spans="2:2" ht="15.5" x14ac:dyDescent="0.35">
      <c r="B1073" s="171"/>
    </row>
    <row r="1074" spans="2:2" ht="15.5" x14ac:dyDescent="0.35">
      <c r="B1074" s="171"/>
    </row>
    <row r="1075" spans="2:2" ht="15.5" x14ac:dyDescent="0.35">
      <c r="B1075" s="171"/>
    </row>
    <row r="1076" spans="2:2" ht="15.5" x14ac:dyDescent="0.35">
      <c r="B1076" s="171"/>
    </row>
    <row r="1077" spans="2:2" ht="15.5" x14ac:dyDescent="0.35">
      <c r="B1077" s="171"/>
    </row>
    <row r="1078" spans="2:2" ht="15.5" x14ac:dyDescent="0.35">
      <c r="B1078" s="171"/>
    </row>
    <row r="1079" spans="2:2" ht="15.5" x14ac:dyDescent="0.35">
      <c r="B1079" s="171"/>
    </row>
    <row r="1080" spans="2:2" ht="15.5" x14ac:dyDescent="0.35">
      <c r="B1080" s="171"/>
    </row>
    <row r="1081" spans="2:2" ht="15.5" x14ac:dyDescent="0.35">
      <c r="B1081" s="171"/>
    </row>
    <row r="1082" spans="2:2" ht="15.5" x14ac:dyDescent="0.35">
      <c r="B1082" s="171"/>
    </row>
    <row r="1083" spans="2:2" ht="15.5" x14ac:dyDescent="0.35">
      <c r="B1083" s="171"/>
    </row>
    <row r="1084" spans="2:2" ht="15.5" x14ac:dyDescent="0.35">
      <c r="B1084" s="171"/>
    </row>
    <row r="1085" spans="2:2" ht="15.5" x14ac:dyDescent="0.35">
      <c r="B1085" s="171"/>
    </row>
    <row r="1086" spans="2:2" ht="15.5" x14ac:dyDescent="0.35">
      <c r="B1086" s="171"/>
    </row>
    <row r="1087" spans="2:2" ht="15.5" x14ac:dyDescent="0.35">
      <c r="B1087" s="171"/>
    </row>
    <row r="1088" spans="2:2" ht="15.5" x14ac:dyDescent="0.35">
      <c r="B1088" s="171"/>
    </row>
    <row r="1089" spans="2:2" ht="15.5" x14ac:dyDescent="0.35">
      <c r="B1089" s="171"/>
    </row>
    <row r="1090" spans="2:2" ht="15.5" x14ac:dyDescent="0.35">
      <c r="B1090" s="171"/>
    </row>
    <row r="1091" spans="2:2" ht="15.5" x14ac:dyDescent="0.35">
      <c r="B1091" s="171"/>
    </row>
    <row r="1092" spans="2:2" ht="15.5" x14ac:dyDescent="0.35">
      <c r="B1092" s="171"/>
    </row>
    <row r="1093" spans="2:2" ht="15.5" x14ac:dyDescent="0.35">
      <c r="B1093" s="171"/>
    </row>
    <row r="1094" spans="2:2" ht="15.5" x14ac:dyDescent="0.35">
      <c r="B1094" s="171"/>
    </row>
    <row r="1095" spans="2:2" ht="15.5" x14ac:dyDescent="0.35">
      <c r="B1095" s="171"/>
    </row>
    <row r="1096" spans="2:2" ht="15.5" x14ac:dyDescent="0.35">
      <c r="B1096" s="171"/>
    </row>
    <row r="1097" spans="2:2" ht="15.5" x14ac:dyDescent="0.35">
      <c r="B1097" s="171"/>
    </row>
    <row r="1098" spans="2:2" ht="15.5" x14ac:dyDescent="0.35">
      <c r="B1098" s="171"/>
    </row>
    <row r="1099" spans="2:2" ht="15.5" x14ac:dyDescent="0.35">
      <c r="B1099" s="171"/>
    </row>
    <row r="1100" spans="2:2" ht="15.5" x14ac:dyDescent="0.35">
      <c r="B1100" s="171"/>
    </row>
    <row r="1101" spans="2:2" ht="15.5" x14ac:dyDescent="0.35">
      <c r="B1101" s="171"/>
    </row>
    <row r="1102" spans="2:2" ht="15.5" x14ac:dyDescent="0.35">
      <c r="B1102" s="171"/>
    </row>
    <row r="1103" spans="2:2" ht="15.5" x14ac:dyDescent="0.35">
      <c r="B1103" s="171"/>
    </row>
    <row r="1104" spans="2:2" ht="15.5" x14ac:dyDescent="0.35">
      <c r="B1104" s="171"/>
    </row>
    <row r="1105" spans="2:2" ht="15.5" x14ac:dyDescent="0.35">
      <c r="B1105" s="171"/>
    </row>
    <row r="1106" spans="2:2" ht="15.5" x14ac:dyDescent="0.35">
      <c r="B1106" s="171"/>
    </row>
    <row r="1107" spans="2:2" ht="15.5" x14ac:dyDescent="0.35">
      <c r="B1107" s="171"/>
    </row>
    <row r="1108" spans="2:2" ht="15.5" x14ac:dyDescent="0.35">
      <c r="B1108" s="171"/>
    </row>
    <row r="1109" spans="2:2" ht="15.5" x14ac:dyDescent="0.35">
      <c r="B1109" s="171"/>
    </row>
    <row r="1110" spans="2:2" ht="15.5" x14ac:dyDescent="0.35">
      <c r="B1110" s="171"/>
    </row>
    <row r="1111" spans="2:2" ht="15.5" x14ac:dyDescent="0.35">
      <c r="B1111" s="171"/>
    </row>
    <row r="1112" spans="2:2" ht="15.5" x14ac:dyDescent="0.35">
      <c r="B1112" s="171"/>
    </row>
    <row r="1113" spans="2:2" ht="15.5" x14ac:dyDescent="0.35">
      <c r="B1113" s="171"/>
    </row>
    <row r="1114" spans="2:2" ht="15.5" x14ac:dyDescent="0.35">
      <c r="B1114" s="171"/>
    </row>
    <row r="1115" spans="2:2" ht="15.5" x14ac:dyDescent="0.35">
      <c r="B1115" s="171"/>
    </row>
    <row r="1116" spans="2:2" ht="15.5" x14ac:dyDescent="0.35">
      <c r="B1116" s="171"/>
    </row>
    <row r="1117" spans="2:2" ht="15.5" x14ac:dyDescent="0.35">
      <c r="B1117" s="171"/>
    </row>
    <row r="1118" spans="2:2" ht="15.5" x14ac:dyDescent="0.35">
      <c r="B1118" s="171"/>
    </row>
    <row r="1119" spans="2:2" ht="15.5" x14ac:dyDescent="0.35">
      <c r="B1119" s="171"/>
    </row>
    <row r="1120" spans="2:2" ht="15.5" x14ac:dyDescent="0.35">
      <c r="B1120" s="171"/>
    </row>
    <row r="1121" spans="2:2" ht="15.5" x14ac:dyDescent="0.35">
      <c r="B1121" s="171"/>
    </row>
    <row r="1122" spans="2:2" ht="15.5" x14ac:dyDescent="0.35">
      <c r="B1122" s="171"/>
    </row>
    <row r="1123" spans="2:2" ht="15.5" x14ac:dyDescent="0.35">
      <c r="B1123" s="171"/>
    </row>
    <row r="1124" spans="2:2" ht="15.5" x14ac:dyDescent="0.35">
      <c r="B1124" s="171"/>
    </row>
    <row r="1125" spans="2:2" ht="15.5" x14ac:dyDescent="0.35">
      <c r="B1125" s="171"/>
    </row>
    <row r="1126" spans="2:2" ht="15.5" x14ac:dyDescent="0.35">
      <c r="B1126" s="171"/>
    </row>
    <row r="1127" spans="2:2" ht="15.5" x14ac:dyDescent="0.35">
      <c r="B1127" s="171"/>
    </row>
    <row r="1128" spans="2:2" ht="15.5" x14ac:dyDescent="0.35">
      <c r="B1128" s="171"/>
    </row>
    <row r="1129" spans="2:2" ht="15.5" x14ac:dyDescent="0.35">
      <c r="B1129" s="171"/>
    </row>
    <row r="1130" spans="2:2" ht="15.5" x14ac:dyDescent="0.35">
      <c r="B1130" s="171"/>
    </row>
    <row r="1131" spans="2:2" ht="15.5" x14ac:dyDescent="0.35">
      <c r="B1131" s="171"/>
    </row>
    <row r="1132" spans="2:2" ht="15.5" x14ac:dyDescent="0.35">
      <c r="B1132" s="171"/>
    </row>
    <row r="1133" spans="2:2" ht="15.5" x14ac:dyDescent="0.35">
      <c r="B1133" s="171"/>
    </row>
    <row r="1134" spans="2:2" ht="15.5" x14ac:dyDescent="0.35">
      <c r="B1134" s="171"/>
    </row>
    <row r="1135" spans="2:2" ht="15.5" x14ac:dyDescent="0.35">
      <c r="B1135" s="171"/>
    </row>
    <row r="1136" spans="2:2" ht="15.5" x14ac:dyDescent="0.35">
      <c r="B1136" s="171"/>
    </row>
    <row r="1137" spans="2:2" ht="15.5" x14ac:dyDescent="0.35">
      <c r="B1137" s="171"/>
    </row>
    <row r="1138" spans="2:2" ht="15.5" x14ac:dyDescent="0.35">
      <c r="B1138" s="171"/>
    </row>
    <row r="1139" spans="2:2" ht="15.5" x14ac:dyDescent="0.35">
      <c r="B1139" s="171"/>
    </row>
    <row r="1140" spans="2:2" ht="15.5" x14ac:dyDescent="0.35">
      <c r="B1140" s="171"/>
    </row>
    <row r="1141" spans="2:2" ht="15.5" x14ac:dyDescent="0.35">
      <c r="B1141" s="171"/>
    </row>
    <row r="1142" spans="2:2" ht="15.5" x14ac:dyDescent="0.35">
      <c r="B1142" s="171"/>
    </row>
    <row r="1143" spans="2:2" ht="15.5" x14ac:dyDescent="0.35">
      <c r="B1143" s="171"/>
    </row>
    <row r="1144" spans="2:2" ht="15.5" x14ac:dyDescent="0.35">
      <c r="B1144" s="171"/>
    </row>
    <row r="1145" spans="2:2" ht="15.5" x14ac:dyDescent="0.35">
      <c r="B1145" s="171"/>
    </row>
    <row r="1146" spans="2:2" ht="15.5" x14ac:dyDescent="0.35">
      <c r="B1146" s="171"/>
    </row>
    <row r="1147" spans="2:2" ht="15.5" x14ac:dyDescent="0.35">
      <c r="B1147" s="171"/>
    </row>
    <row r="1148" spans="2:2" ht="15.5" x14ac:dyDescent="0.35">
      <c r="B1148" s="171"/>
    </row>
    <row r="1149" spans="2:2" ht="15.5" x14ac:dyDescent="0.35">
      <c r="B1149" s="171"/>
    </row>
    <row r="1150" spans="2:2" ht="15.5" x14ac:dyDescent="0.35">
      <c r="B1150" s="171"/>
    </row>
    <row r="1151" spans="2:2" ht="15.5" x14ac:dyDescent="0.35">
      <c r="B1151" s="171"/>
    </row>
    <row r="1152" spans="2:2" ht="15.5" x14ac:dyDescent="0.35">
      <c r="B1152" s="171"/>
    </row>
    <row r="1153" spans="2:2" ht="15.5" x14ac:dyDescent="0.35">
      <c r="B1153" s="171"/>
    </row>
    <row r="1154" spans="2:2" ht="15.5" x14ac:dyDescent="0.35">
      <c r="B1154" s="171"/>
    </row>
    <row r="1155" spans="2:2" ht="15.5" x14ac:dyDescent="0.35">
      <c r="B1155" s="171"/>
    </row>
    <row r="1156" spans="2:2" ht="15.5" x14ac:dyDescent="0.35">
      <c r="B1156" s="171"/>
    </row>
    <row r="1157" spans="2:2" ht="15.5" x14ac:dyDescent="0.35">
      <c r="B1157" s="171"/>
    </row>
    <row r="1158" spans="2:2" ht="15.5" x14ac:dyDescent="0.35">
      <c r="B1158" s="171"/>
    </row>
    <row r="1159" spans="2:2" ht="15.5" x14ac:dyDescent="0.35">
      <c r="B1159" s="171"/>
    </row>
    <row r="1160" spans="2:2" ht="15.5" x14ac:dyDescent="0.35">
      <c r="B1160" s="171"/>
    </row>
    <row r="1161" spans="2:2" ht="15.5" x14ac:dyDescent="0.35">
      <c r="B1161" s="171"/>
    </row>
    <row r="1162" spans="2:2" ht="15.5" x14ac:dyDescent="0.35">
      <c r="B1162" s="171"/>
    </row>
    <row r="1163" spans="2:2" ht="15.5" x14ac:dyDescent="0.35">
      <c r="B1163" s="171"/>
    </row>
    <row r="1164" spans="2:2" ht="15.5" x14ac:dyDescent="0.35">
      <c r="B1164" s="171"/>
    </row>
    <row r="1165" spans="2:2" ht="15.5" x14ac:dyDescent="0.35">
      <c r="B1165" s="171"/>
    </row>
    <row r="1166" spans="2:2" ht="15.5" x14ac:dyDescent="0.35">
      <c r="B1166" s="171"/>
    </row>
    <row r="1167" spans="2:2" ht="15.5" x14ac:dyDescent="0.35">
      <c r="B1167" s="171"/>
    </row>
    <row r="1168" spans="2:2" ht="15.5" x14ac:dyDescent="0.35">
      <c r="B1168" s="171"/>
    </row>
    <row r="1169" spans="2:2" ht="15.5" x14ac:dyDescent="0.35">
      <c r="B1169" s="171"/>
    </row>
    <row r="1170" spans="2:2" ht="15.5" x14ac:dyDescent="0.35">
      <c r="B1170" s="171"/>
    </row>
    <row r="1171" spans="2:2" ht="15.5" x14ac:dyDescent="0.35">
      <c r="B1171" s="171"/>
    </row>
    <row r="1172" spans="2:2" ht="15.5" x14ac:dyDescent="0.35">
      <c r="B1172" s="171"/>
    </row>
    <row r="1173" spans="2:2" ht="15.5" x14ac:dyDescent="0.35">
      <c r="B1173" s="171"/>
    </row>
    <row r="1174" spans="2:2" ht="15.5" x14ac:dyDescent="0.35">
      <c r="B1174" s="171"/>
    </row>
    <row r="1175" spans="2:2" ht="15.5" x14ac:dyDescent="0.35">
      <c r="B1175" s="171"/>
    </row>
    <row r="1176" spans="2:2" ht="15.5" x14ac:dyDescent="0.35">
      <c r="B1176" s="171"/>
    </row>
    <row r="1177" spans="2:2" ht="15.5" x14ac:dyDescent="0.35">
      <c r="B1177" s="171"/>
    </row>
    <row r="1178" spans="2:2" ht="15.5" x14ac:dyDescent="0.35">
      <c r="B1178" s="171"/>
    </row>
    <row r="1179" spans="2:2" ht="15.5" x14ac:dyDescent="0.35">
      <c r="B1179" s="171"/>
    </row>
    <row r="1180" spans="2:2" ht="15.5" x14ac:dyDescent="0.35">
      <c r="B1180" s="171"/>
    </row>
    <row r="1181" spans="2:2" ht="15.5" x14ac:dyDescent="0.35">
      <c r="B1181" s="171"/>
    </row>
    <row r="1182" spans="2:2" ht="15.5" x14ac:dyDescent="0.35">
      <c r="B1182" s="171"/>
    </row>
    <row r="1183" spans="2:2" ht="15.5" x14ac:dyDescent="0.35">
      <c r="B1183" s="171"/>
    </row>
    <row r="1184" spans="2:2" ht="15.5" x14ac:dyDescent="0.35">
      <c r="B1184" s="171"/>
    </row>
    <row r="1185" spans="2:2" ht="15.5" x14ac:dyDescent="0.35">
      <c r="B1185" s="171"/>
    </row>
    <row r="1186" spans="2:2" ht="15.5" x14ac:dyDescent="0.35">
      <c r="B1186" s="171"/>
    </row>
    <row r="1187" spans="2:2" ht="15.5" x14ac:dyDescent="0.35">
      <c r="B1187" s="171"/>
    </row>
    <row r="1188" spans="2:2" ht="15.5" x14ac:dyDescent="0.35">
      <c r="B1188" s="171"/>
    </row>
    <row r="1189" spans="2:2" ht="15.5" x14ac:dyDescent="0.35">
      <c r="B1189" s="171"/>
    </row>
    <row r="1190" spans="2:2" ht="15.5" x14ac:dyDescent="0.35">
      <c r="B1190" s="171"/>
    </row>
    <row r="1191" spans="2:2" ht="15.5" x14ac:dyDescent="0.35">
      <c r="B1191" s="171"/>
    </row>
    <row r="1192" spans="2:2" ht="15.5" x14ac:dyDescent="0.35">
      <c r="B1192" s="171"/>
    </row>
    <row r="1193" spans="2:2" ht="15.5" x14ac:dyDescent="0.35">
      <c r="B1193" s="171"/>
    </row>
    <row r="1194" spans="2:2" ht="15.5" x14ac:dyDescent="0.35">
      <c r="B1194" s="171"/>
    </row>
    <row r="1195" spans="2:2" ht="15.5" x14ac:dyDescent="0.35">
      <c r="B1195" s="171"/>
    </row>
    <row r="1196" spans="2:2" ht="15.5" x14ac:dyDescent="0.35">
      <c r="B1196" s="171"/>
    </row>
    <row r="1197" spans="2:2" ht="15.5" x14ac:dyDescent="0.35">
      <c r="B1197" s="171"/>
    </row>
    <row r="1198" spans="2:2" ht="15.5" x14ac:dyDescent="0.35">
      <c r="B1198" s="171"/>
    </row>
    <row r="1199" spans="2:2" ht="15.5" x14ac:dyDescent="0.35">
      <c r="B1199" s="171"/>
    </row>
    <row r="1200" spans="2:2" ht="15.5" x14ac:dyDescent="0.35">
      <c r="B1200" s="171"/>
    </row>
    <row r="1201" spans="2:2" ht="15.5" x14ac:dyDescent="0.35">
      <c r="B1201" s="171"/>
    </row>
    <row r="1202" spans="2:2" ht="15.5" x14ac:dyDescent="0.35">
      <c r="B1202" s="171"/>
    </row>
    <row r="1203" spans="2:2" ht="15.5" x14ac:dyDescent="0.35">
      <c r="B1203" s="171"/>
    </row>
    <row r="1204" spans="2:2" ht="15.5" x14ac:dyDescent="0.35">
      <c r="B1204" s="171"/>
    </row>
    <row r="1205" spans="2:2" ht="15.5" x14ac:dyDescent="0.35">
      <c r="B1205" s="171"/>
    </row>
    <row r="1206" spans="2:2" ht="15.5" x14ac:dyDescent="0.35">
      <c r="B1206" s="171"/>
    </row>
    <row r="1207" spans="2:2" ht="15.5" x14ac:dyDescent="0.35">
      <c r="B1207" s="171"/>
    </row>
    <row r="1208" spans="2:2" ht="15.5" x14ac:dyDescent="0.35">
      <c r="B1208" s="171"/>
    </row>
    <row r="1209" spans="2:2" ht="15.5" x14ac:dyDescent="0.35">
      <c r="B1209" s="171"/>
    </row>
    <row r="1210" spans="2:2" ht="15.5" x14ac:dyDescent="0.35">
      <c r="B1210" s="171"/>
    </row>
    <row r="1211" spans="2:2" ht="15.5" x14ac:dyDescent="0.35">
      <c r="B1211" s="171"/>
    </row>
    <row r="1212" spans="2:2" ht="15.5" x14ac:dyDescent="0.35">
      <c r="B1212" s="171"/>
    </row>
    <row r="1213" spans="2:2" ht="15.5" x14ac:dyDescent="0.35">
      <c r="B1213" s="171"/>
    </row>
    <row r="1214" spans="2:2" ht="15.5" x14ac:dyDescent="0.35">
      <c r="B1214" s="171"/>
    </row>
    <row r="1215" spans="2:2" ht="15.5" x14ac:dyDescent="0.35">
      <c r="B1215" s="171"/>
    </row>
    <row r="1216" spans="2:2" ht="15.5" x14ac:dyDescent="0.35">
      <c r="B1216" s="171"/>
    </row>
    <row r="1217" spans="2:2" ht="15.5" x14ac:dyDescent="0.35">
      <c r="B1217" s="171"/>
    </row>
    <row r="1218" spans="2:2" ht="15.5" x14ac:dyDescent="0.35">
      <c r="B1218" s="171"/>
    </row>
    <row r="1219" spans="2:2" ht="15.5" x14ac:dyDescent="0.35">
      <c r="B1219" s="171"/>
    </row>
    <row r="1220" spans="2:2" ht="15.5" x14ac:dyDescent="0.35">
      <c r="B1220" s="171"/>
    </row>
    <row r="1221" spans="2:2" ht="15.5" x14ac:dyDescent="0.35">
      <c r="B1221" s="171"/>
    </row>
    <row r="1222" spans="2:2" ht="15.5" x14ac:dyDescent="0.35">
      <c r="B1222" s="171"/>
    </row>
    <row r="1223" spans="2:2" ht="15.5" x14ac:dyDescent="0.35">
      <c r="B1223" s="171"/>
    </row>
    <row r="1224" spans="2:2" ht="15.5" x14ac:dyDescent="0.35">
      <c r="B1224" s="171"/>
    </row>
    <row r="1225" spans="2:2" ht="15.5" x14ac:dyDescent="0.35">
      <c r="B1225" s="171"/>
    </row>
    <row r="1226" spans="2:2" ht="15.5" x14ac:dyDescent="0.35">
      <c r="B1226" s="171"/>
    </row>
    <row r="1227" spans="2:2" ht="15.5" x14ac:dyDescent="0.35">
      <c r="B1227" s="171"/>
    </row>
    <row r="1228" spans="2:2" ht="15.5" x14ac:dyDescent="0.35">
      <c r="B1228" s="171"/>
    </row>
    <row r="1229" spans="2:2" ht="15.5" x14ac:dyDescent="0.35">
      <c r="B1229" s="171"/>
    </row>
    <row r="1230" spans="2:2" ht="15.5" x14ac:dyDescent="0.35">
      <c r="B1230" s="171"/>
    </row>
    <row r="1231" spans="2:2" ht="15.5" x14ac:dyDescent="0.35">
      <c r="B1231" s="171"/>
    </row>
    <row r="1232" spans="2:2" ht="15.5" x14ac:dyDescent="0.35">
      <c r="B1232" s="171"/>
    </row>
    <row r="1233" spans="2:2" ht="15.5" x14ac:dyDescent="0.35">
      <c r="B1233" s="171"/>
    </row>
    <row r="1234" spans="2:2" ht="15.5" x14ac:dyDescent="0.35">
      <c r="B1234" s="171"/>
    </row>
    <row r="1235" spans="2:2" ht="15.5" x14ac:dyDescent="0.35">
      <c r="B1235" s="171"/>
    </row>
    <row r="1236" spans="2:2" ht="15.5" x14ac:dyDescent="0.35">
      <c r="B1236" s="171"/>
    </row>
    <row r="1237" spans="2:2" ht="15.5" x14ac:dyDescent="0.35">
      <c r="B1237" s="171"/>
    </row>
    <row r="1238" spans="2:2" ht="15.5" x14ac:dyDescent="0.35">
      <c r="B1238" s="171"/>
    </row>
    <row r="1239" spans="2:2" ht="15.5" x14ac:dyDescent="0.35">
      <c r="B1239" s="171"/>
    </row>
    <row r="1240" spans="2:2" ht="15.5" x14ac:dyDescent="0.35">
      <c r="B1240" s="171"/>
    </row>
    <row r="1241" spans="2:2" ht="15.5" x14ac:dyDescent="0.35">
      <c r="B1241" s="171"/>
    </row>
    <row r="1242" spans="2:2" ht="15.5" x14ac:dyDescent="0.35">
      <c r="B1242" s="171"/>
    </row>
    <row r="1243" spans="2:2" ht="15.5" x14ac:dyDescent="0.35">
      <c r="B1243" s="171"/>
    </row>
    <row r="1244" spans="2:2" ht="15.5" x14ac:dyDescent="0.35">
      <c r="B1244" s="171"/>
    </row>
    <row r="1245" spans="2:2" ht="15.5" x14ac:dyDescent="0.35">
      <c r="B1245" s="171"/>
    </row>
    <row r="1246" spans="2:2" ht="15.5" x14ac:dyDescent="0.35">
      <c r="B1246" s="171"/>
    </row>
    <row r="1247" spans="2:2" ht="15.5" x14ac:dyDescent="0.35">
      <c r="B1247" s="171"/>
    </row>
    <row r="1248" spans="2:2" ht="15.5" x14ac:dyDescent="0.35">
      <c r="B1248" s="171"/>
    </row>
    <row r="1249" spans="2:2" ht="15.5" x14ac:dyDescent="0.35">
      <c r="B1249" s="171"/>
    </row>
    <row r="1250" spans="2:2" ht="15.5" x14ac:dyDescent="0.35">
      <c r="B1250" s="171"/>
    </row>
    <row r="1251" spans="2:2" ht="15.5" x14ac:dyDescent="0.35">
      <c r="B1251" s="171"/>
    </row>
    <row r="1252" spans="2:2" ht="15.5" x14ac:dyDescent="0.35">
      <c r="B1252" s="171"/>
    </row>
    <row r="1253" spans="2:2" ht="15.5" x14ac:dyDescent="0.35">
      <c r="B1253" s="171"/>
    </row>
    <row r="1254" spans="2:2" ht="15.5" x14ac:dyDescent="0.35">
      <c r="B1254" s="171"/>
    </row>
    <row r="1255" spans="2:2" ht="15.5" x14ac:dyDescent="0.35">
      <c r="B1255" s="171"/>
    </row>
    <row r="1256" spans="2:2" ht="15.5" x14ac:dyDescent="0.35">
      <c r="B1256" s="171"/>
    </row>
    <row r="1257" spans="2:2" ht="15.5" x14ac:dyDescent="0.35">
      <c r="B1257" s="171"/>
    </row>
    <row r="1258" spans="2:2" ht="15.5" x14ac:dyDescent="0.35">
      <c r="B1258" s="171"/>
    </row>
    <row r="1259" spans="2:2" ht="15.5" x14ac:dyDescent="0.35">
      <c r="B1259" s="171"/>
    </row>
    <row r="1260" spans="2:2" ht="15.5" x14ac:dyDescent="0.35">
      <c r="B1260" s="171"/>
    </row>
    <row r="1261" spans="2:2" ht="15.5" x14ac:dyDescent="0.35">
      <c r="B1261" s="171"/>
    </row>
    <row r="1262" spans="2:2" ht="15.5" x14ac:dyDescent="0.35">
      <c r="B1262" s="171"/>
    </row>
    <row r="1263" spans="2:2" ht="15.5" x14ac:dyDescent="0.35">
      <c r="B1263" s="171"/>
    </row>
    <row r="1264" spans="2:2" ht="15.5" x14ac:dyDescent="0.35">
      <c r="B1264" s="171"/>
    </row>
    <row r="1265" spans="2:2" ht="15.5" x14ac:dyDescent="0.35">
      <c r="B1265" s="171"/>
    </row>
    <row r="1266" spans="2:2" ht="15.5" x14ac:dyDescent="0.35">
      <c r="B1266" s="171"/>
    </row>
    <row r="1267" spans="2:2" ht="15.5" x14ac:dyDescent="0.35">
      <c r="B1267" s="171"/>
    </row>
    <row r="1268" spans="2:2" ht="15.5" x14ac:dyDescent="0.35">
      <c r="B1268" s="171"/>
    </row>
    <row r="1269" spans="2:2" ht="15.5" x14ac:dyDescent="0.35">
      <c r="B1269" s="171"/>
    </row>
    <row r="1270" spans="2:2" ht="15.5" x14ac:dyDescent="0.35">
      <c r="B1270" s="171"/>
    </row>
    <row r="1271" spans="2:2" ht="15.5" x14ac:dyDescent="0.35">
      <c r="B1271" s="171"/>
    </row>
    <row r="1272" spans="2:2" ht="15.5" x14ac:dyDescent="0.35">
      <c r="B1272" s="171"/>
    </row>
    <row r="1273" spans="2:2" ht="15.5" x14ac:dyDescent="0.35">
      <c r="B1273" s="171"/>
    </row>
    <row r="1274" spans="2:2" ht="15.5" x14ac:dyDescent="0.35">
      <c r="B1274" s="171"/>
    </row>
    <row r="1275" spans="2:2" ht="15.5" x14ac:dyDescent="0.35">
      <c r="B1275" s="171"/>
    </row>
    <row r="1276" spans="2:2" ht="15.5" x14ac:dyDescent="0.35">
      <c r="B1276" s="171"/>
    </row>
    <row r="1277" spans="2:2" ht="15.5" x14ac:dyDescent="0.35">
      <c r="B1277" s="171"/>
    </row>
    <row r="1278" spans="2:2" ht="15.5" x14ac:dyDescent="0.35">
      <c r="B1278" s="171"/>
    </row>
    <row r="1279" spans="2:2" ht="15.5" x14ac:dyDescent="0.35">
      <c r="B1279" s="171"/>
    </row>
    <row r="1280" spans="2:2" ht="15.5" x14ac:dyDescent="0.35">
      <c r="B1280" s="171"/>
    </row>
    <row r="1281" spans="2:2" ht="15.5" x14ac:dyDescent="0.35">
      <c r="B1281" s="171"/>
    </row>
    <row r="1282" spans="2:2" ht="15.5" x14ac:dyDescent="0.35">
      <c r="B1282" s="171"/>
    </row>
    <row r="1283" spans="2:2" ht="15.5" x14ac:dyDescent="0.35">
      <c r="B1283" s="171"/>
    </row>
    <row r="1284" spans="2:2" ht="15.5" x14ac:dyDescent="0.35">
      <c r="B1284" s="171"/>
    </row>
    <row r="1285" spans="2:2" ht="15.5" x14ac:dyDescent="0.35">
      <c r="B1285" s="171"/>
    </row>
    <row r="1286" spans="2:2" ht="15.5" x14ac:dyDescent="0.35">
      <c r="B1286" s="171"/>
    </row>
    <row r="1287" spans="2:2" ht="15.5" x14ac:dyDescent="0.35">
      <c r="B1287" s="171"/>
    </row>
    <row r="1288" spans="2:2" ht="15.5" x14ac:dyDescent="0.35">
      <c r="B1288" s="171"/>
    </row>
    <row r="1289" spans="2:2" ht="15.5" x14ac:dyDescent="0.35">
      <c r="B1289" s="171"/>
    </row>
    <row r="1290" spans="2:2" ht="15.5" x14ac:dyDescent="0.35">
      <c r="B1290" s="171"/>
    </row>
    <row r="1291" spans="2:2" ht="15.5" x14ac:dyDescent="0.35">
      <c r="B1291" s="171"/>
    </row>
    <row r="1292" spans="2:2" ht="15.5" x14ac:dyDescent="0.35">
      <c r="B1292" s="171"/>
    </row>
    <row r="1293" spans="2:2" ht="15.5" x14ac:dyDescent="0.35">
      <c r="B1293" s="171"/>
    </row>
    <row r="1294" spans="2:2" ht="15.5" x14ac:dyDescent="0.35">
      <c r="B1294" s="171"/>
    </row>
    <row r="1295" spans="2:2" ht="15.5" x14ac:dyDescent="0.35">
      <c r="B1295" s="171"/>
    </row>
    <row r="1296" spans="2:2" ht="15.5" x14ac:dyDescent="0.35">
      <c r="B1296" s="171"/>
    </row>
    <row r="1297" spans="2:2" ht="15.5" x14ac:dyDescent="0.35">
      <c r="B1297" s="171"/>
    </row>
    <row r="1298" spans="2:2" ht="15.5" x14ac:dyDescent="0.35">
      <c r="B1298" s="171"/>
    </row>
    <row r="1299" spans="2:2" ht="15.5" x14ac:dyDescent="0.35">
      <c r="B1299" s="171"/>
    </row>
    <row r="1300" spans="2:2" ht="15.5" x14ac:dyDescent="0.35">
      <c r="B1300" s="171"/>
    </row>
    <row r="1301" spans="2:2" ht="15.5" x14ac:dyDescent="0.35">
      <c r="B1301" s="171"/>
    </row>
    <row r="1302" spans="2:2" ht="15.5" x14ac:dyDescent="0.35">
      <c r="B1302" s="171"/>
    </row>
    <row r="1303" spans="2:2" ht="15.5" x14ac:dyDescent="0.35">
      <c r="B1303" s="171"/>
    </row>
    <row r="1304" spans="2:2" ht="15.5" x14ac:dyDescent="0.35">
      <c r="B1304" s="171"/>
    </row>
    <row r="1305" spans="2:2" ht="15.5" x14ac:dyDescent="0.35">
      <c r="B1305" s="171"/>
    </row>
    <row r="1306" spans="2:2" ht="15.5" x14ac:dyDescent="0.35">
      <c r="B1306" s="171"/>
    </row>
    <row r="1307" spans="2:2" ht="15.5" x14ac:dyDescent="0.35">
      <c r="B1307" s="171"/>
    </row>
    <row r="1308" spans="2:2" ht="15.5" x14ac:dyDescent="0.35">
      <c r="B1308" s="171"/>
    </row>
    <row r="1309" spans="2:2" ht="15.5" x14ac:dyDescent="0.35">
      <c r="B1309" s="171"/>
    </row>
    <row r="1310" spans="2:2" ht="15.5" x14ac:dyDescent="0.35">
      <c r="B1310" s="171"/>
    </row>
    <row r="1311" spans="2:2" ht="15.5" x14ac:dyDescent="0.35">
      <c r="B1311" s="171"/>
    </row>
    <row r="1312" spans="2:2" ht="15.5" x14ac:dyDescent="0.35">
      <c r="B1312" s="171"/>
    </row>
    <row r="1313" spans="2:2" ht="15.5" x14ac:dyDescent="0.35">
      <c r="B1313" s="171"/>
    </row>
    <row r="1314" spans="2:2" ht="15.5" x14ac:dyDescent="0.35">
      <c r="B1314" s="171"/>
    </row>
    <row r="1315" spans="2:2" ht="15.5" x14ac:dyDescent="0.35">
      <c r="B1315" s="171"/>
    </row>
    <row r="1316" spans="2:2" ht="15.5" x14ac:dyDescent="0.35">
      <c r="B1316" s="171"/>
    </row>
    <row r="1317" spans="2:2" ht="15.5" x14ac:dyDescent="0.35">
      <c r="B1317" s="171"/>
    </row>
    <row r="1318" spans="2:2" ht="15.5" x14ac:dyDescent="0.35">
      <c r="B1318" s="171"/>
    </row>
    <row r="1319" spans="2:2" ht="15.5" x14ac:dyDescent="0.35">
      <c r="B1319" s="171"/>
    </row>
    <row r="1320" spans="2:2" ht="15.5" x14ac:dyDescent="0.35">
      <c r="B1320" s="171"/>
    </row>
    <row r="1321" spans="2:2" ht="15.5" x14ac:dyDescent="0.35">
      <c r="B1321" s="171"/>
    </row>
    <row r="1322" spans="2:2" ht="15.5" x14ac:dyDescent="0.35">
      <c r="B1322" s="171"/>
    </row>
    <row r="1323" spans="2:2" ht="15.5" x14ac:dyDescent="0.35">
      <c r="B1323" s="171"/>
    </row>
    <row r="1324" spans="2:2" ht="15.5" x14ac:dyDescent="0.35">
      <c r="B1324" s="171"/>
    </row>
    <row r="1325" spans="2:2" ht="15.5" x14ac:dyDescent="0.35">
      <c r="B1325" s="171"/>
    </row>
    <row r="1326" spans="2:2" ht="15.5" x14ac:dyDescent="0.35">
      <c r="B1326" s="171"/>
    </row>
    <row r="1327" spans="2:2" ht="15.5" x14ac:dyDescent="0.35">
      <c r="B1327" s="171"/>
    </row>
    <row r="1328" spans="2:2" ht="15.5" x14ac:dyDescent="0.35">
      <c r="B1328" s="171"/>
    </row>
    <row r="1329" spans="2:2" ht="15.5" x14ac:dyDescent="0.35">
      <c r="B1329" s="171"/>
    </row>
    <row r="1330" spans="2:2" ht="15.5" x14ac:dyDescent="0.35">
      <c r="B1330" s="171"/>
    </row>
    <row r="1331" spans="2:2" ht="15.5" x14ac:dyDescent="0.35">
      <c r="B1331" s="171"/>
    </row>
    <row r="1332" spans="2:2" ht="15.5" x14ac:dyDescent="0.35">
      <c r="B1332" s="171"/>
    </row>
    <row r="1333" spans="2:2" ht="15.5" x14ac:dyDescent="0.35">
      <c r="B1333" s="171"/>
    </row>
    <row r="1334" spans="2:2" ht="15.5" x14ac:dyDescent="0.35">
      <c r="B1334" s="171"/>
    </row>
    <row r="1335" spans="2:2" ht="15.5" x14ac:dyDescent="0.35">
      <c r="B1335" s="171"/>
    </row>
    <row r="1336" spans="2:2" ht="15.5" x14ac:dyDescent="0.35">
      <c r="B1336" s="171"/>
    </row>
    <row r="1337" spans="2:2" ht="15.5" x14ac:dyDescent="0.35">
      <c r="B1337" s="171"/>
    </row>
    <row r="1338" spans="2:2" ht="15.5" x14ac:dyDescent="0.35">
      <c r="B1338" s="171"/>
    </row>
    <row r="1339" spans="2:2" ht="15.5" x14ac:dyDescent="0.35">
      <c r="B1339" s="171"/>
    </row>
    <row r="1340" spans="2:2" ht="15.5" x14ac:dyDescent="0.35">
      <c r="B1340" s="171"/>
    </row>
    <row r="1341" spans="2:2" ht="15.5" x14ac:dyDescent="0.35">
      <c r="B1341" s="171"/>
    </row>
    <row r="1342" spans="2:2" ht="15.5" x14ac:dyDescent="0.35">
      <c r="B1342" s="171"/>
    </row>
    <row r="1343" spans="2:2" ht="15.5" x14ac:dyDescent="0.35">
      <c r="B1343" s="171"/>
    </row>
    <row r="1344" spans="2:2" ht="15.5" x14ac:dyDescent="0.35">
      <c r="B1344" s="171"/>
    </row>
    <row r="1345" spans="2:2" ht="15.5" x14ac:dyDescent="0.35">
      <c r="B1345" s="171"/>
    </row>
    <row r="1346" spans="2:2" ht="15.5" x14ac:dyDescent="0.35">
      <c r="B1346" s="171"/>
    </row>
    <row r="1347" spans="2:2" ht="15.5" x14ac:dyDescent="0.35">
      <c r="B1347" s="171"/>
    </row>
    <row r="1348" spans="2:2" ht="15.5" x14ac:dyDescent="0.35">
      <c r="B1348" s="171"/>
    </row>
    <row r="1349" spans="2:2" ht="15.5" x14ac:dyDescent="0.35">
      <c r="B1349" s="171"/>
    </row>
    <row r="1350" spans="2:2" ht="15.5" x14ac:dyDescent="0.35">
      <c r="B1350" s="171"/>
    </row>
    <row r="1351" spans="2:2" ht="15.5" x14ac:dyDescent="0.35">
      <c r="B1351" s="171"/>
    </row>
    <row r="1352" spans="2:2" ht="15.5" x14ac:dyDescent="0.35">
      <c r="B1352" s="171"/>
    </row>
    <row r="1353" spans="2:2" ht="15.5" x14ac:dyDescent="0.35">
      <c r="B1353" s="171"/>
    </row>
    <row r="1354" spans="2:2" ht="15.5" x14ac:dyDescent="0.35">
      <c r="B1354" s="171"/>
    </row>
    <row r="1355" spans="2:2" ht="15.5" x14ac:dyDescent="0.35">
      <c r="B1355" s="171"/>
    </row>
    <row r="1356" spans="2:2" ht="15.5" x14ac:dyDescent="0.35">
      <c r="B1356" s="171"/>
    </row>
    <row r="1357" spans="2:2" ht="15.5" x14ac:dyDescent="0.35">
      <c r="B1357" s="171"/>
    </row>
    <row r="1358" spans="2:2" ht="15.5" x14ac:dyDescent="0.35">
      <c r="B1358" s="171"/>
    </row>
    <row r="1359" spans="2:2" ht="15.5" x14ac:dyDescent="0.35">
      <c r="B1359" s="171"/>
    </row>
    <row r="1360" spans="2:2" ht="15.5" x14ac:dyDescent="0.35">
      <c r="B1360" s="171"/>
    </row>
    <row r="1361" spans="2:2" ht="15.5" x14ac:dyDescent="0.35">
      <c r="B1361" s="171"/>
    </row>
    <row r="1362" spans="2:2" ht="15.5" x14ac:dyDescent="0.35">
      <c r="B1362" s="171"/>
    </row>
    <row r="1363" spans="2:2" ht="15.5" x14ac:dyDescent="0.35">
      <c r="B1363" s="171"/>
    </row>
    <row r="1364" spans="2:2" ht="15.5" x14ac:dyDescent="0.35">
      <c r="B1364" s="171"/>
    </row>
    <row r="1365" spans="2:2" ht="15.5" x14ac:dyDescent="0.35">
      <c r="B1365" s="171"/>
    </row>
    <row r="1366" spans="2:2" ht="15.5" x14ac:dyDescent="0.35">
      <c r="B1366" s="171"/>
    </row>
    <row r="1367" spans="2:2" ht="15.5" x14ac:dyDescent="0.35">
      <c r="B1367" s="171"/>
    </row>
    <row r="1368" spans="2:2" ht="15.5" x14ac:dyDescent="0.35">
      <c r="B1368" s="171"/>
    </row>
    <row r="1369" spans="2:2" ht="15.5" x14ac:dyDescent="0.35">
      <c r="B1369" s="171"/>
    </row>
    <row r="1370" spans="2:2" ht="15.5" x14ac:dyDescent="0.35">
      <c r="B1370" s="171"/>
    </row>
    <row r="1371" spans="2:2" ht="15.5" x14ac:dyDescent="0.35">
      <c r="B1371" s="171"/>
    </row>
    <row r="1372" spans="2:2" ht="15.5" x14ac:dyDescent="0.35">
      <c r="B1372" s="171"/>
    </row>
    <row r="1373" spans="2:2" ht="15.5" x14ac:dyDescent="0.35">
      <c r="B1373" s="171"/>
    </row>
    <row r="1374" spans="2:2" ht="15.5" x14ac:dyDescent="0.35">
      <c r="B1374" s="171"/>
    </row>
    <row r="1375" spans="2:2" ht="15.5" x14ac:dyDescent="0.35">
      <c r="B1375" s="171"/>
    </row>
    <row r="1376" spans="2:2" ht="15.5" x14ac:dyDescent="0.35">
      <c r="B1376" s="171"/>
    </row>
    <row r="1377" spans="2:2" ht="15.5" x14ac:dyDescent="0.35">
      <c r="B1377" s="171"/>
    </row>
    <row r="1378" spans="2:2" ht="15.5" x14ac:dyDescent="0.35">
      <c r="B1378" s="171"/>
    </row>
    <row r="1379" spans="2:2" ht="15.5" x14ac:dyDescent="0.35">
      <c r="B1379" s="171"/>
    </row>
    <row r="1380" spans="2:2" ht="15.5" x14ac:dyDescent="0.35">
      <c r="B1380" s="171"/>
    </row>
    <row r="1381" spans="2:2" ht="15.5" x14ac:dyDescent="0.35">
      <c r="B1381" s="171"/>
    </row>
    <row r="1382" spans="2:2" ht="15.5" x14ac:dyDescent="0.35">
      <c r="B1382" s="171"/>
    </row>
    <row r="1383" spans="2:2" ht="15.5" x14ac:dyDescent="0.35">
      <c r="B1383" s="171"/>
    </row>
    <row r="1384" spans="2:2" ht="15.5" x14ac:dyDescent="0.35">
      <c r="B1384" s="171"/>
    </row>
    <row r="1385" spans="2:2" ht="15.5" x14ac:dyDescent="0.35">
      <c r="B1385" s="171"/>
    </row>
    <row r="1386" spans="2:2" ht="15.5" x14ac:dyDescent="0.35">
      <c r="B1386" s="171"/>
    </row>
    <row r="1387" spans="2:2" ht="15.5" x14ac:dyDescent="0.35">
      <c r="B1387" s="171"/>
    </row>
    <row r="1388" spans="2:2" ht="15.5" x14ac:dyDescent="0.35">
      <c r="B1388" s="171"/>
    </row>
    <row r="1389" spans="2:2" ht="15.5" x14ac:dyDescent="0.35">
      <c r="B1389" s="171"/>
    </row>
    <row r="1390" spans="2:2" ht="15.5" x14ac:dyDescent="0.35">
      <c r="B1390" s="171"/>
    </row>
    <row r="1391" spans="2:2" ht="15.5" x14ac:dyDescent="0.35">
      <c r="B1391" s="171"/>
    </row>
    <row r="1392" spans="2:2" ht="15.5" x14ac:dyDescent="0.35">
      <c r="B1392" s="171"/>
    </row>
    <row r="1393" spans="2:2" ht="15.5" x14ac:dyDescent="0.35">
      <c r="B1393" s="171"/>
    </row>
    <row r="1394" spans="2:2" ht="15.5" x14ac:dyDescent="0.35">
      <c r="B1394" s="171"/>
    </row>
    <row r="1395" spans="2:2" ht="15.5" x14ac:dyDescent="0.35">
      <c r="B1395" s="171"/>
    </row>
    <row r="1396" spans="2:2" ht="15.5" x14ac:dyDescent="0.35">
      <c r="B1396" s="171"/>
    </row>
    <row r="1397" spans="2:2" ht="15.5" x14ac:dyDescent="0.35">
      <c r="B1397" s="171"/>
    </row>
    <row r="1398" spans="2:2" ht="15.5" x14ac:dyDescent="0.35">
      <c r="B1398" s="171"/>
    </row>
    <row r="1399" spans="2:2" ht="15.5" x14ac:dyDescent="0.35">
      <c r="B1399" s="171"/>
    </row>
    <row r="1400" spans="2:2" ht="15.5" x14ac:dyDescent="0.35">
      <c r="B1400" s="171"/>
    </row>
    <row r="1401" spans="2:2" ht="15.5" x14ac:dyDescent="0.35">
      <c r="B1401" s="171"/>
    </row>
    <row r="1402" spans="2:2" ht="15.5" x14ac:dyDescent="0.35">
      <c r="B1402" s="171"/>
    </row>
    <row r="1403" spans="2:2" ht="15.5" x14ac:dyDescent="0.35">
      <c r="B1403" s="171"/>
    </row>
    <row r="1404" spans="2:2" ht="15.5" x14ac:dyDescent="0.35">
      <c r="B1404" s="171"/>
    </row>
    <row r="1405" spans="2:2" ht="15.5" x14ac:dyDescent="0.35">
      <c r="B1405" s="171"/>
    </row>
    <row r="1406" spans="2:2" ht="15.5" x14ac:dyDescent="0.35">
      <c r="B1406" s="171"/>
    </row>
    <row r="1407" spans="2:2" ht="15.5" x14ac:dyDescent="0.35">
      <c r="B1407" s="171"/>
    </row>
    <row r="1408" spans="2:2" ht="15.5" x14ac:dyDescent="0.35">
      <c r="B1408" s="171"/>
    </row>
    <row r="1409" spans="2:2" ht="15.5" x14ac:dyDescent="0.35">
      <c r="B1409" s="171"/>
    </row>
    <row r="1410" spans="2:2" ht="15.5" x14ac:dyDescent="0.35">
      <c r="B1410" s="171"/>
    </row>
    <row r="1411" spans="2:2" ht="15.5" x14ac:dyDescent="0.35">
      <c r="B1411" s="171"/>
    </row>
    <row r="1412" spans="2:2" ht="15.5" x14ac:dyDescent="0.35">
      <c r="B1412" s="171"/>
    </row>
    <row r="1413" spans="2:2" ht="15.5" x14ac:dyDescent="0.35">
      <c r="B1413" s="171"/>
    </row>
    <row r="1414" spans="2:2" ht="15.5" x14ac:dyDescent="0.35">
      <c r="B1414" s="171"/>
    </row>
    <row r="1415" spans="2:2" ht="15.5" x14ac:dyDescent="0.35">
      <c r="B1415" s="171"/>
    </row>
    <row r="1416" spans="2:2" ht="15.5" x14ac:dyDescent="0.35">
      <c r="B1416" s="171"/>
    </row>
    <row r="1417" spans="2:2" ht="15.5" x14ac:dyDescent="0.35">
      <c r="B1417" s="171"/>
    </row>
    <row r="1418" spans="2:2" ht="15.5" x14ac:dyDescent="0.35">
      <c r="B1418" s="171"/>
    </row>
    <row r="1419" spans="2:2" ht="15.5" x14ac:dyDescent="0.35">
      <c r="B1419" s="171"/>
    </row>
    <row r="1420" spans="2:2" ht="15.5" x14ac:dyDescent="0.35">
      <c r="B1420" s="171"/>
    </row>
    <row r="1421" spans="2:2" ht="15.5" x14ac:dyDescent="0.35">
      <c r="B1421" s="171"/>
    </row>
    <row r="1422" spans="2:2" ht="15.5" x14ac:dyDescent="0.35">
      <c r="B1422" s="171"/>
    </row>
    <row r="1423" spans="2:2" ht="15.5" x14ac:dyDescent="0.35">
      <c r="B1423" s="171"/>
    </row>
    <row r="1424" spans="2:2" ht="15.5" x14ac:dyDescent="0.35">
      <c r="B1424" s="171"/>
    </row>
    <row r="1425" spans="2:2" ht="15.5" x14ac:dyDescent="0.35">
      <c r="B1425" s="171"/>
    </row>
    <row r="1426" spans="2:2" ht="15.5" x14ac:dyDescent="0.35">
      <c r="B1426" s="171"/>
    </row>
    <row r="1427" spans="2:2" ht="15.5" x14ac:dyDescent="0.35">
      <c r="B1427" s="171"/>
    </row>
    <row r="1428" spans="2:2" ht="15.5" x14ac:dyDescent="0.35">
      <c r="B1428" s="171"/>
    </row>
    <row r="1429" spans="2:2" ht="15.5" x14ac:dyDescent="0.35">
      <c r="B1429" s="171"/>
    </row>
    <row r="1430" spans="2:2" ht="15.5" x14ac:dyDescent="0.35">
      <c r="B1430" s="171"/>
    </row>
    <row r="1431" spans="2:2" ht="15.5" x14ac:dyDescent="0.35">
      <c r="B1431" s="171"/>
    </row>
    <row r="1432" spans="2:2" ht="15.5" x14ac:dyDescent="0.35">
      <c r="B1432" s="171"/>
    </row>
    <row r="1433" spans="2:2" ht="15.5" x14ac:dyDescent="0.35">
      <c r="B1433" s="171"/>
    </row>
    <row r="1434" spans="2:2" ht="15.5" x14ac:dyDescent="0.35">
      <c r="B1434" s="171"/>
    </row>
    <row r="1435" spans="2:2" ht="15.5" x14ac:dyDescent="0.35">
      <c r="B1435" s="171"/>
    </row>
    <row r="1436" spans="2:2" ht="15.5" x14ac:dyDescent="0.35">
      <c r="B1436" s="171"/>
    </row>
    <row r="1437" spans="2:2" ht="15.5" x14ac:dyDescent="0.35">
      <c r="B1437" s="171"/>
    </row>
    <row r="1438" spans="2:2" ht="15.5" x14ac:dyDescent="0.35">
      <c r="B1438" s="171"/>
    </row>
    <row r="1439" spans="2:2" ht="15.5" x14ac:dyDescent="0.35">
      <c r="B1439" s="171"/>
    </row>
    <row r="1440" spans="2:2" ht="15.5" x14ac:dyDescent="0.35">
      <c r="B1440" s="171"/>
    </row>
    <row r="1441" spans="2:2" ht="15.5" x14ac:dyDescent="0.35">
      <c r="B1441" s="171"/>
    </row>
    <row r="1442" spans="2:2" ht="15.5" x14ac:dyDescent="0.35">
      <c r="B1442" s="171"/>
    </row>
    <row r="1443" spans="2:2" ht="15.5" x14ac:dyDescent="0.35">
      <c r="B1443" s="171"/>
    </row>
    <row r="1444" spans="2:2" ht="15.5" x14ac:dyDescent="0.35">
      <c r="B1444" s="171"/>
    </row>
    <row r="1445" spans="2:2" ht="15.5" x14ac:dyDescent="0.35">
      <c r="B1445" s="171"/>
    </row>
    <row r="1446" spans="2:2" ht="15.5" x14ac:dyDescent="0.35">
      <c r="B1446" s="171"/>
    </row>
    <row r="1447" spans="2:2" ht="15.5" x14ac:dyDescent="0.35">
      <c r="B1447" s="171"/>
    </row>
    <row r="1448" spans="2:2" ht="15.5" x14ac:dyDescent="0.35">
      <c r="B1448" s="171"/>
    </row>
    <row r="1449" spans="2:2" ht="15.5" x14ac:dyDescent="0.35">
      <c r="B1449" s="171"/>
    </row>
    <row r="1450" spans="2:2" ht="15.5" x14ac:dyDescent="0.35">
      <c r="B1450" s="171"/>
    </row>
    <row r="1451" spans="2:2" ht="15.5" x14ac:dyDescent="0.35">
      <c r="B1451" s="171"/>
    </row>
    <row r="1452" spans="2:2" ht="15.5" x14ac:dyDescent="0.35">
      <c r="B1452" s="171"/>
    </row>
    <row r="1453" spans="2:2" ht="15.5" x14ac:dyDescent="0.35">
      <c r="B1453" s="171"/>
    </row>
    <row r="1454" spans="2:2" ht="15.5" x14ac:dyDescent="0.35">
      <c r="B1454" s="171"/>
    </row>
    <row r="1455" spans="2:2" ht="15.5" x14ac:dyDescent="0.35">
      <c r="B1455" s="171"/>
    </row>
    <row r="1456" spans="2:2" ht="15.5" x14ac:dyDescent="0.35">
      <c r="B1456" s="171"/>
    </row>
    <row r="1457" spans="2:2" ht="15.5" x14ac:dyDescent="0.35">
      <c r="B1457" s="171"/>
    </row>
    <row r="1458" spans="2:2" ht="15.5" x14ac:dyDescent="0.35">
      <c r="B1458" s="171"/>
    </row>
    <row r="1459" spans="2:2" ht="15.5" x14ac:dyDescent="0.35">
      <c r="B1459" s="171"/>
    </row>
    <row r="1460" spans="2:2" ht="15.5" x14ac:dyDescent="0.35">
      <c r="B1460" s="171"/>
    </row>
    <row r="1461" spans="2:2" ht="15.5" x14ac:dyDescent="0.35">
      <c r="B1461" s="171"/>
    </row>
    <row r="1462" spans="2:2" ht="15.5" x14ac:dyDescent="0.35">
      <c r="B1462" s="171"/>
    </row>
    <row r="1463" spans="2:2" ht="15.5" x14ac:dyDescent="0.35">
      <c r="B1463" s="171"/>
    </row>
    <row r="1464" spans="2:2" ht="15.5" x14ac:dyDescent="0.35">
      <c r="B1464" s="171"/>
    </row>
    <row r="1465" spans="2:2" ht="15.5" x14ac:dyDescent="0.35">
      <c r="B1465" s="171"/>
    </row>
    <row r="1466" spans="2:2" ht="15.5" x14ac:dyDescent="0.35">
      <c r="B1466" s="171"/>
    </row>
    <row r="1467" spans="2:2" ht="15.5" x14ac:dyDescent="0.35">
      <c r="B1467" s="171"/>
    </row>
    <row r="1468" spans="2:2" ht="15.5" x14ac:dyDescent="0.35">
      <c r="B1468" s="171"/>
    </row>
    <row r="1469" spans="2:2" ht="15.5" x14ac:dyDescent="0.35">
      <c r="B1469" s="171"/>
    </row>
    <row r="1470" spans="2:2" ht="15.5" x14ac:dyDescent="0.35">
      <c r="B1470" s="171"/>
    </row>
    <row r="1471" spans="2:2" ht="15.5" x14ac:dyDescent="0.35">
      <c r="B1471" s="171"/>
    </row>
    <row r="1472" spans="2:2" ht="15.5" x14ac:dyDescent="0.35">
      <c r="B1472" s="171"/>
    </row>
    <row r="1473" spans="2:2" ht="15.5" x14ac:dyDescent="0.35">
      <c r="B1473" s="171"/>
    </row>
    <row r="1474" spans="2:2" ht="15.5" x14ac:dyDescent="0.35">
      <c r="B1474" s="171"/>
    </row>
    <row r="1475" spans="2:2" ht="15.5" x14ac:dyDescent="0.35">
      <c r="B1475" s="171"/>
    </row>
    <row r="1476" spans="2:2" ht="15.5" x14ac:dyDescent="0.35">
      <c r="B1476" s="171"/>
    </row>
    <row r="1477" spans="2:2" ht="15.5" x14ac:dyDescent="0.35">
      <c r="B1477" s="171"/>
    </row>
    <row r="1478" spans="2:2" ht="15.5" x14ac:dyDescent="0.35">
      <c r="B1478" s="171"/>
    </row>
    <row r="1479" spans="2:2" ht="15.5" x14ac:dyDescent="0.35">
      <c r="B1479" s="171"/>
    </row>
    <row r="1480" spans="2:2" ht="15.5" x14ac:dyDescent="0.35">
      <c r="B1480" s="171"/>
    </row>
    <row r="1481" spans="2:2" ht="15.5" x14ac:dyDescent="0.35">
      <c r="B1481" s="171"/>
    </row>
    <row r="1482" spans="2:2" ht="15.5" x14ac:dyDescent="0.35">
      <c r="B1482" s="171"/>
    </row>
    <row r="1483" spans="2:2" ht="15.5" x14ac:dyDescent="0.35">
      <c r="B1483" s="171"/>
    </row>
    <row r="1484" spans="2:2" ht="15.5" x14ac:dyDescent="0.35">
      <c r="B1484" s="171"/>
    </row>
    <row r="1485" spans="2:2" ht="15.5" x14ac:dyDescent="0.35">
      <c r="B1485" s="171"/>
    </row>
    <row r="1486" spans="2:2" ht="15.5" x14ac:dyDescent="0.35">
      <c r="B1486" s="171"/>
    </row>
    <row r="1487" spans="2:2" ht="15.5" x14ac:dyDescent="0.35">
      <c r="B1487" s="171"/>
    </row>
    <row r="1488" spans="2:2" ht="15.5" x14ac:dyDescent="0.35">
      <c r="B1488" s="171"/>
    </row>
    <row r="1489" spans="2:2" ht="15.5" x14ac:dyDescent="0.35">
      <c r="B1489" s="171"/>
    </row>
    <row r="1490" spans="2:2" ht="15.5" x14ac:dyDescent="0.35">
      <c r="B1490" s="171"/>
    </row>
    <row r="1491" spans="2:2" ht="15.5" x14ac:dyDescent="0.35">
      <c r="B1491" s="171"/>
    </row>
    <row r="1492" spans="2:2" ht="15.5" x14ac:dyDescent="0.35">
      <c r="B1492" s="171"/>
    </row>
    <row r="1493" spans="2:2" ht="15.5" x14ac:dyDescent="0.35">
      <c r="B1493" s="171"/>
    </row>
    <row r="1494" spans="2:2" ht="15.5" x14ac:dyDescent="0.35">
      <c r="B1494" s="171"/>
    </row>
    <row r="1495" spans="2:2" ht="15.5" x14ac:dyDescent="0.35">
      <c r="B1495" s="171"/>
    </row>
    <row r="1496" spans="2:2" ht="15.5" x14ac:dyDescent="0.35">
      <c r="B1496" s="171"/>
    </row>
    <row r="1497" spans="2:2" ht="15.5" x14ac:dyDescent="0.35">
      <c r="B1497" s="171"/>
    </row>
    <row r="1498" spans="2:2" ht="15.5" x14ac:dyDescent="0.35">
      <c r="B1498" s="171"/>
    </row>
    <row r="1499" spans="2:2" ht="15.5" x14ac:dyDescent="0.35">
      <c r="B1499" s="171"/>
    </row>
    <row r="1500" spans="2:2" ht="15.5" x14ac:dyDescent="0.35">
      <c r="B1500" s="171"/>
    </row>
    <row r="1501" spans="2:2" ht="15.5" x14ac:dyDescent="0.35">
      <c r="B1501" s="171"/>
    </row>
    <row r="1502" spans="2:2" ht="15.5" x14ac:dyDescent="0.35">
      <c r="B1502" s="171"/>
    </row>
    <row r="1503" spans="2:2" ht="15.5" x14ac:dyDescent="0.35">
      <c r="B1503" s="171"/>
    </row>
    <row r="1504" spans="2:2" ht="15.5" x14ac:dyDescent="0.35">
      <c r="B1504" s="171"/>
    </row>
    <row r="1505" spans="2:2" ht="15.5" x14ac:dyDescent="0.35">
      <c r="B1505" s="171"/>
    </row>
    <row r="1506" spans="2:2" ht="15.5" x14ac:dyDescent="0.35">
      <c r="B1506" s="171"/>
    </row>
    <row r="1507" spans="2:2" ht="15.5" x14ac:dyDescent="0.35">
      <c r="B1507" s="171"/>
    </row>
    <row r="1508" spans="2:2" ht="15.5" x14ac:dyDescent="0.35">
      <c r="B1508" s="171"/>
    </row>
    <row r="1509" spans="2:2" ht="15.5" x14ac:dyDescent="0.35">
      <c r="B1509" s="171"/>
    </row>
    <row r="1510" spans="2:2" ht="15.5" x14ac:dyDescent="0.35">
      <c r="B1510" s="171"/>
    </row>
    <row r="1511" spans="2:2" ht="15.5" x14ac:dyDescent="0.35">
      <c r="B1511" s="171"/>
    </row>
    <row r="1512" spans="2:2" ht="15.5" x14ac:dyDescent="0.35">
      <c r="B1512" s="171"/>
    </row>
    <row r="1513" spans="2:2" ht="15.5" x14ac:dyDescent="0.35">
      <c r="B1513" s="171"/>
    </row>
    <row r="1514" spans="2:2" ht="15.5" x14ac:dyDescent="0.35">
      <c r="B1514" s="171"/>
    </row>
    <row r="1515" spans="2:2" ht="15.5" x14ac:dyDescent="0.35">
      <c r="B1515" s="171"/>
    </row>
    <row r="1516" spans="2:2" ht="15.5" x14ac:dyDescent="0.35">
      <c r="B1516" s="171"/>
    </row>
    <row r="1517" spans="2:2" ht="15.5" x14ac:dyDescent="0.35">
      <c r="B1517" s="171"/>
    </row>
    <row r="1518" spans="2:2" ht="15.5" x14ac:dyDescent="0.35">
      <c r="B1518" s="171"/>
    </row>
    <row r="1519" spans="2:2" ht="15.5" x14ac:dyDescent="0.35">
      <c r="B1519" s="171"/>
    </row>
    <row r="1520" spans="2:2" ht="15.5" x14ac:dyDescent="0.35">
      <c r="B1520" s="171"/>
    </row>
    <row r="1521" spans="2:2" ht="15.5" x14ac:dyDescent="0.35">
      <c r="B1521" s="171"/>
    </row>
    <row r="1522" spans="2:2" ht="15.5" x14ac:dyDescent="0.35">
      <c r="B1522" s="171"/>
    </row>
    <row r="1523" spans="2:2" ht="15.5" x14ac:dyDescent="0.35">
      <c r="B1523" s="171"/>
    </row>
    <row r="1524" spans="2:2" ht="15.5" x14ac:dyDescent="0.35">
      <c r="B1524" s="171"/>
    </row>
    <row r="1525" spans="2:2" ht="15.5" x14ac:dyDescent="0.35">
      <c r="B1525" s="171"/>
    </row>
    <row r="1526" spans="2:2" ht="15.5" x14ac:dyDescent="0.35">
      <c r="B1526" s="171"/>
    </row>
    <row r="1527" spans="2:2" ht="15.5" x14ac:dyDescent="0.35">
      <c r="B1527" s="171"/>
    </row>
    <row r="1528" spans="2:2" ht="15.5" x14ac:dyDescent="0.35">
      <c r="B1528" s="171"/>
    </row>
    <row r="1529" spans="2:2" ht="15.5" x14ac:dyDescent="0.35">
      <c r="B1529" s="171"/>
    </row>
    <row r="1530" spans="2:2" ht="15.5" x14ac:dyDescent="0.35">
      <c r="B1530" s="171"/>
    </row>
    <row r="1531" spans="2:2" ht="15.5" x14ac:dyDescent="0.35">
      <c r="B1531" s="171"/>
    </row>
    <row r="1532" spans="2:2" ht="15.5" x14ac:dyDescent="0.35">
      <c r="B1532" s="171"/>
    </row>
    <row r="1533" spans="2:2" ht="15.5" x14ac:dyDescent="0.35">
      <c r="B1533" s="171"/>
    </row>
    <row r="1534" spans="2:2" ht="15.5" x14ac:dyDescent="0.35">
      <c r="B1534" s="171"/>
    </row>
    <row r="1535" spans="2:2" ht="15.5" x14ac:dyDescent="0.35">
      <c r="B1535" s="171"/>
    </row>
    <row r="1536" spans="2:2" ht="15.5" x14ac:dyDescent="0.35">
      <c r="B1536" s="171"/>
    </row>
    <row r="1537" spans="2:2" ht="15.5" x14ac:dyDescent="0.35">
      <c r="B1537" s="171"/>
    </row>
    <row r="1538" spans="2:2" ht="15.5" x14ac:dyDescent="0.35">
      <c r="B1538" s="171"/>
    </row>
    <row r="1539" spans="2:2" ht="15.5" x14ac:dyDescent="0.35">
      <c r="B1539" s="171"/>
    </row>
    <row r="1540" spans="2:2" ht="15.5" x14ac:dyDescent="0.35">
      <c r="B1540" s="171"/>
    </row>
    <row r="1541" spans="2:2" ht="15.5" x14ac:dyDescent="0.35">
      <c r="B1541" s="171"/>
    </row>
    <row r="1542" spans="2:2" ht="15.5" x14ac:dyDescent="0.35">
      <c r="B1542" s="171"/>
    </row>
    <row r="1543" spans="2:2" ht="15.5" x14ac:dyDescent="0.35">
      <c r="B1543" s="171"/>
    </row>
    <row r="1544" spans="2:2" ht="15.5" x14ac:dyDescent="0.35">
      <c r="B1544" s="171"/>
    </row>
    <row r="1545" spans="2:2" ht="15.5" x14ac:dyDescent="0.35">
      <c r="B1545" s="171"/>
    </row>
    <row r="1546" spans="2:2" ht="15.5" x14ac:dyDescent="0.35">
      <c r="B1546" s="171"/>
    </row>
    <row r="1547" spans="2:2" ht="15.5" x14ac:dyDescent="0.35">
      <c r="B1547" s="171"/>
    </row>
    <row r="1548" spans="2:2" ht="15.5" x14ac:dyDescent="0.35">
      <c r="B1548" s="171"/>
    </row>
    <row r="1549" spans="2:2" ht="15.5" x14ac:dyDescent="0.35">
      <c r="B1549" s="171"/>
    </row>
    <row r="1550" spans="2:2" ht="15.5" x14ac:dyDescent="0.35">
      <c r="B1550" s="171"/>
    </row>
    <row r="1551" spans="2:2" ht="15.5" x14ac:dyDescent="0.35">
      <c r="B1551" s="171"/>
    </row>
    <row r="1552" spans="2:2" ht="15.5" x14ac:dyDescent="0.35">
      <c r="B1552" s="171"/>
    </row>
    <row r="1553" spans="2:2" ht="15.5" x14ac:dyDescent="0.35">
      <c r="B1553" s="171"/>
    </row>
    <row r="1554" spans="2:2" ht="15.5" x14ac:dyDescent="0.35">
      <c r="B1554" s="171"/>
    </row>
    <row r="1555" spans="2:2" ht="15.5" x14ac:dyDescent="0.35">
      <c r="B1555" s="171"/>
    </row>
    <row r="1556" spans="2:2" ht="15.5" x14ac:dyDescent="0.35">
      <c r="B1556" s="171"/>
    </row>
    <row r="1557" spans="2:2" ht="15.5" x14ac:dyDescent="0.35">
      <c r="B1557" s="171"/>
    </row>
    <row r="1558" spans="2:2" ht="15.5" x14ac:dyDescent="0.35">
      <c r="B1558" s="171"/>
    </row>
    <row r="1559" spans="2:2" ht="15.5" x14ac:dyDescent="0.35">
      <c r="B1559" s="171"/>
    </row>
    <row r="1560" spans="2:2" ht="15.5" x14ac:dyDescent="0.35">
      <c r="B1560" s="171"/>
    </row>
    <row r="1561" spans="2:2" ht="15.5" x14ac:dyDescent="0.35">
      <c r="B1561" s="171"/>
    </row>
    <row r="1562" spans="2:2" ht="15.5" x14ac:dyDescent="0.35">
      <c r="B1562" s="171"/>
    </row>
    <row r="1563" spans="2:2" ht="15.5" x14ac:dyDescent="0.35">
      <c r="B1563" s="171"/>
    </row>
    <row r="1564" spans="2:2" ht="15.5" x14ac:dyDescent="0.35">
      <c r="B1564" s="171"/>
    </row>
    <row r="1565" spans="2:2" ht="15.5" x14ac:dyDescent="0.35">
      <c r="B1565" s="171"/>
    </row>
    <row r="1566" spans="2:2" ht="15.5" x14ac:dyDescent="0.35">
      <c r="B1566" s="171"/>
    </row>
    <row r="1567" spans="2:2" ht="15.5" x14ac:dyDescent="0.35">
      <c r="B1567" s="171"/>
    </row>
    <row r="1568" spans="2:2" ht="15.5" x14ac:dyDescent="0.35">
      <c r="B1568" s="171"/>
    </row>
    <row r="1569" spans="2:2" ht="15.5" x14ac:dyDescent="0.35">
      <c r="B1569" s="171"/>
    </row>
    <row r="1570" spans="2:2" ht="15.5" x14ac:dyDescent="0.35">
      <c r="B1570" s="171"/>
    </row>
    <row r="1571" spans="2:2" ht="15.5" x14ac:dyDescent="0.35">
      <c r="B1571" s="171"/>
    </row>
    <row r="1572" spans="2:2" ht="15.5" x14ac:dyDescent="0.35">
      <c r="B1572" s="171"/>
    </row>
    <row r="1573" spans="2:2" ht="15.5" x14ac:dyDescent="0.35">
      <c r="B1573" s="171"/>
    </row>
    <row r="1574" spans="2:2" ht="15.5" x14ac:dyDescent="0.35">
      <c r="B1574" s="171"/>
    </row>
    <row r="1575" spans="2:2" ht="15.5" x14ac:dyDescent="0.35">
      <c r="B1575" s="171"/>
    </row>
    <row r="1576" spans="2:2" ht="15.5" x14ac:dyDescent="0.35">
      <c r="B1576" s="171"/>
    </row>
    <row r="1577" spans="2:2" ht="15.5" x14ac:dyDescent="0.35">
      <c r="B1577" s="171"/>
    </row>
    <row r="1578" spans="2:2" ht="15.5" x14ac:dyDescent="0.35">
      <c r="B1578" s="171"/>
    </row>
    <row r="1579" spans="2:2" ht="15.5" x14ac:dyDescent="0.35">
      <c r="B1579" s="171"/>
    </row>
    <row r="1580" spans="2:2" ht="15.5" x14ac:dyDescent="0.35">
      <c r="B1580" s="171"/>
    </row>
    <row r="1581" spans="2:2" ht="15.5" x14ac:dyDescent="0.35">
      <c r="B1581" s="171"/>
    </row>
    <row r="1582" spans="2:2" ht="15.5" x14ac:dyDescent="0.35">
      <c r="B1582" s="171"/>
    </row>
    <row r="1583" spans="2:2" ht="15.5" x14ac:dyDescent="0.35">
      <c r="B1583" s="171"/>
    </row>
    <row r="1584" spans="2:2" ht="15.5" x14ac:dyDescent="0.35">
      <c r="B1584" s="171"/>
    </row>
    <row r="1585" spans="2:2" ht="15.5" x14ac:dyDescent="0.35">
      <c r="B1585" s="171"/>
    </row>
    <row r="1586" spans="2:2" ht="15.5" x14ac:dyDescent="0.35">
      <c r="B1586" s="171"/>
    </row>
    <row r="1587" spans="2:2" ht="15.5" x14ac:dyDescent="0.35">
      <c r="B1587" s="171"/>
    </row>
    <row r="1588" spans="2:2" ht="15.5" x14ac:dyDescent="0.35">
      <c r="B1588" s="171"/>
    </row>
    <row r="1589" spans="2:2" ht="15.5" x14ac:dyDescent="0.35">
      <c r="B1589" s="171"/>
    </row>
    <row r="1590" spans="2:2" ht="15.5" x14ac:dyDescent="0.35">
      <c r="B1590" s="171"/>
    </row>
    <row r="1591" spans="2:2" ht="15.5" x14ac:dyDescent="0.35">
      <c r="B1591" s="171"/>
    </row>
    <row r="1592" spans="2:2" ht="15.5" x14ac:dyDescent="0.35">
      <c r="B1592" s="171"/>
    </row>
    <row r="1593" spans="2:2" ht="15.5" x14ac:dyDescent="0.35">
      <c r="B1593" s="171"/>
    </row>
    <row r="1594" spans="2:2" ht="15.5" x14ac:dyDescent="0.35">
      <c r="B1594" s="171"/>
    </row>
    <row r="1595" spans="2:2" ht="15.5" x14ac:dyDescent="0.35">
      <c r="B1595" s="171"/>
    </row>
    <row r="1596" spans="2:2" ht="15.5" x14ac:dyDescent="0.35">
      <c r="B1596" s="171"/>
    </row>
    <row r="1597" spans="2:2" ht="15.5" x14ac:dyDescent="0.35">
      <c r="B1597" s="171"/>
    </row>
    <row r="1598" spans="2:2" ht="15.5" x14ac:dyDescent="0.35">
      <c r="B1598" s="171"/>
    </row>
    <row r="1599" spans="2:2" ht="15.5" x14ac:dyDescent="0.35">
      <c r="B1599" s="171"/>
    </row>
    <row r="1600" spans="2:2" ht="15.5" x14ac:dyDescent="0.35">
      <c r="B1600" s="171"/>
    </row>
    <row r="1601" spans="2:2" ht="15.5" x14ac:dyDescent="0.35">
      <c r="B1601" s="171"/>
    </row>
    <row r="1602" spans="2:2" ht="15.5" x14ac:dyDescent="0.35">
      <c r="B1602" s="171"/>
    </row>
    <row r="1603" spans="2:2" ht="15.5" x14ac:dyDescent="0.35">
      <c r="B1603" s="171"/>
    </row>
    <row r="1604" spans="2:2" ht="15.5" x14ac:dyDescent="0.35">
      <c r="B1604" s="171"/>
    </row>
    <row r="1605" spans="2:2" ht="15.5" x14ac:dyDescent="0.35">
      <c r="B1605" s="171"/>
    </row>
    <row r="1606" spans="2:2" ht="15.5" x14ac:dyDescent="0.35">
      <c r="B1606" s="171"/>
    </row>
    <row r="1607" spans="2:2" ht="15.5" x14ac:dyDescent="0.35">
      <c r="B1607" s="171"/>
    </row>
    <row r="1608" spans="2:2" ht="15.5" x14ac:dyDescent="0.35">
      <c r="B1608" s="171"/>
    </row>
    <row r="1609" spans="2:2" ht="15.5" x14ac:dyDescent="0.35">
      <c r="B1609" s="171"/>
    </row>
    <row r="1610" spans="2:2" ht="15.5" x14ac:dyDescent="0.35">
      <c r="B1610" s="171"/>
    </row>
    <row r="1611" spans="2:2" ht="15.5" x14ac:dyDescent="0.35">
      <c r="B1611" s="171"/>
    </row>
    <row r="1612" spans="2:2" ht="15.5" x14ac:dyDescent="0.35">
      <c r="B1612" s="171"/>
    </row>
    <row r="1613" spans="2:2" ht="15.5" x14ac:dyDescent="0.35">
      <c r="B1613" s="171"/>
    </row>
    <row r="1614" spans="2:2" ht="15.5" x14ac:dyDescent="0.35">
      <c r="B1614" s="171"/>
    </row>
    <row r="1615" spans="2:2" ht="15.5" x14ac:dyDescent="0.35">
      <c r="B1615" s="171"/>
    </row>
    <row r="1616" spans="2:2" ht="15.5" x14ac:dyDescent="0.35">
      <c r="B1616" s="171"/>
    </row>
    <row r="1617" spans="2:2" ht="15.5" x14ac:dyDescent="0.35">
      <c r="B1617" s="171"/>
    </row>
    <row r="1618" spans="2:2" ht="15.5" x14ac:dyDescent="0.35">
      <c r="B1618" s="171"/>
    </row>
    <row r="1619" spans="2:2" ht="15.5" x14ac:dyDescent="0.35">
      <c r="B1619" s="171"/>
    </row>
    <row r="1620" spans="2:2" ht="15.5" x14ac:dyDescent="0.35">
      <c r="B1620" s="171"/>
    </row>
    <row r="1621" spans="2:2" ht="15.5" x14ac:dyDescent="0.35">
      <c r="B1621" s="171"/>
    </row>
    <row r="1622" spans="2:2" ht="15.5" x14ac:dyDescent="0.35">
      <c r="B1622" s="171"/>
    </row>
    <row r="1623" spans="2:2" ht="15.5" x14ac:dyDescent="0.35">
      <c r="B1623" s="171"/>
    </row>
    <row r="1624" spans="2:2" ht="15.5" x14ac:dyDescent="0.35">
      <c r="B1624" s="171"/>
    </row>
    <row r="1625" spans="2:2" ht="15.5" x14ac:dyDescent="0.35">
      <c r="B1625" s="171"/>
    </row>
    <row r="1626" spans="2:2" ht="15.5" x14ac:dyDescent="0.35">
      <c r="B1626" s="171"/>
    </row>
    <row r="1627" spans="2:2" ht="15.5" x14ac:dyDescent="0.35">
      <c r="B1627" s="171"/>
    </row>
    <row r="1628" spans="2:2" ht="15.5" x14ac:dyDescent="0.35">
      <c r="B1628" s="171"/>
    </row>
    <row r="1629" spans="2:2" ht="15.5" x14ac:dyDescent="0.35">
      <c r="B1629" s="171"/>
    </row>
    <row r="1630" spans="2:2" ht="15.5" x14ac:dyDescent="0.35">
      <c r="B1630" s="171"/>
    </row>
    <row r="1631" spans="2:2" ht="15.5" x14ac:dyDescent="0.35">
      <c r="B1631" s="171"/>
    </row>
    <row r="1632" spans="2:2" ht="15.5" x14ac:dyDescent="0.35">
      <c r="B1632" s="171"/>
    </row>
    <row r="1633" spans="2:2" ht="15.5" x14ac:dyDescent="0.35">
      <c r="B1633" s="171"/>
    </row>
    <row r="1634" spans="2:2" ht="15.5" x14ac:dyDescent="0.35">
      <c r="B1634" s="171"/>
    </row>
    <row r="1635" spans="2:2" ht="15.5" x14ac:dyDescent="0.35">
      <c r="B1635" s="171"/>
    </row>
    <row r="1636" spans="2:2" ht="15.5" x14ac:dyDescent="0.35">
      <c r="B1636" s="171"/>
    </row>
    <row r="1637" spans="2:2" ht="15.5" x14ac:dyDescent="0.35">
      <c r="B1637" s="171"/>
    </row>
    <row r="1638" spans="2:2" ht="15.5" x14ac:dyDescent="0.35">
      <c r="B1638" s="171"/>
    </row>
    <row r="1639" spans="2:2" ht="15.5" x14ac:dyDescent="0.35">
      <c r="B1639" s="171"/>
    </row>
    <row r="1640" spans="2:2" ht="15.5" x14ac:dyDescent="0.35">
      <c r="B1640" s="171"/>
    </row>
    <row r="1641" spans="2:2" ht="15.5" x14ac:dyDescent="0.35">
      <c r="B1641" s="171"/>
    </row>
    <row r="1642" spans="2:2" ht="15.5" x14ac:dyDescent="0.35">
      <c r="B1642" s="171"/>
    </row>
    <row r="1643" spans="2:2" ht="15.5" x14ac:dyDescent="0.35">
      <c r="B1643" s="171"/>
    </row>
    <row r="1644" spans="2:2" ht="15.5" x14ac:dyDescent="0.35">
      <c r="B1644" s="171"/>
    </row>
    <row r="1645" spans="2:2" ht="15.5" x14ac:dyDescent="0.35">
      <c r="B1645" s="171"/>
    </row>
    <row r="1646" spans="2:2" ht="15.5" x14ac:dyDescent="0.35">
      <c r="B1646" s="171"/>
    </row>
    <row r="1647" spans="2:2" ht="15.5" x14ac:dyDescent="0.35">
      <c r="B1647" s="171"/>
    </row>
    <row r="1648" spans="2:2" ht="15.5" x14ac:dyDescent="0.35">
      <c r="B1648" s="171"/>
    </row>
    <row r="1649" spans="2:2" ht="15.5" x14ac:dyDescent="0.35">
      <c r="B1649" s="171"/>
    </row>
    <row r="1650" spans="2:2" ht="15.5" x14ac:dyDescent="0.35">
      <c r="B1650" s="171"/>
    </row>
    <row r="1651" spans="2:2" ht="15.5" x14ac:dyDescent="0.35">
      <c r="B1651" s="171"/>
    </row>
    <row r="1652" spans="2:2" ht="15.5" x14ac:dyDescent="0.35">
      <c r="B1652" s="171"/>
    </row>
    <row r="1653" spans="2:2" ht="15.5" x14ac:dyDescent="0.35">
      <c r="B1653" s="171"/>
    </row>
    <row r="1654" spans="2:2" ht="15.5" x14ac:dyDescent="0.35">
      <c r="B1654" s="171"/>
    </row>
    <row r="1655" spans="2:2" ht="15.5" x14ac:dyDescent="0.35">
      <c r="B1655" s="171"/>
    </row>
    <row r="1656" spans="2:2" ht="15.5" x14ac:dyDescent="0.35">
      <c r="B1656" s="171"/>
    </row>
    <row r="1657" spans="2:2" ht="15.5" x14ac:dyDescent="0.35">
      <c r="B1657" s="171"/>
    </row>
    <row r="1658" spans="2:2" ht="15.5" x14ac:dyDescent="0.35">
      <c r="B1658" s="171"/>
    </row>
    <row r="1659" spans="2:2" ht="15.5" x14ac:dyDescent="0.35">
      <c r="B1659" s="171"/>
    </row>
    <row r="1660" spans="2:2" ht="15.5" x14ac:dyDescent="0.35">
      <c r="B1660" s="171"/>
    </row>
    <row r="1661" spans="2:2" ht="15.5" x14ac:dyDescent="0.35">
      <c r="B1661" s="171"/>
    </row>
    <row r="1662" spans="2:2" ht="15.5" x14ac:dyDescent="0.35">
      <c r="B1662" s="171"/>
    </row>
    <row r="1663" spans="2:2" ht="15.5" x14ac:dyDescent="0.35">
      <c r="B1663" s="171"/>
    </row>
    <row r="1664" spans="2:2" ht="15.5" x14ac:dyDescent="0.35">
      <c r="B1664" s="171"/>
    </row>
    <row r="1665" spans="2:2" ht="15.5" x14ac:dyDescent="0.35">
      <c r="B1665" s="171"/>
    </row>
    <row r="1666" spans="2:2" ht="15.5" x14ac:dyDescent="0.35">
      <c r="B1666" s="171"/>
    </row>
    <row r="1667" spans="2:2" ht="15.5" x14ac:dyDescent="0.35">
      <c r="B1667" s="171"/>
    </row>
    <row r="1668" spans="2:2" ht="15.5" x14ac:dyDescent="0.35">
      <c r="B1668" s="171"/>
    </row>
    <row r="1669" spans="2:2" ht="15.5" x14ac:dyDescent="0.35">
      <c r="B1669" s="171"/>
    </row>
    <row r="1670" spans="2:2" ht="15.5" x14ac:dyDescent="0.35">
      <c r="B1670" s="171"/>
    </row>
    <row r="1671" spans="2:2" ht="15.5" x14ac:dyDescent="0.35">
      <c r="B1671" s="171"/>
    </row>
    <row r="1672" spans="2:2" ht="15.5" x14ac:dyDescent="0.35">
      <c r="B1672" s="171"/>
    </row>
    <row r="1673" spans="2:2" ht="15.5" x14ac:dyDescent="0.35">
      <c r="B1673" s="171"/>
    </row>
    <row r="1674" spans="2:2" ht="15.5" x14ac:dyDescent="0.35">
      <c r="B1674" s="171"/>
    </row>
    <row r="1675" spans="2:2" ht="15.5" x14ac:dyDescent="0.35">
      <c r="B1675" s="171"/>
    </row>
    <row r="1676" spans="2:2" ht="15.5" x14ac:dyDescent="0.35">
      <c r="B1676" s="171"/>
    </row>
    <row r="1677" spans="2:2" ht="15.5" x14ac:dyDescent="0.35">
      <c r="B1677" s="171"/>
    </row>
    <row r="1678" spans="2:2" ht="15.5" x14ac:dyDescent="0.35">
      <c r="B1678" s="171"/>
    </row>
    <row r="1679" spans="2:2" ht="15.5" x14ac:dyDescent="0.35">
      <c r="B1679" s="171"/>
    </row>
    <row r="1680" spans="2:2" ht="15.5" x14ac:dyDescent="0.35">
      <c r="B1680" s="171"/>
    </row>
    <row r="1681" spans="2:2" ht="15.5" x14ac:dyDescent="0.35">
      <c r="B1681" s="171"/>
    </row>
    <row r="1682" spans="2:2" ht="15.5" x14ac:dyDescent="0.35">
      <c r="B1682" s="171"/>
    </row>
    <row r="1683" spans="2:2" ht="15.5" x14ac:dyDescent="0.35">
      <c r="B1683" s="171"/>
    </row>
    <row r="1684" spans="2:2" ht="15.5" x14ac:dyDescent="0.35">
      <c r="B1684" s="171"/>
    </row>
    <row r="1685" spans="2:2" ht="15.5" x14ac:dyDescent="0.35">
      <c r="B1685" s="171"/>
    </row>
    <row r="1686" spans="2:2" ht="15.5" x14ac:dyDescent="0.35">
      <c r="B1686" s="171"/>
    </row>
    <row r="1687" spans="2:2" ht="15.5" x14ac:dyDescent="0.35">
      <c r="B1687" s="171"/>
    </row>
    <row r="1688" spans="2:2" ht="15.5" x14ac:dyDescent="0.35">
      <c r="B1688" s="171"/>
    </row>
    <row r="1689" spans="2:2" ht="15.5" x14ac:dyDescent="0.35">
      <c r="B1689" s="171"/>
    </row>
    <row r="1690" spans="2:2" ht="15.5" x14ac:dyDescent="0.35">
      <c r="B1690" s="171"/>
    </row>
    <row r="1691" spans="2:2" ht="15.5" x14ac:dyDescent="0.35">
      <c r="B1691" s="171"/>
    </row>
    <row r="1692" spans="2:2" ht="15.5" x14ac:dyDescent="0.35">
      <c r="B1692" s="171"/>
    </row>
    <row r="1693" spans="2:2" ht="15.5" x14ac:dyDescent="0.35">
      <c r="B1693" s="171"/>
    </row>
    <row r="1694" spans="2:2" ht="15.5" x14ac:dyDescent="0.35">
      <c r="B1694" s="171"/>
    </row>
    <row r="1695" spans="2:2" ht="15.5" x14ac:dyDescent="0.35">
      <c r="B1695" s="171"/>
    </row>
    <row r="1696" spans="2:2" ht="15.5" x14ac:dyDescent="0.35">
      <c r="B1696" s="171"/>
    </row>
    <row r="1697" spans="2:2" ht="15.5" x14ac:dyDescent="0.35">
      <c r="B1697" s="171"/>
    </row>
    <row r="1698" spans="2:2" ht="15.5" x14ac:dyDescent="0.35">
      <c r="B1698" s="171"/>
    </row>
    <row r="1699" spans="2:2" ht="15.5" x14ac:dyDescent="0.35">
      <c r="B1699" s="171"/>
    </row>
    <row r="1700" spans="2:2" ht="15.5" x14ac:dyDescent="0.35">
      <c r="B1700" s="171"/>
    </row>
    <row r="1701" spans="2:2" ht="15.5" x14ac:dyDescent="0.35">
      <c r="B1701" s="171"/>
    </row>
    <row r="1702" spans="2:2" ht="15.5" x14ac:dyDescent="0.35">
      <c r="B1702" s="171"/>
    </row>
    <row r="1703" spans="2:2" ht="15.5" x14ac:dyDescent="0.35">
      <c r="B1703" s="171"/>
    </row>
    <row r="1704" spans="2:2" ht="15.5" x14ac:dyDescent="0.35">
      <c r="B1704" s="171"/>
    </row>
    <row r="1705" spans="2:2" ht="15.5" x14ac:dyDescent="0.35">
      <c r="B1705" s="171"/>
    </row>
    <row r="1706" spans="2:2" ht="15.5" x14ac:dyDescent="0.35">
      <c r="B1706" s="171"/>
    </row>
    <row r="1707" spans="2:2" ht="15.5" x14ac:dyDescent="0.35">
      <c r="B1707" s="171"/>
    </row>
    <row r="1708" spans="2:2" ht="15.5" x14ac:dyDescent="0.35">
      <c r="B1708" s="171"/>
    </row>
    <row r="1709" spans="2:2" ht="15.5" x14ac:dyDescent="0.35">
      <c r="B1709" s="171"/>
    </row>
    <row r="1710" spans="2:2" ht="15.5" x14ac:dyDescent="0.35">
      <c r="B1710" s="171"/>
    </row>
    <row r="1711" spans="2:2" ht="15.5" x14ac:dyDescent="0.35">
      <c r="B1711" s="171"/>
    </row>
    <row r="1712" spans="2:2" ht="15.5" x14ac:dyDescent="0.35">
      <c r="B1712" s="171"/>
    </row>
    <row r="1713" spans="2:2" ht="15.5" x14ac:dyDescent="0.35">
      <c r="B1713" s="171"/>
    </row>
    <row r="1714" spans="2:2" ht="15.5" x14ac:dyDescent="0.35">
      <c r="B1714" s="171"/>
    </row>
    <row r="1715" spans="2:2" ht="15.5" x14ac:dyDescent="0.35">
      <c r="B1715" s="171"/>
    </row>
    <row r="1716" spans="2:2" ht="15.5" x14ac:dyDescent="0.35">
      <c r="B1716" s="171"/>
    </row>
    <row r="1717" spans="2:2" ht="15.5" x14ac:dyDescent="0.35">
      <c r="B1717" s="171"/>
    </row>
    <row r="1718" spans="2:2" ht="15.5" x14ac:dyDescent="0.35">
      <c r="B1718" s="171"/>
    </row>
    <row r="1719" spans="2:2" ht="15.5" x14ac:dyDescent="0.35">
      <c r="B1719" s="171"/>
    </row>
    <row r="1720" spans="2:2" ht="15.5" x14ac:dyDescent="0.35">
      <c r="B1720" s="171"/>
    </row>
    <row r="1721" spans="2:2" ht="15.5" x14ac:dyDescent="0.35">
      <c r="B1721" s="171"/>
    </row>
    <row r="1722" spans="2:2" ht="15.5" x14ac:dyDescent="0.35">
      <c r="B1722" s="171"/>
    </row>
    <row r="1723" spans="2:2" ht="15.5" x14ac:dyDescent="0.35">
      <c r="B1723" s="171"/>
    </row>
    <row r="1724" spans="2:2" ht="15.5" x14ac:dyDescent="0.35">
      <c r="B1724" s="171"/>
    </row>
    <row r="1725" spans="2:2" ht="15.5" x14ac:dyDescent="0.35">
      <c r="B1725" s="171"/>
    </row>
    <row r="1726" spans="2:2" ht="15.5" x14ac:dyDescent="0.35">
      <c r="B1726" s="171"/>
    </row>
    <row r="1727" spans="2:2" ht="15.5" x14ac:dyDescent="0.35">
      <c r="B1727" s="171"/>
    </row>
    <row r="1728" spans="2:2" ht="15.5" x14ac:dyDescent="0.35">
      <c r="B1728" s="171"/>
    </row>
    <row r="1729" spans="2:2" ht="15.5" x14ac:dyDescent="0.35">
      <c r="B1729" s="171"/>
    </row>
    <row r="1730" spans="2:2" ht="15.5" x14ac:dyDescent="0.35">
      <c r="B1730" s="171"/>
    </row>
    <row r="1731" spans="2:2" ht="15.5" x14ac:dyDescent="0.35">
      <c r="B1731" s="171"/>
    </row>
    <row r="1732" spans="2:2" ht="15.5" x14ac:dyDescent="0.35">
      <c r="B1732" s="171"/>
    </row>
    <row r="1733" spans="2:2" ht="15.5" x14ac:dyDescent="0.35">
      <c r="B1733" s="171"/>
    </row>
    <row r="1734" spans="2:2" ht="15.5" x14ac:dyDescent="0.35">
      <c r="B1734" s="171"/>
    </row>
    <row r="1735" spans="2:2" ht="15.5" x14ac:dyDescent="0.35">
      <c r="B1735" s="171"/>
    </row>
    <row r="1736" spans="2:2" ht="15.5" x14ac:dyDescent="0.35">
      <c r="B1736" s="171"/>
    </row>
    <row r="1737" spans="2:2" ht="15.5" x14ac:dyDescent="0.35">
      <c r="B1737" s="171"/>
    </row>
    <row r="1738" spans="2:2" ht="15.5" x14ac:dyDescent="0.35">
      <c r="B1738" s="171"/>
    </row>
    <row r="1739" spans="2:2" ht="15.5" x14ac:dyDescent="0.35">
      <c r="B1739" s="171"/>
    </row>
    <row r="1740" spans="2:2" ht="15.5" x14ac:dyDescent="0.35">
      <c r="B1740" s="171"/>
    </row>
    <row r="1741" spans="2:2" ht="15.5" x14ac:dyDescent="0.35">
      <c r="B1741" s="171"/>
    </row>
    <row r="1742" spans="2:2" ht="15.5" x14ac:dyDescent="0.35">
      <c r="B1742" s="171"/>
    </row>
    <row r="1743" spans="2:2" ht="15.5" x14ac:dyDescent="0.35">
      <c r="B1743" s="171"/>
    </row>
    <row r="1744" spans="2:2" ht="15.5" x14ac:dyDescent="0.35">
      <c r="B1744" s="171"/>
    </row>
    <row r="1745" spans="2:2" ht="15.5" x14ac:dyDescent="0.35">
      <c r="B1745" s="171"/>
    </row>
    <row r="1746" spans="2:2" ht="15.5" x14ac:dyDescent="0.35">
      <c r="B1746" s="171"/>
    </row>
    <row r="1747" spans="2:2" ht="15.5" x14ac:dyDescent="0.35">
      <c r="B1747" s="171"/>
    </row>
    <row r="1748" spans="2:2" ht="15.5" x14ac:dyDescent="0.35">
      <c r="B1748" s="171"/>
    </row>
    <row r="1749" spans="2:2" ht="15.5" x14ac:dyDescent="0.35">
      <c r="B1749" s="171"/>
    </row>
    <row r="1750" spans="2:2" ht="15.5" x14ac:dyDescent="0.35">
      <c r="B1750" s="171"/>
    </row>
    <row r="1751" spans="2:2" ht="15.5" x14ac:dyDescent="0.35">
      <c r="B1751" s="171"/>
    </row>
    <row r="1752" spans="2:2" ht="15.5" x14ac:dyDescent="0.35">
      <c r="B1752" s="171"/>
    </row>
    <row r="1753" spans="2:2" ht="15.5" x14ac:dyDescent="0.35">
      <c r="B1753" s="171"/>
    </row>
    <row r="1754" spans="2:2" ht="15.5" x14ac:dyDescent="0.35">
      <c r="B1754" s="171"/>
    </row>
    <row r="1755" spans="2:2" ht="15.5" x14ac:dyDescent="0.35">
      <c r="B1755" s="171"/>
    </row>
    <row r="1756" spans="2:2" ht="15.5" x14ac:dyDescent="0.35">
      <c r="B1756" s="171"/>
    </row>
    <row r="1757" spans="2:2" ht="15.5" x14ac:dyDescent="0.35">
      <c r="B1757" s="171"/>
    </row>
    <row r="1758" spans="2:2" ht="15.5" x14ac:dyDescent="0.35">
      <c r="B1758" s="171"/>
    </row>
    <row r="1759" spans="2:2" ht="15.5" x14ac:dyDescent="0.35">
      <c r="B1759" s="171"/>
    </row>
    <row r="1760" spans="2:2" ht="15.5" x14ac:dyDescent="0.35">
      <c r="B1760" s="171"/>
    </row>
    <row r="1761" spans="2:2" ht="15.5" x14ac:dyDescent="0.35">
      <c r="B1761" s="171"/>
    </row>
    <row r="1762" spans="2:2" ht="15.5" x14ac:dyDescent="0.35">
      <c r="B1762" s="171"/>
    </row>
    <row r="1763" spans="2:2" ht="15.5" x14ac:dyDescent="0.35">
      <c r="B1763" s="171"/>
    </row>
    <row r="1764" spans="2:2" ht="15.5" x14ac:dyDescent="0.35">
      <c r="B1764" s="171"/>
    </row>
    <row r="1765" spans="2:2" ht="15.5" x14ac:dyDescent="0.35">
      <c r="B1765" s="171"/>
    </row>
    <row r="1766" spans="2:2" ht="15.5" x14ac:dyDescent="0.35">
      <c r="B1766" s="171"/>
    </row>
    <row r="1767" spans="2:2" ht="15.5" x14ac:dyDescent="0.35">
      <c r="B1767" s="171"/>
    </row>
    <row r="1768" spans="2:2" ht="15.5" x14ac:dyDescent="0.35">
      <c r="B1768" s="171"/>
    </row>
    <row r="1769" spans="2:2" ht="15.5" x14ac:dyDescent="0.35">
      <c r="B1769" s="171"/>
    </row>
    <row r="1770" spans="2:2" ht="15.5" x14ac:dyDescent="0.35">
      <c r="B1770" s="171"/>
    </row>
    <row r="1771" spans="2:2" ht="15.5" x14ac:dyDescent="0.35">
      <c r="B1771" s="171"/>
    </row>
    <row r="1772" spans="2:2" ht="15.5" x14ac:dyDescent="0.35">
      <c r="B1772" s="171"/>
    </row>
    <row r="1773" spans="2:2" ht="15.5" x14ac:dyDescent="0.35">
      <c r="B1773" s="171"/>
    </row>
    <row r="1774" spans="2:2" ht="15.5" x14ac:dyDescent="0.35">
      <c r="B1774" s="171"/>
    </row>
    <row r="1775" spans="2:2" ht="15.5" x14ac:dyDescent="0.35">
      <c r="B1775" s="171"/>
    </row>
    <row r="1776" spans="2:2" ht="15.5" x14ac:dyDescent="0.35">
      <c r="B1776" s="171"/>
    </row>
    <row r="1777" spans="2:2" ht="15.5" x14ac:dyDescent="0.35">
      <c r="B1777" s="171"/>
    </row>
    <row r="1778" spans="2:2" ht="15.5" x14ac:dyDescent="0.35">
      <c r="B1778" s="171"/>
    </row>
    <row r="1779" spans="2:2" ht="15.5" x14ac:dyDescent="0.35">
      <c r="B1779" s="171"/>
    </row>
    <row r="1780" spans="2:2" ht="15.5" x14ac:dyDescent="0.35">
      <c r="B1780" s="171"/>
    </row>
    <row r="1781" spans="2:2" ht="15.5" x14ac:dyDescent="0.35">
      <c r="B1781" s="171"/>
    </row>
    <row r="1782" spans="2:2" ht="15.5" x14ac:dyDescent="0.35">
      <c r="B1782" s="171"/>
    </row>
    <row r="1783" spans="2:2" ht="15.5" x14ac:dyDescent="0.35">
      <c r="B1783" s="171"/>
    </row>
    <row r="1784" spans="2:2" ht="15.5" x14ac:dyDescent="0.35">
      <c r="B1784" s="171"/>
    </row>
    <row r="1785" spans="2:2" ht="15.5" x14ac:dyDescent="0.35">
      <c r="B1785" s="171"/>
    </row>
    <row r="1786" spans="2:2" ht="15.5" x14ac:dyDescent="0.35">
      <c r="B1786" s="171"/>
    </row>
    <row r="1787" spans="2:2" ht="15.5" x14ac:dyDescent="0.35">
      <c r="B1787" s="171"/>
    </row>
    <row r="1788" spans="2:2" ht="15.5" x14ac:dyDescent="0.35">
      <c r="B1788" s="171"/>
    </row>
    <row r="1789" spans="2:2" ht="15.5" x14ac:dyDescent="0.35">
      <c r="B1789" s="171"/>
    </row>
    <row r="1790" spans="2:2" ht="15.5" x14ac:dyDescent="0.35">
      <c r="B1790" s="171"/>
    </row>
    <row r="1791" spans="2:2" ht="15.5" x14ac:dyDescent="0.35">
      <c r="B1791" s="171"/>
    </row>
    <row r="1792" spans="2:2" ht="15.5" x14ac:dyDescent="0.35">
      <c r="B1792" s="171"/>
    </row>
    <row r="1793" spans="2:2" ht="15.5" x14ac:dyDescent="0.35">
      <c r="B1793" s="171"/>
    </row>
    <row r="1794" spans="2:2" ht="15.5" x14ac:dyDescent="0.35">
      <c r="B1794" s="171"/>
    </row>
    <row r="1795" spans="2:2" ht="15.5" x14ac:dyDescent="0.35">
      <c r="B1795" s="171"/>
    </row>
    <row r="1796" spans="2:2" ht="15.5" x14ac:dyDescent="0.35">
      <c r="B1796" s="171"/>
    </row>
    <row r="1797" spans="2:2" ht="15.5" x14ac:dyDescent="0.35">
      <c r="B1797" s="171"/>
    </row>
    <row r="1798" spans="2:2" ht="15.5" x14ac:dyDescent="0.35">
      <c r="B1798" s="171"/>
    </row>
    <row r="1799" spans="2:2" ht="15.5" x14ac:dyDescent="0.35">
      <c r="B1799" s="171"/>
    </row>
    <row r="1800" spans="2:2" ht="15.5" x14ac:dyDescent="0.35">
      <c r="B1800" s="171"/>
    </row>
    <row r="1801" spans="2:2" ht="15.5" x14ac:dyDescent="0.35">
      <c r="B1801" s="171"/>
    </row>
    <row r="1802" spans="2:2" ht="15.5" x14ac:dyDescent="0.35">
      <c r="B1802" s="171"/>
    </row>
    <row r="1803" spans="2:2" ht="15.5" x14ac:dyDescent="0.35">
      <c r="B1803" s="171"/>
    </row>
    <row r="1804" spans="2:2" ht="15.5" x14ac:dyDescent="0.35">
      <c r="B1804" s="171"/>
    </row>
    <row r="1805" spans="2:2" ht="15.5" x14ac:dyDescent="0.35">
      <c r="B1805" s="171"/>
    </row>
    <row r="1806" spans="2:2" ht="15.5" x14ac:dyDescent="0.35">
      <c r="B1806" s="171"/>
    </row>
    <row r="1807" spans="2:2" ht="15.5" x14ac:dyDescent="0.35">
      <c r="B1807" s="171"/>
    </row>
    <row r="1808" spans="2:2" ht="15.5" x14ac:dyDescent="0.35">
      <c r="B1808" s="171"/>
    </row>
    <row r="1809" spans="2:2" ht="15.5" x14ac:dyDescent="0.35">
      <c r="B1809" s="171"/>
    </row>
    <row r="1810" spans="2:2" ht="15.5" x14ac:dyDescent="0.35">
      <c r="B1810" s="171"/>
    </row>
    <row r="1811" spans="2:2" ht="15.5" x14ac:dyDescent="0.35">
      <c r="B1811" s="171"/>
    </row>
    <row r="1812" spans="2:2" ht="15.5" x14ac:dyDescent="0.35">
      <c r="B1812" s="171"/>
    </row>
    <row r="1813" spans="2:2" ht="15.5" x14ac:dyDescent="0.35">
      <c r="B1813" s="171"/>
    </row>
    <row r="1814" spans="2:2" ht="15.5" x14ac:dyDescent="0.35">
      <c r="B1814" s="171"/>
    </row>
    <row r="1815" spans="2:2" ht="15.5" x14ac:dyDescent="0.35">
      <c r="B1815" s="171"/>
    </row>
    <row r="1816" spans="2:2" ht="15.5" x14ac:dyDescent="0.35">
      <c r="B1816" s="171"/>
    </row>
    <row r="1817" spans="2:2" ht="15.5" x14ac:dyDescent="0.35">
      <c r="B1817" s="171"/>
    </row>
    <row r="1818" spans="2:2" ht="15.5" x14ac:dyDescent="0.35">
      <c r="B1818" s="171"/>
    </row>
    <row r="1819" spans="2:2" ht="15.5" x14ac:dyDescent="0.35">
      <c r="B1819" s="171"/>
    </row>
    <row r="1820" spans="2:2" ht="15.5" x14ac:dyDescent="0.35">
      <c r="B1820" s="171"/>
    </row>
    <row r="1821" spans="2:2" ht="15.5" x14ac:dyDescent="0.35">
      <c r="B1821" s="171"/>
    </row>
    <row r="1822" spans="2:2" ht="15.5" x14ac:dyDescent="0.35">
      <c r="B1822" s="171"/>
    </row>
    <row r="1823" spans="2:2" ht="15.5" x14ac:dyDescent="0.35">
      <c r="B1823" s="171"/>
    </row>
    <row r="1824" spans="2:2" ht="15.5" x14ac:dyDescent="0.35">
      <c r="B1824" s="171"/>
    </row>
    <row r="1825" spans="2:2" ht="15.5" x14ac:dyDescent="0.35">
      <c r="B1825" s="171"/>
    </row>
    <row r="1826" spans="2:2" ht="15.5" x14ac:dyDescent="0.35">
      <c r="B1826" s="171"/>
    </row>
    <row r="1827" spans="2:2" ht="15.5" x14ac:dyDescent="0.35">
      <c r="B1827" s="171"/>
    </row>
    <row r="1828" spans="2:2" ht="15.5" x14ac:dyDescent="0.35">
      <c r="B1828" s="171"/>
    </row>
    <row r="1829" spans="2:2" ht="15.5" x14ac:dyDescent="0.35">
      <c r="B1829" s="171"/>
    </row>
    <row r="1830" spans="2:2" ht="15.5" x14ac:dyDescent="0.35">
      <c r="B1830" s="171"/>
    </row>
    <row r="1831" spans="2:2" ht="15.5" x14ac:dyDescent="0.35">
      <c r="B1831" s="171"/>
    </row>
    <row r="1832" spans="2:2" ht="15.5" x14ac:dyDescent="0.35">
      <c r="B1832" s="171"/>
    </row>
    <row r="1833" spans="2:2" ht="15.5" x14ac:dyDescent="0.35">
      <c r="B1833" s="171"/>
    </row>
    <row r="1834" spans="2:2" ht="15.5" x14ac:dyDescent="0.35">
      <c r="B1834" s="171"/>
    </row>
    <row r="1835" spans="2:2" ht="15.5" x14ac:dyDescent="0.35">
      <c r="B1835" s="171"/>
    </row>
    <row r="1836" spans="2:2" ht="15.5" x14ac:dyDescent="0.35">
      <c r="B1836" s="171"/>
    </row>
    <row r="1837" spans="2:2" ht="15.5" x14ac:dyDescent="0.35">
      <c r="B1837" s="171"/>
    </row>
    <row r="1838" spans="2:2" ht="15.5" x14ac:dyDescent="0.35">
      <c r="B1838" s="171"/>
    </row>
    <row r="1839" spans="2:2" ht="15.5" x14ac:dyDescent="0.35">
      <c r="B1839" s="171"/>
    </row>
    <row r="1840" spans="2:2" ht="15.5" x14ac:dyDescent="0.35">
      <c r="B1840" s="171"/>
    </row>
    <row r="1841" spans="2:2" ht="15.5" x14ac:dyDescent="0.35">
      <c r="B1841" s="171"/>
    </row>
    <row r="1842" spans="2:2" ht="15.5" x14ac:dyDescent="0.35">
      <c r="B1842" s="171"/>
    </row>
    <row r="1843" spans="2:2" ht="15.5" x14ac:dyDescent="0.35">
      <c r="B1843" s="171"/>
    </row>
    <row r="1844" spans="2:2" ht="15.5" x14ac:dyDescent="0.35">
      <c r="B1844" s="171"/>
    </row>
    <row r="1845" spans="2:2" ht="15.5" x14ac:dyDescent="0.35">
      <c r="B1845" s="171"/>
    </row>
    <row r="1846" spans="2:2" ht="15.5" x14ac:dyDescent="0.35">
      <c r="B1846" s="171"/>
    </row>
    <row r="1847" spans="2:2" ht="15.5" x14ac:dyDescent="0.35">
      <c r="B1847" s="171"/>
    </row>
    <row r="1848" spans="2:2" ht="15.5" x14ac:dyDescent="0.35">
      <c r="B1848" s="171"/>
    </row>
    <row r="1849" spans="2:2" ht="15.5" x14ac:dyDescent="0.35">
      <c r="B1849" s="171"/>
    </row>
    <row r="1850" spans="2:2" ht="15.5" x14ac:dyDescent="0.35">
      <c r="B1850" s="171"/>
    </row>
    <row r="1851" spans="2:2" ht="15.5" x14ac:dyDescent="0.35">
      <c r="B1851" s="171"/>
    </row>
    <row r="1852" spans="2:2" ht="15.5" x14ac:dyDescent="0.35">
      <c r="B1852" s="171"/>
    </row>
    <row r="1853" spans="2:2" ht="15.5" x14ac:dyDescent="0.35">
      <c r="B1853" s="171"/>
    </row>
    <row r="1854" spans="2:2" ht="15.5" x14ac:dyDescent="0.35">
      <c r="B1854" s="171"/>
    </row>
    <row r="1855" spans="2:2" ht="15.5" x14ac:dyDescent="0.35">
      <c r="B1855" s="171"/>
    </row>
    <row r="1856" spans="2:2" ht="15.5" x14ac:dyDescent="0.35">
      <c r="B1856" s="171"/>
    </row>
    <row r="1857" spans="2:2" ht="15.5" x14ac:dyDescent="0.35">
      <c r="B1857" s="171"/>
    </row>
    <row r="1858" spans="2:2" ht="15.5" x14ac:dyDescent="0.35">
      <c r="B1858" s="171"/>
    </row>
    <row r="1859" spans="2:2" ht="15.5" x14ac:dyDescent="0.35">
      <c r="B1859" s="171"/>
    </row>
    <row r="1860" spans="2:2" ht="15.5" x14ac:dyDescent="0.35">
      <c r="B1860" s="171"/>
    </row>
    <row r="1861" spans="2:2" ht="15.5" x14ac:dyDescent="0.35">
      <c r="B1861" s="171"/>
    </row>
    <row r="1862" spans="2:2" ht="15.5" x14ac:dyDescent="0.35">
      <c r="B1862" s="171"/>
    </row>
    <row r="1863" spans="2:2" ht="15.5" x14ac:dyDescent="0.35">
      <c r="B1863" s="171"/>
    </row>
    <row r="1864" spans="2:2" ht="15.5" x14ac:dyDescent="0.35">
      <c r="B1864" s="171"/>
    </row>
    <row r="1865" spans="2:2" ht="15.5" x14ac:dyDescent="0.35">
      <c r="B1865" s="171"/>
    </row>
    <row r="1866" spans="2:2" ht="15.5" x14ac:dyDescent="0.35">
      <c r="B1866" s="171"/>
    </row>
    <row r="1867" spans="2:2" ht="15.5" x14ac:dyDescent="0.35">
      <c r="B1867" s="171"/>
    </row>
    <row r="1868" spans="2:2" ht="15.5" x14ac:dyDescent="0.35">
      <c r="B1868" s="171"/>
    </row>
    <row r="1869" spans="2:2" ht="15.5" x14ac:dyDescent="0.35">
      <c r="B1869" s="171"/>
    </row>
    <row r="1870" spans="2:2" ht="15.5" x14ac:dyDescent="0.35">
      <c r="B1870" s="171"/>
    </row>
    <row r="1871" spans="2:2" ht="15.5" x14ac:dyDescent="0.35">
      <c r="B1871" s="171"/>
    </row>
    <row r="1872" spans="2:2" ht="15.5" x14ac:dyDescent="0.35">
      <c r="B1872" s="171"/>
    </row>
    <row r="1873" spans="2:2" ht="15.5" x14ac:dyDescent="0.35">
      <c r="B1873" s="171"/>
    </row>
    <row r="1874" spans="2:2" ht="15.5" x14ac:dyDescent="0.35">
      <c r="B1874" s="171"/>
    </row>
    <row r="1875" spans="2:2" ht="15.5" x14ac:dyDescent="0.35">
      <c r="B1875" s="171"/>
    </row>
    <row r="1876" spans="2:2" ht="15.5" x14ac:dyDescent="0.35">
      <c r="B1876" s="171"/>
    </row>
    <row r="1877" spans="2:2" ht="15.5" x14ac:dyDescent="0.35">
      <c r="B1877" s="171"/>
    </row>
    <row r="1878" spans="2:2" ht="15.5" x14ac:dyDescent="0.35">
      <c r="B1878" s="171"/>
    </row>
    <row r="1879" spans="2:2" ht="15.5" x14ac:dyDescent="0.35">
      <c r="B1879" s="171"/>
    </row>
    <row r="1880" spans="2:2" ht="15.5" x14ac:dyDescent="0.35">
      <c r="B1880" s="171"/>
    </row>
    <row r="1881" spans="2:2" ht="15.5" x14ac:dyDescent="0.35">
      <c r="B1881" s="171"/>
    </row>
    <row r="1882" spans="2:2" ht="15.5" x14ac:dyDescent="0.35">
      <c r="B1882" s="171"/>
    </row>
    <row r="1883" spans="2:2" ht="15.5" x14ac:dyDescent="0.35">
      <c r="B1883" s="171"/>
    </row>
    <row r="1884" spans="2:2" ht="15.5" x14ac:dyDescent="0.35">
      <c r="B1884" s="171"/>
    </row>
    <row r="1885" spans="2:2" ht="15.5" x14ac:dyDescent="0.35">
      <c r="B1885" s="171"/>
    </row>
    <row r="1886" spans="2:2" ht="15.5" x14ac:dyDescent="0.35">
      <c r="B1886" s="171"/>
    </row>
    <row r="1887" spans="2:2" ht="15.5" x14ac:dyDescent="0.35">
      <c r="B1887" s="171"/>
    </row>
    <row r="1888" spans="2:2" ht="15.5" x14ac:dyDescent="0.35">
      <c r="B1888" s="171"/>
    </row>
    <row r="1889" spans="2:2" ht="15.5" x14ac:dyDescent="0.35">
      <c r="B1889" s="171"/>
    </row>
    <row r="1890" spans="2:2" ht="15.5" x14ac:dyDescent="0.35">
      <c r="B1890" s="171"/>
    </row>
    <row r="1891" spans="2:2" ht="15.5" x14ac:dyDescent="0.35">
      <c r="B1891" s="171"/>
    </row>
    <row r="1892" spans="2:2" ht="15.5" x14ac:dyDescent="0.35">
      <c r="B1892" s="171"/>
    </row>
    <row r="1893" spans="2:2" ht="15.5" x14ac:dyDescent="0.35">
      <c r="B1893" s="171"/>
    </row>
    <row r="1894" spans="2:2" ht="15.5" x14ac:dyDescent="0.35">
      <c r="B1894" s="171"/>
    </row>
    <row r="1895" spans="2:2" ht="15.5" x14ac:dyDescent="0.35">
      <c r="B1895" s="171"/>
    </row>
    <row r="1896" spans="2:2" ht="15.5" x14ac:dyDescent="0.35">
      <c r="B1896" s="171"/>
    </row>
    <row r="1897" spans="2:2" ht="15.5" x14ac:dyDescent="0.35">
      <c r="B1897" s="171"/>
    </row>
    <row r="1898" spans="2:2" ht="15.5" x14ac:dyDescent="0.35">
      <c r="B1898" s="171"/>
    </row>
    <row r="1899" spans="2:2" ht="15.5" x14ac:dyDescent="0.35">
      <c r="B1899" s="171"/>
    </row>
    <row r="1900" spans="2:2" ht="15.5" x14ac:dyDescent="0.35">
      <c r="B1900" s="171"/>
    </row>
    <row r="1901" spans="2:2" ht="15.5" x14ac:dyDescent="0.35">
      <c r="B1901" s="171"/>
    </row>
    <row r="1902" spans="2:2" ht="15.5" x14ac:dyDescent="0.35">
      <c r="B1902" s="171"/>
    </row>
    <row r="1903" spans="2:2" ht="15.5" x14ac:dyDescent="0.35">
      <c r="B1903" s="171"/>
    </row>
    <row r="1904" spans="2:2" ht="15.5" x14ac:dyDescent="0.35">
      <c r="B1904" s="171"/>
    </row>
    <row r="1905" spans="2:2" ht="15.5" x14ac:dyDescent="0.35">
      <c r="B1905" s="171"/>
    </row>
    <row r="1906" spans="2:2" ht="15.5" x14ac:dyDescent="0.35">
      <c r="B1906" s="171"/>
    </row>
    <row r="1907" spans="2:2" ht="15.5" x14ac:dyDescent="0.35">
      <c r="B1907" s="171"/>
    </row>
    <row r="1908" spans="2:2" ht="15.5" x14ac:dyDescent="0.35">
      <c r="B1908" s="171"/>
    </row>
    <row r="1909" spans="2:2" ht="15.5" x14ac:dyDescent="0.35">
      <c r="B1909" s="171"/>
    </row>
    <row r="1910" spans="2:2" ht="15.5" x14ac:dyDescent="0.35">
      <c r="B1910" s="171"/>
    </row>
    <row r="1911" spans="2:2" ht="15.5" x14ac:dyDescent="0.35">
      <c r="B1911" s="171"/>
    </row>
    <row r="1912" spans="2:2" ht="15.5" x14ac:dyDescent="0.35">
      <c r="B1912" s="171"/>
    </row>
    <row r="1913" spans="2:2" ht="15.5" x14ac:dyDescent="0.35">
      <c r="B1913" s="171"/>
    </row>
    <row r="1914" spans="2:2" ht="15.5" x14ac:dyDescent="0.35">
      <c r="B1914" s="171"/>
    </row>
    <row r="1915" spans="2:2" ht="15.5" x14ac:dyDescent="0.35">
      <c r="B1915" s="171"/>
    </row>
    <row r="1916" spans="2:2" ht="15.5" x14ac:dyDescent="0.35">
      <c r="B1916" s="171"/>
    </row>
    <row r="1917" spans="2:2" ht="15.5" x14ac:dyDescent="0.35">
      <c r="B1917" s="171"/>
    </row>
    <row r="1918" spans="2:2" ht="15.5" x14ac:dyDescent="0.35">
      <c r="B1918" s="171"/>
    </row>
    <row r="1919" spans="2:2" ht="15.5" x14ac:dyDescent="0.35">
      <c r="B1919" s="171"/>
    </row>
    <row r="1920" spans="2:2" ht="15.5" x14ac:dyDescent="0.35">
      <c r="B1920" s="171"/>
    </row>
    <row r="1921" spans="2:2" ht="15.5" x14ac:dyDescent="0.35">
      <c r="B1921" s="171"/>
    </row>
    <row r="1922" spans="2:2" ht="15.5" x14ac:dyDescent="0.35">
      <c r="B1922" s="171"/>
    </row>
    <row r="1923" spans="2:2" ht="15.5" x14ac:dyDescent="0.35">
      <c r="B1923" s="171"/>
    </row>
    <row r="1924" spans="2:2" ht="15.5" x14ac:dyDescent="0.35">
      <c r="B1924" s="171"/>
    </row>
    <row r="1925" spans="2:2" ht="15.5" x14ac:dyDescent="0.35">
      <c r="B1925" s="171"/>
    </row>
    <row r="1926" spans="2:2" ht="15.5" x14ac:dyDescent="0.35">
      <c r="B1926" s="171"/>
    </row>
    <row r="1927" spans="2:2" ht="15.5" x14ac:dyDescent="0.35">
      <c r="B1927" s="171"/>
    </row>
    <row r="1928" spans="2:2" ht="15.5" x14ac:dyDescent="0.35">
      <c r="B1928" s="171"/>
    </row>
    <row r="1929" spans="2:2" ht="15.5" x14ac:dyDescent="0.35">
      <c r="B1929" s="171"/>
    </row>
    <row r="1930" spans="2:2" ht="15.5" x14ac:dyDescent="0.35">
      <c r="B1930" s="171"/>
    </row>
    <row r="1931" spans="2:2" ht="15.5" x14ac:dyDescent="0.35">
      <c r="B1931" s="171"/>
    </row>
    <row r="1932" spans="2:2" ht="15.5" x14ac:dyDescent="0.35">
      <c r="B1932" s="171"/>
    </row>
    <row r="1933" spans="2:2" ht="15.5" x14ac:dyDescent="0.35">
      <c r="B1933" s="171"/>
    </row>
    <row r="1934" spans="2:2" ht="15.5" x14ac:dyDescent="0.35">
      <c r="B1934" s="171"/>
    </row>
    <row r="1935" spans="2:2" ht="15.5" x14ac:dyDescent="0.35">
      <c r="B1935" s="171"/>
    </row>
    <row r="1936" spans="2:2" ht="15.5" x14ac:dyDescent="0.35">
      <c r="B1936" s="171"/>
    </row>
    <row r="1937" spans="2:2" ht="15.5" x14ac:dyDescent="0.35">
      <c r="B1937" s="171"/>
    </row>
    <row r="1938" spans="2:2" ht="15.5" x14ac:dyDescent="0.35">
      <c r="B1938" s="171"/>
    </row>
    <row r="1939" spans="2:2" ht="15.5" x14ac:dyDescent="0.35">
      <c r="B1939" s="171"/>
    </row>
    <row r="1940" spans="2:2" ht="15.5" x14ac:dyDescent="0.35">
      <c r="B1940" s="171"/>
    </row>
    <row r="1941" spans="2:2" ht="15.5" x14ac:dyDescent="0.35">
      <c r="B1941" s="171"/>
    </row>
    <row r="1942" spans="2:2" ht="15.5" x14ac:dyDescent="0.35">
      <c r="B1942" s="171"/>
    </row>
    <row r="1943" spans="2:2" ht="15.5" x14ac:dyDescent="0.35">
      <c r="B1943" s="171"/>
    </row>
    <row r="1944" spans="2:2" ht="15.5" x14ac:dyDescent="0.35">
      <c r="B1944" s="171"/>
    </row>
    <row r="1945" spans="2:2" ht="15.5" x14ac:dyDescent="0.35">
      <c r="B1945" s="171"/>
    </row>
    <row r="1946" spans="2:2" ht="15.5" x14ac:dyDescent="0.35">
      <c r="B1946" s="171"/>
    </row>
    <row r="1947" spans="2:2" ht="15.5" x14ac:dyDescent="0.35">
      <c r="B1947" s="171"/>
    </row>
    <row r="1948" spans="2:2" ht="15.5" x14ac:dyDescent="0.35">
      <c r="B1948" s="171"/>
    </row>
    <row r="1949" spans="2:2" ht="15.5" x14ac:dyDescent="0.35">
      <c r="B1949" s="171"/>
    </row>
    <row r="1950" spans="2:2" ht="15.5" x14ac:dyDescent="0.35">
      <c r="B1950" s="171"/>
    </row>
    <row r="1951" spans="2:2" ht="15.5" x14ac:dyDescent="0.35">
      <c r="B1951" s="171"/>
    </row>
    <row r="1952" spans="2:2" ht="15.5" x14ac:dyDescent="0.35">
      <c r="B1952" s="171"/>
    </row>
    <row r="1953" spans="2:2" ht="15.5" x14ac:dyDescent="0.35">
      <c r="B1953" s="171"/>
    </row>
    <row r="1954" spans="2:2" ht="15.5" x14ac:dyDescent="0.35">
      <c r="B1954" s="171"/>
    </row>
    <row r="1955" spans="2:2" ht="15.5" x14ac:dyDescent="0.35">
      <c r="B1955" s="171"/>
    </row>
    <row r="1956" spans="2:2" ht="15.5" x14ac:dyDescent="0.35">
      <c r="B1956" s="171"/>
    </row>
    <row r="1957" spans="2:2" ht="15.5" x14ac:dyDescent="0.35">
      <c r="B1957" s="171"/>
    </row>
    <row r="1958" spans="2:2" ht="15.5" x14ac:dyDescent="0.35">
      <c r="B1958" s="171"/>
    </row>
    <row r="1959" spans="2:2" ht="15.5" x14ac:dyDescent="0.35">
      <c r="B1959" s="171"/>
    </row>
    <row r="1960" spans="2:2" ht="15.5" x14ac:dyDescent="0.35">
      <c r="B1960" s="171"/>
    </row>
    <row r="1961" spans="2:2" ht="15.5" x14ac:dyDescent="0.35">
      <c r="B1961" s="171"/>
    </row>
    <row r="1962" spans="2:2" ht="15.5" x14ac:dyDescent="0.35">
      <c r="B1962" s="171"/>
    </row>
    <row r="1963" spans="2:2" ht="15.5" x14ac:dyDescent="0.35">
      <c r="B1963" s="171"/>
    </row>
    <row r="1964" spans="2:2" ht="15.5" x14ac:dyDescent="0.35">
      <c r="B1964" s="171"/>
    </row>
    <row r="1965" spans="2:2" ht="15.5" x14ac:dyDescent="0.35">
      <c r="B1965" s="171"/>
    </row>
    <row r="1966" spans="2:2" ht="15.5" x14ac:dyDescent="0.35">
      <c r="B1966" s="171"/>
    </row>
    <row r="1967" spans="2:2" ht="15.5" x14ac:dyDescent="0.35">
      <c r="B1967" s="171"/>
    </row>
    <row r="1968" spans="2:2" ht="15.5" x14ac:dyDescent="0.35">
      <c r="B1968" s="171"/>
    </row>
    <row r="1969" spans="2:2" ht="15.5" x14ac:dyDescent="0.35">
      <c r="B1969" s="171"/>
    </row>
    <row r="1970" spans="2:2" ht="15.5" x14ac:dyDescent="0.35">
      <c r="B1970" s="171"/>
    </row>
    <row r="1971" spans="2:2" ht="15.5" x14ac:dyDescent="0.35">
      <c r="B1971" s="171"/>
    </row>
    <row r="1972" spans="2:2" ht="15.5" x14ac:dyDescent="0.35">
      <c r="B1972" s="171"/>
    </row>
    <row r="1973" spans="2:2" ht="15.5" x14ac:dyDescent="0.35">
      <c r="B1973" s="171"/>
    </row>
    <row r="1974" spans="2:2" ht="15.5" x14ac:dyDescent="0.35">
      <c r="B1974" s="171"/>
    </row>
    <row r="1975" spans="2:2" ht="15.5" x14ac:dyDescent="0.35">
      <c r="B1975" s="171"/>
    </row>
    <row r="1976" spans="2:2" ht="15.5" x14ac:dyDescent="0.35">
      <c r="B1976" s="171"/>
    </row>
    <row r="1977" spans="2:2" ht="15.5" x14ac:dyDescent="0.35">
      <c r="B1977" s="171"/>
    </row>
    <row r="1978" spans="2:2" ht="15.5" x14ac:dyDescent="0.35">
      <c r="B1978" s="171"/>
    </row>
    <row r="1979" spans="2:2" ht="15.5" x14ac:dyDescent="0.35">
      <c r="B1979" s="171"/>
    </row>
    <row r="1980" spans="2:2" ht="15.5" x14ac:dyDescent="0.35">
      <c r="B1980" s="171"/>
    </row>
    <row r="1981" spans="2:2" ht="15.5" x14ac:dyDescent="0.35">
      <c r="B1981" s="171"/>
    </row>
    <row r="1982" spans="2:2" ht="15.5" x14ac:dyDescent="0.35">
      <c r="B1982" s="171"/>
    </row>
    <row r="1983" spans="2:2" ht="15.5" x14ac:dyDescent="0.35">
      <c r="B1983" s="171"/>
    </row>
    <row r="1984" spans="2:2" ht="15.5" x14ac:dyDescent="0.35">
      <c r="B1984" s="171"/>
    </row>
    <row r="1985" spans="2:2" ht="15.5" x14ac:dyDescent="0.35">
      <c r="B1985" s="171"/>
    </row>
    <row r="1986" spans="2:2" ht="15.5" x14ac:dyDescent="0.35">
      <c r="B1986" s="171"/>
    </row>
    <row r="1987" spans="2:2" ht="15.5" x14ac:dyDescent="0.35">
      <c r="B1987" s="171"/>
    </row>
    <row r="1988" spans="2:2" ht="15.5" x14ac:dyDescent="0.35">
      <c r="B1988" s="171"/>
    </row>
    <row r="1989" spans="2:2" ht="15.5" x14ac:dyDescent="0.35">
      <c r="B1989" s="171"/>
    </row>
    <row r="1990" spans="2:2" ht="15.5" x14ac:dyDescent="0.35">
      <c r="B1990" s="171"/>
    </row>
    <row r="1991" spans="2:2" ht="15.5" x14ac:dyDescent="0.35">
      <c r="B1991" s="171"/>
    </row>
    <row r="1992" spans="2:2" ht="15.5" x14ac:dyDescent="0.35">
      <c r="B1992" s="171"/>
    </row>
    <row r="1993" spans="2:2" ht="15.5" x14ac:dyDescent="0.35">
      <c r="B1993" s="171"/>
    </row>
    <row r="1994" spans="2:2" ht="15.5" x14ac:dyDescent="0.35">
      <c r="B1994" s="171"/>
    </row>
    <row r="1995" spans="2:2" ht="15.5" x14ac:dyDescent="0.35">
      <c r="B1995" s="171"/>
    </row>
    <row r="1996" spans="2:2" ht="15.5" x14ac:dyDescent="0.35">
      <c r="B1996" s="171"/>
    </row>
    <row r="1997" spans="2:2" ht="15.5" x14ac:dyDescent="0.35">
      <c r="B1997" s="171"/>
    </row>
    <row r="1998" spans="2:2" ht="15.5" x14ac:dyDescent="0.35">
      <c r="B1998" s="171"/>
    </row>
    <row r="1999" spans="2:2" ht="15.5" x14ac:dyDescent="0.35">
      <c r="B1999" s="171"/>
    </row>
    <row r="2000" spans="2:2" ht="15.5" x14ac:dyDescent="0.35">
      <c r="B2000" s="171"/>
    </row>
    <row r="2001" spans="2:2" ht="15.5" x14ac:dyDescent="0.35">
      <c r="B2001" s="171"/>
    </row>
    <row r="2002" spans="2:2" ht="15.5" x14ac:dyDescent="0.35">
      <c r="B2002" s="171"/>
    </row>
    <row r="2003" spans="2:2" ht="15.5" x14ac:dyDescent="0.35">
      <c r="B2003" s="171"/>
    </row>
    <row r="2004" spans="2:2" ht="15.5" x14ac:dyDescent="0.35">
      <c r="B2004" s="171"/>
    </row>
    <row r="2005" spans="2:2" ht="15.5" x14ac:dyDescent="0.35">
      <c r="B2005" s="171"/>
    </row>
    <row r="2006" spans="2:2" ht="15.5" x14ac:dyDescent="0.35">
      <c r="B2006" s="171"/>
    </row>
    <row r="2007" spans="2:2" ht="15.5" x14ac:dyDescent="0.35">
      <c r="B2007" s="171"/>
    </row>
    <row r="2008" spans="2:2" ht="15.5" x14ac:dyDescent="0.35">
      <c r="B2008" s="171"/>
    </row>
    <row r="2009" spans="2:2" ht="15.5" x14ac:dyDescent="0.35">
      <c r="B2009" s="171"/>
    </row>
    <row r="2010" spans="2:2" ht="15.5" x14ac:dyDescent="0.35">
      <c r="B2010" s="171"/>
    </row>
    <row r="2011" spans="2:2" ht="15.5" x14ac:dyDescent="0.35">
      <c r="B2011" s="171"/>
    </row>
    <row r="2012" spans="2:2" ht="15.5" x14ac:dyDescent="0.35">
      <c r="B2012" s="171"/>
    </row>
    <row r="2013" spans="2:2" ht="15.5" x14ac:dyDescent="0.35">
      <c r="B2013" s="171"/>
    </row>
    <row r="2014" spans="2:2" ht="15.5" x14ac:dyDescent="0.35">
      <c r="B2014" s="171"/>
    </row>
    <row r="2015" spans="2:2" ht="15.5" x14ac:dyDescent="0.35">
      <c r="B2015" s="171"/>
    </row>
    <row r="2016" spans="2:2" ht="15.5" x14ac:dyDescent="0.35">
      <c r="B2016" s="171"/>
    </row>
    <row r="2017" spans="2:2" ht="15.5" x14ac:dyDescent="0.35">
      <c r="B2017" s="171"/>
    </row>
    <row r="2018" spans="2:2" ht="15.5" x14ac:dyDescent="0.35">
      <c r="B2018" s="171"/>
    </row>
    <row r="2019" spans="2:2" ht="15.5" x14ac:dyDescent="0.35">
      <c r="B2019" s="171"/>
    </row>
    <row r="2020" spans="2:2" ht="15.5" x14ac:dyDescent="0.35">
      <c r="B2020" s="171"/>
    </row>
    <row r="2021" spans="2:2" ht="15.5" x14ac:dyDescent="0.35">
      <c r="B2021" s="171"/>
    </row>
    <row r="2022" spans="2:2" ht="15.5" x14ac:dyDescent="0.35">
      <c r="B2022" s="171"/>
    </row>
    <row r="2023" spans="2:2" ht="15.5" x14ac:dyDescent="0.35">
      <c r="B2023" s="171"/>
    </row>
    <row r="2024" spans="2:2" ht="15.5" x14ac:dyDescent="0.35">
      <c r="B2024" s="171"/>
    </row>
    <row r="2025" spans="2:2" ht="15.5" x14ac:dyDescent="0.35">
      <c r="B2025" s="171"/>
    </row>
    <row r="2026" spans="2:2" ht="15.5" x14ac:dyDescent="0.35">
      <c r="B2026" s="171"/>
    </row>
    <row r="2027" spans="2:2" ht="15.5" x14ac:dyDescent="0.35">
      <c r="B2027" s="171"/>
    </row>
    <row r="2028" spans="2:2" ht="15.5" x14ac:dyDescent="0.35">
      <c r="B2028" s="171"/>
    </row>
    <row r="2029" spans="2:2" ht="15.5" x14ac:dyDescent="0.35">
      <c r="B2029" s="171"/>
    </row>
    <row r="2030" spans="2:2" ht="15.5" x14ac:dyDescent="0.35">
      <c r="B2030" s="171"/>
    </row>
    <row r="2031" spans="2:2" ht="15.5" x14ac:dyDescent="0.35">
      <c r="B2031" s="171"/>
    </row>
    <row r="2032" spans="2:2" ht="15.5" x14ac:dyDescent="0.35">
      <c r="B2032" s="171"/>
    </row>
    <row r="2033" spans="2:2" ht="15.5" x14ac:dyDescent="0.35">
      <c r="B2033" s="171"/>
    </row>
    <row r="2034" spans="2:2" ht="15.5" x14ac:dyDescent="0.35">
      <c r="B2034" s="171"/>
    </row>
    <row r="2035" spans="2:2" ht="15.5" x14ac:dyDescent="0.35">
      <c r="B2035" s="171"/>
    </row>
    <row r="2036" spans="2:2" ht="15.5" x14ac:dyDescent="0.35">
      <c r="B2036" s="171"/>
    </row>
    <row r="2037" spans="2:2" ht="15.5" x14ac:dyDescent="0.35">
      <c r="B2037" s="171"/>
    </row>
    <row r="2038" spans="2:2" ht="15.5" x14ac:dyDescent="0.35">
      <c r="B2038" s="171"/>
    </row>
    <row r="2039" spans="2:2" ht="15.5" x14ac:dyDescent="0.35">
      <c r="B2039" s="171"/>
    </row>
    <row r="2040" spans="2:2" ht="15.5" x14ac:dyDescent="0.35">
      <c r="B2040" s="171"/>
    </row>
    <row r="2041" spans="2:2" ht="15.5" x14ac:dyDescent="0.35">
      <c r="B2041" s="171"/>
    </row>
    <row r="2042" spans="2:2" ht="15.5" x14ac:dyDescent="0.35">
      <c r="B2042" s="171"/>
    </row>
    <row r="2043" spans="2:2" ht="15.5" x14ac:dyDescent="0.35">
      <c r="B2043" s="171"/>
    </row>
    <row r="2044" spans="2:2" ht="15.5" x14ac:dyDescent="0.35">
      <c r="B2044" s="171"/>
    </row>
    <row r="2045" spans="2:2" ht="15.5" x14ac:dyDescent="0.35">
      <c r="B2045" s="171"/>
    </row>
    <row r="2046" spans="2:2" ht="15.5" x14ac:dyDescent="0.35">
      <c r="B2046" s="171"/>
    </row>
    <row r="2047" spans="2:2" ht="15.5" x14ac:dyDescent="0.35">
      <c r="B2047" s="171"/>
    </row>
    <row r="2048" spans="2:2" ht="15.5" x14ac:dyDescent="0.35">
      <c r="B2048" s="171"/>
    </row>
    <row r="2049" spans="2:2" ht="15.5" x14ac:dyDescent="0.35">
      <c r="B2049" s="171"/>
    </row>
    <row r="2050" spans="2:2" ht="15.5" x14ac:dyDescent="0.35">
      <c r="B2050" s="171"/>
    </row>
    <row r="2051" spans="2:2" ht="15.5" x14ac:dyDescent="0.35">
      <c r="B2051" s="171"/>
    </row>
    <row r="2052" spans="2:2" ht="15.5" x14ac:dyDescent="0.35">
      <c r="B2052" s="171"/>
    </row>
    <row r="2053" spans="2:2" ht="15.5" x14ac:dyDescent="0.35">
      <c r="B2053" s="171"/>
    </row>
    <row r="2054" spans="2:2" ht="15.5" x14ac:dyDescent="0.35">
      <c r="B2054" s="171"/>
    </row>
    <row r="2055" spans="2:2" ht="15.5" x14ac:dyDescent="0.35">
      <c r="B2055" s="171"/>
    </row>
    <row r="2056" spans="2:2" ht="15.5" x14ac:dyDescent="0.35">
      <c r="B2056" s="171"/>
    </row>
    <row r="2057" spans="2:2" ht="15.5" x14ac:dyDescent="0.35">
      <c r="B2057" s="171"/>
    </row>
    <row r="2058" spans="2:2" ht="15.5" x14ac:dyDescent="0.35">
      <c r="B2058" s="171"/>
    </row>
    <row r="2059" spans="2:2" ht="15.5" x14ac:dyDescent="0.35">
      <c r="B2059" s="171"/>
    </row>
    <row r="2060" spans="2:2" ht="15.5" x14ac:dyDescent="0.35">
      <c r="B2060" s="171"/>
    </row>
    <row r="2061" spans="2:2" ht="15.5" x14ac:dyDescent="0.35">
      <c r="B2061" s="171"/>
    </row>
    <row r="2062" spans="2:2" ht="15.5" x14ac:dyDescent="0.35">
      <c r="B2062" s="171"/>
    </row>
    <row r="2063" spans="2:2" ht="15.5" x14ac:dyDescent="0.35">
      <c r="B2063" s="171"/>
    </row>
    <row r="2064" spans="2:2" ht="15.5" x14ac:dyDescent="0.35">
      <c r="B2064" s="171"/>
    </row>
    <row r="2065" spans="2:2" ht="15.5" x14ac:dyDescent="0.35">
      <c r="B2065" s="171"/>
    </row>
    <row r="2066" spans="2:2" ht="15.5" x14ac:dyDescent="0.35">
      <c r="B2066" s="171"/>
    </row>
    <row r="2067" spans="2:2" ht="15.5" x14ac:dyDescent="0.35">
      <c r="B2067" s="171"/>
    </row>
    <row r="2068" spans="2:2" ht="15.5" x14ac:dyDescent="0.35">
      <c r="B2068" s="171"/>
    </row>
    <row r="2069" spans="2:2" ht="15.5" x14ac:dyDescent="0.35">
      <c r="B2069" s="171"/>
    </row>
    <row r="2070" spans="2:2" ht="15.5" x14ac:dyDescent="0.35">
      <c r="B2070" s="171"/>
    </row>
    <row r="2071" spans="2:2" ht="15.5" x14ac:dyDescent="0.35">
      <c r="B2071" s="171"/>
    </row>
    <row r="2072" spans="2:2" ht="15.5" x14ac:dyDescent="0.35">
      <c r="B2072" s="171"/>
    </row>
    <row r="2073" spans="2:2" ht="15.5" x14ac:dyDescent="0.35">
      <c r="B2073" s="171"/>
    </row>
    <row r="2074" spans="2:2" ht="15.5" x14ac:dyDescent="0.35">
      <c r="B2074" s="171"/>
    </row>
    <row r="2075" spans="2:2" ht="15.5" x14ac:dyDescent="0.35">
      <c r="B2075" s="171"/>
    </row>
    <row r="2076" spans="2:2" ht="15.5" x14ac:dyDescent="0.35">
      <c r="B2076" s="171"/>
    </row>
    <row r="2077" spans="2:2" ht="15.5" x14ac:dyDescent="0.35">
      <c r="B2077" s="171"/>
    </row>
    <row r="2078" spans="2:2" ht="15.5" x14ac:dyDescent="0.35">
      <c r="B2078" s="171"/>
    </row>
    <row r="2079" spans="2:2" ht="15.5" x14ac:dyDescent="0.35">
      <c r="B2079" s="171"/>
    </row>
    <row r="2080" spans="2:2" ht="15.5" x14ac:dyDescent="0.35">
      <c r="B2080" s="171"/>
    </row>
    <row r="2081" spans="2:2" ht="15.5" x14ac:dyDescent="0.35">
      <c r="B2081" s="171"/>
    </row>
    <row r="2082" spans="2:2" ht="15.5" x14ac:dyDescent="0.35">
      <c r="B2082" s="171"/>
    </row>
    <row r="2083" spans="2:2" ht="15.5" x14ac:dyDescent="0.35">
      <c r="B2083" s="171"/>
    </row>
    <row r="2084" spans="2:2" ht="15.5" x14ac:dyDescent="0.35">
      <c r="B2084" s="171"/>
    </row>
    <row r="2085" spans="2:2" ht="15.5" x14ac:dyDescent="0.35">
      <c r="B2085" s="171"/>
    </row>
    <row r="2086" spans="2:2" ht="15.5" x14ac:dyDescent="0.35">
      <c r="B2086" s="171"/>
    </row>
    <row r="2087" spans="2:2" ht="15.5" x14ac:dyDescent="0.35">
      <c r="B2087" s="171"/>
    </row>
    <row r="2088" spans="2:2" ht="15.5" x14ac:dyDescent="0.35">
      <c r="B2088" s="171"/>
    </row>
    <row r="2089" spans="2:2" ht="15.5" x14ac:dyDescent="0.35">
      <c r="B2089" s="171"/>
    </row>
    <row r="2090" spans="2:2" ht="15.5" x14ac:dyDescent="0.35">
      <c r="B2090" s="171"/>
    </row>
    <row r="2091" spans="2:2" ht="15.5" x14ac:dyDescent="0.35">
      <c r="B2091" s="171"/>
    </row>
    <row r="2092" spans="2:2" ht="15.5" x14ac:dyDescent="0.35">
      <c r="B2092" s="171"/>
    </row>
    <row r="2093" spans="2:2" ht="15.5" x14ac:dyDescent="0.35">
      <c r="B2093" s="171"/>
    </row>
    <row r="2094" spans="2:2" ht="15.5" x14ac:dyDescent="0.35">
      <c r="B2094" s="171"/>
    </row>
    <row r="2095" spans="2:2" ht="15.5" x14ac:dyDescent="0.35">
      <c r="B2095" s="171"/>
    </row>
    <row r="2096" spans="2:2" ht="15.5" x14ac:dyDescent="0.35">
      <c r="B2096" s="171"/>
    </row>
    <row r="2097" spans="2:2" ht="15.5" x14ac:dyDescent="0.35">
      <c r="B2097" s="171"/>
    </row>
    <row r="2098" spans="2:2" ht="15.5" x14ac:dyDescent="0.35">
      <c r="B2098" s="171"/>
    </row>
    <row r="2099" spans="2:2" ht="15.5" x14ac:dyDescent="0.35">
      <c r="B2099" s="171"/>
    </row>
    <row r="2100" spans="2:2" ht="15.5" x14ac:dyDescent="0.35">
      <c r="B2100" s="171"/>
    </row>
    <row r="2101" spans="2:2" ht="15.5" x14ac:dyDescent="0.35">
      <c r="B2101" s="171"/>
    </row>
    <row r="2102" spans="2:2" ht="15.5" x14ac:dyDescent="0.35">
      <c r="B2102" s="171"/>
    </row>
    <row r="2103" spans="2:2" ht="15.5" x14ac:dyDescent="0.35">
      <c r="B2103" s="171"/>
    </row>
    <row r="2104" spans="2:2" ht="15.5" x14ac:dyDescent="0.35">
      <c r="B2104" s="171"/>
    </row>
    <row r="2105" spans="2:2" ht="15.5" x14ac:dyDescent="0.35">
      <c r="B2105" s="171"/>
    </row>
    <row r="2106" spans="2:2" ht="15.5" x14ac:dyDescent="0.35">
      <c r="B2106" s="171"/>
    </row>
    <row r="2107" spans="2:2" ht="15.5" x14ac:dyDescent="0.35">
      <c r="B2107" s="171"/>
    </row>
    <row r="2108" spans="2:2" ht="15.5" x14ac:dyDescent="0.35">
      <c r="B2108" s="171"/>
    </row>
    <row r="2109" spans="2:2" ht="15.5" x14ac:dyDescent="0.35">
      <c r="B2109" s="171"/>
    </row>
    <row r="2110" spans="2:2" ht="15.5" x14ac:dyDescent="0.35">
      <c r="B2110" s="171"/>
    </row>
    <row r="2111" spans="2:2" ht="15.5" x14ac:dyDescent="0.35">
      <c r="B2111" s="171"/>
    </row>
    <row r="2112" spans="2:2" ht="15.5" x14ac:dyDescent="0.35">
      <c r="B2112" s="171"/>
    </row>
    <row r="2113" spans="2:2" ht="15.5" x14ac:dyDescent="0.35">
      <c r="B2113" s="171"/>
    </row>
    <row r="2114" spans="2:2" ht="15.5" x14ac:dyDescent="0.35">
      <c r="B2114" s="171"/>
    </row>
    <row r="2115" spans="2:2" ht="15.5" x14ac:dyDescent="0.35">
      <c r="B2115" s="171"/>
    </row>
    <row r="2116" spans="2:2" ht="15.5" x14ac:dyDescent="0.35">
      <c r="B2116" s="171"/>
    </row>
    <row r="2117" spans="2:2" ht="15.5" x14ac:dyDescent="0.35">
      <c r="B2117" s="171"/>
    </row>
    <row r="2118" spans="2:2" ht="15.5" x14ac:dyDescent="0.35">
      <c r="B2118" s="171"/>
    </row>
    <row r="2119" spans="2:2" ht="15.5" x14ac:dyDescent="0.35">
      <c r="B2119" s="171"/>
    </row>
    <row r="2120" spans="2:2" ht="15.5" x14ac:dyDescent="0.35">
      <c r="B2120" s="171"/>
    </row>
    <row r="2121" spans="2:2" ht="15.5" x14ac:dyDescent="0.35">
      <c r="B2121" s="171"/>
    </row>
    <row r="2122" spans="2:2" ht="15.5" x14ac:dyDescent="0.35">
      <c r="B2122" s="171"/>
    </row>
    <row r="2123" spans="2:2" ht="15.5" x14ac:dyDescent="0.35">
      <c r="B2123" s="171"/>
    </row>
    <row r="2124" spans="2:2" ht="15.5" x14ac:dyDescent="0.35">
      <c r="B2124" s="171"/>
    </row>
    <row r="2125" spans="2:2" ht="15.5" x14ac:dyDescent="0.35">
      <c r="B2125" s="171"/>
    </row>
    <row r="2126" spans="2:2" ht="15.5" x14ac:dyDescent="0.35">
      <c r="B2126" s="171"/>
    </row>
    <row r="2127" spans="2:2" ht="15.5" x14ac:dyDescent="0.35">
      <c r="B2127" s="171"/>
    </row>
    <row r="2128" spans="2:2" ht="15.5" x14ac:dyDescent="0.35">
      <c r="B2128" s="171"/>
    </row>
    <row r="2129" spans="2:2" ht="15.5" x14ac:dyDescent="0.35">
      <c r="B2129" s="171"/>
    </row>
    <row r="2130" spans="2:2" ht="15.5" x14ac:dyDescent="0.35">
      <c r="B2130" s="171"/>
    </row>
    <row r="2131" spans="2:2" ht="15.5" x14ac:dyDescent="0.35">
      <c r="B2131" s="171"/>
    </row>
    <row r="2132" spans="2:2" ht="15.5" x14ac:dyDescent="0.35">
      <c r="B2132" s="171"/>
    </row>
    <row r="2133" spans="2:2" ht="15.5" x14ac:dyDescent="0.35">
      <c r="B2133" s="171"/>
    </row>
    <row r="2134" spans="2:2" ht="15.5" x14ac:dyDescent="0.35">
      <c r="B2134" s="171"/>
    </row>
    <row r="2135" spans="2:2" ht="15.5" x14ac:dyDescent="0.35">
      <c r="B2135" s="171"/>
    </row>
    <row r="2136" spans="2:2" ht="15.5" x14ac:dyDescent="0.35">
      <c r="B2136" s="171"/>
    </row>
    <row r="2137" spans="2:2" ht="15.5" x14ac:dyDescent="0.35">
      <c r="B2137" s="171"/>
    </row>
    <row r="2138" spans="2:2" ht="15.5" x14ac:dyDescent="0.35">
      <c r="B2138" s="171"/>
    </row>
    <row r="2139" spans="2:2" ht="15.5" x14ac:dyDescent="0.35">
      <c r="B2139" s="171"/>
    </row>
    <row r="2140" spans="2:2" ht="15.5" x14ac:dyDescent="0.35">
      <c r="B2140" s="171"/>
    </row>
    <row r="2141" spans="2:2" ht="15.5" x14ac:dyDescent="0.35">
      <c r="B2141" s="171"/>
    </row>
    <row r="2142" spans="2:2" ht="15.5" x14ac:dyDescent="0.35">
      <c r="B2142" s="171"/>
    </row>
    <row r="2143" spans="2:2" ht="15.5" x14ac:dyDescent="0.35">
      <c r="B2143" s="171"/>
    </row>
    <row r="2144" spans="2:2" ht="15.5" x14ac:dyDescent="0.35">
      <c r="B2144" s="171"/>
    </row>
    <row r="2145" spans="2:2" ht="15.5" x14ac:dyDescent="0.35">
      <c r="B2145" s="171"/>
    </row>
    <row r="2146" spans="2:2" ht="15.5" x14ac:dyDescent="0.35">
      <c r="B2146" s="171"/>
    </row>
    <row r="2147" spans="2:2" ht="15.5" x14ac:dyDescent="0.35">
      <c r="B2147" s="171"/>
    </row>
    <row r="2148" spans="2:2" ht="15.5" x14ac:dyDescent="0.35">
      <c r="B2148" s="171"/>
    </row>
    <row r="2149" spans="2:2" ht="15.5" x14ac:dyDescent="0.35">
      <c r="B2149" s="171"/>
    </row>
    <row r="2150" spans="2:2" ht="15.5" x14ac:dyDescent="0.35">
      <c r="B2150" s="171"/>
    </row>
    <row r="2151" spans="2:2" ht="15.5" x14ac:dyDescent="0.35">
      <c r="B2151" s="171"/>
    </row>
    <row r="2152" spans="2:2" ht="15.5" x14ac:dyDescent="0.35">
      <c r="B2152" s="171"/>
    </row>
    <row r="2153" spans="2:2" ht="15.5" x14ac:dyDescent="0.35">
      <c r="B2153" s="171"/>
    </row>
    <row r="2154" spans="2:2" ht="15.5" x14ac:dyDescent="0.35">
      <c r="B2154" s="171"/>
    </row>
    <row r="2155" spans="2:2" ht="15.5" x14ac:dyDescent="0.35">
      <c r="B2155" s="171"/>
    </row>
    <row r="2156" spans="2:2" ht="15.5" x14ac:dyDescent="0.35">
      <c r="B2156" s="171"/>
    </row>
    <row r="2157" spans="2:2" ht="15.5" x14ac:dyDescent="0.35">
      <c r="B2157" s="171"/>
    </row>
    <row r="2158" spans="2:2" ht="15.5" x14ac:dyDescent="0.35">
      <c r="B2158" s="171"/>
    </row>
    <row r="2159" spans="2:2" ht="15.5" x14ac:dyDescent="0.35">
      <c r="B2159" s="171"/>
    </row>
    <row r="2160" spans="2:2" ht="15.5" x14ac:dyDescent="0.35">
      <c r="B2160" s="171"/>
    </row>
    <row r="2161" spans="2:2" ht="15.5" x14ac:dyDescent="0.35">
      <c r="B2161" s="171"/>
    </row>
    <row r="2162" spans="2:2" ht="15.5" x14ac:dyDescent="0.35">
      <c r="B2162" s="171"/>
    </row>
    <row r="2163" spans="2:2" ht="15.5" x14ac:dyDescent="0.35">
      <c r="B2163" s="171"/>
    </row>
    <row r="2164" spans="2:2" ht="15.5" x14ac:dyDescent="0.35">
      <c r="B2164" s="171"/>
    </row>
    <row r="2165" spans="2:2" ht="15.5" x14ac:dyDescent="0.35">
      <c r="B2165" s="171"/>
    </row>
    <row r="2166" spans="2:2" ht="15.5" x14ac:dyDescent="0.35">
      <c r="B2166" s="171"/>
    </row>
    <row r="2167" spans="2:2" ht="15.5" x14ac:dyDescent="0.35">
      <c r="B2167" s="171"/>
    </row>
    <row r="2168" spans="2:2" ht="15.5" x14ac:dyDescent="0.35">
      <c r="B2168" s="171"/>
    </row>
    <row r="2169" spans="2:2" ht="15.5" x14ac:dyDescent="0.35">
      <c r="B2169" s="171"/>
    </row>
    <row r="2170" spans="2:2" ht="15.5" x14ac:dyDescent="0.35">
      <c r="B2170" s="171"/>
    </row>
    <row r="2171" spans="2:2" ht="15.5" x14ac:dyDescent="0.35">
      <c r="B2171" s="171"/>
    </row>
    <row r="2172" spans="2:2" ht="15.5" x14ac:dyDescent="0.35">
      <c r="B2172" s="171"/>
    </row>
    <row r="2173" spans="2:2" ht="15.5" x14ac:dyDescent="0.35">
      <c r="B2173" s="171"/>
    </row>
    <row r="2174" spans="2:2" ht="15.5" x14ac:dyDescent="0.35">
      <c r="B2174" s="171"/>
    </row>
    <row r="2175" spans="2:2" ht="15.5" x14ac:dyDescent="0.35">
      <c r="B2175" s="171"/>
    </row>
    <row r="2176" spans="2:2" ht="15.5" x14ac:dyDescent="0.35">
      <c r="B2176" s="171"/>
    </row>
    <row r="2177" spans="2:2" ht="15.5" x14ac:dyDescent="0.35">
      <c r="B2177" s="171"/>
    </row>
    <row r="2178" spans="2:2" ht="15.5" x14ac:dyDescent="0.35">
      <c r="B2178" s="171"/>
    </row>
    <row r="2179" spans="2:2" ht="15.5" x14ac:dyDescent="0.35">
      <c r="B2179" s="171"/>
    </row>
    <row r="2180" spans="2:2" ht="15.5" x14ac:dyDescent="0.35">
      <c r="B2180" s="171"/>
    </row>
    <row r="2181" spans="2:2" ht="15.5" x14ac:dyDescent="0.35">
      <c r="B2181" s="171"/>
    </row>
    <row r="2182" spans="2:2" ht="15.5" x14ac:dyDescent="0.35">
      <c r="B2182" s="171"/>
    </row>
    <row r="2183" spans="2:2" ht="15.5" x14ac:dyDescent="0.35">
      <c r="B2183" s="171"/>
    </row>
    <row r="2184" spans="2:2" ht="15.5" x14ac:dyDescent="0.35">
      <c r="B2184" s="171"/>
    </row>
    <row r="2185" spans="2:2" ht="15.5" x14ac:dyDescent="0.35">
      <c r="B2185" s="171"/>
    </row>
    <row r="2186" spans="2:2" ht="15.5" x14ac:dyDescent="0.35">
      <c r="B2186" s="171"/>
    </row>
    <row r="2187" spans="2:2" ht="15.5" x14ac:dyDescent="0.35">
      <c r="B2187" s="171"/>
    </row>
    <row r="2188" spans="2:2" ht="15.5" x14ac:dyDescent="0.35">
      <c r="B2188" s="171"/>
    </row>
    <row r="2189" spans="2:2" ht="15.5" x14ac:dyDescent="0.35">
      <c r="B2189" s="171"/>
    </row>
    <row r="2190" spans="2:2" ht="15.5" x14ac:dyDescent="0.35">
      <c r="B2190" s="171"/>
    </row>
    <row r="2191" spans="2:2" ht="15.5" x14ac:dyDescent="0.35">
      <c r="B2191" s="171"/>
    </row>
    <row r="2192" spans="2:2" ht="15.5" x14ac:dyDescent="0.35">
      <c r="B2192" s="171"/>
    </row>
    <row r="2193" spans="2:2" ht="15.5" x14ac:dyDescent="0.35">
      <c r="B2193" s="171"/>
    </row>
    <row r="2194" spans="2:2" ht="15.5" x14ac:dyDescent="0.35">
      <c r="B2194" s="171"/>
    </row>
    <row r="2195" spans="2:2" ht="15.5" x14ac:dyDescent="0.35">
      <c r="B2195" s="171"/>
    </row>
    <row r="2196" spans="2:2" ht="15.5" x14ac:dyDescent="0.35">
      <c r="B2196" s="171"/>
    </row>
    <row r="2197" spans="2:2" ht="15.5" x14ac:dyDescent="0.35">
      <c r="B2197" s="171"/>
    </row>
    <row r="2198" spans="2:2" ht="15.5" x14ac:dyDescent="0.35">
      <c r="B2198" s="171"/>
    </row>
    <row r="2199" spans="2:2" ht="15.5" x14ac:dyDescent="0.35">
      <c r="B2199" s="171"/>
    </row>
    <row r="2200" spans="2:2" ht="15.5" x14ac:dyDescent="0.35">
      <c r="B2200" s="171"/>
    </row>
    <row r="2201" spans="2:2" ht="15.5" x14ac:dyDescent="0.35">
      <c r="B2201" s="171"/>
    </row>
    <row r="2202" spans="2:2" ht="15.5" x14ac:dyDescent="0.35">
      <c r="B2202" s="171"/>
    </row>
    <row r="2203" spans="2:2" ht="15.5" x14ac:dyDescent="0.35">
      <c r="B2203" s="171"/>
    </row>
    <row r="2204" spans="2:2" ht="15.5" x14ac:dyDescent="0.35">
      <c r="B2204" s="171"/>
    </row>
    <row r="2205" spans="2:2" ht="15.5" x14ac:dyDescent="0.35">
      <c r="B2205" s="171"/>
    </row>
    <row r="2206" spans="2:2" ht="15.5" x14ac:dyDescent="0.35">
      <c r="B2206" s="171"/>
    </row>
    <row r="2207" spans="2:2" ht="15.5" x14ac:dyDescent="0.35">
      <c r="B2207" s="171"/>
    </row>
    <row r="2208" spans="2:2" ht="15.5" x14ac:dyDescent="0.35">
      <c r="B2208" s="171"/>
    </row>
    <row r="2209" spans="2:2" ht="15.5" x14ac:dyDescent="0.35">
      <c r="B2209" s="171"/>
    </row>
    <row r="2210" spans="2:2" ht="15.5" x14ac:dyDescent="0.35">
      <c r="B2210" s="171"/>
    </row>
    <row r="2211" spans="2:2" ht="15.5" x14ac:dyDescent="0.35">
      <c r="B2211" s="171"/>
    </row>
    <row r="2212" spans="2:2" ht="15.5" x14ac:dyDescent="0.35">
      <c r="B2212" s="171"/>
    </row>
    <row r="2213" spans="2:2" ht="15.5" x14ac:dyDescent="0.35">
      <c r="B2213" s="171"/>
    </row>
    <row r="2214" spans="2:2" ht="15.5" x14ac:dyDescent="0.35">
      <c r="B2214" s="171"/>
    </row>
    <row r="2215" spans="2:2" ht="15.5" x14ac:dyDescent="0.35">
      <c r="B2215" s="171"/>
    </row>
    <row r="2216" spans="2:2" ht="15.5" x14ac:dyDescent="0.35">
      <c r="B2216" s="171"/>
    </row>
    <row r="2217" spans="2:2" ht="15.5" x14ac:dyDescent="0.35">
      <c r="B2217" s="171"/>
    </row>
    <row r="2218" spans="2:2" ht="15.5" x14ac:dyDescent="0.35">
      <c r="B2218" s="171"/>
    </row>
    <row r="2219" spans="2:2" ht="15.5" x14ac:dyDescent="0.35">
      <c r="B2219" s="171"/>
    </row>
    <row r="2220" spans="2:2" ht="15.5" x14ac:dyDescent="0.35">
      <c r="B2220" s="171"/>
    </row>
    <row r="2221" spans="2:2" ht="15.5" x14ac:dyDescent="0.35">
      <c r="B2221" s="171"/>
    </row>
    <row r="2222" spans="2:2" ht="15.5" x14ac:dyDescent="0.35">
      <c r="B2222" s="171"/>
    </row>
    <row r="2223" spans="2:2" ht="15.5" x14ac:dyDescent="0.35">
      <c r="B2223" s="171"/>
    </row>
    <row r="2224" spans="2:2" ht="15.5" x14ac:dyDescent="0.35">
      <c r="B2224" s="171"/>
    </row>
    <row r="2225" spans="2:2" ht="15.5" x14ac:dyDescent="0.35">
      <c r="B2225" s="171"/>
    </row>
    <row r="2226" spans="2:2" ht="15.5" x14ac:dyDescent="0.35">
      <c r="B2226" s="171"/>
    </row>
    <row r="2227" spans="2:2" ht="15.5" x14ac:dyDescent="0.35">
      <c r="B2227" s="171"/>
    </row>
    <row r="2228" spans="2:2" ht="15.5" x14ac:dyDescent="0.35">
      <c r="B2228" s="171"/>
    </row>
    <row r="2229" spans="2:2" ht="15.5" x14ac:dyDescent="0.35">
      <c r="B2229" s="171"/>
    </row>
    <row r="2230" spans="2:2" ht="15.5" x14ac:dyDescent="0.35">
      <c r="B2230" s="171"/>
    </row>
    <row r="2231" spans="2:2" ht="15.5" x14ac:dyDescent="0.35">
      <c r="B2231" s="171"/>
    </row>
    <row r="2232" spans="2:2" ht="15.5" x14ac:dyDescent="0.35">
      <c r="B2232" s="171"/>
    </row>
    <row r="2233" spans="2:2" ht="15.5" x14ac:dyDescent="0.35">
      <c r="B2233" s="171"/>
    </row>
    <row r="2234" spans="2:2" ht="15.5" x14ac:dyDescent="0.35">
      <c r="B2234" s="171"/>
    </row>
    <row r="2235" spans="2:2" ht="15.5" x14ac:dyDescent="0.35">
      <c r="B2235" s="171"/>
    </row>
    <row r="2236" spans="2:2" ht="15.5" x14ac:dyDescent="0.35">
      <c r="B2236" s="171"/>
    </row>
    <row r="2237" spans="2:2" ht="15.5" x14ac:dyDescent="0.35">
      <c r="B2237" s="171"/>
    </row>
    <row r="2238" spans="2:2" ht="15.5" x14ac:dyDescent="0.35">
      <c r="B2238" s="171"/>
    </row>
    <row r="2239" spans="2:2" ht="15.5" x14ac:dyDescent="0.35">
      <c r="B2239" s="171"/>
    </row>
    <row r="2240" spans="2:2" ht="15.5" x14ac:dyDescent="0.35">
      <c r="B2240" s="171"/>
    </row>
    <row r="2241" spans="2:2" ht="15.5" x14ac:dyDescent="0.35">
      <c r="B2241" s="171"/>
    </row>
    <row r="2242" spans="2:2" ht="15.5" x14ac:dyDescent="0.35">
      <c r="B2242" s="171"/>
    </row>
    <row r="2243" spans="2:2" ht="15.5" x14ac:dyDescent="0.35">
      <c r="B2243" s="171"/>
    </row>
    <row r="2244" spans="2:2" ht="15.5" x14ac:dyDescent="0.35">
      <c r="B2244" s="171"/>
    </row>
    <row r="2245" spans="2:2" ht="15.5" x14ac:dyDescent="0.35">
      <c r="B2245" s="171"/>
    </row>
    <row r="2246" spans="2:2" ht="15.5" x14ac:dyDescent="0.35">
      <c r="B2246" s="171"/>
    </row>
    <row r="2247" spans="2:2" ht="15.5" x14ac:dyDescent="0.35">
      <c r="B2247" s="171"/>
    </row>
    <row r="2248" spans="2:2" ht="15.5" x14ac:dyDescent="0.35">
      <c r="B2248" s="171"/>
    </row>
    <row r="2249" spans="2:2" ht="15.5" x14ac:dyDescent="0.35">
      <c r="B2249" s="171"/>
    </row>
    <row r="2250" spans="2:2" ht="15.5" x14ac:dyDescent="0.35">
      <c r="B2250" s="171"/>
    </row>
    <row r="2251" spans="2:2" ht="15.5" x14ac:dyDescent="0.35">
      <c r="B2251" s="171"/>
    </row>
    <row r="2252" spans="2:2" ht="15.5" x14ac:dyDescent="0.35">
      <c r="B2252" s="171"/>
    </row>
    <row r="2253" spans="2:2" ht="15.5" x14ac:dyDescent="0.35">
      <c r="B2253" s="171"/>
    </row>
    <row r="2254" spans="2:2" ht="15.5" x14ac:dyDescent="0.35">
      <c r="B2254" s="171"/>
    </row>
    <row r="2255" spans="2:2" ht="15.5" x14ac:dyDescent="0.35">
      <c r="B2255" s="171"/>
    </row>
    <row r="2256" spans="2:2" ht="15.5" x14ac:dyDescent="0.35">
      <c r="B2256" s="171"/>
    </row>
    <row r="2257" spans="2:2" ht="15.5" x14ac:dyDescent="0.35">
      <c r="B2257" s="171"/>
    </row>
    <row r="2258" spans="2:2" ht="15.5" x14ac:dyDescent="0.35">
      <c r="B2258" s="171"/>
    </row>
    <row r="2259" spans="2:2" ht="15.5" x14ac:dyDescent="0.35">
      <c r="B2259" s="171"/>
    </row>
    <row r="2260" spans="2:2" ht="15.5" x14ac:dyDescent="0.35">
      <c r="B2260" s="171"/>
    </row>
    <row r="2261" spans="2:2" ht="15.5" x14ac:dyDescent="0.35">
      <c r="B2261" s="171"/>
    </row>
    <row r="2262" spans="2:2" ht="15.5" x14ac:dyDescent="0.35">
      <c r="B2262" s="171"/>
    </row>
    <row r="2263" spans="2:2" ht="15.5" x14ac:dyDescent="0.35">
      <c r="B2263" s="171"/>
    </row>
    <row r="2264" spans="2:2" ht="15.5" x14ac:dyDescent="0.35">
      <c r="B2264" s="171"/>
    </row>
    <row r="2265" spans="2:2" ht="15.5" x14ac:dyDescent="0.35">
      <c r="B2265" s="171"/>
    </row>
    <row r="2266" spans="2:2" ht="15.5" x14ac:dyDescent="0.35">
      <c r="B2266" s="171"/>
    </row>
    <row r="2267" spans="2:2" ht="15.5" x14ac:dyDescent="0.35">
      <c r="B2267" s="171"/>
    </row>
    <row r="2268" spans="2:2" ht="15.5" x14ac:dyDescent="0.35">
      <c r="B2268" s="171"/>
    </row>
    <row r="2269" spans="2:2" ht="15.5" x14ac:dyDescent="0.35">
      <c r="B2269" s="171"/>
    </row>
    <row r="2270" spans="2:2" ht="15.5" x14ac:dyDescent="0.35">
      <c r="B2270" s="171"/>
    </row>
    <row r="2271" spans="2:2" ht="15.5" x14ac:dyDescent="0.35">
      <c r="B2271" s="171"/>
    </row>
    <row r="2272" spans="2:2" ht="15.5" x14ac:dyDescent="0.35">
      <c r="B2272" s="171"/>
    </row>
    <row r="2273" spans="2:2" ht="15.5" x14ac:dyDescent="0.35">
      <c r="B2273" s="171"/>
    </row>
    <row r="2274" spans="2:2" ht="15.5" x14ac:dyDescent="0.35">
      <c r="B2274" s="171"/>
    </row>
    <row r="2275" spans="2:2" ht="15.5" x14ac:dyDescent="0.35">
      <c r="B2275" s="171"/>
    </row>
    <row r="2276" spans="2:2" ht="15.5" x14ac:dyDescent="0.35">
      <c r="B2276" s="171"/>
    </row>
    <row r="2277" spans="2:2" ht="15.5" x14ac:dyDescent="0.35">
      <c r="B2277" s="171"/>
    </row>
    <row r="2278" spans="2:2" ht="15.5" x14ac:dyDescent="0.35">
      <c r="B2278" s="171"/>
    </row>
    <row r="2279" spans="2:2" ht="15.5" x14ac:dyDescent="0.35">
      <c r="B2279" s="171"/>
    </row>
    <row r="2280" spans="2:2" ht="15.5" x14ac:dyDescent="0.35">
      <c r="B2280" s="171"/>
    </row>
    <row r="2281" spans="2:2" ht="15.5" x14ac:dyDescent="0.35">
      <c r="B2281" s="171"/>
    </row>
    <row r="2282" spans="2:2" ht="15.5" x14ac:dyDescent="0.35">
      <c r="B2282" s="171"/>
    </row>
    <row r="2283" spans="2:2" ht="15.5" x14ac:dyDescent="0.35">
      <c r="B2283" s="171"/>
    </row>
    <row r="2284" spans="2:2" ht="15.5" x14ac:dyDescent="0.35">
      <c r="B2284" s="171"/>
    </row>
    <row r="2285" spans="2:2" ht="15.5" x14ac:dyDescent="0.35">
      <c r="B2285" s="171"/>
    </row>
    <row r="2286" spans="2:2" ht="15.5" x14ac:dyDescent="0.35">
      <c r="B2286" s="171"/>
    </row>
    <row r="2287" spans="2:2" ht="15.5" x14ac:dyDescent="0.35">
      <c r="B2287" s="171"/>
    </row>
    <row r="2288" spans="2:2" ht="15.5" x14ac:dyDescent="0.35">
      <c r="B2288" s="171"/>
    </row>
    <row r="2289" spans="2:2" ht="15.5" x14ac:dyDescent="0.35">
      <c r="B2289" s="171"/>
    </row>
    <row r="2290" spans="2:2" ht="15.5" x14ac:dyDescent="0.35">
      <c r="B2290" s="171"/>
    </row>
    <row r="2291" spans="2:2" ht="15.5" x14ac:dyDescent="0.35">
      <c r="B2291" s="171"/>
    </row>
    <row r="2292" spans="2:2" ht="15.5" x14ac:dyDescent="0.35">
      <c r="B2292" s="171"/>
    </row>
    <row r="2293" spans="2:2" ht="15.5" x14ac:dyDescent="0.35">
      <c r="B2293" s="171"/>
    </row>
    <row r="2294" spans="2:2" ht="15.5" x14ac:dyDescent="0.35">
      <c r="B2294" s="171"/>
    </row>
    <row r="2295" spans="2:2" ht="15.5" x14ac:dyDescent="0.35">
      <c r="B2295" s="171"/>
    </row>
    <row r="2296" spans="2:2" ht="15.5" x14ac:dyDescent="0.35">
      <c r="B2296" s="171"/>
    </row>
    <row r="2297" spans="2:2" ht="15.5" x14ac:dyDescent="0.35">
      <c r="B2297" s="171"/>
    </row>
    <row r="2298" spans="2:2" ht="15.5" x14ac:dyDescent="0.35">
      <c r="B2298" s="171"/>
    </row>
    <row r="2299" spans="2:2" ht="15.5" x14ac:dyDescent="0.35">
      <c r="B2299" s="171"/>
    </row>
    <row r="2300" spans="2:2" ht="15.5" x14ac:dyDescent="0.35">
      <c r="B2300" s="171"/>
    </row>
    <row r="2301" spans="2:2" ht="15.5" x14ac:dyDescent="0.35">
      <c r="B2301" s="171"/>
    </row>
    <row r="2302" spans="2:2" ht="15.5" x14ac:dyDescent="0.35">
      <c r="B2302" s="171"/>
    </row>
    <row r="2303" spans="2:2" ht="15.5" x14ac:dyDescent="0.35">
      <c r="B2303" s="171"/>
    </row>
    <row r="2304" spans="2:2" ht="15.5" x14ac:dyDescent="0.35">
      <c r="B2304" s="171"/>
    </row>
    <row r="2305" spans="2:2" ht="15.5" x14ac:dyDescent="0.35">
      <c r="B2305" s="171"/>
    </row>
    <row r="2306" spans="2:2" ht="15.5" x14ac:dyDescent="0.35">
      <c r="B2306" s="171"/>
    </row>
    <row r="2307" spans="2:2" ht="15.5" x14ac:dyDescent="0.35">
      <c r="B2307" s="171"/>
    </row>
    <row r="2308" spans="2:2" ht="15.5" x14ac:dyDescent="0.35">
      <c r="B2308" s="171"/>
    </row>
    <row r="2309" spans="2:2" ht="15.5" x14ac:dyDescent="0.35">
      <c r="B2309" s="171"/>
    </row>
    <row r="2310" spans="2:2" ht="15.5" x14ac:dyDescent="0.35">
      <c r="B2310" s="171"/>
    </row>
    <row r="2311" spans="2:2" ht="15.5" x14ac:dyDescent="0.35">
      <c r="B2311" s="171"/>
    </row>
    <row r="2312" spans="2:2" ht="15.5" x14ac:dyDescent="0.35">
      <c r="B2312" s="171"/>
    </row>
    <row r="2313" spans="2:2" ht="15.5" x14ac:dyDescent="0.35">
      <c r="B2313" s="171"/>
    </row>
    <row r="2314" spans="2:2" ht="15.5" x14ac:dyDescent="0.35">
      <c r="B2314" s="171"/>
    </row>
    <row r="2315" spans="2:2" ht="15.5" x14ac:dyDescent="0.35">
      <c r="B2315" s="171"/>
    </row>
    <row r="2316" spans="2:2" ht="15.5" x14ac:dyDescent="0.35">
      <c r="B2316" s="171"/>
    </row>
    <row r="2317" spans="2:2" ht="15.5" x14ac:dyDescent="0.35">
      <c r="B2317" s="171"/>
    </row>
    <row r="2318" spans="2:2" ht="15.5" x14ac:dyDescent="0.35">
      <c r="B2318" s="171"/>
    </row>
    <row r="2319" spans="2:2" ht="15.5" x14ac:dyDescent="0.35">
      <c r="B2319" s="171"/>
    </row>
    <row r="2320" spans="2:2" ht="15.5" x14ac:dyDescent="0.35">
      <c r="B2320" s="171"/>
    </row>
    <row r="2321" spans="2:2" ht="15.5" x14ac:dyDescent="0.35">
      <c r="B2321" s="171"/>
    </row>
    <row r="2322" spans="2:2" ht="15.5" x14ac:dyDescent="0.35">
      <c r="B2322" s="171"/>
    </row>
    <row r="2323" spans="2:2" ht="15.5" x14ac:dyDescent="0.35">
      <c r="B2323" s="171"/>
    </row>
    <row r="2324" spans="2:2" ht="15.5" x14ac:dyDescent="0.35">
      <c r="B2324" s="171"/>
    </row>
    <row r="2325" spans="2:2" ht="15.5" x14ac:dyDescent="0.35">
      <c r="B2325" s="171"/>
    </row>
    <row r="2326" spans="2:2" ht="15.5" x14ac:dyDescent="0.35">
      <c r="B2326" s="171"/>
    </row>
    <row r="2327" spans="2:2" ht="15.5" x14ac:dyDescent="0.35">
      <c r="B2327" s="171"/>
    </row>
    <row r="2328" spans="2:2" ht="15.5" x14ac:dyDescent="0.35">
      <c r="B2328" s="171"/>
    </row>
    <row r="2329" spans="2:2" ht="15.5" x14ac:dyDescent="0.35">
      <c r="B2329" s="171"/>
    </row>
    <row r="2330" spans="2:2" ht="15.5" x14ac:dyDescent="0.35">
      <c r="B2330" s="171"/>
    </row>
    <row r="2331" spans="2:2" ht="15.5" x14ac:dyDescent="0.35">
      <c r="B2331" s="171"/>
    </row>
    <row r="2332" spans="2:2" ht="15.5" x14ac:dyDescent="0.35">
      <c r="B2332" s="171"/>
    </row>
    <row r="2333" spans="2:2" ht="15.5" x14ac:dyDescent="0.35">
      <c r="B2333" s="171"/>
    </row>
    <row r="2334" spans="2:2" ht="15.5" x14ac:dyDescent="0.35">
      <c r="B2334" s="171"/>
    </row>
    <row r="2335" spans="2:2" ht="15.5" x14ac:dyDescent="0.35">
      <c r="B2335" s="171"/>
    </row>
    <row r="2336" spans="2:2" ht="15.5" x14ac:dyDescent="0.35">
      <c r="B2336" s="171"/>
    </row>
    <row r="2337" spans="2:2" ht="15.5" x14ac:dyDescent="0.35">
      <c r="B2337" s="171"/>
    </row>
    <row r="2338" spans="2:2" ht="15.5" x14ac:dyDescent="0.35">
      <c r="B2338" s="171"/>
    </row>
    <row r="2339" spans="2:2" ht="15.5" x14ac:dyDescent="0.35">
      <c r="B2339" s="171"/>
    </row>
    <row r="2340" spans="2:2" ht="15.5" x14ac:dyDescent="0.35">
      <c r="B2340" s="171"/>
    </row>
    <row r="2341" spans="2:2" ht="15.5" x14ac:dyDescent="0.35">
      <c r="B2341" s="171"/>
    </row>
    <row r="2342" spans="2:2" ht="15.5" x14ac:dyDescent="0.35">
      <c r="B2342" s="171"/>
    </row>
    <row r="2343" spans="2:2" ht="15.5" x14ac:dyDescent="0.35">
      <c r="B2343" s="171"/>
    </row>
    <row r="2344" spans="2:2" ht="15.5" x14ac:dyDescent="0.35">
      <c r="B2344" s="171"/>
    </row>
    <row r="2345" spans="2:2" ht="15.5" x14ac:dyDescent="0.35">
      <c r="B2345" s="171"/>
    </row>
    <row r="2346" spans="2:2" ht="15.5" x14ac:dyDescent="0.35">
      <c r="B2346" s="171"/>
    </row>
    <row r="2347" spans="2:2" ht="15.5" x14ac:dyDescent="0.35">
      <c r="B2347" s="171"/>
    </row>
    <row r="2348" spans="2:2" ht="15.5" x14ac:dyDescent="0.35">
      <c r="B2348" s="171"/>
    </row>
    <row r="2349" spans="2:2" ht="15.5" x14ac:dyDescent="0.35">
      <c r="B2349" s="171"/>
    </row>
    <row r="2350" spans="2:2" ht="15.5" x14ac:dyDescent="0.35">
      <c r="B2350" s="171"/>
    </row>
    <row r="2351" spans="2:2" ht="15.5" x14ac:dyDescent="0.35">
      <c r="B2351" s="171"/>
    </row>
    <row r="2352" spans="2:2" ht="15.5" x14ac:dyDescent="0.35">
      <c r="B2352" s="171"/>
    </row>
    <row r="2353" spans="2:2" ht="15.5" x14ac:dyDescent="0.35">
      <c r="B2353" s="171"/>
    </row>
    <row r="2354" spans="2:2" ht="15.5" x14ac:dyDescent="0.35">
      <c r="B2354" s="171"/>
    </row>
    <row r="2355" spans="2:2" ht="15.5" x14ac:dyDescent="0.35">
      <c r="B2355" s="171"/>
    </row>
    <row r="2356" spans="2:2" ht="15.5" x14ac:dyDescent="0.35">
      <c r="B2356" s="171"/>
    </row>
    <row r="2357" spans="2:2" ht="15.5" x14ac:dyDescent="0.35">
      <c r="B2357" s="171"/>
    </row>
    <row r="2358" spans="2:2" ht="15.5" x14ac:dyDescent="0.35">
      <c r="B2358" s="171"/>
    </row>
    <row r="2359" spans="2:2" ht="15.5" x14ac:dyDescent="0.35">
      <c r="B2359" s="171"/>
    </row>
    <row r="2360" spans="2:2" ht="15.5" x14ac:dyDescent="0.35">
      <c r="B2360" s="171"/>
    </row>
    <row r="2361" spans="2:2" ht="15.5" x14ac:dyDescent="0.35">
      <c r="B2361" s="171"/>
    </row>
    <row r="2362" spans="2:2" ht="15.5" x14ac:dyDescent="0.35">
      <c r="B2362" s="171"/>
    </row>
    <row r="2363" spans="2:2" ht="15.5" x14ac:dyDescent="0.35">
      <c r="B2363" s="171"/>
    </row>
    <row r="2364" spans="2:2" ht="15.5" x14ac:dyDescent="0.35">
      <c r="B2364" s="171"/>
    </row>
    <row r="2365" spans="2:2" ht="15.5" x14ac:dyDescent="0.35">
      <c r="B2365" s="171"/>
    </row>
    <row r="2366" spans="2:2" ht="15.5" x14ac:dyDescent="0.35">
      <c r="B2366" s="171"/>
    </row>
    <row r="2367" spans="2:2" ht="15.5" x14ac:dyDescent="0.35">
      <c r="B2367" s="171"/>
    </row>
    <row r="2368" spans="2:2" ht="15.5" x14ac:dyDescent="0.35">
      <c r="B2368" s="171"/>
    </row>
    <row r="2369" spans="2:2" ht="15.5" x14ac:dyDescent="0.35">
      <c r="B2369" s="171"/>
    </row>
    <row r="2370" spans="2:2" ht="15.5" x14ac:dyDescent="0.35">
      <c r="B2370" s="171"/>
    </row>
    <row r="2371" spans="2:2" ht="15.5" x14ac:dyDescent="0.35">
      <c r="B2371" s="171"/>
    </row>
    <row r="2372" spans="2:2" ht="15.5" x14ac:dyDescent="0.35">
      <c r="B2372" s="171"/>
    </row>
    <row r="2373" spans="2:2" ht="15.5" x14ac:dyDescent="0.35">
      <c r="B2373" s="171"/>
    </row>
    <row r="2374" spans="2:2" ht="15.5" x14ac:dyDescent="0.35">
      <c r="B2374" s="171"/>
    </row>
    <row r="2375" spans="2:2" ht="15.5" x14ac:dyDescent="0.35">
      <c r="B2375" s="171"/>
    </row>
    <row r="2376" spans="2:2" ht="15.5" x14ac:dyDescent="0.35">
      <c r="B2376" s="171"/>
    </row>
    <row r="2377" spans="2:2" ht="15.5" x14ac:dyDescent="0.35">
      <c r="B2377" s="171"/>
    </row>
    <row r="2378" spans="2:2" ht="15.5" x14ac:dyDescent="0.35">
      <c r="B2378" s="171"/>
    </row>
    <row r="2379" spans="2:2" ht="15.5" x14ac:dyDescent="0.35">
      <c r="B2379" s="171"/>
    </row>
    <row r="2380" spans="2:2" ht="15.5" x14ac:dyDescent="0.35">
      <c r="B2380" s="171"/>
    </row>
    <row r="2381" spans="2:2" ht="15.5" x14ac:dyDescent="0.35">
      <c r="B2381" s="171"/>
    </row>
    <row r="2382" spans="2:2" ht="15.5" x14ac:dyDescent="0.35">
      <c r="B2382" s="171"/>
    </row>
    <row r="2383" spans="2:2" ht="15.5" x14ac:dyDescent="0.35">
      <c r="B2383" s="171"/>
    </row>
    <row r="2384" spans="2:2" ht="15.5" x14ac:dyDescent="0.35">
      <c r="B2384" s="171"/>
    </row>
    <row r="2385" spans="2:2" ht="15.5" x14ac:dyDescent="0.35">
      <c r="B2385" s="171"/>
    </row>
    <row r="2386" spans="2:2" ht="15.5" x14ac:dyDescent="0.35">
      <c r="B2386" s="171"/>
    </row>
    <row r="2387" spans="2:2" ht="15.5" x14ac:dyDescent="0.35">
      <c r="B2387" s="171"/>
    </row>
    <row r="2388" spans="2:2" ht="15.5" x14ac:dyDescent="0.35">
      <c r="B2388" s="171"/>
    </row>
    <row r="2389" spans="2:2" ht="15.5" x14ac:dyDescent="0.35">
      <c r="B2389" s="171"/>
    </row>
    <row r="2390" spans="2:2" ht="15.5" x14ac:dyDescent="0.35">
      <c r="B2390" s="171"/>
    </row>
    <row r="2391" spans="2:2" ht="15.5" x14ac:dyDescent="0.35">
      <c r="B2391" s="171"/>
    </row>
    <row r="2392" spans="2:2" ht="15.5" x14ac:dyDescent="0.35">
      <c r="B2392" s="171"/>
    </row>
    <row r="2393" spans="2:2" ht="15.5" x14ac:dyDescent="0.35">
      <c r="B2393" s="171"/>
    </row>
    <row r="2394" spans="2:2" ht="15.5" x14ac:dyDescent="0.35">
      <c r="B2394" s="171"/>
    </row>
    <row r="2395" spans="2:2" ht="15.5" x14ac:dyDescent="0.35">
      <c r="B2395" s="171"/>
    </row>
    <row r="2396" spans="2:2" ht="15.5" x14ac:dyDescent="0.35">
      <c r="B2396" s="171"/>
    </row>
    <row r="2397" spans="2:2" ht="15.5" x14ac:dyDescent="0.35">
      <c r="B2397" s="171"/>
    </row>
    <row r="2398" spans="2:2" ht="15.5" x14ac:dyDescent="0.35">
      <c r="B2398" s="171"/>
    </row>
    <row r="2399" spans="2:2" ht="15.5" x14ac:dyDescent="0.35">
      <c r="B2399" s="171"/>
    </row>
    <row r="2400" spans="2:2" ht="15.5" x14ac:dyDescent="0.35">
      <c r="B2400" s="171"/>
    </row>
    <row r="2401" spans="2:2" ht="15.5" x14ac:dyDescent="0.35">
      <c r="B2401" s="171"/>
    </row>
    <row r="2402" spans="2:2" ht="15.5" x14ac:dyDescent="0.35">
      <c r="B2402" s="171"/>
    </row>
    <row r="2403" spans="2:2" ht="15.5" x14ac:dyDescent="0.35">
      <c r="B2403" s="171"/>
    </row>
    <row r="2404" spans="2:2" ht="15.5" x14ac:dyDescent="0.35">
      <c r="B2404" s="171"/>
    </row>
    <row r="2405" spans="2:2" ht="15.5" x14ac:dyDescent="0.35">
      <c r="B2405" s="171"/>
    </row>
    <row r="2406" spans="2:2" ht="15.5" x14ac:dyDescent="0.35">
      <c r="B2406" s="171"/>
    </row>
    <row r="2407" spans="2:2" ht="15.5" x14ac:dyDescent="0.35">
      <c r="B2407" s="171"/>
    </row>
    <row r="2408" spans="2:2" ht="15.5" x14ac:dyDescent="0.35">
      <c r="B2408" s="171"/>
    </row>
    <row r="2409" spans="2:2" ht="15.5" x14ac:dyDescent="0.35">
      <c r="B2409" s="171"/>
    </row>
    <row r="2410" spans="2:2" ht="15.5" x14ac:dyDescent="0.35">
      <c r="B2410" s="171"/>
    </row>
    <row r="2411" spans="2:2" ht="15.5" x14ac:dyDescent="0.35">
      <c r="B2411" s="171"/>
    </row>
    <row r="2412" spans="2:2" ht="15.5" x14ac:dyDescent="0.35">
      <c r="B2412" s="171"/>
    </row>
    <row r="2413" spans="2:2" ht="15.5" x14ac:dyDescent="0.35">
      <c r="B2413" s="171"/>
    </row>
    <row r="2414" spans="2:2" ht="15.5" x14ac:dyDescent="0.35">
      <c r="B2414" s="171"/>
    </row>
    <row r="2415" spans="2:2" ht="15.5" x14ac:dyDescent="0.35">
      <c r="B2415" s="171"/>
    </row>
    <row r="2416" spans="2:2" ht="15.5" x14ac:dyDescent="0.35">
      <c r="B2416" s="171"/>
    </row>
    <row r="2417" spans="2:2" ht="15.5" x14ac:dyDescent="0.35">
      <c r="B2417" s="171"/>
    </row>
    <row r="2418" spans="2:2" ht="15.5" x14ac:dyDescent="0.35">
      <c r="B2418" s="171"/>
    </row>
    <row r="2419" spans="2:2" ht="15.5" x14ac:dyDescent="0.35">
      <c r="B2419" s="171"/>
    </row>
    <row r="2420" spans="2:2" ht="15.5" x14ac:dyDescent="0.35">
      <c r="B2420" s="171"/>
    </row>
    <row r="2421" spans="2:2" ht="15.5" x14ac:dyDescent="0.35">
      <c r="B2421" s="171"/>
    </row>
    <row r="2422" spans="2:2" ht="15.5" x14ac:dyDescent="0.35">
      <c r="B2422" s="171"/>
    </row>
    <row r="2423" spans="2:2" ht="15.5" x14ac:dyDescent="0.35">
      <c r="B2423" s="171"/>
    </row>
    <row r="2424" spans="2:2" ht="15.5" x14ac:dyDescent="0.35">
      <c r="B2424" s="171"/>
    </row>
    <row r="2425" spans="2:2" ht="15.5" x14ac:dyDescent="0.35">
      <c r="B2425" s="171"/>
    </row>
    <row r="2426" spans="2:2" ht="15.5" x14ac:dyDescent="0.35">
      <c r="B2426" s="171"/>
    </row>
    <row r="2427" spans="2:2" ht="15.5" x14ac:dyDescent="0.35">
      <c r="B2427" s="171"/>
    </row>
    <row r="2428" spans="2:2" ht="15.5" x14ac:dyDescent="0.35">
      <c r="B2428" s="171"/>
    </row>
    <row r="2429" spans="2:2" ht="15.5" x14ac:dyDescent="0.35">
      <c r="B2429" s="171"/>
    </row>
    <row r="2430" spans="2:2" ht="15.5" x14ac:dyDescent="0.35">
      <c r="B2430" s="171"/>
    </row>
    <row r="2431" spans="2:2" ht="15.5" x14ac:dyDescent="0.35">
      <c r="B2431" s="171"/>
    </row>
    <row r="2432" spans="2:2" ht="15.5" x14ac:dyDescent="0.35">
      <c r="B2432" s="171"/>
    </row>
    <row r="2433" spans="2:2" ht="15.5" x14ac:dyDescent="0.35">
      <c r="B2433" s="171"/>
    </row>
    <row r="2434" spans="2:2" ht="15.5" x14ac:dyDescent="0.35">
      <c r="B2434" s="171"/>
    </row>
    <row r="2435" spans="2:2" ht="15.5" x14ac:dyDescent="0.35">
      <c r="B2435" s="171"/>
    </row>
    <row r="2436" spans="2:2" ht="15.5" x14ac:dyDescent="0.35">
      <c r="B2436" s="171"/>
    </row>
    <row r="2437" spans="2:2" ht="15.5" x14ac:dyDescent="0.35">
      <c r="B2437" s="171"/>
    </row>
    <row r="2438" spans="2:2" ht="15.5" x14ac:dyDescent="0.35">
      <c r="B2438" s="171"/>
    </row>
    <row r="2439" spans="2:2" ht="15.5" x14ac:dyDescent="0.35">
      <c r="B2439" s="171"/>
    </row>
    <row r="2440" spans="2:2" ht="15.5" x14ac:dyDescent="0.35">
      <c r="B2440" s="171"/>
    </row>
    <row r="2441" spans="2:2" ht="15.5" x14ac:dyDescent="0.35">
      <c r="B2441" s="171"/>
    </row>
    <row r="2442" spans="2:2" ht="15.5" x14ac:dyDescent="0.35">
      <c r="B2442" s="171"/>
    </row>
    <row r="2443" spans="2:2" ht="15.5" x14ac:dyDescent="0.35">
      <c r="B2443" s="171"/>
    </row>
    <row r="2444" spans="2:2" ht="15.5" x14ac:dyDescent="0.35">
      <c r="B2444" s="171"/>
    </row>
    <row r="2445" spans="2:2" ht="15.5" x14ac:dyDescent="0.35">
      <c r="B2445" s="171"/>
    </row>
    <row r="2446" spans="2:2" ht="15.5" x14ac:dyDescent="0.35">
      <c r="B2446" s="171"/>
    </row>
    <row r="2447" spans="2:2" ht="15.5" x14ac:dyDescent="0.35">
      <c r="B2447" s="171"/>
    </row>
    <row r="2448" spans="2:2" ht="15.5" x14ac:dyDescent="0.35">
      <c r="B2448" s="171"/>
    </row>
    <row r="2449" spans="2:2" ht="15.5" x14ac:dyDescent="0.35">
      <c r="B2449" s="171"/>
    </row>
    <row r="2450" spans="2:2" ht="15.5" x14ac:dyDescent="0.35">
      <c r="B2450" s="171"/>
    </row>
    <row r="2451" spans="2:2" ht="15.5" x14ac:dyDescent="0.35">
      <c r="B2451" s="171"/>
    </row>
    <row r="2452" spans="2:2" ht="15.5" x14ac:dyDescent="0.35">
      <c r="B2452" s="171"/>
    </row>
    <row r="2453" spans="2:2" ht="15.5" x14ac:dyDescent="0.35">
      <c r="B2453" s="171"/>
    </row>
    <row r="2454" spans="2:2" ht="15.5" x14ac:dyDescent="0.35">
      <c r="B2454" s="171"/>
    </row>
    <row r="2455" spans="2:2" ht="15.5" x14ac:dyDescent="0.35">
      <c r="B2455" s="171"/>
    </row>
    <row r="2456" spans="2:2" ht="15.5" x14ac:dyDescent="0.35">
      <c r="B2456" s="171"/>
    </row>
    <row r="2457" spans="2:2" ht="15.5" x14ac:dyDescent="0.35">
      <c r="B2457" s="171"/>
    </row>
    <row r="2458" spans="2:2" ht="15.5" x14ac:dyDescent="0.35">
      <c r="B2458" s="171"/>
    </row>
    <row r="2459" spans="2:2" ht="15.5" x14ac:dyDescent="0.35">
      <c r="B2459" s="171"/>
    </row>
    <row r="2460" spans="2:2" ht="15.5" x14ac:dyDescent="0.35">
      <c r="B2460" s="171"/>
    </row>
    <row r="2461" spans="2:2" ht="15.5" x14ac:dyDescent="0.35">
      <c r="B2461" s="171"/>
    </row>
    <row r="2462" spans="2:2" ht="15.5" x14ac:dyDescent="0.35">
      <c r="B2462" s="171"/>
    </row>
    <row r="2463" spans="2:2" ht="15.5" x14ac:dyDescent="0.35">
      <c r="B2463" s="171"/>
    </row>
    <row r="2464" spans="2:2" ht="15.5" x14ac:dyDescent="0.35">
      <c r="B2464" s="171"/>
    </row>
    <row r="2465" spans="2:2" ht="15.5" x14ac:dyDescent="0.35">
      <c r="B2465" s="171"/>
    </row>
    <row r="2466" spans="2:2" ht="15.5" x14ac:dyDescent="0.35">
      <c r="B2466" s="171"/>
    </row>
    <row r="2467" spans="2:2" ht="15.5" x14ac:dyDescent="0.35">
      <c r="B2467" s="171"/>
    </row>
    <row r="2468" spans="2:2" ht="15.5" x14ac:dyDescent="0.35">
      <c r="B2468" s="171"/>
    </row>
    <row r="2469" spans="2:2" ht="15.5" x14ac:dyDescent="0.35">
      <c r="B2469" s="171"/>
    </row>
    <row r="2470" spans="2:2" ht="15.5" x14ac:dyDescent="0.35">
      <c r="B2470" s="171"/>
    </row>
    <row r="2471" spans="2:2" ht="15.5" x14ac:dyDescent="0.35">
      <c r="B2471" s="171"/>
    </row>
    <row r="2472" spans="2:2" ht="15.5" x14ac:dyDescent="0.35">
      <c r="B2472" s="171"/>
    </row>
    <row r="2473" spans="2:2" ht="15.5" x14ac:dyDescent="0.35">
      <c r="B2473" s="171"/>
    </row>
    <row r="2474" spans="2:2" ht="15.5" x14ac:dyDescent="0.35">
      <c r="B2474" s="171"/>
    </row>
    <row r="2475" spans="2:2" ht="15.5" x14ac:dyDescent="0.35">
      <c r="B2475" s="171"/>
    </row>
    <row r="2476" spans="2:2" ht="15.5" x14ac:dyDescent="0.35">
      <c r="B2476" s="171"/>
    </row>
    <row r="2477" spans="2:2" ht="15.5" x14ac:dyDescent="0.35">
      <c r="B2477" s="171"/>
    </row>
    <row r="2478" spans="2:2" ht="15.5" x14ac:dyDescent="0.35">
      <c r="B2478" s="171"/>
    </row>
    <row r="2479" spans="2:2" ht="15.5" x14ac:dyDescent="0.35">
      <c r="B2479" s="171"/>
    </row>
    <row r="2480" spans="2:2" ht="15.5" x14ac:dyDescent="0.35">
      <c r="B2480" s="171"/>
    </row>
    <row r="2481" spans="2:2" ht="15.5" x14ac:dyDescent="0.35">
      <c r="B2481" s="171"/>
    </row>
    <row r="2482" spans="2:2" ht="15.5" x14ac:dyDescent="0.35">
      <c r="B2482" s="171"/>
    </row>
    <row r="2483" spans="2:2" ht="15.5" x14ac:dyDescent="0.35">
      <c r="B2483" s="171"/>
    </row>
    <row r="2484" spans="2:2" ht="15.5" x14ac:dyDescent="0.35">
      <c r="B2484" s="171"/>
    </row>
    <row r="2485" spans="2:2" ht="15.5" x14ac:dyDescent="0.35">
      <c r="B2485" s="171"/>
    </row>
    <row r="2486" spans="2:2" ht="15.5" x14ac:dyDescent="0.35">
      <c r="B2486" s="171"/>
    </row>
    <row r="2487" spans="2:2" ht="15.5" x14ac:dyDescent="0.35">
      <c r="B2487" s="171"/>
    </row>
    <row r="2488" spans="2:2" ht="15.5" x14ac:dyDescent="0.35">
      <c r="B2488" s="171"/>
    </row>
    <row r="2489" spans="2:2" ht="15.5" x14ac:dyDescent="0.35">
      <c r="B2489" s="171"/>
    </row>
    <row r="2490" spans="2:2" ht="15.5" x14ac:dyDescent="0.35">
      <c r="B2490" s="171"/>
    </row>
    <row r="2491" spans="2:2" ht="15.5" x14ac:dyDescent="0.35">
      <c r="B2491" s="171"/>
    </row>
    <row r="2492" spans="2:2" ht="15.5" x14ac:dyDescent="0.35">
      <c r="B2492" s="171"/>
    </row>
    <row r="2493" spans="2:2" ht="15.5" x14ac:dyDescent="0.35">
      <c r="B2493" s="171"/>
    </row>
    <row r="2494" spans="2:2" ht="15.5" x14ac:dyDescent="0.35">
      <c r="B2494" s="171"/>
    </row>
    <row r="2495" spans="2:2" ht="15.5" x14ac:dyDescent="0.35">
      <c r="B2495" s="171"/>
    </row>
    <row r="2496" spans="2:2" ht="15.5" x14ac:dyDescent="0.35">
      <c r="B2496" s="171"/>
    </row>
    <row r="2497" spans="2:2" ht="15.5" x14ac:dyDescent="0.35">
      <c r="B2497" s="171"/>
    </row>
    <row r="2498" spans="2:2" ht="15.5" x14ac:dyDescent="0.35">
      <c r="B2498" s="171"/>
    </row>
    <row r="2499" spans="2:2" ht="15.5" x14ac:dyDescent="0.35">
      <c r="B2499" s="171"/>
    </row>
    <row r="2500" spans="2:2" ht="15.5" x14ac:dyDescent="0.35">
      <c r="B2500" s="171"/>
    </row>
    <row r="2501" spans="2:2" ht="15.5" x14ac:dyDescent="0.35">
      <c r="B2501" s="171"/>
    </row>
    <row r="2502" spans="2:2" ht="15.5" x14ac:dyDescent="0.35">
      <c r="B2502" s="171"/>
    </row>
    <row r="2503" spans="2:2" ht="15.5" x14ac:dyDescent="0.35">
      <c r="B2503" s="171"/>
    </row>
    <row r="2504" spans="2:2" ht="15.5" x14ac:dyDescent="0.35">
      <c r="B2504" s="171"/>
    </row>
    <row r="2505" spans="2:2" ht="15.5" x14ac:dyDescent="0.35">
      <c r="B2505" s="171"/>
    </row>
    <row r="2506" spans="2:2" ht="15.5" x14ac:dyDescent="0.35">
      <c r="B2506" s="171"/>
    </row>
    <row r="2507" spans="2:2" ht="15.5" x14ac:dyDescent="0.35">
      <c r="B2507" s="171"/>
    </row>
    <row r="2508" spans="2:2" ht="15.5" x14ac:dyDescent="0.35">
      <c r="B2508" s="171"/>
    </row>
    <row r="2509" spans="2:2" ht="15.5" x14ac:dyDescent="0.35">
      <c r="B2509" s="171"/>
    </row>
    <row r="2510" spans="2:2" ht="15.5" x14ac:dyDescent="0.35">
      <c r="B2510" s="171"/>
    </row>
    <row r="2511" spans="2:2" ht="15.5" x14ac:dyDescent="0.35">
      <c r="B2511" s="171"/>
    </row>
    <row r="2512" spans="2:2" ht="15.5" x14ac:dyDescent="0.35">
      <c r="B2512" s="171"/>
    </row>
    <row r="2513" spans="2:2" ht="15.5" x14ac:dyDescent="0.35">
      <c r="B2513" s="171"/>
    </row>
    <row r="2514" spans="2:2" ht="15.5" x14ac:dyDescent="0.35">
      <c r="B2514" s="171"/>
    </row>
    <row r="2515" spans="2:2" ht="15.5" x14ac:dyDescent="0.35">
      <c r="B2515" s="171"/>
    </row>
    <row r="2516" spans="2:2" ht="15.5" x14ac:dyDescent="0.35">
      <c r="B2516" s="171"/>
    </row>
    <row r="2517" spans="2:2" ht="15.5" x14ac:dyDescent="0.35">
      <c r="B2517" s="171"/>
    </row>
    <row r="2518" spans="2:2" ht="15.5" x14ac:dyDescent="0.35">
      <c r="B2518" s="171"/>
    </row>
    <row r="2519" spans="2:2" ht="15.5" x14ac:dyDescent="0.35">
      <c r="B2519" s="171"/>
    </row>
    <row r="2520" spans="2:2" ht="15.5" x14ac:dyDescent="0.35">
      <c r="B2520" s="171"/>
    </row>
    <row r="2521" spans="2:2" ht="15.5" x14ac:dyDescent="0.35">
      <c r="B2521" s="171"/>
    </row>
    <row r="2522" spans="2:2" ht="15.5" x14ac:dyDescent="0.35">
      <c r="B2522" s="171"/>
    </row>
    <row r="2523" spans="2:2" ht="15.5" x14ac:dyDescent="0.35">
      <c r="B2523" s="171"/>
    </row>
    <row r="2524" spans="2:2" ht="15.5" x14ac:dyDescent="0.35">
      <c r="B2524" s="171"/>
    </row>
    <row r="2525" spans="2:2" ht="15.5" x14ac:dyDescent="0.35">
      <c r="B2525" s="171"/>
    </row>
    <row r="2526" spans="2:2" ht="15.5" x14ac:dyDescent="0.35">
      <c r="B2526" s="171"/>
    </row>
    <row r="2527" spans="2:2" ht="15.5" x14ac:dyDescent="0.35">
      <c r="B2527" s="171"/>
    </row>
    <row r="2528" spans="2:2" ht="15.5" x14ac:dyDescent="0.35">
      <c r="B2528" s="171"/>
    </row>
    <row r="2529" spans="2:2" ht="15.5" x14ac:dyDescent="0.35">
      <c r="B2529" s="171"/>
    </row>
    <row r="2530" spans="2:2" ht="15.5" x14ac:dyDescent="0.35">
      <c r="B2530" s="171"/>
    </row>
    <row r="2531" spans="2:2" ht="15.5" x14ac:dyDescent="0.35">
      <c r="B2531" s="171"/>
    </row>
    <row r="2532" spans="2:2" ht="15.5" x14ac:dyDescent="0.35">
      <c r="B2532" s="171"/>
    </row>
    <row r="2533" spans="2:2" ht="15.5" x14ac:dyDescent="0.35">
      <c r="B2533" s="171"/>
    </row>
    <row r="2534" spans="2:2" ht="15.5" x14ac:dyDescent="0.35">
      <c r="B2534" s="171"/>
    </row>
    <row r="2535" spans="2:2" ht="15.5" x14ac:dyDescent="0.35">
      <c r="B2535" s="171"/>
    </row>
    <row r="2536" spans="2:2" ht="15.5" x14ac:dyDescent="0.35">
      <c r="B2536" s="171"/>
    </row>
    <row r="2537" spans="2:2" ht="15.5" x14ac:dyDescent="0.35">
      <c r="B2537" s="171"/>
    </row>
    <row r="2538" spans="2:2" ht="15.5" x14ac:dyDescent="0.35">
      <c r="B2538" s="171"/>
    </row>
    <row r="2539" spans="2:2" ht="15.5" x14ac:dyDescent="0.35">
      <c r="B2539" s="171"/>
    </row>
    <row r="2540" spans="2:2" ht="15.5" x14ac:dyDescent="0.35">
      <c r="B2540" s="171"/>
    </row>
    <row r="2541" spans="2:2" ht="15.5" x14ac:dyDescent="0.35">
      <c r="B2541" s="171"/>
    </row>
    <row r="2542" spans="2:2" ht="15.5" x14ac:dyDescent="0.35">
      <c r="B2542" s="171"/>
    </row>
    <row r="2543" spans="2:2" ht="15.5" x14ac:dyDescent="0.35">
      <c r="B2543" s="171"/>
    </row>
    <row r="2544" spans="2:2" ht="15.5" x14ac:dyDescent="0.35">
      <c r="B2544" s="171"/>
    </row>
    <row r="2545" spans="2:2" ht="15.5" x14ac:dyDescent="0.35">
      <c r="B2545" s="171"/>
    </row>
    <row r="2546" spans="2:2" ht="15.5" x14ac:dyDescent="0.35">
      <c r="B2546" s="171"/>
    </row>
    <row r="2547" spans="2:2" ht="15.5" x14ac:dyDescent="0.35">
      <c r="B2547" s="171"/>
    </row>
    <row r="2548" spans="2:2" ht="15.5" x14ac:dyDescent="0.35">
      <c r="B2548" s="171"/>
    </row>
    <row r="2549" spans="2:2" ht="15.5" x14ac:dyDescent="0.35">
      <c r="B2549" s="171"/>
    </row>
    <row r="2550" spans="2:2" ht="15.5" x14ac:dyDescent="0.35">
      <c r="B2550" s="171"/>
    </row>
    <row r="2551" spans="2:2" ht="15.5" x14ac:dyDescent="0.35">
      <c r="B2551" s="171"/>
    </row>
    <row r="2552" spans="2:2" ht="15.5" x14ac:dyDescent="0.35">
      <c r="B2552" s="171"/>
    </row>
    <row r="2553" spans="2:2" ht="15.5" x14ac:dyDescent="0.35">
      <c r="B2553" s="171"/>
    </row>
    <row r="2554" spans="2:2" ht="15.5" x14ac:dyDescent="0.35">
      <c r="B2554" s="171"/>
    </row>
    <row r="2555" spans="2:2" ht="15.5" x14ac:dyDescent="0.35">
      <c r="B2555" s="171"/>
    </row>
    <row r="2556" spans="2:2" ht="15.5" x14ac:dyDescent="0.35">
      <c r="B2556" s="171"/>
    </row>
    <row r="2557" spans="2:2" ht="15.5" x14ac:dyDescent="0.35">
      <c r="B2557" s="171"/>
    </row>
    <row r="2558" spans="2:2" ht="15.5" x14ac:dyDescent="0.35">
      <c r="B2558" s="171"/>
    </row>
    <row r="2559" spans="2:2" ht="15.5" x14ac:dyDescent="0.35">
      <c r="B2559" s="171"/>
    </row>
    <row r="2560" spans="2:2" ht="15.5" x14ac:dyDescent="0.35">
      <c r="B2560" s="171"/>
    </row>
    <row r="2561" spans="2:2" ht="15.5" x14ac:dyDescent="0.35">
      <c r="B2561" s="171"/>
    </row>
    <row r="2562" spans="2:2" ht="15.5" x14ac:dyDescent="0.35">
      <c r="B2562" s="171"/>
    </row>
    <row r="2563" spans="2:2" ht="15.5" x14ac:dyDescent="0.35">
      <c r="B2563" s="171"/>
    </row>
    <row r="2564" spans="2:2" ht="15.5" x14ac:dyDescent="0.35">
      <c r="B2564" s="171"/>
    </row>
    <row r="2565" spans="2:2" ht="15.5" x14ac:dyDescent="0.35">
      <c r="B2565" s="171"/>
    </row>
    <row r="2566" spans="2:2" ht="15.5" x14ac:dyDescent="0.35">
      <c r="B2566" s="171"/>
    </row>
    <row r="2567" spans="2:2" ht="15.5" x14ac:dyDescent="0.35">
      <c r="B2567" s="171"/>
    </row>
    <row r="2568" spans="2:2" ht="15.5" x14ac:dyDescent="0.35">
      <c r="B2568" s="171"/>
    </row>
    <row r="2569" spans="2:2" ht="15.5" x14ac:dyDescent="0.35">
      <c r="B2569" s="171"/>
    </row>
    <row r="2570" spans="2:2" ht="15.5" x14ac:dyDescent="0.35">
      <c r="B2570" s="171"/>
    </row>
    <row r="2571" spans="2:2" ht="15.5" x14ac:dyDescent="0.35">
      <c r="B2571" s="171"/>
    </row>
    <row r="2572" spans="2:2" ht="15.5" x14ac:dyDescent="0.35">
      <c r="B2572" s="171"/>
    </row>
    <row r="2573" spans="2:2" ht="15.5" x14ac:dyDescent="0.35">
      <c r="B2573" s="171"/>
    </row>
    <row r="2574" spans="2:2" ht="15.5" x14ac:dyDescent="0.35">
      <c r="B2574" s="171"/>
    </row>
    <row r="2575" spans="2:2" ht="15.5" x14ac:dyDescent="0.35">
      <c r="B2575" s="171"/>
    </row>
    <row r="2576" spans="2:2" ht="15.5" x14ac:dyDescent="0.35">
      <c r="B2576" s="171"/>
    </row>
    <row r="2577" spans="2:2" ht="15.5" x14ac:dyDescent="0.35">
      <c r="B2577" s="171"/>
    </row>
    <row r="2578" spans="2:2" ht="15.5" x14ac:dyDescent="0.35">
      <c r="B2578" s="171"/>
    </row>
    <row r="2579" spans="2:2" ht="15.5" x14ac:dyDescent="0.35">
      <c r="B2579" s="171"/>
    </row>
    <row r="2580" spans="2:2" ht="15.5" x14ac:dyDescent="0.35">
      <c r="B2580" s="171"/>
    </row>
    <row r="2581" spans="2:2" ht="15.5" x14ac:dyDescent="0.35">
      <c r="B2581" s="171"/>
    </row>
    <row r="2582" spans="2:2" ht="15.5" x14ac:dyDescent="0.35">
      <c r="B2582" s="171"/>
    </row>
    <row r="2583" spans="2:2" ht="15.5" x14ac:dyDescent="0.35">
      <c r="B2583" s="171"/>
    </row>
    <row r="2584" spans="2:2" ht="15.5" x14ac:dyDescent="0.35">
      <c r="B2584" s="171"/>
    </row>
    <row r="2585" spans="2:2" ht="15.5" x14ac:dyDescent="0.35">
      <c r="B2585" s="171"/>
    </row>
    <row r="2586" spans="2:2" ht="15.5" x14ac:dyDescent="0.35">
      <c r="B2586" s="171"/>
    </row>
    <row r="2587" spans="2:2" ht="15.5" x14ac:dyDescent="0.35">
      <c r="B2587" s="171"/>
    </row>
    <row r="2588" spans="2:2" ht="15.5" x14ac:dyDescent="0.35">
      <c r="B2588" s="171"/>
    </row>
    <row r="2589" spans="2:2" ht="15.5" x14ac:dyDescent="0.35">
      <c r="B2589" s="171"/>
    </row>
    <row r="2590" spans="2:2" ht="15.5" x14ac:dyDescent="0.35">
      <c r="B2590" s="171"/>
    </row>
    <row r="2591" spans="2:2" ht="15.5" x14ac:dyDescent="0.35">
      <c r="B2591" s="171"/>
    </row>
    <row r="2592" spans="2:2" ht="15.5" x14ac:dyDescent="0.35">
      <c r="B2592" s="171"/>
    </row>
    <row r="2593" spans="2:2" ht="15.5" x14ac:dyDescent="0.35">
      <c r="B2593" s="171"/>
    </row>
    <row r="2594" spans="2:2" ht="15.5" x14ac:dyDescent="0.35">
      <c r="B2594" s="171"/>
    </row>
    <row r="2595" spans="2:2" ht="15.5" x14ac:dyDescent="0.35">
      <c r="B2595" s="171"/>
    </row>
    <row r="2596" spans="2:2" ht="15.5" x14ac:dyDescent="0.35">
      <c r="B2596" s="171"/>
    </row>
    <row r="2597" spans="2:2" ht="15.5" x14ac:dyDescent="0.35">
      <c r="B2597" s="171"/>
    </row>
    <row r="2598" spans="2:2" ht="15.5" x14ac:dyDescent="0.35">
      <c r="B2598" s="171"/>
    </row>
    <row r="2599" spans="2:2" ht="15.5" x14ac:dyDescent="0.35">
      <c r="B2599" s="171"/>
    </row>
    <row r="2600" spans="2:2" ht="15.5" x14ac:dyDescent="0.35">
      <c r="B2600" s="171"/>
    </row>
    <row r="2601" spans="2:2" ht="15.5" x14ac:dyDescent="0.35">
      <c r="B2601" s="171"/>
    </row>
    <row r="2602" spans="2:2" ht="15.5" x14ac:dyDescent="0.35">
      <c r="B2602" s="171"/>
    </row>
    <row r="2603" spans="2:2" ht="15.5" x14ac:dyDescent="0.35">
      <c r="B2603" s="171"/>
    </row>
    <row r="2604" spans="2:2" ht="15.5" x14ac:dyDescent="0.35">
      <c r="B2604" s="171"/>
    </row>
    <row r="2605" spans="2:2" ht="15.5" x14ac:dyDescent="0.35">
      <c r="B2605" s="171"/>
    </row>
    <row r="2606" spans="2:2" ht="15.5" x14ac:dyDescent="0.35">
      <c r="B2606" s="171"/>
    </row>
    <row r="2607" spans="2:2" ht="15.5" x14ac:dyDescent="0.35">
      <c r="B2607" s="171"/>
    </row>
    <row r="2608" spans="2:2" ht="15.5" x14ac:dyDescent="0.35">
      <c r="B2608" s="171"/>
    </row>
    <row r="2609" spans="2:2" ht="15.5" x14ac:dyDescent="0.35">
      <c r="B2609" s="171"/>
    </row>
    <row r="2610" spans="2:2" ht="15.5" x14ac:dyDescent="0.35">
      <c r="B2610" s="171"/>
    </row>
    <row r="2611" spans="2:2" ht="15.5" x14ac:dyDescent="0.35">
      <c r="B2611" s="171"/>
    </row>
    <row r="2612" spans="2:2" ht="15.5" x14ac:dyDescent="0.35">
      <c r="B2612" s="171"/>
    </row>
    <row r="2613" spans="2:2" ht="15.5" x14ac:dyDescent="0.35">
      <c r="B2613" s="171"/>
    </row>
    <row r="2614" spans="2:2" ht="15.5" x14ac:dyDescent="0.35">
      <c r="B2614" s="171"/>
    </row>
    <row r="2615" spans="2:2" ht="15.5" x14ac:dyDescent="0.35">
      <c r="B2615" s="171"/>
    </row>
    <row r="2616" spans="2:2" ht="15.5" x14ac:dyDescent="0.35">
      <c r="B2616" s="171"/>
    </row>
    <row r="2617" spans="2:2" ht="15.5" x14ac:dyDescent="0.35">
      <c r="B2617" s="171"/>
    </row>
    <row r="2618" spans="2:2" ht="15.5" x14ac:dyDescent="0.35">
      <c r="B2618" s="171"/>
    </row>
    <row r="2619" spans="2:2" ht="15.5" x14ac:dyDescent="0.35">
      <c r="B2619" s="171"/>
    </row>
    <row r="2620" spans="2:2" ht="15.5" x14ac:dyDescent="0.35">
      <c r="B2620" s="171"/>
    </row>
    <row r="2621" spans="2:2" ht="15.5" x14ac:dyDescent="0.35">
      <c r="B2621" s="171"/>
    </row>
    <row r="2622" spans="2:2" ht="15.5" x14ac:dyDescent="0.35">
      <c r="B2622" s="171"/>
    </row>
    <row r="2623" spans="2:2" ht="15.5" x14ac:dyDescent="0.35">
      <c r="B2623" s="171"/>
    </row>
    <row r="2624" spans="2:2" ht="15.5" x14ac:dyDescent="0.35">
      <c r="B2624" s="171"/>
    </row>
    <row r="2625" spans="2:2" ht="15.5" x14ac:dyDescent="0.35">
      <c r="B2625" s="171"/>
    </row>
    <row r="2626" spans="2:2" ht="15.5" x14ac:dyDescent="0.35">
      <c r="B2626" s="171"/>
    </row>
    <row r="2627" spans="2:2" ht="15.5" x14ac:dyDescent="0.35">
      <c r="B2627" s="171"/>
    </row>
    <row r="2628" spans="2:2" ht="15.5" x14ac:dyDescent="0.35">
      <c r="B2628" s="171"/>
    </row>
    <row r="2629" spans="2:2" ht="15.5" x14ac:dyDescent="0.35">
      <c r="B2629" s="171"/>
    </row>
    <row r="2630" spans="2:2" ht="15.5" x14ac:dyDescent="0.35">
      <c r="B2630" s="171"/>
    </row>
    <row r="2631" spans="2:2" ht="15.5" x14ac:dyDescent="0.35">
      <c r="B2631" s="171"/>
    </row>
    <row r="2632" spans="2:2" ht="15.5" x14ac:dyDescent="0.35">
      <c r="B2632" s="171"/>
    </row>
    <row r="2633" spans="2:2" ht="15.5" x14ac:dyDescent="0.35">
      <c r="B2633" s="171"/>
    </row>
    <row r="2634" spans="2:2" ht="15.5" x14ac:dyDescent="0.35">
      <c r="B2634" s="171"/>
    </row>
    <row r="2635" spans="2:2" ht="15.5" x14ac:dyDescent="0.35">
      <c r="B2635" s="171"/>
    </row>
    <row r="2636" spans="2:2" ht="15.5" x14ac:dyDescent="0.35">
      <c r="B2636" s="171"/>
    </row>
    <row r="2637" spans="2:2" ht="15.5" x14ac:dyDescent="0.35">
      <c r="B2637" s="171"/>
    </row>
    <row r="2638" spans="2:2" ht="15.5" x14ac:dyDescent="0.35">
      <c r="B2638" s="171"/>
    </row>
    <row r="2639" spans="2:2" ht="15.5" x14ac:dyDescent="0.35">
      <c r="B2639" s="171"/>
    </row>
    <row r="2640" spans="2:2" ht="15.5" x14ac:dyDescent="0.35">
      <c r="B2640" s="171"/>
    </row>
    <row r="2641" spans="2:2" ht="15.5" x14ac:dyDescent="0.35">
      <c r="B2641" s="171"/>
    </row>
    <row r="2642" spans="2:2" ht="15.5" x14ac:dyDescent="0.35">
      <c r="B2642" s="171"/>
    </row>
    <row r="2643" spans="2:2" ht="15.5" x14ac:dyDescent="0.35">
      <c r="B2643" s="171"/>
    </row>
    <row r="2644" spans="2:2" ht="15.5" x14ac:dyDescent="0.35">
      <c r="B2644" s="171"/>
    </row>
    <row r="2645" spans="2:2" ht="15.5" x14ac:dyDescent="0.35">
      <c r="B2645" s="171"/>
    </row>
    <row r="2646" spans="2:2" ht="15.5" x14ac:dyDescent="0.35">
      <c r="B2646" s="171"/>
    </row>
    <row r="2647" spans="2:2" ht="15.5" x14ac:dyDescent="0.35">
      <c r="B2647" s="171"/>
    </row>
    <row r="2648" spans="2:2" ht="15.5" x14ac:dyDescent="0.35">
      <c r="B2648" s="171"/>
    </row>
    <row r="2649" spans="2:2" ht="15.5" x14ac:dyDescent="0.35">
      <c r="B2649" s="171"/>
    </row>
    <row r="2650" spans="2:2" ht="15.5" x14ac:dyDescent="0.35">
      <c r="B2650" s="171"/>
    </row>
    <row r="2651" spans="2:2" ht="15.5" x14ac:dyDescent="0.35">
      <c r="B2651" s="171"/>
    </row>
    <row r="2652" spans="2:2" ht="15.5" x14ac:dyDescent="0.35">
      <c r="B2652" s="171"/>
    </row>
    <row r="2653" spans="2:2" ht="15.5" x14ac:dyDescent="0.35">
      <c r="B2653" s="171"/>
    </row>
    <row r="2654" spans="2:2" ht="15.5" x14ac:dyDescent="0.35">
      <c r="B2654" s="171"/>
    </row>
    <row r="2655" spans="2:2" ht="15.5" x14ac:dyDescent="0.35">
      <c r="B2655" s="171"/>
    </row>
    <row r="2656" spans="2:2" ht="15.5" x14ac:dyDescent="0.35">
      <c r="B2656" s="171"/>
    </row>
    <row r="2657" spans="2:2" ht="15.5" x14ac:dyDescent="0.35">
      <c r="B2657" s="171"/>
    </row>
    <row r="2658" spans="2:2" ht="15.5" x14ac:dyDescent="0.35">
      <c r="B2658" s="171"/>
    </row>
    <row r="2659" spans="2:2" ht="15.5" x14ac:dyDescent="0.35">
      <c r="B2659" s="171"/>
    </row>
    <row r="2660" spans="2:2" ht="15.5" x14ac:dyDescent="0.35">
      <c r="B2660" s="171"/>
    </row>
    <row r="2661" spans="2:2" ht="15.5" x14ac:dyDescent="0.35">
      <c r="B2661" s="171"/>
    </row>
    <row r="2662" spans="2:2" ht="15.5" x14ac:dyDescent="0.35">
      <c r="B2662" s="171"/>
    </row>
    <row r="2663" spans="2:2" ht="15.5" x14ac:dyDescent="0.35">
      <c r="B2663" s="171"/>
    </row>
    <row r="2664" spans="2:2" ht="15.5" x14ac:dyDescent="0.35">
      <c r="B2664" s="171"/>
    </row>
    <row r="2665" spans="2:2" ht="15.5" x14ac:dyDescent="0.35">
      <c r="B2665" s="171"/>
    </row>
    <row r="2666" spans="2:2" ht="15.5" x14ac:dyDescent="0.35">
      <c r="B2666" s="171"/>
    </row>
    <row r="2667" spans="2:2" ht="15.5" x14ac:dyDescent="0.35">
      <c r="B2667" s="171"/>
    </row>
    <row r="2668" spans="2:2" ht="15.5" x14ac:dyDescent="0.35">
      <c r="B2668" s="171"/>
    </row>
    <row r="2669" spans="2:2" ht="15.5" x14ac:dyDescent="0.35">
      <c r="B2669" s="171"/>
    </row>
    <row r="2670" spans="2:2" ht="15.5" x14ac:dyDescent="0.35">
      <c r="B2670" s="171"/>
    </row>
    <row r="2671" spans="2:2" ht="15.5" x14ac:dyDescent="0.35">
      <c r="B2671" s="171"/>
    </row>
    <row r="2672" spans="2:2" ht="15.5" x14ac:dyDescent="0.35">
      <c r="B2672" s="171"/>
    </row>
    <row r="2673" spans="2:2" ht="15.5" x14ac:dyDescent="0.35">
      <c r="B2673" s="171"/>
    </row>
    <row r="2674" spans="2:2" ht="15.5" x14ac:dyDescent="0.35">
      <c r="B2674" s="171"/>
    </row>
    <row r="2675" spans="2:2" ht="15.5" x14ac:dyDescent="0.35">
      <c r="B2675" s="171"/>
    </row>
    <row r="2676" spans="2:2" ht="15.5" x14ac:dyDescent="0.35">
      <c r="B2676" s="171"/>
    </row>
    <row r="2677" spans="2:2" ht="15.5" x14ac:dyDescent="0.35">
      <c r="B2677" s="171"/>
    </row>
    <row r="2678" spans="2:2" ht="15.5" x14ac:dyDescent="0.35">
      <c r="B2678" s="171"/>
    </row>
    <row r="2679" spans="2:2" ht="15.5" x14ac:dyDescent="0.35">
      <c r="B2679" s="171"/>
    </row>
    <row r="2680" spans="2:2" ht="15.5" x14ac:dyDescent="0.35">
      <c r="B2680" s="171"/>
    </row>
    <row r="2681" spans="2:2" ht="15.5" x14ac:dyDescent="0.35">
      <c r="B2681" s="171"/>
    </row>
    <row r="2682" spans="2:2" ht="15.5" x14ac:dyDescent="0.35">
      <c r="B2682" s="171"/>
    </row>
    <row r="2683" spans="2:2" ht="15.5" x14ac:dyDescent="0.35">
      <c r="B2683" s="171"/>
    </row>
    <row r="2684" spans="2:2" ht="15.5" x14ac:dyDescent="0.35">
      <c r="B2684" s="171"/>
    </row>
    <row r="2685" spans="2:2" ht="15.5" x14ac:dyDescent="0.35">
      <c r="B2685" s="171"/>
    </row>
    <row r="2686" spans="2:2" ht="15.5" x14ac:dyDescent="0.35">
      <c r="B2686" s="171"/>
    </row>
    <row r="2687" spans="2:2" ht="15.5" x14ac:dyDescent="0.35">
      <c r="B2687" s="171"/>
    </row>
    <row r="2688" spans="2:2" ht="15.5" x14ac:dyDescent="0.35">
      <c r="B2688" s="171"/>
    </row>
    <row r="2689" spans="2:2" ht="15.5" x14ac:dyDescent="0.35">
      <c r="B2689" s="171"/>
    </row>
    <row r="2690" spans="2:2" ht="15.5" x14ac:dyDescent="0.35">
      <c r="B2690" s="171"/>
    </row>
    <row r="2691" spans="2:2" ht="15.5" x14ac:dyDescent="0.35">
      <c r="B2691" s="171"/>
    </row>
    <row r="2692" spans="2:2" ht="15.5" x14ac:dyDescent="0.35">
      <c r="B2692" s="171"/>
    </row>
    <row r="2693" spans="2:2" ht="15.5" x14ac:dyDescent="0.35">
      <c r="B2693" s="171"/>
    </row>
    <row r="2694" spans="2:2" ht="15.5" x14ac:dyDescent="0.35">
      <c r="B2694" s="171"/>
    </row>
    <row r="2695" spans="2:2" ht="15.5" x14ac:dyDescent="0.35">
      <c r="B2695" s="171"/>
    </row>
    <row r="2696" spans="2:2" ht="15.5" x14ac:dyDescent="0.35">
      <c r="B2696" s="171"/>
    </row>
    <row r="2697" spans="2:2" ht="15.5" x14ac:dyDescent="0.35">
      <c r="B2697" s="171"/>
    </row>
    <row r="2698" spans="2:2" ht="15.5" x14ac:dyDescent="0.35">
      <c r="B2698" s="171"/>
    </row>
    <row r="2699" spans="2:2" ht="15.5" x14ac:dyDescent="0.35">
      <c r="B2699" s="171"/>
    </row>
    <row r="2700" spans="2:2" ht="15.5" x14ac:dyDescent="0.35">
      <c r="B2700" s="171"/>
    </row>
    <row r="2701" spans="2:2" ht="15.5" x14ac:dyDescent="0.35">
      <c r="B2701" s="171"/>
    </row>
    <row r="2702" spans="2:2" ht="15.5" x14ac:dyDescent="0.35">
      <c r="B2702" s="171"/>
    </row>
    <row r="2703" spans="2:2" ht="15.5" x14ac:dyDescent="0.35">
      <c r="B2703" s="171"/>
    </row>
    <row r="2704" spans="2:2" ht="15.5" x14ac:dyDescent="0.35">
      <c r="B2704" s="171"/>
    </row>
    <row r="2705" spans="2:2" ht="15.5" x14ac:dyDescent="0.35">
      <c r="B2705" s="171"/>
    </row>
    <row r="2706" spans="2:2" ht="15.5" x14ac:dyDescent="0.35">
      <c r="B2706" s="171"/>
    </row>
    <row r="2707" spans="2:2" ht="15.5" x14ac:dyDescent="0.35">
      <c r="B2707" s="171"/>
    </row>
    <row r="2708" spans="2:2" ht="15.5" x14ac:dyDescent="0.35">
      <c r="B2708" s="171"/>
    </row>
    <row r="2709" spans="2:2" ht="15.5" x14ac:dyDescent="0.35">
      <c r="B2709" s="171"/>
    </row>
    <row r="2710" spans="2:2" ht="15.5" x14ac:dyDescent="0.35">
      <c r="B2710" s="171"/>
    </row>
    <row r="2711" spans="2:2" ht="15.5" x14ac:dyDescent="0.35">
      <c r="B2711" s="171"/>
    </row>
    <row r="2712" spans="2:2" ht="15.5" x14ac:dyDescent="0.35">
      <c r="B2712" s="171"/>
    </row>
    <row r="2713" spans="2:2" ht="15.5" x14ac:dyDescent="0.35">
      <c r="B2713" s="171"/>
    </row>
    <row r="2714" spans="2:2" ht="15.5" x14ac:dyDescent="0.35">
      <c r="B2714" s="171"/>
    </row>
    <row r="2715" spans="2:2" ht="15.5" x14ac:dyDescent="0.35">
      <c r="B2715" s="171"/>
    </row>
    <row r="2716" spans="2:2" ht="15.5" x14ac:dyDescent="0.35">
      <c r="B2716" s="171"/>
    </row>
    <row r="2717" spans="2:2" ht="15.5" x14ac:dyDescent="0.35">
      <c r="B2717" s="171"/>
    </row>
    <row r="2718" spans="2:2" ht="15.5" x14ac:dyDescent="0.35">
      <c r="B2718" s="171"/>
    </row>
    <row r="2719" spans="2:2" ht="15.5" x14ac:dyDescent="0.35">
      <c r="B2719" s="171"/>
    </row>
    <row r="2720" spans="2:2" ht="15.5" x14ac:dyDescent="0.35">
      <c r="B2720" s="171"/>
    </row>
    <row r="2721" spans="2:2" ht="15.5" x14ac:dyDescent="0.35">
      <c r="B2721" s="171"/>
    </row>
    <row r="2722" spans="2:2" ht="15.5" x14ac:dyDescent="0.35">
      <c r="B2722" s="171"/>
    </row>
    <row r="2723" spans="2:2" ht="15.5" x14ac:dyDescent="0.35">
      <c r="B2723" s="171"/>
    </row>
    <row r="2724" spans="2:2" ht="15.5" x14ac:dyDescent="0.35">
      <c r="B2724" s="171"/>
    </row>
    <row r="2725" spans="2:2" ht="15.5" x14ac:dyDescent="0.35">
      <c r="B2725" s="171"/>
    </row>
    <row r="2726" spans="2:2" ht="15.5" x14ac:dyDescent="0.35">
      <c r="B2726" s="171"/>
    </row>
    <row r="2727" spans="2:2" ht="15.5" x14ac:dyDescent="0.35">
      <c r="B2727" s="171"/>
    </row>
    <row r="2728" spans="2:2" ht="15.5" x14ac:dyDescent="0.35">
      <c r="B2728" s="171"/>
    </row>
    <row r="2729" spans="2:2" ht="15.5" x14ac:dyDescent="0.35">
      <c r="B2729" s="171"/>
    </row>
    <row r="2730" spans="2:2" ht="15.5" x14ac:dyDescent="0.35">
      <c r="B2730" s="171"/>
    </row>
    <row r="2731" spans="2:2" ht="15.5" x14ac:dyDescent="0.35">
      <c r="B2731" s="171"/>
    </row>
    <row r="2732" spans="2:2" ht="15.5" x14ac:dyDescent="0.35">
      <c r="B2732" s="171"/>
    </row>
    <row r="2733" spans="2:2" ht="15.5" x14ac:dyDescent="0.35">
      <c r="B2733" s="171"/>
    </row>
    <row r="2734" spans="2:2" ht="15.5" x14ac:dyDescent="0.35">
      <c r="B2734" s="171"/>
    </row>
    <row r="2735" spans="2:2" ht="15.5" x14ac:dyDescent="0.35">
      <c r="B2735" s="171"/>
    </row>
    <row r="2736" spans="2:2" ht="15.5" x14ac:dyDescent="0.35">
      <c r="B2736" s="171"/>
    </row>
    <row r="2737" spans="2:2" ht="15.5" x14ac:dyDescent="0.35">
      <c r="B2737" s="171"/>
    </row>
    <row r="2738" spans="2:2" ht="15.5" x14ac:dyDescent="0.35">
      <c r="B2738" s="171"/>
    </row>
    <row r="2739" spans="2:2" ht="15.5" x14ac:dyDescent="0.35">
      <c r="B2739" s="171"/>
    </row>
    <row r="2740" spans="2:2" ht="15.5" x14ac:dyDescent="0.35">
      <c r="B2740" s="171"/>
    </row>
    <row r="2741" spans="2:2" ht="15.5" x14ac:dyDescent="0.35">
      <c r="B2741" s="171"/>
    </row>
    <row r="2742" spans="2:2" ht="15.5" x14ac:dyDescent="0.35">
      <c r="B2742" s="171"/>
    </row>
    <row r="2743" spans="2:2" ht="15.5" x14ac:dyDescent="0.35">
      <c r="B2743" s="171"/>
    </row>
    <row r="2744" spans="2:2" ht="15.5" x14ac:dyDescent="0.35">
      <c r="B2744" s="171"/>
    </row>
    <row r="2745" spans="2:2" ht="15.5" x14ac:dyDescent="0.35">
      <c r="B2745" s="171"/>
    </row>
    <row r="2746" spans="2:2" ht="15.5" x14ac:dyDescent="0.35">
      <c r="B2746" s="171"/>
    </row>
    <row r="2747" spans="2:2" ht="15.5" x14ac:dyDescent="0.35">
      <c r="B2747" s="171"/>
    </row>
    <row r="2748" spans="2:2" ht="15.5" x14ac:dyDescent="0.35">
      <c r="B2748" s="171"/>
    </row>
    <row r="2749" spans="2:2" ht="15.5" x14ac:dyDescent="0.35">
      <c r="B2749" s="171"/>
    </row>
    <row r="2750" spans="2:2" ht="15.5" x14ac:dyDescent="0.35">
      <c r="B2750" s="171"/>
    </row>
    <row r="2751" spans="2:2" ht="15.5" x14ac:dyDescent="0.35">
      <c r="B2751" s="171"/>
    </row>
    <row r="2752" spans="2:2" ht="15.5" x14ac:dyDescent="0.35">
      <c r="B2752" s="171"/>
    </row>
    <row r="2753" spans="2:2" ht="15.5" x14ac:dyDescent="0.35">
      <c r="B2753" s="171"/>
    </row>
    <row r="2754" spans="2:2" ht="15.5" x14ac:dyDescent="0.35">
      <c r="B2754" s="171"/>
    </row>
    <row r="2755" spans="2:2" ht="15.5" x14ac:dyDescent="0.35">
      <c r="B2755" s="171"/>
    </row>
    <row r="2756" spans="2:2" ht="15.5" x14ac:dyDescent="0.35">
      <c r="B2756" s="171"/>
    </row>
    <row r="2757" spans="2:2" ht="15.5" x14ac:dyDescent="0.35">
      <c r="B2757" s="171"/>
    </row>
    <row r="2758" spans="2:2" ht="15.5" x14ac:dyDescent="0.35">
      <c r="B2758" s="171"/>
    </row>
    <row r="2759" spans="2:2" ht="15.5" x14ac:dyDescent="0.35">
      <c r="B2759" s="171"/>
    </row>
    <row r="2760" spans="2:2" ht="15.5" x14ac:dyDescent="0.35">
      <c r="B2760" s="171"/>
    </row>
    <row r="2761" spans="2:2" ht="15.5" x14ac:dyDescent="0.35">
      <c r="B2761" s="171"/>
    </row>
    <row r="2762" spans="2:2" ht="15.5" x14ac:dyDescent="0.35">
      <c r="B2762" s="171"/>
    </row>
    <row r="2763" spans="2:2" ht="15.5" x14ac:dyDescent="0.35">
      <c r="B2763" s="171"/>
    </row>
    <row r="2764" spans="2:2" ht="15.5" x14ac:dyDescent="0.35">
      <c r="B2764" s="171"/>
    </row>
    <row r="2765" spans="2:2" ht="15.5" x14ac:dyDescent="0.35">
      <c r="B2765" s="171"/>
    </row>
    <row r="2766" spans="2:2" ht="15.5" x14ac:dyDescent="0.35">
      <c r="B2766" s="171"/>
    </row>
    <row r="2767" spans="2:2" ht="15.5" x14ac:dyDescent="0.35">
      <c r="B2767" s="171"/>
    </row>
    <row r="2768" spans="2:2" ht="15.5" x14ac:dyDescent="0.35">
      <c r="B2768" s="171"/>
    </row>
    <row r="2769" spans="2:2" ht="15.5" x14ac:dyDescent="0.35">
      <c r="B2769" s="171"/>
    </row>
    <row r="2770" spans="2:2" ht="15.5" x14ac:dyDescent="0.35">
      <c r="B2770" s="171"/>
    </row>
    <row r="2771" spans="2:2" ht="15.5" x14ac:dyDescent="0.35">
      <c r="B2771" s="171"/>
    </row>
    <row r="2772" spans="2:2" ht="15.5" x14ac:dyDescent="0.35">
      <c r="B2772" s="171"/>
    </row>
    <row r="2773" spans="2:2" ht="15.5" x14ac:dyDescent="0.35">
      <c r="B2773" s="171"/>
    </row>
    <row r="2774" spans="2:2" ht="15.5" x14ac:dyDescent="0.35">
      <c r="B2774" s="171"/>
    </row>
    <row r="2775" spans="2:2" ht="15.5" x14ac:dyDescent="0.35">
      <c r="B2775" s="171"/>
    </row>
    <row r="2776" spans="2:2" ht="15.5" x14ac:dyDescent="0.35">
      <c r="B2776" s="171"/>
    </row>
    <row r="2777" spans="2:2" ht="15.5" x14ac:dyDescent="0.35">
      <c r="B2777" s="171"/>
    </row>
    <row r="2778" spans="2:2" ht="15.5" x14ac:dyDescent="0.35">
      <c r="B2778" s="171"/>
    </row>
    <row r="2779" spans="2:2" ht="15.5" x14ac:dyDescent="0.35">
      <c r="B2779" s="171"/>
    </row>
    <row r="2780" spans="2:2" ht="15.5" x14ac:dyDescent="0.35">
      <c r="B2780" s="171"/>
    </row>
    <row r="2781" spans="2:2" ht="15.5" x14ac:dyDescent="0.35">
      <c r="B2781" s="171"/>
    </row>
    <row r="2782" spans="2:2" ht="15.5" x14ac:dyDescent="0.35">
      <c r="B2782" s="171"/>
    </row>
    <row r="2783" spans="2:2" ht="15.5" x14ac:dyDescent="0.35">
      <c r="B2783" s="171"/>
    </row>
    <row r="2784" spans="2:2" ht="15.5" x14ac:dyDescent="0.35">
      <c r="B2784" s="171"/>
    </row>
    <row r="2785" spans="2:2" ht="15.5" x14ac:dyDescent="0.35">
      <c r="B2785" s="171"/>
    </row>
    <row r="2786" spans="2:2" ht="15.5" x14ac:dyDescent="0.35">
      <c r="B2786" s="171"/>
    </row>
    <row r="2787" spans="2:2" ht="15.5" x14ac:dyDescent="0.35">
      <c r="B2787" s="171"/>
    </row>
    <row r="2788" spans="2:2" ht="15.5" x14ac:dyDescent="0.35">
      <c r="B2788" s="171"/>
    </row>
    <row r="2789" spans="2:2" ht="15.5" x14ac:dyDescent="0.35">
      <c r="B2789" s="171"/>
    </row>
    <row r="2790" spans="2:2" ht="15.5" x14ac:dyDescent="0.35">
      <c r="B2790" s="171"/>
    </row>
    <row r="2791" spans="2:2" ht="15.5" x14ac:dyDescent="0.35">
      <c r="B2791" s="171"/>
    </row>
    <row r="2792" spans="2:2" ht="15.5" x14ac:dyDescent="0.35">
      <c r="B2792" s="171"/>
    </row>
    <row r="2793" spans="2:2" ht="15.5" x14ac:dyDescent="0.35">
      <c r="B2793" s="171"/>
    </row>
    <row r="2794" spans="2:2" ht="15.5" x14ac:dyDescent="0.35">
      <c r="B2794" s="171"/>
    </row>
    <row r="2795" spans="2:2" ht="15.5" x14ac:dyDescent="0.35">
      <c r="B2795" s="171"/>
    </row>
    <row r="2796" spans="2:2" ht="15.5" x14ac:dyDescent="0.35">
      <c r="B2796" s="171"/>
    </row>
    <row r="2797" spans="2:2" ht="15.5" x14ac:dyDescent="0.35">
      <c r="B2797" s="171"/>
    </row>
    <row r="2798" spans="2:2" ht="15.5" x14ac:dyDescent="0.35">
      <c r="B2798" s="171"/>
    </row>
    <row r="2799" spans="2:2" ht="15.5" x14ac:dyDescent="0.35">
      <c r="B2799" s="171"/>
    </row>
    <row r="2800" spans="2:2" ht="15.5" x14ac:dyDescent="0.35">
      <c r="B2800" s="171"/>
    </row>
    <row r="2801" spans="2:2" ht="15.5" x14ac:dyDescent="0.35">
      <c r="B2801" s="171"/>
    </row>
    <row r="2802" spans="2:2" ht="15.5" x14ac:dyDescent="0.35">
      <c r="B2802" s="171"/>
    </row>
    <row r="2803" spans="2:2" ht="15.5" x14ac:dyDescent="0.35">
      <c r="B2803" s="171"/>
    </row>
    <row r="2804" spans="2:2" ht="15.5" x14ac:dyDescent="0.35">
      <c r="B2804" s="171"/>
    </row>
    <row r="2805" spans="2:2" ht="15.5" x14ac:dyDescent="0.35">
      <c r="B2805" s="171"/>
    </row>
    <row r="2806" spans="2:2" ht="15.5" x14ac:dyDescent="0.35">
      <c r="B2806" s="171"/>
    </row>
    <row r="2807" spans="2:2" ht="15.5" x14ac:dyDescent="0.35">
      <c r="B2807" s="171"/>
    </row>
    <row r="2808" spans="2:2" ht="15.5" x14ac:dyDescent="0.35">
      <c r="B2808" s="171"/>
    </row>
    <row r="2809" spans="2:2" ht="15.5" x14ac:dyDescent="0.35">
      <c r="B2809" s="171"/>
    </row>
    <row r="2810" spans="2:2" ht="15.5" x14ac:dyDescent="0.35">
      <c r="B2810" s="171"/>
    </row>
    <row r="2811" spans="2:2" ht="15.5" x14ac:dyDescent="0.35">
      <c r="B2811" s="171"/>
    </row>
    <row r="2812" spans="2:2" ht="15.5" x14ac:dyDescent="0.35">
      <c r="B2812" s="171"/>
    </row>
    <row r="2813" spans="2:2" ht="15.5" x14ac:dyDescent="0.35">
      <c r="B2813" s="171"/>
    </row>
    <row r="2814" spans="2:2" ht="15.5" x14ac:dyDescent="0.35">
      <c r="B2814" s="171"/>
    </row>
    <row r="2815" spans="2:2" ht="15.5" x14ac:dyDescent="0.35">
      <c r="B2815" s="171"/>
    </row>
    <row r="2816" spans="2:2" ht="15.5" x14ac:dyDescent="0.35">
      <c r="B2816" s="171"/>
    </row>
    <row r="2817" spans="2:2" ht="15.5" x14ac:dyDescent="0.35">
      <c r="B2817" s="171"/>
    </row>
    <row r="2818" spans="2:2" ht="15.5" x14ac:dyDescent="0.35">
      <c r="B2818" s="171"/>
    </row>
    <row r="2819" spans="2:2" ht="15.5" x14ac:dyDescent="0.35">
      <c r="B2819" s="171"/>
    </row>
    <row r="2820" spans="2:2" ht="15.5" x14ac:dyDescent="0.35">
      <c r="B2820" s="171"/>
    </row>
    <row r="2821" spans="2:2" ht="15.5" x14ac:dyDescent="0.35">
      <c r="B2821" s="171"/>
    </row>
    <row r="2822" spans="2:2" ht="15.5" x14ac:dyDescent="0.35">
      <c r="B2822" s="171"/>
    </row>
    <row r="2823" spans="2:2" ht="15.5" x14ac:dyDescent="0.35">
      <c r="B2823" s="171"/>
    </row>
    <row r="2824" spans="2:2" ht="15.5" x14ac:dyDescent="0.35">
      <c r="B2824" s="171"/>
    </row>
    <row r="2825" spans="2:2" ht="15.5" x14ac:dyDescent="0.35">
      <c r="B2825" s="171"/>
    </row>
    <row r="2826" spans="2:2" ht="15.5" x14ac:dyDescent="0.35">
      <c r="B2826" s="171"/>
    </row>
    <row r="2827" spans="2:2" ht="15.5" x14ac:dyDescent="0.35">
      <c r="B2827" s="171"/>
    </row>
    <row r="2828" spans="2:2" ht="15.5" x14ac:dyDescent="0.35">
      <c r="B2828" s="171"/>
    </row>
    <row r="2829" spans="2:2" ht="15.5" x14ac:dyDescent="0.35">
      <c r="B2829" s="171"/>
    </row>
    <row r="2830" spans="2:2" ht="15.5" x14ac:dyDescent="0.35">
      <c r="B2830" s="171"/>
    </row>
    <row r="2831" spans="2:2" ht="15.5" x14ac:dyDescent="0.35">
      <c r="B2831" s="171"/>
    </row>
    <row r="2832" spans="2:2" ht="15.5" x14ac:dyDescent="0.35">
      <c r="B2832" s="171"/>
    </row>
    <row r="2833" spans="2:2" ht="15.5" x14ac:dyDescent="0.35">
      <c r="B2833" s="171"/>
    </row>
    <row r="2834" spans="2:2" ht="15.5" x14ac:dyDescent="0.35">
      <c r="B2834" s="171"/>
    </row>
    <row r="2835" spans="2:2" ht="15.5" x14ac:dyDescent="0.35">
      <c r="B2835" s="171"/>
    </row>
    <row r="2836" spans="2:2" ht="15.5" x14ac:dyDescent="0.35">
      <c r="B2836" s="171"/>
    </row>
    <row r="2837" spans="2:2" ht="15.5" x14ac:dyDescent="0.35">
      <c r="B2837" s="171"/>
    </row>
    <row r="2838" spans="2:2" ht="15.5" x14ac:dyDescent="0.35">
      <c r="B2838" s="171"/>
    </row>
    <row r="2839" spans="2:2" ht="15.5" x14ac:dyDescent="0.35">
      <c r="B2839" s="171"/>
    </row>
    <row r="2840" spans="2:2" ht="15.5" x14ac:dyDescent="0.35">
      <c r="B2840" s="171"/>
    </row>
    <row r="2841" spans="2:2" ht="15.5" x14ac:dyDescent="0.35">
      <c r="B2841" s="171"/>
    </row>
    <row r="2842" spans="2:2" ht="15.5" x14ac:dyDescent="0.35">
      <c r="B2842" s="171"/>
    </row>
    <row r="2843" spans="2:2" ht="15.5" x14ac:dyDescent="0.35">
      <c r="B2843" s="171"/>
    </row>
    <row r="2844" spans="2:2" ht="15.5" x14ac:dyDescent="0.35">
      <c r="B2844" s="171"/>
    </row>
    <row r="2845" spans="2:2" ht="15.5" x14ac:dyDescent="0.35">
      <c r="B2845" s="171"/>
    </row>
    <row r="2846" spans="2:2" ht="15.5" x14ac:dyDescent="0.35">
      <c r="B2846" s="171"/>
    </row>
    <row r="2847" spans="2:2" ht="15.5" x14ac:dyDescent="0.35">
      <c r="B2847" s="171"/>
    </row>
    <row r="2848" spans="2:2" ht="15.5" x14ac:dyDescent="0.35">
      <c r="B2848" s="171"/>
    </row>
    <row r="2849" spans="2:2" ht="15.5" x14ac:dyDescent="0.35">
      <c r="B2849" s="171"/>
    </row>
    <row r="2850" spans="2:2" ht="15.5" x14ac:dyDescent="0.35">
      <c r="B2850" s="171"/>
    </row>
    <row r="2851" spans="2:2" ht="15.5" x14ac:dyDescent="0.35">
      <c r="B2851" s="171"/>
    </row>
    <row r="2852" spans="2:2" ht="15.5" x14ac:dyDescent="0.35">
      <c r="B2852" s="171"/>
    </row>
    <row r="2853" spans="2:2" ht="15.5" x14ac:dyDescent="0.35">
      <c r="B2853" s="171"/>
    </row>
    <row r="2854" spans="2:2" ht="15.5" x14ac:dyDescent="0.35">
      <c r="B2854" s="171"/>
    </row>
    <row r="2855" spans="2:2" ht="15.5" x14ac:dyDescent="0.35">
      <c r="B2855" s="171"/>
    </row>
    <row r="2856" spans="2:2" ht="15.5" x14ac:dyDescent="0.35">
      <c r="B2856" s="171"/>
    </row>
    <row r="2857" spans="2:2" ht="15.5" x14ac:dyDescent="0.35">
      <c r="B2857" s="171"/>
    </row>
    <row r="2858" spans="2:2" ht="15.5" x14ac:dyDescent="0.35">
      <c r="B2858" s="171"/>
    </row>
    <row r="2859" spans="2:2" ht="15.5" x14ac:dyDescent="0.35">
      <c r="B2859" s="171"/>
    </row>
    <row r="2860" spans="2:2" ht="15.5" x14ac:dyDescent="0.35">
      <c r="B2860" s="171"/>
    </row>
    <row r="2861" spans="2:2" ht="15.5" x14ac:dyDescent="0.35">
      <c r="B2861" s="171"/>
    </row>
    <row r="2862" spans="2:2" ht="15.5" x14ac:dyDescent="0.35">
      <c r="B2862" s="171"/>
    </row>
    <row r="2863" spans="2:2" ht="15.5" x14ac:dyDescent="0.35">
      <c r="B2863" s="171"/>
    </row>
    <row r="2864" spans="2:2" ht="15.5" x14ac:dyDescent="0.35">
      <c r="B2864" s="171"/>
    </row>
    <row r="2865" spans="2:2" ht="15.5" x14ac:dyDescent="0.35">
      <c r="B2865" s="171"/>
    </row>
    <row r="2866" spans="2:2" ht="15.5" x14ac:dyDescent="0.35">
      <c r="B2866" s="171"/>
    </row>
    <row r="2867" spans="2:2" ht="15.5" x14ac:dyDescent="0.35">
      <c r="B2867" s="171"/>
    </row>
    <row r="2868" spans="2:2" ht="15.5" x14ac:dyDescent="0.35">
      <c r="B2868" s="171"/>
    </row>
    <row r="2869" spans="2:2" ht="15.5" x14ac:dyDescent="0.35">
      <c r="B2869" s="171"/>
    </row>
    <row r="2870" spans="2:2" ht="15.5" x14ac:dyDescent="0.35">
      <c r="B2870" s="171"/>
    </row>
    <row r="2871" spans="2:2" ht="15.5" x14ac:dyDescent="0.35">
      <c r="B2871" s="171"/>
    </row>
    <row r="2872" spans="2:2" ht="15.5" x14ac:dyDescent="0.35">
      <c r="B2872" s="171"/>
    </row>
    <row r="2873" spans="2:2" ht="15.5" x14ac:dyDescent="0.35">
      <c r="B2873" s="171"/>
    </row>
    <row r="2874" spans="2:2" ht="15.5" x14ac:dyDescent="0.35">
      <c r="B2874" s="171"/>
    </row>
    <row r="2875" spans="2:2" ht="15.5" x14ac:dyDescent="0.35">
      <c r="B2875" s="171"/>
    </row>
    <row r="2876" spans="2:2" ht="15.5" x14ac:dyDescent="0.35">
      <c r="B2876" s="171"/>
    </row>
    <row r="2877" spans="2:2" ht="15.5" x14ac:dyDescent="0.35">
      <c r="B2877" s="171"/>
    </row>
    <row r="2878" spans="2:2" ht="15.5" x14ac:dyDescent="0.35">
      <c r="B2878" s="171"/>
    </row>
    <row r="2879" spans="2:2" ht="15.5" x14ac:dyDescent="0.35">
      <c r="B2879" s="171"/>
    </row>
    <row r="2880" spans="2:2" ht="15.5" x14ac:dyDescent="0.35">
      <c r="B2880" s="171"/>
    </row>
    <row r="2881" spans="2:2" ht="15.5" x14ac:dyDescent="0.35">
      <c r="B2881" s="171"/>
    </row>
    <row r="2882" spans="2:2" ht="15.5" x14ac:dyDescent="0.35">
      <c r="B2882" s="171"/>
    </row>
    <row r="2883" spans="2:2" ht="15.5" x14ac:dyDescent="0.35">
      <c r="B2883" s="171"/>
    </row>
    <row r="2884" spans="2:2" ht="15.5" x14ac:dyDescent="0.35">
      <c r="B2884" s="171"/>
    </row>
    <row r="2885" spans="2:2" ht="15.5" x14ac:dyDescent="0.35">
      <c r="B2885" s="171"/>
    </row>
    <row r="2886" spans="2:2" ht="15.5" x14ac:dyDescent="0.35">
      <c r="B2886" s="171"/>
    </row>
    <row r="2887" spans="2:2" ht="15.5" x14ac:dyDescent="0.35">
      <c r="B2887" s="171"/>
    </row>
    <row r="2888" spans="2:2" ht="15.5" x14ac:dyDescent="0.35">
      <c r="B2888" s="171"/>
    </row>
    <row r="2889" spans="2:2" ht="15.5" x14ac:dyDescent="0.35">
      <c r="B2889" s="171"/>
    </row>
    <row r="2890" spans="2:2" ht="15.5" x14ac:dyDescent="0.35">
      <c r="B2890" s="171"/>
    </row>
    <row r="2891" spans="2:2" ht="15.5" x14ac:dyDescent="0.35">
      <c r="B2891" s="171"/>
    </row>
    <row r="2892" spans="2:2" ht="15.5" x14ac:dyDescent="0.35">
      <c r="B2892" s="171"/>
    </row>
    <row r="2893" spans="2:2" ht="15.5" x14ac:dyDescent="0.35">
      <c r="B2893" s="171"/>
    </row>
    <row r="2894" spans="2:2" ht="15.5" x14ac:dyDescent="0.35">
      <c r="B2894" s="171"/>
    </row>
    <row r="2895" spans="2:2" ht="15.5" x14ac:dyDescent="0.35">
      <c r="B2895" s="171"/>
    </row>
    <row r="2896" spans="2:2" ht="15.5" x14ac:dyDescent="0.35">
      <c r="B2896" s="171"/>
    </row>
    <row r="2897" spans="2:2" ht="15.5" x14ac:dyDescent="0.35">
      <c r="B2897" s="171"/>
    </row>
    <row r="2898" spans="2:2" ht="15.5" x14ac:dyDescent="0.35">
      <c r="B2898" s="171"/>
    </row>
    <row r="2899" spans="2:2" ht="15.5" x14ac:dyDescent="0.35">
      <c r="B2899" s="171"/>
    </row>
    <row r="2900" spans="2:2" ht="15.5" x14ac:dyDescent="0.35">
      <c r="B2900" s="171"/>
    </row>
    <row r="2901" spans="2:2" ht="15.5" x14ac:dyDescent="0.35">
      <c r="B2901" s="171"/>
    </row>
    <row r="2902" spans="2:2" ht="15.5" x14ac:dyDescent="0.35">
      <c r="B2902" s="171"/>
    </row>
    <row r="2903" spans="2:2" ht="15.5" x14ac:dyDescent="0.35">
      <c r="B2903" s="171"/>
    </row>
    <row r="2904" spans="2:2" ht="15.5" x14ac:dyDescent="0.35">
      <c r="B2904" s="171"/>
    </row>
    <row r="2905" spans="2:2" ht="15.5" x14ac:dyDescent="0.35">
      <c r="B2905" s="171"/>
    </row>
    <row r="2906" spans="2:2" ht="15.5" x14ac:dyDescent="0.35">
      <c r="B2906" s="171"/>
    </row>
    <row r="2907" spans="2:2" ht="15.5" x14ac:dyDescent="0.35">
      <c r="B2907" s="171"/>
    </row>
    <row r="2908" spans="2:2" ht="15.5" x14ac:dyDescent="0.35">
      <c r="B2908" s="171"/>
    </row>
    <row r="2909" spans="2:2" ht="15.5" x14ac:dyDescent="0.35">
      <c r="B2909" s="171"/>
    </row>
    <row r="2910" spans="2:2" ht="15.5" x14ac:dyDescent="0.35">
      <c r="B2910" s="171"/>
    </row>
    <row r="2911" spans="2:2" ht="15.5" x14ac:dyDescent="0.35">
      <c r="B2911" s="171"/>
    </row>
    <row r="2912" spans="2:2" ht="15.5" x14ac:dyDescent="0.35">
      <c r="B2912" s="171"/>
    </row>
    <row r="2913" spans="2:2" ht="15.5" x14ac:dyDescent="0.35">
      <c r="B2913" s="171"/>
    </row>
    <row r="2914" spans="2:2" ht="15.5" x14ac:dyDescent="0.35">
      <c r="B2914" s="171"/>
    </row>
    <row r="2915" spans="2:2" ht="15.5" x14ac:dyDescent="0.35">
      <c r="B2915" s="171"/>
    </row>
    <row r="2916" spans="2:2" ht="15.5" x14ac:dyDescent="0.35">
      <c r="B2916" s="171"/>
    </row>
    <row r="2917" spans="2:2" ht="15.5" x14ac:dyDescent="0.35">
      <c r="B2917" s="171"/>
    </row>
    <row r="2918" spans="2:2" ht="15.5" x14ac:dyDescent="0.35">
      <c r="B2918" s="171"/>
    </row>
    <row r="2919" spans="2:2" ht="15.5" x14ac:dyDescent="0.35">
      <c r="B2919" s="171"/>
    </row>
    <row r="2920" spans="2:2" ht="15.5" x14ac:dyDescent="0.35">
      <c r="B2920" s="171"/>
    </row>
    <row r="2921" spans="2:2" ht="15.5" x14ac:dyDescent="0.35">
      <c r="B2921" s="171"/>
    </row>
    <row r="2922" spans="2:2" ht="15.5" x14ac:dyDescent="0.35">
      <c r="B2922" s="171"/>
    </row>
    <row r="2923" spans="2:2" ht="15.5" x14ac:dyDescent="0.35">
      <c r="B2923" s="171"/>
    </row>
    <row r="2924" spans="2:2" ht="15.5" x14ac:dyDescent="0.35">
      <c r="B2924" s="171"/>
    </row>
    <row r="2925" spans="2:2" ht="15.5" x14ac:dyDescent="0.35">
      <c r="B2925" s="171"/>
    </row>
    <row r="2926" spans="2:2" ht="15.5" x14ac:dyDescent="0.35">
      <c r="B2926" s="171"/>
    </row>
    <row r="2927" spans="2:2" ht="15.5" x14ac:dyDescent="0.35">
      <c r="B2927" s="171"/>
    </row>
    <row r="2928" spans="2:2" ht="15.5" x14ac:dyDescent="0.35">
      <c r="B2928" s="171"/>
    </row>
    <row r="2929" spans="2:2" ht="15.5" x14ac:dyDescent="0.35">
      <c r="B2929" s="171"/>
    </row>
    <row r="2930" spans="2:2" ht="15.5" x14ac:dyDescent="0.35">
      <c r="B2930" s="171"/>
    </row>
    <row r="2931" spans="2:2" ht="15.5" x14ac:dyDescent="0.35">
      <c r="B2931" s="171"/>
    </row>
    <row r="2932" spans="2:2" ht="15.5" x14ac:dyDescent="0.35">
      <c r="B2932" s="171"/>
    </row>
    <row r="2933" spans="2:2" ht="15.5" x14ac:dyDescent="0.35">
      <c r="B2933" s="171"/>
    </row>
    <row r="2934" spans="2:2" ht="15.5" x14ac:dyDescent="0.35">
      <c r="B2934" s="171"/>
    </row>
    <row r="2935" spans="2:2" ht="15.5" x14ac:dyDescent="0.35">
      <c r="B2935" s="171"/>
    </row>
    <row r="2936" spans="2:2" ht="15.5" x14ac:dyDescent="0.35">
      <c r="B2936" s="171"/>
    </row>
    <row r="2937" spans="2:2" ht="15.5" x14ac:dyDescent="0.35">
      <c r="B2937" s="171"/>
    </row>
    <row r="2938" spans="2:2" ht="15.5" x14ac:dyDescent="0.35">
      <c r="B2938" s="171"/>
    </row>
    <row r="2939" spans="2:2" ht="15.5" x14ac:dyDescent="0.35">
      <c r="B2939" s="171"/>
    </row>
    <row r="2940" spans="2:2" ht="15.5" x14ac:dyDescent="0.35">
      <c r="B2940" s="171"/>
    </row>
    <row r="2941" spans="2:2" ht="15.5" x14ac:dyDescent="0.35">
      <c r="B2941" s="171"/>
    </row>
    <row r="2942" spans="2:2" ht="15.5" x14ac:dyDescent="0.35">
      <c r="B2942" s="171"/>
    </row>
    <row r="2943" spans="2:2" ht="15.5" x14ac:dyDescent="0.35">
      <c r="B2943" s="171"/>
    </row>
    <row r="2944" spans="2:2" ht="15.5" x14ac:dyDescent="0.35">
      <c r="B2944" s="171"/>
    </row>
    <row r="2945" spans="2:2" ht="15.5" x14ac:dyDescent="0.35">
      <c r="B2945" s="171"/>
    </row>
    <row r="2946" spans="2:2" ht="15.5" x14ac:dyDescent="0.35">
      <c r="B2946" s="171"/>
    </row>
    <row r="2947" spans="2:2" ht="15.5" x14ac:dyDescent="0.35">
      <c r="B2947" s="171"/>
    </row>
    <row r="2948" spans="2:2" ht="15.5" x14ac:dyDescent="0.35">
      <c r="B2948" s="171"/>
    </row>
    <row r="2949" spans="2:2" ht="15.5" x14ac:dyDescent="0.35">
      <c r="B2949" s="171"/>
    </row>
    <row r="2950" spans="2:2" ht="15.5" x14ac:dyDescent="0.35">
      <c r="B2950" s="171"/>
    </row>
    <row r="2951" spans="2:2" ht="15.5" x14ac:dyDescent="0.35">
      <c r="B2951" s="171"/>
    </row>
    <row r="2952" spans="2:2" ht="15.5" x14ac:dyDescent="0.35">
      <c r="B2952" s="171"/>
    </row>
    <row r="2953" spans="2:2" ht="15.5" x14ac:dyDescent="0.35">
      <c r="B2953" s="171"/>
    </row>
    <row r="2954" spans="2:2" ht="15.5" x14ac:dyDescent="0.35">
      <c r="B2954" s="171"/>
    </row>
    <row r="2955" spans="2:2" ht="15.5" x14ac:dyDescent="0.35">
      <c r="B2955" s="171"/>
    </row>
    <row r="2956" spans="2:2" ht="15.5" x14ac:dyDescent="0.35">
      <c r="B2956" s="171"/>
    </row>
    <row r="2957" spans="2:2" ht="15.5" x14ac:dyDescent="0.35">
      <c r="B2957" s="171"/>
    </row>
    <row r="2958" spans="2:2" ht="15.5" x14ac:dyDescent="0.35">
      <c r="B2958" s="171"/>
    </row>
    <row r="2959" spans="2:2" ht="15.5" x14ac:dyDescent="0.35">
      <c r="B2959" s="171"/>
    </row>
    <row r="2960" spans="2:2" ht="15.5" x14ac:dyDescent="0.35">
      <c r="B2960" s="171"/>
    </row>
    <row r="2961" spans="2:2" ht="15.5" x14ac:dyDescent="0.35">
      <c r="B2961" s="171"/>
    </row>
    <row r="2962" spans="2:2" ht="15.5" x14ac:dyDescent="0.35">
      <c r="B2962" s="171"/>
    </row>
    <row r="2963" spans="2:2" ht="15.5" x14ac:dyDescent="0.35">
      <c r="B2963" s="171"/>
    </row>
    <row r="2964" spans="2:2" ht="15.5" x14ac:dyDescent="0.35">
      <c r="B2964" s="171"/>
    </row>
    <row r="2965" spans="2:2" ht="15.5" x14ac:dyDescent="0.35">
      <c r="B2965" s="171"/>
    </row>
    <row r="2966" spans="2:2" ht="15.5" x14ac:dyDescent="0.35">
      <c r="B2966" s="171"/>
    </row>
    <row r="2967" spans="2:2" ht="15.5" x14ac:dyDescent="0.35">
      <c r="B2967" s="171"/>
    </row>
    <row r="2968" spans="2:2" ht="15.5" x14ac:dyDescent="0.35">
      <c r="B2968" s="171"/>
    </row>
    <row r="2969" spans="2:2" ht="15.5" x14ac:dyDescent="0.35">
      <c r="B2969" s="171"/>
    </row>
    <row r="2970" spans="2:2" ht="15.5" x14ac:dyDescent="0.35">
      <c r="B2970" s="171"/>
    </row>
    <row r="2971" spans="2:2" ht="15.5" x14ac:dyDescent="0.35">
      <c r="B2971" s="171"/>
    </row>
    <row r="2972" spans="2:2" ht="15.5" x14ac:dyDescent="0.35">
      <c r="B2972" s="171"/>
    </row>
    <row r="2973" spans="2:2" ht="15.5" x14ac:dyDescent="0.35">
      <c r="B2973" s="171"/>
    </row>
    <row r="2974" spans="2:2" ht="15.5" x14ac:dyDescent="0.35">
      <c r="B2974" s="171"/>
    </row>
    <row r="2975" spans="2:2" ht="15.5" x14ac:dyDescent="0.35">
      <c r="B2975" s="171"/>
    </row>
    <row r="2976" spans="2:2" ht="15.5" x14ac:dyDescent="0.35">
      <c r="B2976" s="171"/>
    </row>
    <row r="2977" spans="2:2" ht="15.5" x14ac:dyDescent="0.35">
      <c r="B2977" s="171"/>
    </row>
    <row r="2978" spans="2:2" ht="15.5" x14ac:dyDescent="0.35">
      <c r="B2978" s="171"/>
    </row>
    <row r="2979" spans="2:2" ht="15.5" x14ac:dyDescent="0.35">
      <c r="B2979" s="171"/>
    </row>
    <row r="2980" spans="2:2" ht="15.5" x14ac:dyDescent="0.35">
      <c r="B2980" s="171"/>
    </row>
    <row r="2981" spans="2:2" ht="15.5" x14ac:dyDescent="0.35">
      <c r="B2981" s="171"/>
    </row>
    <row r="2982" spans="2:2" ht="15.5" x14ac:dyDescent="0.35">
      <c r="B2982" s="171"/>
    </row>
    <row r="2983" spans="2:2" ht="15.5" x14ac:dyDescent="0.35">
      <c r="B2983" s="171"/>
    </row>
    <row r="2984" spans="2:2" ht="15.5" x14ac:dyDescent="0.35">
      <c r="B2984" s="171"/>
    </row>
    <row r="2985" spans="2:2" ht="15.5" x14ac:dyDescent="0.35">
      <c r="B2985" s="171"/>
    </row>
    <row r="2986" spans="2:2" ht="15.5" x14ac:dyDescent="0.35">
      <c r="B2986" s="171"/>
    </row>
    <row r="2987" spans="2:2" ht="15.5" x14ac:dyDescent="0.35">
      <c r="B2987" s="171"/>
    </row>
    <row r="2988" spans="2:2" ht="15.5" x14ac:dyDescent="0.35">
      <c r="B2988" s="171"/>
    </row>
    <row r="2989" spans="2:2" ht="15.5" x14ac:dyDescent="0.35">
      <c r="B2989" s="171"/>
    </row>
    <row r="2990" spans="2:2" ht="15.5" x14ac:dyDescent="0.35">
      <c r="B2990" s="171"/>
    </row>
    <row r="2991" spans="2:2" ht="15.5" x14ac:dyDescent="0.35">
      <c r="B2991" s="171"/>
    </row>
    <row r="2992" spans="2:2" ht="15.5" x14ac:dyDescent="0.35">
      <c r="B2992" s="171"/>
    </row>
    <row r="2993" spans="2:2" ht="15.5" x14ac:dyDescent="0.35">
      <c r="B2993" s="171"/>
    </row>
    <row r="2994" spans="2:2" ht="15.5" x14ac:dyDescent="0.35">
      <c r="B2994" s="171"/>
    </row>
    <row r="2995" spans="2:2" ht="15.5" x14ac:dyDescent="0.35">
      <c r="B2995" s="171"/>
    </row>
    <row r="2996" spans="2:2" ht="15.5" x14ac:dyDescent="0.35">
      <c r="B2996" s="171"/>
    </row>
    <row r="2997" spans="2:2" ht="15.5" x14ac:dyDescent="0.35">
      <c r="B2997" s="171"/>
    </row>
    <row r="2998" spans="2:2" ht="15.5" x14ac:dyDescent="0.35">
      <c r="B2998" s="171"/>
    </row>
    <row r="2999" spans="2:2" ht="15.5" x14ac:dyDescent="0.35">
      <c r="B2999" s="171"/>
    </row>
    <row r="3000" spans="2:2" ht="15.5" x14ac:dyDescent="0.35">
      <c r="B3000" s="171"/>
    </row>
    <row r="3001" spans="2:2" ht="15.5" x14ac:dyDescent="0.35">
      <c r="B3001" s="171"/>
    </row>
    <row r="3002" spans="2:2" ht="15.5" x14ac:dyDescent="0.35">
      <c r="B3002" s="171"/>
    </row>
    <row r="3003" spans="2:2" ht="15.5" x14ac:dyDescent="0.35">
      <c r="B3003" s="171"/>
    </row>
    <row r="3004" spans="2:2" ht="15.5" x14ac:dyDescent="0.35">
      <c r="B3004" s="171"/>
    </row>
    <row r="3005" spans="2:2" ht="15.5" x14ac:dyDescent="0.35">
      <c r="B3005" s="171"/>
    </row>
    <row r="3006" spans="2:2" ht="15.5" x14ac:dyDescent="0.35">
      <c r="B3006" s="171"/>
    </row>
    <row r="3007" spans="2:2" ht="15.5" x14ac:dyDescent="0.35">
      <c r="B3007" s="171"/>
    </row>
    <row r="3008" spans="2:2" ht="15.5" x14ac:dyDescent="0.35">
      <c r="B3008" s="171"/>
    </row>
    <row r="3009" spans="2:2" ht="15.5" x14ac:dyDescent="0.35">
      <c r="B3009" s="171"/>
    </row>
    <row r="3010" spans="2:2" ht="15.5" x14ac:dyDescent="0.35">
      <c r="B3010" s="171"/>
    </row>
    <row r="3011" spans="2:2" ht="15.5" x14ac:dyDescent="0.35">
      <c r="B3011" s="171"/>
    </row>
    <row r="3012" spans="2:2" ht="15.5" x14ac:dyDescent="0.35">
      <c r="B3012" s="171"/>
    </row>
    <row r="3013" spans="2:2" ht="15.5" x14ac:dyDescent="0.35">
      <c r="B3013" s="171"/>
    </row>
    <row r="3014" spans="2:2" ht="15.5" x14ac:dyDescent="0.35">
      <c r="B3014" s="171"/>
    </row>
    <row r="3015" spans="2:2" ht="15.5" x14ac:dyDescent="0.35">
      <c r="B3015" s="171"/>
    </row>
    <row r="3016" spans="2:2" ht="15.5" x14ac:dyDescent="0.35">
      <c r="B3016" s="171"/>
    </row>
    <row r="3017" spans="2:2" ht="15.5" x14ac:dyDescent="0.35">
      <c r="B3017" s="171"/>
    </row>
    <row r="3018" spans="2:2" ht="15.5" x14ac:dyDescent="0.35">
      <c r="B3018" s="171"/>
    </row>
    <row r="3019" spans="2:2" ht="15.5" x14ac:dyDescent="0.35">
      <c r="B3019" s="171"/>
    </row>
    <row r="3020" spans="2:2" ht="15.5" x14ac:dyDescent="0.35">
      <c r="B3020" s="171"/>
    </row>
    <row r="3021" spans="2:2" ht="15.5" x14ac:dyDescent="0.35">
      <c r="B3021" s="171"/>
    </row>
    <row r="3022" spans="2:2" ht="15.5" x14ac:dyDescent="0.35">
      <c r="B3022" s="171"/>
    </row>
    <row r="3023" spans="2:2" ht="15.5" x14ac:dyDescent="0.35">
      <c r="B3023" s="171"/>
    </row>
    <row r="3024" spans="2:2" ht="15.5" x14ac:dyDescent="0.35">
      <c r="B3024" s="171"/>
    </row>
    <row r="3025" spans="2:2" ht="15.5" x14ac:dyDescent="0.35">
      <c r="B3025" s="171"/>
    </row>
    <row r="3026" spans="2:2" ht="15.5" x14ac:dyDescent="0.35">
      <c r="B3026" s="171"/>
    </row>
    <row r="3027" spans="2:2" ht="15.5" x14ac:dyDescent="0.35">
      <c r="B3027" s="171"/>
    </row>
    <row r="3028" spans="2:2" ht="15.5" x14ac:dyDescent="0.35">
      <c r="B3028" s="171"/>
    </row>
    <row r="3029" spans="2:2" ht="15.5" x14ac:dyDescent="0.35">
      <c r="B3029" s="171"/>
    </row>
    <row r="3030" spans="2:2" ht="15.5" x14ac:dyDescent="0.35">
      <c r="B3030" s="171"/>
    </row>
    <row r="3031" spans="2:2" ht="15.5" x14ac:dyDescent="0.35">
      <c r="B3031" s="171"/>
    </row>
    <row r="3032" spans="2:2" ht="15.5" x14ac:dyDescent="0.35">
      <c r="B3032" s="171"/>
    </row>
    <row r="3033" spans="2:2" ht="15.5" x14ac:dyDescent="0.35">
      <c r="B3033" s="171"/>
    </row>
    <row r="3034" spans="2:2" ht="15.5" x14ac:dyDescent="0.35">
      <c r="B3034" s="171"/>
    </row>
    <row r="3035" spans="2:2" ht="15.5" x14ac:dyDescent="0.35">
      <c r="B3035" s="171"/>
    </row>
    <row r="3036" spans="2:2" ht="15.5" x14ac:dyDescent="0.35">
      <c r="B3036" s="171"/>
    </row>
    <row r="3037" spans="2:2" ht="15.5" x14ac:dyDescent="0.35">
      <c r="B3037" s="171"/>
    </row>
    <row r="3038" spans="2:2" ht="15.5" x14ac:dyDescent="0.35">
      <c r="B3038" s="171"/>
    </row>
    <row r="3039" spans="2:2" ht="15.5" x14ac:dyDescent="0.35">
      <c r="B3039" s="171"/>
    </row>
    <row r="3040" spans="2:2" ht="15.5" x14ac:dyDescent="0.35">
      <c r="B3040" s="171"/>
    </row>
    <row r="3041" spans="2:2" ht="15.5" x14ac:dyDescent="0.35">
      <c r="B3041" s="171"/>
    </row>
    <row r="3042" spans="2:2" ht="15.5" x14ac:dyDescent="0.35">
      <c r="B3042" s="171"/>
    </row>
    <row r="3043" spans="2:2" ht="15.5" x14ac:dyDescent="0.35">
      <c r="B3043" s="171"/>
    </row>
    <row r="3044" spans="2:2" ht="15.5" x14ac:dyDescent="0.35">
      <c r="B3044" s="171"/>
    </row>
    <row r="3045" spans="2:2" ht="15.5" x14ac:dyDescent="0.35">
      <c r="B3045" s="171"/>
    </row>
    <row r="3046" spans="2:2" ht="15.5" x14ac:dyDescent="0.35">
      <c r="B3046" s="171"/>
    </row>
    <row r="3047" spans="2:2" ht="15.5" x14ac:dyDescent="0.35">
      <c r="B3047" s="171"/>
    </row>
    <row r="3048" spans="2:2" ht="15.5" x14ac:dyDescent="0.35">
      <c r="B3048" s="171"/>
    </row>
    <row r="3049" spans="2:2" ht="15.5" x14ac:dyDescent="0.35">
      <c r="B3049" s="171"/>
    </row>
    <row r="3050" spans="2:2" ht="15.5" x14ac:dyDescent="0.35">
      <c r="B3050" s="171"/>
    </row>
    <row r="3051" spans="2:2" ht="15.5" x14ac:dyDescent="0.35">
      <c r="B3051" s="171"/>
    </row>
    <row r="3052" spans="2:2" ht="15.5" x14ac:dyDescent="0.35">
      <c r="B3052" s="171"/>
    </row>
    <row r="3053" spans="2:2" ht="15.5" x14ac:dyDescent="0.35">
      <c r="B3053" s="171"/>
    </row>
    <row r="3054" spans="2:2" ht="15.5" x14ac:dyDescent="0.35">
      <c r="B3054" s="171"/>
    </row>
    <row r="3055" spans="2:2" ht="15.5" x14ac:dyDescent="0.35">
      <c r="B3055" s="171"/>
    </row>
    <row r="3056" spans="2:2" ht="15.5" x14ac:dyDescent="0.35">
      <c r="B3056" s="171"/>
    </row>
    <row r="3057" spans="2:2" ht="15.5" x14ac:dyDescent="0.35">
      <c r="B3057" s="171"/>
    </row>
    <row r="3058" spans="2:2" ht="15.5" x14ac:dyDescent="0.35">
      <c r="B3058" s="171"/>
    </row>
    <row r="3059" spans="2:2" ht="15.5" x14ac:dyDescent="0.35">
      <c r="B3059" s="171"/>
    </row>
    <row r="3060" spans="2:2" ht="15.5" x14ac:dyDescent="0.35">
      <c r="B3060" s="171"/>
    </row>
    <row r="3061" spans="2:2" ht="15.5" x14ac:dyDescent="0.35">
      <c r="B3061" s="171"/>
    </row>
    <row r="3062" spans="2:2" ht="15.5" x14ac:dyDescent="0.35">
      <c r="B3062" s="171"/>
    </row>
    <row r="3063" spans="2:2" ht="15.5" x14ac:dyDescent="0.35">
      <c r="B3063" s="171"/>
    </row>
    <row r="3064" spans="2:2" ht="15.5" x14ac:dyDescent="0.35">
      <c r="B3064" s="171"/>
    </row>
    <row r="3065" spans="2:2" ht="15.5" x14ac:dyDescent="0.35">
      <c r="B3065" s="171"/>
    </row>
    <row r="3066" spans="2:2" ht="15.5" x14ac:dyDescent="0.35">
      <c r="B3066" s="171"/>
    </row>
    <row r="3067" spans="2:2" ht="15.5" x14ac:dyDescent="0.35">
      <c r="B3067" s="171"/>
    </row>
    <row r="3068" spans="2:2" ht="15.5" x14ac:dyDescent="0.35">
      <c r="B3068" s="171"/>
    </row>
    <row r="3069" spans="2:2" ht="15.5" x14ac:dyDescent="0.35">
      <c r="B3069" s="171"/>
    </row>
    <row r="3070" spans="2:2" ht="15.5" x14ac:dyDescent="0.35">
      <c r="B3070" s="171"/>
    </row>
    <row r="3071" spans="2:2" ht="15.5" x14ac:dyDescent="0.35">
      <c r="B3071" s="171"/>
    </row>
    <row r="3072" spans="2:2" ht="15.5" x14ac:dyDescent="0.35">
      <c r="B3072" s="171"/>
    </row>
    <row r="3073" spans="2:2" ht="15.5" x14ac:dyDescent="0.35">
      <c r="B3073" s="171"/>
    </row>
    <row r="3074" spans="2:2" ht="15.5" x14ac:dyDescent="0.35">
      <c r="B3074" s="171"/>
    </row>
    <row r="3075" spans="2:2" ht="15.5" x14ac:dyDescent="0.35">
      <c r="B3075" s="171"/>
    </row>
    <row r="3076" spans="2:2" ht="15.5" x14ac:dyDescent="0.35">
      <c r="B3076" s="171"/>
    </row>
    <row r="3077" spans="2:2" ht="15.5" x14ac:dyDescent="0.35">
      <c r="B3077" s="171"/>
    </row>
    <row r="3078" spans="2:2" ht="15.5" x14ac:dyDescent="0.35">
      <c r="B3078" s="171"/>
    </row>
    <row r="3079" spans="2:2" ht="15.5" x14ac:dyDescent="0.35">
      <c r="B3079" s="171"/>
    </row>
    <row r="3080" spans="2:2" ht="15.5" x14ac:dyDescent="0.35">
      <c r="B3080" s="171"/>
    </row>
    <row r="3081" spans="2:2" ht="15.5" x14ac:dyDescent="0.35">
      <c r="B3081" s="171"/>
    </row>
    <row r="3082" spans="2:2" ht="15.5" x14ac:dyDescent="0.35">
      <c r="B3082" s="171"/>
    </row>
    <row r="3083" spans="2:2" ht="15.5" x14ac:dyDescent="0.35">
      <c r="B3083" s="171"/>
    </row>
    <row r="3084" spans="2:2" ht="15.5" x14ac:dyDescent="0.35">
      <c r="B3084" s="171"/>
    </row>
    <row r="3085" spans="2:2" ht="15.5" x14ac:dyDescent="0.35">
      <c r="B3085" s="171"/>
    </row>
    <row r="3086" spans="2:2" ht="15.5" x14ac:dyDescent="0.35">
      <c r="B3086" s="171"/>
    </row>
    <row r="3087" spans="2:2" ht="15.5" x14ac:dyDescent="0.35">
      <c r="B3087" s="171"/>
    </row>
    <row r="3088" spans="2:2" ht="15.5" x14ac:dyDescent="0.35">
      <c r="B3088" s="171"/>
    </row>
    <row r="3089" spans="2:2" ht="15.5" x14ac:dyDescent="0.35">
      <c r="B3089" s="171"/>
    </row>
    <row r="3090" spans="2:2" ht="15.5" x14ac:dyDescent="0.35">
      <c r="B3090" s="171"/>
    </row>
    <row r="3091" spans="2:2" ht="15.5" x14ac:dyDescent="0.35">
      <c r="B3091" s="171"/>
    </row>
    <row r="3092" spans="2:2" ht="15.5" x14ac:dyDescent="0.35">
      <c r="B3092" s="171"/>
    </row>
    <row r="3093" spans="2:2" ht="15.5" x14ac:dyDescent="0.35">
      <c r="B3093" s="171"/>
    </row>
    <row r="3094" spans="2:2" ht="15.5" x14ac:dyDescent="0.35">
      <c r="B3094" s="171"/>
    </row>
    <row r="3095" spans="2:2" ht="15.5" x14ac:dyDescent="0.35">
      <c r="B3095" s="171"/>
    </row>
    <row r="3096" spans="2:2" ht="15.5" x14ac:dyDescent="0.35">
      <c r="B3096" s="171"/>
    </row>
    <row r="3097" spans="2:2" ht="15.5" x14ac:dyDescent="0.35">
      <c r="B3097" s="171"/>
    </row>
    <row r="3098" spans="2:2" ht="15.5" x14ac:dyDescent="0.35">
      <c r="B3098" s="171"/>
    </row>
    <row r="3099" spans="2:2" ht="15.5" x14ac:dyDescent="0.35">
      <c r="B3099" s="171"/>
    </row>
    <row r="3100" spans="2:2" ht="15.5" x14ac:dyDescent="0.35">
      <c r="B3100" s="171"/>
    </row>
    <row r="3101" spans="2:2" ht="15.5" x14ac:dyDescent="0.35">
      <c r="B3101" s="171"/>
    </row>
    <row r="3102" spans="2:2" ht="15.5" x14ac:dyDescent="0.35">
      <c r="B3102" s="171"/>
    </row>
    <row r="3103" spans="2:2" ht="15.5" x14ac:dyDescent="0.35">
      <c r="B3103" s="171"/>
    </row>
    <row r="3104" spans="2:2" ht="15.5" x14ac:dyDescent="0.35">
      <c r="B3104" s="171"/>
    </row>
    <row r="3105" spans="2:2" ht="15.5" x14ac:dyDescent="0.35">
      <c r="B3105" s="171"/>
    </row>
    <row r="3106" spans="2:2" ht="15.5" x14ac:dyDescent="0.35">
      <c r="B3106" s="171"/>
    </row>
    <row r="3107" spans="2:2" ht="15.5" x14ac:dyDescent="0.35">
      <c r="B3107" s="171"/>
    </row>
    <row r="3108" spans="2:2" ht="15.5" x14ac:dyDescent="0.35">
      <c r="B3108" s="171"/>
    </row>
    <row r="3109" spans="2:2" ht="15.5" x14ac:dyDescent="0.35">
      <c r="B3109" s="171"/>
    </row>
    <row r="3110" spans="2:2" ht="15.5" x14ac:dyDescent="0.35">
      <c r="B3110" s="171"/>
    </row>
    <row r="3111" spans="2:2" ht="15.5" x14ac:dyDescent="0.35">
      <c r="B3111" s="171"/>
    </row>
    <row r="3112" spans="2:2" ht="15.5" x14ac:dyDescent="0.35">
      <c r="B3112" s="171"/>
    </row>
    <row r="3113" spans="2:2" ht="15.5" x14ac:dyDescent="0.35">
      <c r="B3113" s="171"/>
    </row>
    <row r="3114" spans="2:2" ht="15.5" x14ac:dyDescent="0.35">
      <c r="B3114" s="171"/>
    </row>
    <row r="3115" spans="2:2" ht="15.5" x14ac:dyDescent="0.35">
      <c r="B3115" s="171"/>
    </row>
    <row r="3116" spans="2:2" ht="15.5" x14ac:dyDescent="0.35">
      <c r="B3116" s="171"/>
    </row>
    <row r="3117" spans="2:2" ht="15.5" x14ac:dyDescent="0.35">
      <c r="B3117" s="171"/>
    </row>
    <row r="3118" spans="2:2" ht="15.5" x14ac:dyDescent="0.35">
      <c r="B3118" s="171"/>
    </row>
    <row r="3119" spans="2:2" ht="15.5" x14ac:dyDescent="0.35">
      <c r="B3119" s="171"/>
    </row>
    <row r="3120" spans="2:2" ht="15.5" x14ac:dyDescent="0.35">
      <c r="B3120" s="171"/>
    </row>
    <row r="3121" spans="2:2" ht="15.5" x14ac:dyDescent="0.35">
      <c r="B3121" s="171"/>
    </row>
    <row r="3122" spans="2:2" ht="15.5" x14ac:dyDescent="0.35">
      <c r="B3122" s="171"/>
    </row>
    <row r="3123" spans="2:2" ht="15.5" x14ac:dyDescent="0.35">
      <c r="B3123" s="171"/>
    </row>
    <row r="3124" spans="2:2" ht="15.5" x14ac:dyDescent="0.35">
      <c r="B3124" s="171"/>
    </row>
    <row r="3125" spans="2:2" ht="15.5" x14ac:dyDescent="0.35">
      <c r="B3125" s="171"/>
    </row>
    <row r="3126" spans="2:2" ht="15.5" x14ac:dyDescent="0.35">
      <c r="B3126" s="171"/>
    </row>
    <row r="3127" spans="2:2" ht="15.5" x14ac:dyDescent="0.35">
      <c r="B3127" s="171"/>
    </row>
    <row r="3128" spans="2:2" ht="15.5" x14ac:dyDescent="0.35">
      <c r="B3128" s="171"/>
    </row>
    <row r="3129" spans="2:2" ht="15.5" x14ac:dyDescent="0.35">
      <c r="B3129" s="171"/>
    </row>
    <row r="3130" spans="2:2" ht="15.5" x14ac:dyDescent="0.35">
      <c r="B3130" s="171"/>
    </row>
    <row r="3131" spans="2:2" ht="15.5" x14ac:dyDescent="0.35">
      <c r="B3131" s="171"/>
    </row>
    <row r="3132" spans="2:2" ht="15.5" x14ac:dyDescent="0.35">
      <c r="B3132" s="171"/>
    </row>
    <row r="3133" spans="2:2" ht="15.5" x14ac:dyDescent="0.35">
      <c r="B3133" s="171"/>
    </row>
    <row r="3134" spans="2:2" ht="15.5" x14ac:dyDescent="0.35">
      <c r="B3134" s="171"/>
    </row>
    <row r="3135" spans="2:2" ht="15.5" x14ac:dyDescent="0.35">
      <c r="B3135" s="171"/>
    </row>
    <row r="3136" spans="2:2" ht="15.5" x14ac:dyDescent="0.35">
      <c r="B3136" s="171"/>
    </row>
    <row r="3137" spans="2:2" ht="15.5" x14ac:dyDescent="0.35">
      <c r="B3137" s="171"/>
    </row>
    <row r="3138" spans="2:2" ht="15.5" x14ac:dyDescent="0.35">
      <c r="B3138" s="171"/>
    </row>
    <row r="3139" spans="2:2" ht="15.5" x14ac:dyDescent="0.35">
      <c r="B3139" s="171"/>
    </row>
    <row r="3140" spans="2:2" ht="15.5" x14ac:dyDescent="0.35">
      <c r="B3140" s="171"/>
    </row>
    <row r="3141" spans="2:2" ht="15.5" x14ac:dyDescent="0.35">
      <c r="B3141" s="171"/>
    </row>
    <row r="3142" spans="2:2" ht="15.5" x14ac:dyDescent="0.35">
      <c r="B3142" s="171"/>
    </row>
    <row r="3143" spans="2:2" ht="15.5" x14ac:dyDescent="0.35">
      <c r="B3143" s="171"/>
    </row>
    <row r="3144" spans="2:2" ht="15.5" x14ac:dyDescent="0.35">
      <c r="B3144" s="171"/>
    </row>
    <row r="3145" spans="2:2" ht="15.5" x14ac:dyDescent="0.35">
      <c r="B3145" s="171"/>
    </row>
    <row r="3146" spans="2:2" ht="15.5" x14ac:dyDescent="0.35">
      <c r="B3146" s="171"/>
    </row>
    <row r="3147" spans="2:2" ht="15.5" x14ac:dyDescent="0.35">
      <c r="B3147" s="171"/>
    </row>
    <row r="3148" spans="2:2" ht="15.5" x14ac:dyDescent="0.35">
      <c r="B3148" s="171"/>
    </row>
    <row r="3149" spans="2:2" ht="15.5" x14ac:dyDescent="0.35">
      <c r="B3149" s="171"/>
    </row>
    <row r="3150" spans="2:2" ht="15.5" x14ac:dyDescent="0.35">
      <c r="B3150" s="171"/>
    </row>
    <row r="3151" spans="2:2" ht="15.5" x14ac:dyDescent="0.35">
      <c r="B3151" s="171"/>
    </row>
    <row r="3152" spans="2:2" ht="15.5" x14ac:dyDescent="0.35">
      <c r="B3152" s="171"/>
    </row>
    <row r="3153" spans="2:2" ht="15.5" x14ac:dyDescent="0.35">
      <c r="B3153" s="171"/>
    </row>
    <row r="3154" spans="2:2" ht="15.5" x14ac:dyDescent="0.35">
      <c r="B3154" s="171"/>
    </row>
    <row r="3155" spans="2:2" ht="15.5" x14ac:dyDescent="0.35">
      <c r="B3155" s="171"/>
    </row>
    <row r="3156" spans="2:2" ht="15.5" x14ac:dyDescent="0.35">
      <c r="B3156" s="171"/>
    </row>
    <row r="3157" spans="2:2" ht="15.5" x14ac:dyDescent="0.35">
      <c r="B3157" s="171"/>
    </row>
    <row r="3158" spans="2:2" ht="15.5" x14ac:dyDescent="0.35">
      <c r="B3158" s="171"/>
    </row>
    <row r="3159" spans="2:2" ht="15.5" x14ac:dyDescent="0.35">
      <c r="B3159" s="171"/>
    </row>
    <row r="3160" spans="2:2" ht="15.5" x14ac:dyDescent="0.35">
      <c r="B3160" s="171"/>
    </row>
    <row r="3161" spans="2:2" ht="15.5" x14ac:dyDescent="0.35">
      <c r="B3161" s="171"/>
    </row>
    <row r="3162" spans="2:2" ht="15.5" x14ac:dyDescent="0.35">
      <c r="B3162" s="171"/>
    </row>
    <row r="3163" spans="2:2" ht="15.5" x14ac:dyDescent="0.35">
      <c r="B3163" s="171"/>
    </row>
    <row r="3164" spans="2:2" ht="15.5" x14ac:dyDescent="0.35">
      <c r="B3164" s="171"/>
    </row>
    <row r="3165" spans="2:2" ht="15.5" x14ac:dyDescent="0.35">
      <c r="B3165" s="171"/>
    </row>
    <row r="3166" spans="2:2" ht="15.5" x14ac:dyDescent="0.35">
      <c r="B3166" s="171"/>
    </row>
    <row r="3167" spans="2:2" ht="15.5" x14ac:dyDescent="0.35">
      <c r="B3167" s="171"/>
    </row>
    <row r="3168" spans="2:2" ht="15.5" x14ac:dyDescent="0.35">
      <c r="B3168" s="171"/>
    </row>
    <row r="3169" spans="2:2" ht="15.5" x14ac:dyDescent="0.35">
      <c r="B3169" s="171"/>
    </row>
    <row r="3170" spans="2:2" ht="15.5" x14ac:dyDescent="0.35">
      <c r="B3170" s="171"/>
    </row>
    <row r="3171" spans="2:2" ht="15.5" x14ac:dyDescent="0.35">
      <c r="B3171" s="171"/>
    </row>
    <row r="3172" spans="2:2" ht="15.5" x14ac:dyDescent="0.35">
      <c r="B3172" s="171"/>
    </row>
    <row r="3173" spans="2:2" ht="15.5" x14ac:dyDescent="0.35">
      <c r="B3173" s="171"/>
    </row>
    <row r="3174" spans="2:2" ht="15.5" x14ac:dyDescent="0.35">
      <c r="B3174" s="171"/>
    </row>
    <row r="3175" spans="2:2" ht="15.5" x14ac:dyDescent="0.35">
      <c r="B3175" s="171"/>
    </row>
    <row r="3176" spans="2:2" ht="15.5" x14ac:dyDescent="0.35">
      <c r="B3176" s="171"/>
    </row>
    <row r="3177" spans="2:2" ht="15.5" x14ac:dyDescent="0.35">
      <c r="B3177" s="171"/>
    </row>
    <row r="3178" spans="2:2" ht="15.5" x14ac:dyDescent="0.35">
      <c r="B3178" s="171"/>
    </row>
    <row r="3179" spans="2:2" ht="15.5" x14ac:dyDescent="0.35">
      <c r="B3179" s="171"/>
    </row>
    <row r="3180" spans="2:2" ht="15.5" x14ac:dyDescent="0.35">
      <c r="B3180" s="171"/>
    </row>
    <row r="3181" spans="2:2" ht="15.5" x14ac:dyDescent="0.35">
      <c r="B3181" s="171"/>
    </row>
    <row r="3182" spans="2:2" ht="15.5" x14ac:dyDescent="0.35">
      <c r="B3182" s="171"/>
    </row>
    <row r="3183" spans="2:2" ht="15.5" x14ac:dyDescent="0.35">
      <c r="B3183" s="171"/>
    </row>
    <row r="3184" spans="2:2" ht="15.5" x14ac:dyDescent="0.35">
      <c r="B3184" s="171"/>
    </row>
    <row r="3185" spans="2:2" ht="15.5" x14ac:dyDescent="0.35">
      <c r="B3185" s="171"/>
    </row>
    <row r="3186" spans="2:2" ht="15.5" x14ac:dyDescent="0.35">
      <c r="B3186" s="171"/>
    </row>
    <row r="3187" spans="2:2" ht="15.5" x14ac:dyDescent="0.35">
      <c r="B3187" s="171"/>
    </row>
    <row r="3188" spans="2:2" ht="15.5" x14ac:dyDescent="0.35">
      <c r="B3188" s="171"/>
    </row>
    <row r="3189" spans="2:2" ht="15.5" x14ac:dyDescent="0.35">
      <c r="B3189" s="171"/>
    </row>
    <row r="3190" spans="2:2" ht="15.5" x14ac:dyDescent="0.35">
      <c r="B3190" s="171"/>
    </row>
    <row r="3191" spans="2:2" ht="15.5" x14ac:dyDescent="0.35">
      <c r="B3191" s="171"/>
    </row>
    <row r="3192" spans="2:2" ht="15.5" x14ac:dyDescent="0.35">
      <c r="B3192" s="171"/>
    </row>
    <row r="3193" spans="2:2" ht="15.5" x14ac:dyDescent="0.35">
      <c r="B3193" s="171"/>
    </row>
    <row r="3194" spans="2:2" ht="15.5" x14ac:dyDescent="0.35">
      <c r="B3194" s="171"/>
    </row>
    <row r="3195" spans="2:2" ht="15.5" x14ac:dyDescent="0.35">
      <c r="B3195" s="171"/>
    </row>
    <row r="3196" spans="2:2" ht="15.5" x14ac:dyDescent="0.35">
      <c r="B3196" s="171"/>
    </row>
    <row r="3197" spans="2:2" ht="15.5" x14ac:dyDescent="0.35">
      <c r="B3197" s="171"/>
    </row>
    <row r="3198" spans="2:2" ht="15.5" x14ac:dyDescent="0.35">
      <c r="B3198" s="171"/>
    </row>
    <row r="3199" spans="2:2" ht="15.5" x14ac:dyDescent="0.35">
      <c r="B3199" s="171"/>
    </row>
    <row r="3200" spans="2:2" ht="15.5" x14ac:dyDescent="0.35">
      <c r="B3200" s="171"/>
    </row>
    <row r="3201" spans="2:2" ht="15.5" x14ac:dyDescent="0.35">
      <c r="B3201" s="171"/>
    </row>
    <row r="3202" spans="2:2" ht="15.5" x14ac:dyDescent="0.35">
      <c r="B3202" s="171"/>
    </row>
    <row r="3203" spans="2:2" ht="15.5" x14ac:dyDescent="0.35">
      <c r="B3203" s="171"/>
    </row>
    <row r="3204" spans="2:2" ht="15.5" x14ac:dyDescent="0.35">
      <c r="B3204" s="171"/>
    </row>
    <row r="3205" spans="2:2" ht="15.5" x14ac:dyDescent="0.35">
      <c r="B3205" s="171"/>
    </row>
    <row r="3206" spans="2:2" ht="15.5" x14ac:dyDescent="0.35">
      <c r="B3206" s="171"/>
    </row>
    <row r="3207" spans="2:2" ht="15.5" x14ac:dyDescent="0.35">
      <c r="B3207" s="171"/>
    </row>
    <row r="3208" spans="2:2" ht="15.5" x14ac:dyDescent="0.35">
      <c r="B3208" s="171"/>
    </row>
    <row r="3209" spans="2:2" ht="15.5" x14ac:dyDescent="0.35">
      <c r="B3209" s="171"/>
    </row>
    <row r="3210" spans="2:2" ht="15.5" x14ac:dyDescent="0.35">
      <c r="B3210" s="171"/>
    </row>
    <row r="3211" spans="2:2" ht="15.5" x14ac:dyDescent="0.35">
      <c r="B3211" s="171"/>
    </row>
    <row r="3212" spans="2:2" ht="15.5" x14ac:dyDescent="0.35">
      <c r="B3212" s="171"/>
    </row>
    <row r="3213" spans="2:2" ht="15.5" x14ac:dyDescent="0.35">
      <c r="B3213" s="171"/>
    </row>
    <row r="3214" spans="2:2" ht="15.5" x14ac:dyDescent="0.35">
      <c r="B3214" s="171"/>
    </row>
    <row r="3215" spans="2:2" ht="15.5" x14ac:dyDescent="0.35">
      <c r="B3215" s="171"/>
    </row>
    <row r="3216" spans="2:2" ht="15.5" x14ac:dyDescent="0.35">
      <c r="B3216" s="171"/>
    </row>
    <row r="3217" spans="2:2" ht="15.5" x14ac:dyDescent="0.35">
      <c r="B3217" s="171"/>
    </row>
    <row r="3218" spans="2:2" ht="15.5" x14ac:dyDescent="0.35">
      <c r="B3218" s="171"/>
    </row>
    <row r="3219" spans="2:2" ht="15.5" x14ac:dyDescent="0.35">
      <c r="B3219" s="171"/>
    </row>
    <row r="3220" spans="2:2" ht="15.5" x14ac:dyDescent="0.35">
      <c r="B3220" s="171"/>
    </row>
    <row r="3221" spans="2:2" ht="15.5" x14ac:dyDescent="0.35">
      <c r="B3221" s="171"/>
    </row>
    <row r="3222" spans="2:2" ht="15.5" x14ac:dyDescent="0.35">
      <c r="B3222" s="171"/>
    </row>
    <row r="3223" spans="2:2" ht="15.5" x14ac:dyDescent="0.35">
      <c r="B3223" s="171"/>
    </row>
    <row r="3224" spans="2:2" ht="15.5" x14ac:dyDescent="0.35">
      <c r="B3224" s="171"/>
    </row>
    <row r="3225" spans="2:2" ht="15.5" x14ac:dyDescent="0.35">
      <c r="B3225" s="171"/>
    </row>
    <row r="3226" spans="2:2" ht="15.5" x14ac:dyDescent="0.35">
      <c r="B3226" s="171"/>
    </row>
    <row r="3227" spans="2:2" ht="15.5" x14ac:dyDescent="0.35">
      <c r="B3227" s="171"/>
    </row>
    <row r="3228" spans="2:2" ht="15.5" x14ac:dyDescent="0.35">
      <c r="B3228" s="171"/>
    </row>
    <row r="3229" spans="2:2" ht="15.5" x14ac:dyDescent="0.35">
      <c r="B3229" s="171"/>
    </row>
    <row r="3230" spans="2:2" ht="15.5" x14ac:dyDescent="0.35">
      <c r="B3230" s="171"/>
    </row>
    <row r="3231" spans="2:2" ht="15.5" x14ac:dyDescent="0.35">
      <c r="B3231" s="171"/>
    </row>
    <row r="3232" spans="2:2" ht="15.5" x14ac:dyDescent="0.35">
      <c r="B3232" s="171"/>
    </row>
    <row r="3233" spans="2:2" ht="15.5" x14ac:dyDescent="0.35">
      <c r="B3233" s="171"/>
    </row>
    <row r="3234" spans="2:2" ht="15.5" x14ac:dyDescent="0.35">
      <c r="B3234" s="171"/>
    </row>
    <row r="3235" spans="2:2" ht="15.5" x14ac:dyDescent="0.35">
      <c r="B3235" s="171"/>
    </row>
    <row r="3236" spans="2:2" ht="15.5" x14ac:dyDescent="0.35">
      <c r="B3236" s="171"/>
    </row>
    <row r="3237" spans="2:2" ht="15.5" x14ac:dyDescent="0.35">
      <c r="B3237" s="171"/>
    </row>
    <row r="3238" spans="2:2" ht="15.5" x14ac:dyDescent="0.35">
      <c r="B3238" s="171"/>
    </row>
    <row r="3239" spans="2:2" ht="15.5" x14ac:dyDescent="0.35">
      <c r="B3239" s="171"/>
    </row>
    <row r="3240" spans="2:2" ht="15.5" x14ac:dyDescent="0.35">
      <c r="B3240" s="171"/>
    </row>
    <row r="3241" spans="2:2" ht="15.5" x14ac:dyDescent="0.35">
      <c r="B3241" s="171"/>
    </row>
    <row r="3242" spans="2:2" ht="15.5" x14ac:dyDescent="0.35">
      <c r="B3242" s="171"/>
    </row>
    <row r="3243" spans="2:2" ht="15.5" x14ac:dyDescent="0.35">
      <c r="B3243" s="171"/>
    </row>
    <row r="3244" spans="2:2" ht="15.5" x14ac:dyDescent="0.35">
      <c r="B3244" s="171"/>
    </row>
    <row r="3245" spans="2:2" ht="15.5" x14ac:dyDescent="0.35">
      <c r="B3245" s="171"/>
    </row>
    <row r="3246" spans="2:2" ht="15.5" x14ac:dyDescent="0.35">
      <c r="B3246" s="171"/>
    </row>
    <row r="3247" spans="2:2" ht="15.5" x14ac:dyDescent="0.35">
      <c r="B3247" s="171"/>
    </row>
    <row r="3248" spans="2:2" ht="15.5" x14ac:dyDescent="0.35">
      <c r="B3248" s="171"/>
    </row>
    <row r="3249" spans="2:2" ht="15.5" x14ac:dyDescent="0.35">
      <c r="B3249" s="171"/>
    </row>
    <row r="3250" spans="2:2" ht="15.5" x14ac:dyDescent="0.35">
      <c r="B3250" s="171"/>
    </row>
    <row r="3251" spans="2:2" ht="15.5" x14ac:dyDescent="0.35">
      <c r="B3251" s="171"/>
    </row>
    <row r="3252" spans="2:2" ht="15.5" x14ac:dyDescent="0.35">
      <c r="B3252" s="171"/>
    </row>
    <row r="3253" spans="2:2" ht="15.5" x14ac:dyDescent="0.35">
      <c r="B3253" s="171"/>
    </row>
    <row r="3254" spans="2:2" ht="15.5" x14ac:dyDescent="0.35">
      <c r="B3254" s="171"/>
    </row>
    <row r="3255" spans="2:2" ht="15.5" x14ac:dyDescent="0.35">
      <c r="B3255" s="171"/>
    </row>
    <row r="3256" spans="2:2" ht="15.5" x14ac:dyDescent="0.35">
      <c r="B3256" s="171"/>
    </row>
    <row r="3257" spans="2:2" ht="15.5" x14ac:dyDescent="0.35">
      <c r="B3257" s="171"/>
    </row>
    <row r="3258" spans="2:2" ht="15.5" x14ac:dyDescent="0.35">
      <c r="B3258" s="171"/>
    </row>
    <row r="3259" spans="2:2" ht="15.5" x14ac:dyDescent="0.35">
      <c r="B3259" s="171"/>
    </row>
    <row r="3260" spans="2:2" ht="15.5" x14ac:dyDescent="0.35">
      <c r="B3260" s="171"/>
    </row>
    <row r="3261" spans="2:2" ht="15.5" x14ac:dyDescent="0.35">
      <c r="B3261" s="171"/>
    </row>
    <row r="3262" spans="2:2" ht="15.5" x14ac:dyDescent="0.35">
      <c r="B3262" s="171"/>
    </row>
    <row r="3263" spans="2:2" ht="15.5" x14ac:dyDescent="0.35">
      <c r="B3263" s="171"/>
    </row>
    <row r="3264" spans="2:2" ht="15.5" x14ac:dyDescent="0.35">
      <c r="B3264" s="171"/>
    </row>
    <row r="3265" spans="2:2" ht="15.5" x14ac:dyDescent="0.35">
      <c r="B3265" s="171"/>
    </row>
    <row r="3266" spans="2:2" ht="15.5" x14ac:dyDescent="0.35">
      <c r="B3266" s="171"/>
    </row>
    <row r="3267" spans="2:2" ht="15.5" x14ac:dyDescent="0.35">
      <c r="B3267" s="171"/>
    </row>
    <row r="3268" spans="2:2" ht="15.5" x14ac:dyDescent="0.35">
      <c r="B3268" s="171"/>
    </row>
    <row r="3269" spans="2:2" ht="15.5" x14ac:dyDescent="0.35">
      <c r="B3269" s="171"/>
    </row>
    <row r="3270" spans="2:2" ht="15.5" x14ac:dyDescent="0.35">
      <c r="B3270" s="171"/>
    </row>
    <row r="3271" spans="2:2" ht="15.5" x14ac:dyDescent="0.35">
      <c r="B3271" s="171"/>
    </row>
    <row r="3272" spans="2:2" ht="15.5" x14ac:dyDescent="0.35">
      <c r="B3272" s="171"/>
    </row>
    <row r="3273" spans="2:2" ht="15.5" x14ac:dyDescent="0.35">
      <c r="B3273" s="171"/>
    </row>
    <row r="3274" spans="2:2" ht="15.5" x14ac:dyDescent="0.35">
      <c r="B3274" s="171"/>
    </row>
    <row r="3275" spans="2:2" ht="15.5" x14ac:dyDescent="0.35">
      <c r="B3275" s="171"/>
    </row>
    <row r="3276" spans="2:2" ht="15.5" x14ac:dyDescent="0.35">
      <c r="B3276" s="171"/>
    </row>
    <row r="3277" spans="2:2" ht="15.5" x14ac:dyDescent="0.35">
      <c r="B3277" s="171"/>
    </row>
    <row r="3278" spans="2:2" ht="15.5" x14ac:dyDescent="0.35">
      <c r="B3278" s="171"/>
    </row>
    <row r="3279" spans="2:2" ht="15.5" x14ac:dyDescent="0.35">
      <c r="B3279" s="171"/>
    </row>
    <row r="3280" spans="2:2" ht="15.5" x14ac:dyDescent="0.35">
      <c r="B3280" s="171"/>
    </row>
    <row r="3281" spans="2:2" ht="15.5" x14ac:dyDescent="0.35">
      <c r="B3281" s="171"/>
    </row>
    <row r="3282" spans="2:2" ht="15.5" x14ac:dyDescent="0.35">
      <c r="B3282" s="171"/>
    </row>
    <row r="3283" spans="2:2" ht="15.5" x14ac:dyDescent="0.35">
      <c r="B3283" s="171"/>
    </row>
    <row r="3284" spans="2:2" ht="15.5" x14ac:dyDescent="0.35">
      <c r="B3284" s="171"/>
    </row>
    <row r="3285" spans="2:2" ht="15.5" x14ac:dyDescent="0.35">
      <c r="B3285" s="171"/>
    </row>
    <row r="3286" spans="2:2" ht="15.5" x14ac:dyDescent="0.35">
      <c r="B3286" s="171"/>
    </row>
    <row r="3287" spans="2:2" ht="15.5" x14ac:dyDescent="0.35">
      <c r="B3287" s="171"/>
    </row>
    <row r="3288" spans="2:2" ht="15.5" x14ac:dyDescent="0.35">
      <c r="B3288" s="171"/>
    </row>
    <row r="3289" spans="2:2" ht="15.5" x14ac:dyDescent="0.35">
      <c r="B3289" s="171"/>
    </row>
    <row r="3290" spans="2:2" ht="15.5" x14ac:dyDescent="0.35">
      <c r="B3290" s="171"/>
    </row>
    <row r="3291" spans="2:2" ht="15.5" x14ac:dyDescent="0.35">
      <c r="B3291" s="171"/>
    </row>
    <row r="3292" spans="2:2" ht="15.5" x14ac:dyDescent="0.35">
      <c r="B3292" s="171"/>
    </row>
    <row r="3293" spans="2:2" ht="15.5" x14ac:dyDescent="0.35">
      <c r="B3293" s="171"/>
    </row>
    <row r="3294" spans="2:2" ht="15.5" x14ac:dyDescent="0.35">
      <c r="B3294" s="171"/>
    </row>
    <row r="3295" spans="2:2" ht="15.5" x14ac:dyDescent="0.35">
      <c r="B3295" s="171"/>
    </row>
    <row r="3296" spans="2:2" ht="15.5" x14ac:dyDescent="0.35">
      <c r="B3296" s="171"/>
    </row>
    <row r="3297" spans="2:2" ht="15.5" x14ac:dyDescent="0.35">
      <c r="B3297" s="171"/>
    </row>
    <row r="3298" spans="2:2" ht="15.5" x14ac:dyDescent="0.35">
      <c r="B3298" s="171"/>
    </row>
    <row r="3299" spans="2:2" ht="15.5" x14ac:dyDescent="0.35">
      <c r="B3299" s="171"/>
    </row>
    <row r="3300" spans="2:2" ht="15.5" x14ac:dyDescent="0.35">
      <c r="B3300" s="171"/>
    </row>
    <row r="3301" spans="2:2" ht="15.5" x14ac:dyDescent="0.35">
      <c r="B3301" s="171"/>
    </row>
    <row r="3302" spans="2:2" ht="15.5" x14ac:dyDescent="0.35">
      <c r="B3302" s="171"/>
    </row>
    <row r="3303" spans="2:2" ht="15.5" x14ac:dyDescent="0.35">
      <c r="B3303" s="171"/>
    </row>
    <row r="3304" spans="2:2" ht="15.5" x14ac:dyDescent="0.35">
      <c r="B3304" s="171"/>
    </row>
    <row r="3305" spans="2:2" ht="15.5" x14ac:dyDescent="0.35">
      <c r="B3305" s="171"/>
    </row>
    <row r="3306" spans="2:2" ht="15.5" x14ac:dyDescent="0.35">
      <c r="B3306" s="171"/>
    </row>
    <row r="3307" spans="2:2" ht="15.5" x14ac:dyDescent="0.35">
      <c r="B3307" s="171"/>
    </row>
    <row r="3308" spans="2:2" ht="15.5" x14ac:dyDescent="0.35">
      <c r="B3308" s="171"/>
    </row>
    <row r="3309" spans="2:2" ht="15.5" x14ac:dyDescent="0.35">
      <c r="B3309" s="171"/>
    </row>
    <row r="3310" spans="2:2" ht="15.5" x14ac:dyDescent="0.35">
      <c r="B3310" s="171"/>
    </row>
    <row r="3311" spans="2:2" ht="15.5" x14ac:dyDescent="0.35">
      <c r="B3311" s="171"/>
    </row>
    <row r="3312" spans="2:2" ht="15.5" x14ac:dyDescent="0.35">
      <c r="B3312" s="171"/>
    </row>
    <row r="3313" spans="2:2" ht="15.5" x14ac:dyDescent="0.35">
      <c r="B3313" s="171"/>
    </row>
    <row r="3314" spans="2:2" ht="15.5" x14ac:dyDescent="0.35">
      <c r="B3314" s="171"/>
    </row>
    <row r="3315" spans="2:2" ht="15.5" x14ac:dyDescent="0.35">
      <c r="B3315" s="171"/>
    </row>
    <row r="3316" spans="2:2" ht="15.5" x14ac:dyDescent="0.35">
      <c r="B3316" s="171"/>
    </row>
    <row r="3317" spans="2:2" ht="15.5" x14ac:dyDescent="0.35">
      <c r="B3317" s="171"/>
    </row>
    <row r="3318" spans="2:2" ht="15.5" x14ac:dyDescent="0.35">
      <c r="B3318" s="171"/>
    </row>
    <row r="3319" spans="2:2" ht="15.5" x14ac:dyDescent="0.35">
      <c r="B3319" s="171"/>
    </row>
    <row r="3320" spans="2:2" ht="15.5" x14ac:dyDescent="0.35">
      <c r="B3320" s="171"/>
    </row>
    <row r="3321" spans="2:2" ht="15.5" x14ac:dyDescent="0.35">
      <c r="B3321" s="171"/>
    </row>
    <row r="3322" spans="2:2" ht="15.5" x14ac:dyDescent="0.35">
      <c r="B3322" s="171"/>
    </row>
    <row r="3323" spans="2:2" ht="15.5" x14ac:dyDescent="0.35">
      <c r="B3323" s="171"/>
    </row>
    <row r="3324" spans="2:2" ht="15.5" x14ac:dyDescent="0.35">
      <c r="B3324" s="171"/>
    </row>
    <row r="3325" spans="2:2" ht="15.5" x14ac:dyDescent="0.35">
      <c r="B3325" s="171"/>
    </row>
    <row r="3326" spans="2:2" ht="15.5" x14ac:dyDescent="0.35">
      <c r="B3326" s="171"/>
    </row>
    <row r="3327" spans="2:2" ht="15.5" x14ac:dyDescent="0.35">
      <c r="B3327" s="171"/>
    </row>
    <row r="3328" spans="2:2" ht="15.5" x14ac:dyDescent="0.35">
      <c r="B3328" s="171"/>
    </row>
    <row r="3329" spans="2:2" ht="15.5" x14ac:dyDescent="0.35">
      <c r="B3329" s="171"/>
    </row>
    <row r="3330" spans="2:2" ht="15.5" x14ac:dyDescent="0.35">
      <c r="B3330" s="171"/>
    </row>
    <row r="3331" spans="2:2" ht="15.5" x14ac:dyDescent="0.35">
      <c r="B3331" s="171"/>
    </row>
    <row r="3332" spans="2:2" ht="15.5" x14ac:dyDescent="0.35">
      <c r="B3332" s="171"/>
    </row>
    <row r="3333" spans="2:2" ht="15.5" x14ac:dyDescent="0.35">
      <c r="B3333" s="171"/>
    </row>
    <row r="3334" spans="2:2" ht="15.5" x14ac:dyDescent="0.35">
      <c r="B3334" s="171"/>
    </row>
    <row r="3335" spans="2:2" ht="15.5" x14ac:dyDescent="0.35">
      <c r="B3335" s="171"/>
    </row>
    <row r="3336" spans="2:2" ht="15.5" x14ac:dyDescent="0.35">
      <c r="B3336" s="171"/>
    </row>
    <row r="3337" spans="2:2" ht="15.5" x14ac:dyDescent="0.35">
      <c r="B3337" s="171"/>
    </row>
    <row r="3338" spans="2:2" ht="15.5" x14ac:dyDescent="0.35">
      <c r="B3338" s="171"/>
    </row>
    <row r="3339" spans="2:2" ht="15.5" x14ac:dyDescent="0.35">
      <c r="B3339" s="171"/>
    </row>
    <row r="3340" spans="2:2" ht="15.5" x14ac:dyDescent="0.35">
      <c r="B3340" s="171"/>
    </row>
    <row r="3341" spans="2:2" ht="15.5" x14ac:dyDescent="0.35">
      <c r="B3341" s="171"/>
    </row>
    <row r="3342" spans="2:2" ht="15.5" x14ac:dyDescent="0.35">
      <c r="B3342" s="171"/>
    </row>
    <row r="3343" spans="2:2" ht="15.5" x14ac:dyDescent="0.35">
      <c r="B3343" s="171"/>
    </row>
    <row r="3344" spans="2:2" ht="15.5" x14ac:dyDescent="0.35">
      <c r="B3344" s="171"/>
    </row>
    <row r="3345" spans="2:2" ht="15.5" x14ac:dyDescent="0.35">
      <c r="B3345" s="171"/>
    </row>
    <row r="3346" spans="2:2" ht="15.5" x14ac:dyDescent="0.35">
      <c r="B3346" s="171"/>
    </row>
    <row r="3347" spans="2:2" ht="15.5" x14ac:dyDescent="0.35">
      <c r="B3347" s="171"/>
    </row>
    <row r="3348" spans="2:2" ht="15.5" x14ac:dyDescent="0.35">
      <c r="B3348" s="171"/>
    </row>
    <row r="3349" spans="2:2" ht="15.5" x14ac:dyDescent="0.35">
      <c r="B3349" s="171"/>
    </row>
    <row r="3350" spans="2:2" ht="15.5" x14ac:dyDescent="0.35">
      <c r="B3350" s="171"/>
    </row>
    <row r="3351" spans="2:2" ht="15.5" x14ac:dyDescent="0.35">
      <c r="B3351" s="171"/>
    </row>
    <row r="3352" spans="2:2" ht="15.5" x14ac:dyDescent="0.35">
      <c r="B3352" s="171"/>
    </row>
    <row r="3353" spans="2:2" ht="15.5" x14ac:dyDescent="0.35">
      <c r="B3353" s="171"/>
    </row>
    <row r="3354" spans="2:2" ht="15.5" x14ac:dyDescent="0.35">
      <c r="B3354" s="171"/>
    </row>
    <row r="3355" spans="2:2" ht="15.5" x14ac:dyDescent="0.35">
      <c r="B3355" s="171"/>
    </row>
    <row r="3356" spans="2:2" ht="15.5" x14ac:dyDescent="0.35">
      <c r="B3356" s="171"/>
    </row>
    <row r="3357" spans="2:2" ht="15.5" x14ac:dyDescent="0.35">
      <c r="B3357" s="171"/>
    </row>
    <row r="3358" spans="2:2" ht="15.5" x14ac:dyDescent="0.35">
      <c r="B3358" s="171"/>
    </row>
    <row r="3359" spans="2:2" ht="15.5" x14ac:dyDescent="0.35">
      <c r="B3359" s="171"/>
    </row>
    <row r="3360" spans="2:2" ht="15.5" x14ac:dyDescent="0.35">
      <c r="B3360" s="171"/>
    </row>
    <row r="3361" spans="2:2" ht="15.5" x14ac:dyDescent="0.35">
      <c r="B3361" s="171"/>
    </row>
    <row r="3362" spans="2:2" ht="15.5" x14ac:dyDescent="0.35">
      <c r="B3362" s="171"/>
    </row>
    <row r="3363" spans="2:2" ht="15.5" x14ac:dyDescent="0.35">
      <c r="B3363" s="171"/>
    </row>
    <row r="3364" spans="2:2" ht="15.5" x14ac:dyDescent="0.35">
      <c r="B3364" s="171"/>
    </row>
    <row r="3365" spans="2:2" ht="15.5" x14ac:dyDescent="0.35">
      <c r="B3365" s="171"/>
    </row>
    <row r="3366" spans="2:2" ht="15.5" x14ac:dyDescent="0.35">
      <c r="B3366" s="171"/>
    </row>
    <row r="3367" spans="2:2" ht="15.5" x14ac:dyDescent="0.35">
      <c r="B3367" s="171"/>
    </row>
    <row r="3368" spans="2:2" ht="15.5" x14ac:dyDescent="0.35">
      <c r="B3368" s="171"/>
    </row>
    <row r="3369" spans="2:2" ht="15.5" x14ac:dyDescent="0.35">
      <c r="B3369" s="171"/>
    </row>
    <row r="3370" spans="2:2" ht="15.5" x14ac:dyDescent="0.35">
      <c r="B3370" s="171"/>
    </row>
    <row r="3371" spans="2:2" ht="15.5" x14ac:dyDescent="0.35">
      <c r="B3371" s="171"/>
    </row>
    <row r="3372" spans="2:2" ht="15.5" x14ac:dyDescent="0.35">
      <c r="B3372" s="171"/>
    </row>
    <row r="3373" spans="2:2" ht="15.5" x14ac:dyDescent="0.35">
      <c r="B3373" s="171"/>
    </row>
    <row r="3374" spans="2:2" ht="15.5" x14ac:dyDescent="0.35">
      <c r="B3374" s="171"/>
    </row>
    <row r="3375" spans="2:2" ht="15.5" x14ac:dyDescent="0.35">
      <c r="B3375" s="171"/>
    </row>
    <row r="3376" spans="2:2" ht="15.5" x14ac:dyDescent="0.35">
      <c r="B3376" s="171"/>
    </row>
    <row r="3377" spans="2:2" ht="15.5" x14ac:dyDescent="0.35">
      <c r="B3377" s="171"/>
    </row>
    <row r="3378" spans="2:2" ht="15.5" x14ac:dyDescent="0.35">
      <c r="B3378" s="171"/>
    </row>
    <row r="3379" spans="2:2" ht="15.5" x14ac:dyDescent="0.35">
      <c r="B3379" s="171"/>
    </row>
    <row r="3380" spans="2:2" ht="15.5" x14ac:dyDescent="0.35">
      <c r="B3380" s="171"/>
    </row>
    <row r="3381" spans="2:2" ht="15.5" x14ac:dyDescent="0.35">
      <c r="B3381" s="171"/>
    </row>
    <row r="3382" spans="2:2" ht="15.5" x14ac:dyDescent="0.35">
      <c r="B3382" s="171"/>
    </row>
    <row r="3383" spans="2:2" ht="15.5" x14ac:dyDescent="0.35">
      <c r="B3383" s="171"/>
    </row>
    <row r="3384" spans="2:2" ht="15.5" x14ac:dyDescent="0.35">
      <c r="B3384" s="171"/>
    </row>
    <row r="3385" spans="2:2" ht="15.5" x14ac:dyDescent="0.35">
      <c r="B3385" s="171"/>
    </row>
    <row r="3386" spans="2:2" ht="15.5" x14ac:dyDescent="0.35">
      <c r="B3386" s="171"/>
    </row>
    <row r="3387" spans="2:2" ht="15.5" x14ac:dyDescent="0.35">
      <c r="B3387" s="171"/>
    </row>
    <row r="3388" spans="2:2" ht="15.5" x14ac:dyDescent="0.35">
      <c r="B3388" s="171"/>
    </row>
    <row r="3389" spans="2:2" ht="15.5" x14ac:dyDescent="0.35">
      <c r="B3389" s="171"/>
    </row>
    <row r="3390" spans="2:2" ht="15.5" x14ac:dyDescent="0.35">
      <c r="B3390" s="171"/>
    </row>
    <row r="3391" spans="2:2" ht="15.5" x14ac:dyDescent="0.35">
      <c r="B3391" s="171"/>
    </row>
    <row r="3392" spans="2:2" ht="15.5" x14ac:dyDescent="0.35">
      <c r="B3392" s="171"/>
    </row>
    <row r="3393" spans="2:2" ht="15.5" x14ac:dyDescent="0.35">
      <c r="B3393" s="171"/>
    </row>
    <row r="3394" spans="2:2" ht="15.5" x14ac:dyDescent="0.35">
      <c r="B3394" s="171"/>
    </row>
    <row r="3395" spans="2:2" ht="15.5" x14ac:dyDescent="0.35">
      <c r="B3395" s="171"/>
    </row>
    <row r="3396" spans="2:2" ht="15.5" x14ac:dyDescent="0.35">
      <c r="B3396" s="171"/>
    </row>
    <row r="3397" spans="2:2" ht="15.5" x14ac:dyDescent="0.35">
      <c r="B3397" s="171"/>
    </row>
    <row r="3398" spans="2:2" ht="15.5" x14ac:dyDescent="0.35">
      <c r="B3398" s="171"/>
    </row>
    <row r="3399" spans="2:2" ht="15.5" x14ac:dyDescent="0.35">
      <c r="B3399" s="171"/>
    </row>
    <row r="3400" spans="2:2" ht="15.5" x14ac:dyDescent="0.35">
      <c r="B3400" s="171"/>
    </row>
    <row r="3401" spans="2:2" ht="15.5" x14ac:dyDescent="0.35">
      <c r="B3401" s="171"/>
    </row>
    <row r="3402" spans="2:2" ht="15.5" x14ac:dyDescent="0.35">
      <c r="B3402" s="171"/>
    </row>
    <row r="3403" spans="2:2" ht="15.5" x14ac:dyDescent="0.35">
      <c r="B3403" s="171"/>
    </row>
    <row r="3404" spans="2:2" ht="15.5" x14ac:dyDescent="0.35">
      <c r="B3404" s="171"/>
    </row>
    <row r="3405" spans="2:2" ht="15.5" x14ac:dyDescent="0.35">
      <c r="B3405" s="171"/>
    </row>
    <row r="3406" spans="2:2" ht="15.5" x14ac:dyDescent="0.35">
      <c r="B3406" s="171"/>
    </row>
    <row r="3407" spans="2:2" ht="15.5" x14ac:dyDescent="0.35">
      <c r="B3407" s="171"/>
    </row>
    <row r="3408" spans="2:2" ht="15.5" x14ac:dyDescent="0.35">
      <c r="B3408" s="171"/>
    </row>
    <row r="3409" spans="2:2" ht="15.5" x14ac:dyDescent="0.35">
      <c r="B3409" s="171"/>
    </row>
    <row r="3410" spans="2:2" ht="15.5" x14ac:dyDescent="0.35">
      <c r="B3410" s="171"/>
    </row>
    <row r="3411" spans="2:2" ht="15.5" x14ac:dyDescent="0.35">
      <c r="B3411" s="171"/>
    </row>
    <row r="3412" spans="2:2" ht="15.5" x14ac:dyDescent="0.35">
      <c r="B3412" s="171"/>
    </row>
    <row r="3413" spans="2:2" ht="15.5" x14ac:dyDescent="0.35">
      <c r="B3413" s="171"/>
    </row>
    <row r="3414" spans="2:2" ht="15.5" x14ac:dyDescent="0.35">
      <c r="B3414" s="171"/>
    </row>
    <row r="3415" spans="2:2" ht="15.5" x14ac:dyDescent="0.35">
      <c r="B3415" s="171"/>
    </row>
    <row r="3416" spans="2:2" ht="15.5" x14ac:dyDescent="0.35">
      <c r="B3416" s="171"/>
    </row>
    <row r="3417" spans="2:2" ht="15.5" x14ac:dyDescent="0.35">
      <c r="B3417" s="171"/>
    </row>
    <row r="3418" spans="2:2" ht="15.5" x14ac:dyDescent="0.35">
      <c r="B3418" s="171"/>
    </row>
    <row r="3419" spans="2:2" ht="15.5" x14ac:dyDescent="0.35">
      <c r="B3419" s="171"/>
    </row>
    <row r="3420" spans="2:2" ht="15.5" x14ac:dyDescent="0.35">
      <c r="B3420" s="171"/>
    </row>
    <row r="3421" spans="2:2" ht="15.5" x14ac:dyDescent="0.35">
      <c r="B3421" s="171"/>
    </row>
    <row r="3422" spans="2:2" ht="15.5" x14ac:dyDescent="0.35">
      <c r="B3422" s="171"/>
    </row>
    <row r="3423" spans="2:2" ht="15.5" x14ac:dyDescent="0.35">
      <c r="B3423" s="171"/>
    </row>
    <row r="3424" spans="2:2" ht="15.5" x14ac:dyDescent="0.35">
      <c r="B3424" s="171"/>
    </row>
    <row r="3425" spans="2:2" ht="15.5" x14ac:dyDescent="0.35">
      <c r="B3425" s="171"/>
    </row>
    <row r="3426" spans="2:2" ht="15.5" x14ac:dyDescent="0.35">
      <c r="B3426" s="171"/>
    </row>
    <row r="3427" spans="2:2" ht="15.5" x14ac:dyDescent="0.35">
      <c r="B3427" s="171"/>
    </row>
    <row r="3428" spans="2:2" ht="15.5" x14ac:dyDescent="0.35">
      <c r="B3428" s="171"/>
    </row>
    <row r="3429" spans="2:2" ht="15.5" x14ac:dyDescent="0.35">
      <c r="B3429" s="171"/>
    </row>
    <row r="3430" spans="2:2" ht="15.5" x14ac:dyDescent="0.35">
      <c r="B3430" s="171"/>
    </row>
    <row r="3431" spans="2:2" ht="15.5" x14ac:dyDescent="0.35">
      <c r="B3431" s="171"/>
    </row>
    <row r="3432" spans="2:2" ht="15.5" x14ac:dyDescent="0.35">
      <c r="B3432" s="171"/>
    </row>
    <row r="3433" spans="2:2" ht="15.5" x14ac:dyDescent="0.35">
      <c r="B3433" s="171"/>
    </row>
    <row r="3434" spans="2:2" ht="15.5" x14ac:dyDescent="0.35">
      <c r="B3434" s="171"/>
    </row>
    <row r="3435" spans="2:2" ht="15.5" x14ac:dyDescent="0.35">
      <c r="B3435" s="171"/>
    </row>
    <row r="3436" spans="2:2" ht="15.5" x14ac:dyDescent="0.35">
      <c r="B3436" s="171"/>
    </row>
    <row r="3437" spans="2:2" ht="15.5" x14ac:dyDescent="0.35">
      <c r="B3437" s="171"/>
    </row>
    <row r="3438" spans="2:2" ht="15.5" x14ac:dyDescent="0.35">
      <c r="B3438" s="171"/>
    </row>
    <row r="3439" spans="2:2" ht="15.5" x14ac:dyDescent="0.35">
      <c r="B3439" s="171"/>
    </row>
    <row r="3440" spans="2:2" ht="15.5" x14ac:dyDescent="0.35">
      <c r="B3440" s="171"/>
    </row>
    <row r="3441" spans="2:2" ht="15.5" x14ac:dyDescent="0.35">
      <c r="B3441" s="171"/>
    </row>
    <row r="3442" spans="2:2" ht="15.5" x14ac:dyDescent="0.35">
      <c r="B3442" s="171"/>
    </row>
    <row r="3443" spans="2:2" ht="15.5" x14ac:dyDescent="0.35">
      <c r="B3443" s="171"/>
    </row>
    <row r="3444" spans="2:2" ht="15.5" x14ac:dyDescent="0.35">
      <c r="B3444" s="171"/>
    </row>
    <row r="3445" spans="2:2" ht="15.5" x14ac:dyDescent="0.35">
      <c r="B3445" s="171"/>
    </row>
    <row r="3446" spans="2:2" ht="15.5" x14ac:dyDescent="0.35">
      <c r="B3446" s="171"/>
    </row>
    <row r="3447" spans="2:2" ht="15.5" x14ac:dyDescent="0.35">
      <c r="B3447" s="171"/>
    </row>
    <row r="3448" spans="2:2" ht="15.5" x14ac:dyDescent="0.35">
      <c r="B3448" s="171"/>
    </row>
    <row r="3449" spans="2:2" ht="15.5" x14ac:dyDescent="0.35">
      <c r="B3449" s="171"/>
    </row>
    <row r="3450" spans="2:2" ht="15.5" x14ac:dyDescent="0.35">
      <c r="B3450" s="171"/>
    </row>
    <row r="3451" spans="2:2" ht="15.5" x14ac:dyDescent="0.35">
      <c r="B3451" s="171"/>
    </row>
    <row r="3452" spans="2:2" ht="15.5" x14ac:dyDescent="0.35">
      <c r="B3452" s="171"/>
    </row>
    <row r="3453" spans="2:2" ht="15.5" x14ac:dyDescent="0.35">
      <c r="B3453" s="171"/>
    </row>
    <row r="3454" spans="2:2" ht="15.5" x14ac:dyDescent="0.35">
      <c r="B3454" s="171"/>
    </row>
    <row r="3455" spans="2:2" ht="15.5" x14ac:dyDescent="0.35">
      <c r="B3455" s="171"/>
    </row>
    <row r="3456" spans="2:2" ht="15.5" x14ac:dyDescent="0.35">
      <c r="B3456" s="171"/>
    </row>
    <row r="3457" spans="2:2" ht="15.5" x14ac:dyDescent="0.35">
      <c r="B3457" s="171"/>
    </row>
    <row r="3458" spans="2:2" ht="15.5" x14ac:dyDescent="0.35">
      <c r="B3458" s="171"/>
    </row>
    <row r="3459" spans="2:2" ht="15.5" x14ac:dyDescent="0.35">
      <c r="B3459" s="171"/>
    </row>
    <row r="3460" spans="2:2" ht="15.5" x14ac:dyDescent="0.35">
      <c r="B3460" s="171"/>
    </row>
    <row r="3461" spans="2:2" ht="15.5" x14ac:dyDescent="0.35">
      <c r="B3461" s="171"/>
    </row>
    <row r="3462" spans="2:2" ht="15.5" x14ac:dyDescent="0.35">
      <c r="B3462" s="171"/>
    </row>
    <row r="3463" spans="2:2" ht="15.5" x14ac:dyDescent="0.35">
      <c r="B3463" s="171"/>
    </row>
    <row r="3464" spans="2:2" ht="15.5" x14ac:dyDescent="0.35">
      <c r="B3464" s="171"/>
    </row>
    <row r="3465" spans="2:2" ht="15.5" x14ac:dyDescent="0.35">
      <c r="B3465" s="171"/>
    </row>
    <row r="3466" spans="2:2" ht="15.5" x14ac:dyDescent="0.35">
      <c r="B3466" s="171"/>
    </row>
    <row r="3467" spans="2:2" ht="15.5" x14ac:dyDescent="0.35">
      <c r="B3467" s="171"/>
    </row>
    <row r="3468" spans="2:2" ht="15.5" x14ac:dyDescent="0.35">
      <c r="B3468" s="171"/>
    </row>
    <row r="3469" spans="2:2" ht="15.5" x14ac:dyDescent="0.35">
      <c r="B3469" s="171"/>
    </row>
    <row r="3470" spans="2:2" ht="15.5" x14ac:dyDescent="0.35">
      <c r="B3470" s="171"/>
    </row>
    <row r="3471" spans="2:2" ht="15.5" x14ac:dyDescent="0.35">
      <c r="B3471" s="171"/>
    </row>
    <row r="3472" spans="2:2" ht="15.5" x14ac:dyDescent="0.35">
      <c r="B3472" s="171"/>
    </row>
    <row r="3473" spans="2:2" ht="15.5" x14ac:dyDescent="0.35">
      <c r="B3473" s="171"/>
    </row>
    <row r="3474" spans="2:2" ht="15.5" x14ac:dyDescent="0.35">
      <c r="B3474" s="171"/>
    </row>
    <row r="3475" spans="2:2" ht="15.5" x14ac:dyDescent="0.35">
      <c r="B3475" s="171"/>
    </row>
    <row r="3476" spans="2:2" ht="15.5" x14ac:dyDescent="0.35">
      <c r="B3476" s="171"/>
    </row>
    <row r="3477" spans="2:2" ht="15.5" x14ac:dyDescent="0.35">
      <c r="B3477" s="171"/>
    </row>
    <row r="3478" spans="2:2" ht="15.5" x14ac:dyDescent="0.35">
      <c r="B3478" s="171"/>
    </row>
    <row r="3479" spans="2:2" ht="15.5" x14ac:dyDescent="0.35">
      <c r="B3479" s="171"/>
    </row>
    <row r="3480" spans="2:2" ht="15.5" x14ac:dyDescent="0.35">
      <c r="B3480" s="171"/>
    </row>
    <row r="3481" spans="2:2" ht="15.5" x14ac:dyDescent="0.35">
      <c r="B3481" s="171"/>
    </row>
    <row r="3482" spans="2:2" ht="15.5" x14ac:dyDescent="0.35">
      <c r="B3482" s="171"/>
    </row>
    <row r="3483" spans="2:2" ht="15.5" x14ac:dyDescent="0.35">
      <c r="B3483" s="171"/>
    </row>
    <row r="3484" spans="2:2" ht="15.5" x14ac:dyDescent="0.35">
      <c r="B3484" s="171"/>
    </row>
    <row r="3485" spans="2:2" ht="15.5" x14ac:dyDescent="0.35">
      <c r="B3485" s="171"/>
    </row>
    <row r="3486" spans="2:2" ht="15.5" x14ac:dyDescent="0.35">
      <c r="B3486" s="171"/>
    </row>
    <row r="3487" spans="2:2" ht="15.5" x14ac:dyDescent="0.35">
      <c r="B3487" s="171"/>
    </row>
    <row r="3488" spans="2:2" ht="15.5" x14ac:dyDescent="0.35">
      <c r="B3488" s="171"/>
    </row>
    <row r="3489" spans="2:2" ht="15.5" x14ac:dyDescent="0.35">
      <c r="B3489" s="171"/>
    </row>
    <row r="3490" spans="2:2" ht="15.5" x14ac:dyDescent="0.35">
      <c r="B3490" s="171"/>
    </row>
    <row r="3491" spans="2:2" ht="15.5" x14ac:dyDescent="0.35">
      <c r="B3491" s="171"/>
    </row>
    <row r="3492" spans="2:2" ht="15.5" x14ac:dyDescent="0.35">
      <c r="B3492" s="171"/>
    </row>
    <row r="3493" spans="2:2" ht="15.5" x14ac:dyDescent="0.35">
      <c r="B3493" s="171"/>
    </row>
    <row r="3494" spans="2:2" ht="15.5" x14ac:dyDescent="0.35">
      <c r="B3494" s="171"/>
    </row>
    <row r="3495" spans="2:2" ht="15.5" x14ac:dyDescent="0.35">
      <c r="B3495" s="171"/>
    </row>
    <row r="3496" spans="2:2" ht="15.5" x14ac:dyDescent="0.35">
      <c r="B3496" s="171"/>
    </row>
    <row r="3497" spans="2:2" ht="15.5" x14ac:dyDescent="0.35">
      <c r="B3497" s="171"/>
    </row>
    <row r="3498" spans="2:2" ht="15.5" x14ac:dyDescent="0.35">
      <c r="B3498" s="171"/>
    </row>
    <row r="3499" spans="2:2" ht="15.5" x14ac:dyDescent="0.35">
      <c r="B3499" s="171"/>
    </row>
    <row r="3500" spans="2:2" ht="15.5" x14ac:dyDescent="0.35">
      <c r="B3500" s="171"/>
    </row>
    <row r="3501" spans="2:2" ht="15.5" x14ac:dyDescent="0.35">
      <c r="B3501" s="171"/>
    </row>
    <row r="3502" spans="2:2" ht="15.5" x14ac:dyDescent="0.35">
      <c r="B3502" s="171"/>
    </row>
    <row r="3503" spans="2:2" ht="15.5" x14ac:dyDescent="0.35">
      <c r="B3503" s="171"/>
    </row>
    <row r="3504" spans="2:2" ht="15.5" x14ac:dyDescent="0.35">
      <c r="B3504" s="171"/>
    </row>
    <row r="3505" spans="2:2" ht="15.5" x14ac:dyDescent="0.35">
      <c r="B3505" s="171"/>
    </row>
    <row r="3506" spans="2:2" ht="15.5" x14ac:dyDescent="0.35">
      <c r="B3506" s="171"/>
    </row>
    <row r="3507" spans="2:2" ht="15.5" x14ac:dyDescent="0.35">
      <c r="B3507" s="171"/>
    </row>
    <row r="3508" spans="2:2" ht="15.5" x14ac:dyDescent="0.35">
      <c r="B3508" s="171"/>
    </row>
    <row r="3509" spans="2:2" ht="15.5" x14ac:dyDescent="0.35">
      <c r="B3509" s="171"/>
    </row>
    <row r="3510" spans="2:2" ht="15.5" x14ac:dyDescent="0.35">
      <c r="B3510" s="171"/>
    </row>
    <row r="3511" spans="2:2" ht="15.5" x14ac:dyDescent="0.35">
      <c r="B3511" s="171"/>
    </row>
    <row r="3512" spans="2:2" ht="15.5" x14ac:dyDescent="0.35">
      <c r="B3512" s="171"/>
    </row>
    <row r="3513" spans="2:2" ht="15.5" x14ac:dyDescent="0.35">
      <c r="B3513" s="171"/>
    </row>
    <row r="3514" spans="2:2" ht="15.5" x14ac:dyDescent="0.35">
      <c r="B3514" s="171"/>
    </row>
    <row r="3515" spans="2:2" ht="15.5" x14ac:dyDescent="0.35">
      <c r="B3515" s="171"/>
    </row>
    <row r="3516" spans="2:2" ht="15.5" x14ac:dyDescent="0.35">
      <c r="B3516" s="171"/>
    </row>
    <row r="3517" spans="2:2" ht="15.5" x14ac:dyDescent="0.35">
      <c r="B3517" s="171"/>
    </row>
    <row r="3518" spans="2:2" ht="15.5" x14ac:dyDescent="0.35">
      <c r="B3518" s="171"/>
    </row>
    <row r="3519" spans="2:2" ht="15.5" x14ac:dyDescent="0.35">
      <c r="B3519" s="171"/>
    </row>
    <row r="3520" spans="2:2" ht="15.5" x14ac:dyDescent="0.35">
      <c r="B3520" s="171"/>
    </row>
    <row r="3521" spans="2:2" ht="15.5" x14ac:dyDescent="0.35">
      <c r="B3521" s="171"/>
    </row>
    <row r="3522" spans="2:2" ht="15.5" x14ac:dyDescent="0.35">
      <c r="B3522" s="171"/>
    </row>
    <row r="3523" spans="2:2" ht="15.5" x14ac:dyDescent="0.35">
      <c r="B3523" s="171"/>
    </row>
    <row r="3524" spans="2:2" ht="15.5" x14ac:dyDescent="0.35">
      <c r="B3524" s="171"/>
    </row>
    <row r="3525" spans="2:2" ht="15.5" x14ac:dyDescent="0.35">
      <c r="B3525" s="171"/>
    </row>
    <row r="3526" spans="2:2" ht="15.5" x14ac:dyDescent="0.35">
      <c r="B3526" s="171"/>
    </row>
    <row r="3527" spans="2:2" ht="15.5" x14ac:dyDescent="0.35">
      <c r="B3527" s="171"/>
    </row>
    <row r="3528" spans="2:2" ht="15.5" x14ac:dyDescent="0.35">
      <c r="B3528" s="171"/>
    </row>
    <row r="3529" spans="2:2" ht="15.5" x14ac:dyDescent="0.35">
      <c r="B3529" s="171"/>
    </row>
    <row r="3530" spans="2:2" ht="15.5" x14ac:dyDescent="0.35">
      <c r="B3530" s="171"/>
    </row>
    <row r="3531" spans="2:2" ht="15.5" x14ac:dyDescent="0.35">
      <c r="B3531" s="171"/>
    </row>
    <row r="3532" spans="2:2" ht="15.5" x14ac:dyDescent="0.35">
      <c r="B3532" s="171"/>
    </row>
    <row r="3533" spans="2:2" ht="15.5" x14ac:dyDescent="0.35">
      <c r="B3533" s="171"/>
    </row>
    <row r="3534" spans="2:2" ht="15.5" x14ac:dyDescent="0.35">
      <c r="B3534" s="171"/>
    </row>
    <row r="3535" spans="2:2" ht="15.5" x14ac:dyDescent="0.35">
      <c r="B3535" s="171"/>
    </row>
    <row r="3536" spans="2:2" ht="15.5" x14ac:dyDescent="0.35">
      <c r="B3536" s="171"/>
    </row>
    <row r="3537" spans="2:2" ht="15.5" x14ac:dyDescent="0.35">
      <c r="B3537" s="171"/>
    </row>
    <row r="3538" spans="2:2" ht="15.5" x14ac:dyDescent="0.35">
      <c r="B3538" s="171"/>
    </row>
    <row r="3539" spans="2:2" ht="15.5" x14ac:dyDescent="0.35">
      <c r="B3539" s="171"/>
    </row>
    <row r="3540" spans="2:2" ht="15.5" x14ac:dyDescent="0.35">
      <c r="B3540" s="171"/>
    </row>
    <row r="3541" spans="2:2" ht="15.5" x14ac:dyDescent="0.35">
      <c r="B3541" s="171"/>
    </row>
    <row r="3542" spans="2:2" ht="15.5" x14ac:dyDescent="0.35">
      <c r="B3542" s="171"/>
    </row>
    <row r="3543" spans="2:2" ht="15.5" x14ac:dyDescent="0.35">
      <c r="B3543" s="171"/>
    </row>
    <row r="3544" spans="2:2" ht="15.5" x14ac:dyDescent="0.35">
      <c r="B3544" s="171"/>
    </row>
    <row r="3545" spans="2:2" ht="15.5" x14ac:dyDescent="0.35">
      <c r="B3545" s="171"/>
    </row>
    <row r="3546" spans="2:2" ht="15.5" x14ac:dyDescent="0.35">
      <c r="B3546" s="171"/>
    </row>
    <row r="3547" spans="2:2" ht="15.5" x14ac:dyDescent="0.35">
      <c r="B3547" s="171"/>
    </row>
    <row r="3548" spans="2:2" ht="15.5" x14ac:dyDescent="0.35">
      <c r="B3548" s="171"/>
    </row>
    <row r="3549" spans="2:2" ht="15.5" x14ac:dyDescent="0.35">
      <c r="B3549" s="171"/>
    </row>
    <row r="3550" spans="2:2" ht="15.5" x14ac:dyDescent="0.35">
      <c r="B3550" s="171"/>
    </row>
    <row r="3551" spans="2:2" ht="15.5" x14ac:dyDescent="0.35">
      <c r="B3551" s="171"/>
    </row>
    <row r="3552" spans="2:2" ht="15.5" x14ac:dyDescent="0.35">
      <c r="B3552" s="171"/>
    </row>
    <row r="3553" spans="2:2" ht="15.5" x14ac:dyDescent="0.35">
      <c r="B3553" s="171"/>
    </row>
    <row r="3554" spans="2:2" ht="15.5" x14ac:dyDescent="0.35">
      <c r="B3554" s="171"/>
    </row>
    <row r="3555" spans="2:2" ht="15.5" x14ac:dyDescent="0.35">
      <c r="B3555" s="171"/>
    </row>
    <row r="3556" spans="2:2" ht="15.5" x14ac:dyDescent="0.35">
      <c r="B3556" s="171"/>
    </row>
    <row r="3557" spans="2:2" ht="15.5" x14ac:dyDescent="0.35">
      <c r="B3557" s="171"/>
    </row>
    <row r="3558" spans="2:2" ht="15.5" x14ac:dyDescent="0.35">
      <c r="B3558" s="171"/>
    </row>
    <row r="3559" spans="2:2" ht="15.5" x14ac:dyDescent="0.35">
      <c r="B3559" s="171"/>
    </row>
    <row r="3560" spans="2:2" ht="15.5" x14ac:dyDescent="0.35">
      <c r="B3560" s="171"/>
    </row>
    <row r="3561" spans="2:2" ht="15.5" x14ac:dyDescent="0.35">
      <c r="B3561" s="171"/>
    </row>
    <row r="3562" spans="2:2" ht="15.5" x14ac:dyDescent="0.35">
      <c r="B3562" s="171"/>
    </row>
    <row r="3563" spans="2:2" ht="15.5" x14ac:dyDescent="0.35">
      <c r="B3563" s="171"/>
    </row>
    <row r="3564" spans="2:2" ht="15.5" x14ac:dyDescent="0.35">
      <c r="B3564" s="171"/>
    </row>
    <row r="3565" spans="2:2" ht="15.5" x14ac:dyDescent="0.35">
      <c r="B3565" s="171"/>
    </row>
    <row r="3566" spans="2:2" ht="15.5" x14ac:dyDescent="0.35">
      <c r="B3566" s="171"/>
    </row>
    <row r="3567" spans="2:2" ht="15.5" x14ac:dyDescent="0.35">
      <c r="B3567" s="171"/>
    </row>
    <row r="3568" spans="2:2" ht="15.5" x14ac:dyDescent="0.35">
      <c r="B3568" s="171"/>
    </row>
    <row r="3569" spans="2:2" ht="15.5" x14ac:dyDescent="0.35">
      <c r="B3569" s="171"/>
    </row>
    <row r="3570" spans="2:2" ht="15.5" x14ac:dyDescent="0.35">
      <c r="B3570" s="171"/>
    </row>
    <row r="3571" spans="2:2" ht="15.5" x14ac:dyDescent="0.35">
      <c r="B3571" s="171"/>
    </row>
    <row r="3572" spans="2:2" ht="15.5" x14ac:dyDescent="0.35">
      <c r="B3572" s="171"/>
    </row>
    <row r="3573" spans="2:2" ht="15.5" x14ac:dyDescent="0.35">
      <c r="B3573" s="171"/>
    </row>
    <row r="3574" spans="2:2" ht="15.5" x14ac:dyDescent="0.35">
      <c r="B3574" s="171"/>
    </row>
    <row r="3575" spans="2:2" ht="15.5" x14ac:dyDescent="0.35">
      <c r="B3575" s="171"/>
    </row>
    <row r="3576" spans="2:2" ht="15.5" x14ac:dyDescent="0.35">
      <c r="B3576" s="171"/>
    </row>
    <row r="3577" spans="2:2" ht="15.5" x14ac:dyDescent="0.35">
      <c r="B3577" s="171"/>
    </row>
    <row r="3578" spans="2:2" ht="15.5" x14ac:dyDescent="0.35">
      <c r="B3578" s="171"/>
    </row>
    <row r="3579" spans="2:2" ht="15.5" x14ac:dyDescent="0.35">
      <c r="B3579" s="171"/>
    </row>
    <row r="3580" spans="2:2" ht="15.5" x14ac:dyDescent="0.35">
      <c r="B3580" s="171"/>
    </row>
    <row r="3581" spans="2:2" ht="15.5" x14ac:dyDescent="0.35">
      <c r="B3581" s="171"/>
    </row>
    <row r="3582" spans="2:2" ht="15.5" x14ac:dyDescent="0.35">
      <c r="B3582" s="171"/>
    </row>
    <row r="3583" spans="2:2" ht="15.5" x14ac:dyDescent="0.35">
      <c r="B3583" s="171"/>
    </row>
    <row r="3584" spans="2:2" ht="15.5" x14ac:dyDescent="0.35">
      <c r="B3584" s="171"/>
    </row>
    <row r="3585" spans="2:2" ht="15.5" x14ac:dyDescent="0.35">
      <c r="B3585" s="171"/>
    </row>
    <row r="3586" spans="2:2" ht="15.5" x14ac:dyDescent="0.35">
      <c r="B3586" s="171"/>
    </row>
    <row r="3587" spans="2:2" ht="15.5" x14ac:dyDescent="0.35">
      <c r="B3587" s="171"/>
    </row>
    <row r="3588" spans="2:2" ht="15.5" x14ac:dyDescent="0.35">
      <c r="B3588" s="171"/>
    </row>
    <row r="3589" spans="2:2" ht="15.5" x14ac:dyDescent="0.35">
      <c r="B3589" s="171"/>
    </row>
    <row r="3590" spans="2:2" ht="15.5" x14ac:dyDescent="0.35">
      <c r="B3590" s="171"/>
    </row>
    <row r="3591" spans="2:2" ht="15.5" x14ac:dyDescent="0.35">
      <c r="B3591" s="171"/>
    </row>
    <row r="3592" spans="2:2" ht="15.5" x14ac:dyDescent="0.35">
      <c r="B3592" s="171"/>
    </row>
    <row r="3593" spans="2:2" ht="15.5" x14ac:dyDescent="0.35">
      <c r="B3593" s="171"/>
    </row>
    <row r="3594" spans="2:2" ht="15.5" x14ac:dyDescent="0.35">
      <c r="B3594" s="171"/>
    </row>
    <row r="3595" spans="2:2" ht="15.5" x14ac:dyDescent="0.35">
      <c r="B3595" s="171"/>
    </row>
    <row r="3596" spans="2:2" ht="15.5" x14ac:dyDescent="0.35">
      <c r="B3596" s="171"/>
    </row>
    <row r="3597" spans="2:2" ht="15.5" x14ac:dyDescent="0.35">
      <c r="B3597" s="171"/>
    </row>
    <row r="3598" spans="2:2" ht="15.5" x14ac:dyDescent="0.35">
      <c r="B3598" s="171"/>
    </row>
    <row r="3599" spans="2:2" ht="15.5" x14ac:dyDescent="0.35">
      <c r="B3599" s="171"/>
    </row>
    <row r="3600" spans="2:2" ht="15.5" x14ac:dyDescent="0.35">
      <c r="B3600" s="171"/>
    </row>
    <row r="3601" spans="2:2" ht="15.5" x14ac:dyDescent="0.35">
      <c r="B3601" s="171"/>
    </row>
    <row r="3602" spans="2:2" ht="15.5" x14ac:dyDescent="0.35">
      <c r="B3602" s="171"/>
    </row>
    <row r="3603" spans="2:2" ht="15.5" x14ac:dyDescent="0.35">
      <c r="B3603" s="171"/>
    </row>
    <row r="3604" spans="2:2" ht="15.5" x14ac:dyDescent="0.35">
      <c r="B3604" s="171"/>
    </row>
    <row r="3605" spans="2:2" ht="15.5" x14ac:dyDescent="0.35">
      <c r="B3605" s="171"/>
    </row>
    <row r="3606" spans="2:2" ht="15.5" x14ac:dyDescent="0.35">
      <c r="B3606" s="171"/>
    </row>
    <row r="3607" spans="2:2" ht="15.5" x14ac:dyDescent="0.35">
      <c r="B3607" s="171"/>
    </row>
    <row r="3608" spans="2:2" ht="15.5" x14ac:dyDescent="0.35">
      <c r="B3608" s="171"/>
    </row>
    <row r="3609" spans="2:2" ht="15.5" x14ac:dyDescent="0.35">
      <c r="B3609" s="171"/>
    </row>
    <row r="3610" spans="2:2" ht="15.5" x14ac:dyDescent="0.35">
      <c r="B3610" s="171"/>
    </row>
    <row r="3611" spans="2:2" ht="15.5" x14ac:dyDescent="0.35">
      <c r="B3611" s="171"/>
    </row>
    <row r="3612" spans="2:2" ht="15.5" x14ac:dyDescent="0.35">
      <c r="B3612" s="171"/>
    </row>
    <row r="3613" spans="2:2" ht="15.5" x14ac:dyDescent="0.35">
      <c r="B3613" s="171"/>
    </row>
    <row r="3614" spans="2:2" ht="15.5" x14ac:dyDescent="0.35">
      <c r="B3614" s="171"/>
    </row>
    <row r="3615" spans="2:2" ht="15.5" x14ac:dyDescent="0.35">
      <c r="B3615" s="171"/>
    </row>
    <row r="3616" spans="2:2" ht="15.5" x14ac:dyDescent="0.35">
      <c r="B3616" s="171"/>
    </row>
    <row r="3617" spans="2:2" ht="15.5" x14ac:dyDescent="0.35">
      <c r="B3617" s="171"/>
    </row>
    <row r="3618" spans="2:2" ht="15.5" x14ac:dyDescent="0.35">
      <c r="B3618" s="171"/>
    </row>
    <row r="3619" spans="2:2" ht="15.5" x14ac:dyDescent="0.35">
      <c r="B3619" s="171"/>
    </row>
    <row r="3620" spans="2:2" ht="15.5" x14ac:dyDescent="0.35">
      <c r="B3620" s="171"/>
    </row>
    <row r="3621" spans="2:2" ht="15.5" x14ac:dyDescent="0.35">
      <c r="B3621" s="171"/>
    </row>
    <row r="3622" spans="2:2" ht="15.5" x14ac:dyDescent="0.35">
      <c r="B3622" s="171"/>
    </row>
    <row r="3623" spans="2:2" ht="15.5" x14ac:dyDescent="0.35">
      <c r="B3623" s="171"/>
    </row>
    <row r="3624" spans="2:2" ht="15.5" x14ac:dyDescent="0.35">
      <c r="B3624" s="171"/>
    </row>
    <row r="3625" spans="2:2" ht="15.5" x14ac:dyDescent="0.35">
      <c r="B3625" s="171"/>
    </row>
    <row r="3626" spans="2:2" ht="15.5" x14ac:dyDescent="0.35">
      <c r="B3626" s="171"/>
    </row>
    <row r="3627" spans="2:2" ht="15.5" x14ac:dyDescent="0.35">
      <c r="B3627" s="171"/>
    </row>
    <row r="3628" spans="2:2" ht="15.5" x14ac:dyDescent="0.35">
      <c r="B3628" s="171"/>
    </row>
    <row r="3629" spans="2:2" ht="15.5" x14ac:dyDescent="0.35">
      <c r="B3629" s="171"/>
    </row>
    <row r="3630" spans="2:2" ht="15.5" x14ac:dyDescent="0.35">
      <c r="B3630" s="171"/>
    </row>
    <row r="3631" spans="2:2" ht="15.5" x14ac:dyDescent="0.35">
      <c r="B3631" s="171"/>
    </row>
    <row r="3632" spans="2:2" ht="15.5" x14ac:dyDescent="0.35">
      <c r="B3632" s="171"/>
    </row>
    <row r="3633" spans="2:2" ht="15.5" x14ac:dyDescent="0.35">
      <c r="B3633" s="171"/>
    </row>
    <row r="3634" spans="2:2" ht="15.5" x14ac:dyDescent="0.35">
      <c r="B3634" s="171"/>
    </row>
    <row r="3635" spans="2:2" ht="15.5" x14ac:dyDescent="0.35">
      <c r="B3635" s="171"/>
    </row>
    <row r="3636" spans="2:2" ht="15.5" x14ac:dyDescent="0.35">
      <c r="B3636" s="171"/>
    </row>
    <row r="3637" spans="2:2" ht="15.5" x14ac:dyDescent="0.35">
      <c r="B3637" s="171"/>
    </row>
    <row r="3638" spans="2:2" ht="15.5" x14ac:dyDescent="0.35">
      <c r="B3638" s="171"/>
    </row>
    <row r="3639" spans="2:2" ht="15.5" x14ac:dyDescent="0.35">
      <c r="B3639" s="171"/>
    </row>
    <row r="3640" spans="2:2" ht="15.5" x14ac:dyDescent="0.35">
      <c r="B3640" s="171"/>
    </row>
    <row r="3641" spans="2:2" ht="15.5" x14ac:dyDescent="0.35">
      <c r="B3641" s="171"/>
    </row>
    <row r="3642" spans="2:2" ht="15.5" x14ac:dyDescent="0.35">
      <c r="B3642" s="171"/>
    </row>
    <row r="3643" spans="2:2" ht="15.5" x14ac:dyDescent="0.35">
      <c r="B3643" s="171"/>
    </row>
    <row r="3644" spans="2:2" ht="15.5" x14ac:dyDescent="0.35">
      <c r="B3644" s="171"/>
    </row>
    <row r="3645" spans="2:2" ht="15.5" x14ac:dyDescent="0.35">
      <c r="B3645" s="171"/>
    </row>
    <row r="3646" spans="2:2" ht="15.5" x14ac:dyDescent="0.35">
      <c r="B3646" s="171"/>
    </row>
    <row r="3647" spans="2:2" ht="15.5" x14ac:dyDescent="0.35">
      <c r="B3647" s="171"/>
    </row>
    <row r="3648" spans="2:2" ht="15.5" x14ac:dyDescent="0.35">
      <c r="B3648" s="171"/>
    </row>
    <row r="3649" spans="2:2" ht="15.5" x14ac:dyDescent="0.35">
      <c r="B3649" s="171"/>
    </row>
    <row r="3650" spans="2:2" ht="15.5" x14ac:dyDescent="0.35">
      <c r="B3650" s="171"/>
    </row>
    <row r="3651" spans="2:2" ht="15.5" x14ac:dyDescent="0.35">
      <c r="B3651" s="171"/>
    </row>
    <row r="3652" spans="2:2" ht="15.5" x14ac:dyDescent="0.35">
      <c r="B3652" s="171"/>
    </row>
    <row r="3653" spans="2:2" ht="15.5" x14ac:dyDescent="0.35">
      <c r="B3653" s="171"/>
    </row>
    <row r="3654" spans="2:2" ht="15.5" x14ac:dyDescent="0.35">
      <c r="B3654" s="171"/>
    </row>
    <row r="3655" spans="2:2" ht="15.5" x14ac:dyDescent="0.35">
      <c r="B3655" s="171"/>
    </row>
    <row r="3656" spans="2:2" ht="15.5" x14ac:dyDescent="0.35">
      <c r="B3656" s="171"/>
    </row>
    <row r="3657" spans="2:2" ht="15.5" x14ac:dyDescent="0.35">
      <c r="B3657" s="171"/>
    </row>
    <row r="3658" spans="2:2" ht="15.5" x14ac:dyDescent="0.35">
      <c r="B3658" s="171"/>
    </row>
    <row r="3659" spans="2:2" ht="15.5" x14ac:dyDescent="0.35">
      <c r="B3659" s="171"/>
    </row>
    <row r="3660" spans="2:2" ht="15.5" x14ac:dyDescent="0.35">
      <c r="B3660" s="171"/>
    </row>
    <row r="3661" spans="2:2" ht="15.5" x14ac:dyDescent="0.35">
      <c r="B3661" s="171"/>
    </row>
    <row r="3662" spans="2:2" ht="15.5" x14ac:dyDescent="0.35">
      <c r="B3662" s="171"/>
    </row>
    <row r="3663" spans="2:2" ht="15.5" x14ac:dyDescent="0.35">
      <c r="B3663" s="171"/>
    </row>
    <row r="3664" spans="2:2" ht="15.5" x14ac:dyDescent="0.35">
      <c r="B3664" s="171"/>
    </row>
    <row r="3665" spans="2:2" ht="15.5" x14ac:dyDescent="0.35">
      <c r="B3665" s="171"/>
    </row>
    <row r="3666" spans="2:2" ht="15.5" x14ac:dyDescent="0.35">
      <c r="B3666" s="171"/>
    </row>
    <row r="3667" spans="2:2" ht="15.5" x14ac:dyDescent="0.35">
      <c r="B3667" s="171"/>
    </row>
    <row r="3668" spans="2:2" ht="15.5" x14ac:dyDescent="0.35">
      <c r="B3668" s="171"/>
    </row>
    <row r="3669" spans="2:2" ht="15.5" x14ac:dyDescent="0.35">
      <c r="B3669" s="171"/>
    </row>
    <row r="3670" spans="2:2" ht="15.5" x14ac:dyDescent="0.35">
      <c r="B3670" s="171"/>
    </row>
    <row r="3671" spans="2:2" ht="15.5" x14ac:dyDescent="0.35">
      <c r="B3671" s="171"/>
    </row>
    <row r="3672" spans="2:2" ht="15.5" x14ac:dyDescent="0.35">
      <c r="B3672" s="171"/>
    </row>
    <row r="3673" spans="2:2" ht="15.5" x14ac:dyDescent="0.35">
      <c r="B3673" s="171"/>
    </row>
    <row r="3674" spans="2:2" ht="15.5" x14ac:dyDescent="0.35">
      <c r="B3674" s="171"/>
    </row>
    <row r="3675" spans="2:2" ht="15.5" x14ac:dyDescent="0.35">
      <c r="B3675" s="171"/>
    </row>
    <row r="3676" spans="2:2" ht="15.5" x14ac:dyDescent="0.35">
      <c r="B3676" s="171"/>
    </row>
    <row r="3677" spans="2:2" ht="15.5" x14ac:dyDescent="0.35">
      <c r="B3677" s="171"/>
    </row>
    <row r="3678" spans="2:2" ht="15.5" x14ac:dyDescent="0.35">
      <c r="B3678" s="171"/>
    </row>
    <row r="3679" spans="2:2" ht="15.5" x14ac:dyDescent="0.35">
      <c r="B3679" s="171"/>
    </row>
    <row r="3680" spans="2:2" ht="15.5" x14ac:dyDescent="0.35">
      <c r="B3680" s="171"/>
    </row>
    <row r="3681" spans="2:2" ht="15.5" x14ac:dyDescent="0.35">
      <c r="B3681" s="171"/>
    </row>
    <row r="3682" spans="2:2" ht="15.5" x14ac:dyDescent="0.35">
      <c r="B3682" s="171"/>
    </row>
    <row r="3683" spans="2:2" ht="15.5" x14ac:dyDescent="0.35">
      <c r="B3683" s="171"/>
    </row>
    <row r="3684" spans="2:2" ht="15.5" x14ac:dyDescent="0.35">
      <c r="B3684" s="171"/>
    </row>
    <row r="3685" spans="2:2" ht="15.5" x14ac:dyDescent="0.35">
      <c r="B3685" s="171"/>
    </row>
    <row r="3686" spans="2:2" ht="15.5" x14ac:dyDescent="0.35">
      <c r="B3686" s="171"/>
    </row>
    <row r="3687" spans="2:2" ht="15.5" x14ac:dyDescent="0.35">
      <c r="B3687" s="171"/>
    </row>
    <row r="3688" spans="2:2" ht="15.5" x14ac:dyDescent="0.35">
      <c r="B3688" s="171"/>
    </row>
    <row r="3689" spans="2:2" ht="15.5" x14ac:dyDescent="0.35">
      <c r="B3689" s="171"/>
    </row>
    <row r="3690" spans="2:2" ht="15.5" x14ac:dyDescent="0.35">
      <c r="B3690" s="171"/>
    </row>
    <row r="3691" spans="2:2" ht="15.5" x14ac:dyDescent="0.35">
      <c r="B3691" s="171"/>
    </row>
    <row r="3692" spans="2:2" ht="15.5" x14ac:dyDescent="0.35">
      <c r="B3692" s="171"/>
    </row>
    <row r="3693" spans="2:2" ht="15.5" x14ac:dyDescent="0.35">
      <c r="B3693" s="171"/>
    </row>
    <row r="3694" spans="2:2" ht="15.5" x14ac:dyDescent="0.35">
      <c r="B3694" s="171"/>
    </row>
    <row r="3695" spans="2:2" ht="15.5" x14ac:dyDescent="0.35">
      <c r="B3695" s="171"/>
    </row>
    <row r="3696" spans="2:2" ht="15.5" x14ac:dyDescent="0.35">
      <c r="B3696" s="171"/>
    </row>
    <row r="3697" spans="2:2" ht="15.5" x14ac:dyDescent="0.35">
      <c r="B3697" s="171"/>
    </row>
    <row r="3698" spans="2:2" ht="15.5" x14ac:dyDescent="0.35">
      <c r="B3698" s="171"/>
    </row>
    <row r="3699" spans="2:2" ht="15.5" x14ac:dyDescent="0.35">
      <c r="B3699" s="171"/>
    </row>
    <row r="3700" spans="2:2" ht="15.5" x14ac:dyDescent="0.35">
      <c r="B3700" s="171"/>
    </row>
    <row r="3701" spans="2:2" ht="15.5" x14ac:dyDescent="0.35">
      <c r="B3701" s="171"/>
    </row>
    <row r="3702" spans="2:2" ht="15.5" x14ac:dyDescent="0.35">
      <c r="B3702" s="171"/>
    </row>
    <row r="3703" spans="2:2" ht="15.5" x14ac:dyDescent="0.35">
      <c r="B3703" s="171"/>
    </row>
    <row r="3704" spans="2:2" ht="15.5" x14ac:dyDescent="0.35">
      <c r="B3704" s="171"/>
    </row>
    <row r="3705" spans="2:2" ht="15.5" x14ac:dyDescent="0.35">
      <c r="B3705" s="171"/>
    </row>
    <row r="3706" spans="2:2" ht="15.5" x14ac:dyDescent="0.35">
      <c r="B3706" s="171"/>
    </row>
    <row r="3707" spans="2:2" ht="15.5" x14ac:dyDescent="0.35">
      <c r="B3707" s="171"/>
    </row>
    <row r="3708" spans="2:2" ht="15.5" x14ac:dyDescent="0.35">
      <c r="B3708" s="171"/>
    </row>
    <row r="3709" spans="2:2" ht="15.5" x14ac:dyDescent="0.35">
      <c r="B3709" s="171"/>
    </row>
    <row r="3710" spans="2:2" ht="15.5" x14ac:dyDescent="0.35">
      <c r="B3710" s="171"/>
    </row>
    <row r="3711" spans="2:2" ht="15.5" x14ac:dyDescent="0.35">
      <c r="B3711" s="171"/>
    </row>
    <row r="3712" spans="2:2" ht="15.5" x14ac:dyDescent="0.35">
      <c r="B3712" s="171"/>
    </row>
    <row r="3713" spans="2:2" ht="15.5" x14ac:dyDescent="0.35">
      <c r="B3713" s="171"/>
    </row>
    <row r="3714" spans="2:2" ht="15.5" x14ac:dyDescent="0.35">
      <c r="B3714" s="171"/>
    </row>
    <row r="3715" spans="2:2" ht="15.5" x14ac:dyDescent="0.35">
      <c r="B3715" s="171"/>
    </row>
    <row r="3716" spans="2:2" ht="15.5" x14ac:dyDescent="0.35">
      <c r="B3716" s="171"/>
    </row>
    <row r="3717" spans="2:2" ht="15.5" x14ac:dyDescent="0.35">
      <c r="B3717" s="171"/>
    </row>
    <row r="3718" spans="2:2" ht="15.5" x14ac:dyDescent="0.35">
      <c r="B3718" s="171"/>
    </row>
    <row r="3719" spans="2:2" ht="15.5" x14ac:dyDescent="0.35">
      <c r="B3719" s="171"/>
    </row>
    <row r="3720" spans="2:2" ht="15.5" x14ac:dyDescent="0.35">
      <c r="B3720" s="171"/>
    </row>
    <row r="3721" spans="2:2" ht="15.5" x14ac:dyDescent="0.35">
      <c r="B3721" s="171"/>
    </row>
    <row r="3722" spans="2:2" ht="15.5" x14ac:dyDescent="0.35">
      <c r="B3722" s="171"/>
    </row>
    <row r="3723" spans="2:2" ht="15.5" x14ac:dyDescent="0.35">
      <c r="B3723" s="171"/>
    </row>
    <row r="3724" spans="2:2" ht="15.5" x14ac:dyDescent="0.35">
      <c r="B3724" s="171"/>
    </row>
    <row r="3725" spans="2:2" ht="15.5" x14ac:dyDescent="0.35">
      <c r="B3725" s="171"/>
    </row>
    <row r="3726" spans="2:2" ht="15.5" x14ac:dyDescent="0.35">
      <c r="B3726" s="171"/>
    </row>
    <row r="3727" spans="2:2" ht="15.5" x14ac:dyDescent="0.35">
      <c r="B3727" s="171"/>
    </row>
    <row r="3728" spans="2:2" ht="15.5" x14ac:dyDescent="0.35">
      <c r="B3728" s="171"/>
    </row>
    <row r="3729" spans="2:2" ht="15.5" x14ac:dyDescent="0.35">
      <c r="B3729" s="171"/>
    </row>
    <row r="3730" spans="2:2" ht="15.5" x14ac:dyDescent="0.35">
      <c r="B3730" s="171"/>
    </row>
    <row r="3731" spans="2:2" ht="15.5" x14ac:dyDescent="0.35">
      <c r="B3731" s="171"/>
    </row>
    <row r="3732" spans="2:2" ht="15.5" x14ac:dyDescent="0.35">
      <c r="B3732" s="171"/>
    </row>
    <row r="3733" spans="2:2" ht="15.5" x14ac:dyDescent="0.35">
      <c r="B3733" s="171"/>
    </row>
    <row r="3734" spans="2:2" ht="15.5" x14ac:dyDescent="0.35">
      <c r="B3734" s="171"/>
    </row>
    <row r="3735" spans="2:2" ht="15.5" x14ac:dyDescent="0.35">
      <c r="B3735" s="171"/>
    </row>
    <row r="3736" spans="2:2" ht="15.5" x14ac:dyDescent="0.35">
      <c r="B3736" s="171"/>
    </row>
    <row r="3737" spans="2:2" ht="15.5" x14ac:dyDescent="0.35">
      <c r="B3737" s="171"/>
    </row>
    <row r="3738" spans="2:2" ht="15.5" x14ac:dyDescent="0.35">
      <c r="B3738" s="171"/>
    </row>
    <row r="3739" spans="2:2" ht="15.5" x14ac:dyDescent="0.35">
      <c r="B3739" s="171"/>
    </row>
    <row r="3740" spans="2:2" ht="15.5" x14ac:dyDescent="0.35">
      <c r="B3740" s="171"/>
    </row>
    <row r="3741" spans="2:2" ht="15.5" x14ac:dyDescent="0.35">
      <c r="B3741" s="171"/>
    </row>
    <row r="3742" spans="2:2" ht="15.5" x14ac:dyDescent="0.35">
      <c r="B3742" s="171"/>
    </row>
    <row r="3743" spans="2:2" ht="15.5" x14ac:dyDescent="0.35">
      <c r="B3743" s="171"/>
    </row>
    <row r="3744" spans="2:2" ht="15.5" x14ac:dyDescent="0.35">
      <c r="B3744" s="171"/>
    </row>
    <row r="3745" spans="2:2" ht="15.5" x14ac:dyDescent="0.35">
      <c r="B3745" s="171"/>
    </row>
    <row r="3746" spans="2:2" ht="15.5" x14ac:dyDescent="0.35">
      <c r="B3746" s="171"/>
    </row>
    <row r="3747" spans="2:2" ht="15.5" x14ac:dyDescent="0.35">
      <c r="B3747" s="171"/>
    </row>
    <row r="3748" spans="2:2" ht="15.5" x14ac:dyDescent="0.35">
      <c r="B3748" s="171"/>
    </row>
    <row r="3749" spans="2:2" ht="15.5" x14ac:dyDescent="0.35">
      <c r="B3749" s="171"/>
    </row>
    <row r="3750" spans="2:2" ht="15.5" x14ac:dyDescent="0.35">
      <c r="B3750" s="171"/>
    </row>
    <row r="3751" spans="2:2" ht="15.5" x14ac:dyDescent="0.35">
      <c r="B3751" s="171"/>
    </row>
    <row r="3752" spans="2:2" ht="15.5" x14ac:dyDescent="0.35">
      <c r="B3752" s="171"/>
    </row>
    <row r="3753" spans="2:2" ht="15.5" x14ac:dyDescent="0.35">
      <c r="B3753" s="171"/>
    </row>
    <row r="3754" spans="2:2" ht="15.5" x14ac:dyDescent="0.35">
      <c r="B3754" s="171"/>
    </row>
    <row r="3755" spans="2:2" ht="15.5" x14ac:dyDescent="0.35">
      <c r="B3755" s="171"/>
    </row>
    <row r="3756" spans="2:2" ht="15.5" x14ac:dyDescent="0.35">
      <c r="B3756" s="171"/>
    </row>
    <row r="3757" spans="2:2" ht="15.5" x14ac:dyDescent="0.35">
      <c r="B3757" s="171"/>
    </row>
    <row r="3758" spans="2:2" ht="15.5" x14ac:dyDescent="0.35">
      <c r="B3758" s="171"/>
    </row>
    <row r="3759" spans="2:2" ht="15.5" x14ac:dyDescent="0.35">
      <c r="B3759" s="171"/>
    </row>
    <row r="3760" spans="2:2" ht="15.5" x14ac:dyDescent="0.35">
      <c r="B3760" s="171"/>
    </row>
    <row r="3761" spans="2:2" ht="15.5" x14ac:dyDescent="0.35">
      <c r="B3761" s="171"/>
    </row>
    <row r="3762" spans="2:2" ht="15.5" x14ac:dyDescent="0.35">
      <c r="B3762" s="171"/>
    </row>
    <row r="3763" spans="2:2" ht="15.5" x14ac:dyDescent="0.35">
      <c r="B3763" s="171"/>
    </row>
    <row r="3764" spans="2:2" ht="15.5" x14ac:dyDescent="0.35">
      <c r="B3764" s="171"/>
    </row>
    <row r="3765" spans="2:2" ht="15.5" x14ac:dyDescent="0.35">
      <c r="B3765" s="171"/>
    </row>
    <row r="3766" spans="2:2" ht="15.5" x14ac:dyDescent="0.35">
      <c r="B3766" s="171"/>
    </row>
    <row r="3767" spans="2:2" ht="15.5" x14ac:dyDescent="0.35">
      <c r="B3767" s="171"/>
    </row>
    <row r="3768" spans="2:2" ht="15.5" x14ac:dyDescent="0.35">
      <c r="B3768" s="171"/>
    </row>
    <row r="3769" spans="2:2" ht="15.5" x14ac:dyDescent="0.35">
      <c r="B3769" s="171"/>
    </row>
    <row r="3770" spans="2:2" ht="15.5" x14ac:dyDescent="0.35">
      <c r="B3770" s="171"/>
    </row>
    <row r="3771" spans="2:2" ht="15.5" x14ac:dyDescent="0.35">
      <c r="B3771" s="171"/>
    </row>
    <row r="3772" spans="2:2" ht="15.5" x14ac:dyDescent="0.35">
      <c r="B3772" s="171"/>
    </row>
    <row r="3773" spans="2:2" ht="15.5" x14ac:dyDescent="0.35">
      <c r="B3773" s="171"/>
    </row>
    <row r="3774" spans="2:2" ht="15.5" x14ac:dyDescent="0.35">
      <c r="B3774" s="171"/>
    </row>
    <row r="3775" spans="2:2" ht="15.5" x14ac:dyDescent="0.35">
      <c r="B3775" s="171"/>
    </row>
    <row r="3776" spans="2:2" ht="15.5" x14ac:dyDescent="0.35">
      <c r="B3776" s="171"/>
    </row>
    <row r="3777" spans="2:2" ht="15.5" x14ac:dyDescent="0.35">
      <c r="B3777" s="171"/>
    </row>
    <row r="3778" spans="2:2" ht="15.5" x14ac:dyDescent="0.35">
      <c r="B3778" s="171"/>
    </row>
    <row r="3779" spans="2:2" ht="15.5" x14ac:dyDescent="0.35">
      <c r="B3779" s="171"/>
    </row>
    <row r="3780" spans="2:2" ht="15.5" x14ac:dyDescent="0.35">
      <c r="B3780" s="171"/>
    </row>
    <row r="3781" spans="2:2" ht="15.5" x14ac:dyDescent="0.35">
      <c r="B3781" s="171"/>
    </row>
    <row r="3782" spans="2:2" ht="15.5" x14ac:dyDescent="0.35">
      <c r="B3782" s="171"/>
    </row>
    <row r="3783" spans="2:2" ht="15.5" x14ac:dyDescent="0.35">
      <c r="B3783" s="171"/>
    </row>
    <row r="3784" spans="2:2" ht="15.5" x14ac:dyDescent="0.35">
      <c r="B3784" s="171"/>
    </row>
    <row r="3785" spans="2:2" ht="15.5" x14ac:dyDescent="0.35">
      <c r="B3785" s="171"/>
    </row>
    <row r="3786" spans="2:2" ht="15.5" x14ac:dyDescent="0.35">
      <c r="B3786" s="171"/>
    </row>
    <row r="3787" spans="2:2" ht="15.5" x14ac:dyDescent="0.35">
      <c r="B3787" s="171"/>
    </row>
    <row r="3788" spans="2:2" ht="15.5" x14ac:dyDescent="0.35">
      <c r="B3788" s="171"/>
    </row>
    <row r="3789" spans="2:2" ht="15.5" x14ac:dyDescent="0.35">
      <c r="B3789" s="171"/>
    </row>
    <row r="3790" spans="2:2" ht="15.5" x14ac:dyDescent="0.35">
      <c r="B3790" s="171"/>
    </row>
    <row r="3791" spans="2:2" ht="15.5" x14ac:dyDescent="0.35">
      <c r="B3791" s="171"/>
    </row>
    <row r="3792" spans="2:2" ht="15.5" x14ac:dyDescent="0.35">
      <c r="B3792" s="171"/>
    </row>
    <row r="3793" spans="2:2" ht="15.5" x14ac:dyDescent="0.35">
      <c r="B3793" s="171"/>
    </row>
    <row r="3794" spans="2:2" ht="15.5" x14ac:dyDescent="0.35">
      <c r="B3794" s="171"/>
    </row>
    <row r="3795" spans="2:2" ht="15.5" x14ac:dyDescent="0.35">
      <c r="B3795" s="171"/>
    </row>
    <row r="3796" spans="2:2" ht="15.5" x14ac:dyDescent="0.35">
      <c r="B3796" s="171"/>
    </row>
    <row r="3797" spans="2:2" ht="15.5" x14ac:dyDescent="0.35">
      <c r="B3797" s="171"/>
    </row>
    <row r="3798" spans="2:2" ht="15.5" x14ac:dyDescent="0.35">
      <c r="B3798" s="171"/>
    </row>
    <row r="3799" spans="2:2" ht="15.5" x14ac:dyDescent="0.35">
      <c r="B3799" s="171"/>
    </row>
    <row r="3800" spans="2:2" ht="15.5" x14ac:dyDescent="0.35">
      <c r="B3800" s="171"/>
    </row>
    <row r="3801" spans="2:2" ht="15.5" x14ac:dyDescent="0.35">
      <c r="B3801" s="171"/>
    </row>
    <row r="3802" spans="2:2" ht="15.5" x14ac:dyDescent="0.35">
      <c r="B3802" s="171"/>
    </row>
    <row r="3803" spans="2:2" ht="15.5" x14ac:dyDescent="0.35">
      <c r="B3803" s="171"/>
    </row>
    <row r="3804" spans="2:2" ht="15.5" x14ac:dyDescent="0.35">
      <c r="B3804" s="171"/>
    </row>
    <row r="3805" spans="2:2" ht="15.5" x14ac:dyDescent="0.35">
      <c r="B3805" s="171"/>
    </row>
    <row r="3806" spans="2:2" ht="15.5" x14ac:dyDescent="0.35">
      <c r="B3806" s="171"/>
    </row>
    <row r="3807" spans="2:2" ht="15.5" x14ac:dyDescent="0.35">
      <c r="B3807" s="171"/>
    </row>
    <row r="3808" spans="2:2" ht="15.5" x14ac:dyDescent="0.35">
      <c r="B3808" s="171"/>
    </row>
    <row r="3809" spans="2:2" ht="15.5" x14ac:dyDescent="0.35">
      <c r="B3809" s="171"/>
    </row>
    <row r="3810" spans="2:2" ht="15.5" x14ac:dyDescent="0.35">
      <c r="B3810" s="171"/>
    </row>
    <row r="3811" spans="2:2" ht="15.5" x14ac:dyDescent="0.35">
      <c r="B3811" s="171"/>
    </row>
    <row r="3812" spans="2:2" ht="15.5" x14ac:dyDescent="0.35">
      <c r="B3812" s="171"/>
    </row>
    <row r="3813" spans="2:2" ht="15.5" x14ac:dyDescent="0.35">
      <c r="B3813" s="171"/>
    </row>
    <row r="3814" spans="2:2" ht="15.5" x14ac:dyDescent="0.35">
      <c r="B3814" s="171"/>
    </row>
    <row r="3815" spans="2:2" ht="15.5" x14ac:dyDescent="0.35">
      <c r="B3815" s="171"/>
    </row>
    <row r="3816" spans="2:2" ht="15.5" x14ac:dyDescent="0.35">
      <c r="B3816" s="171"/>
    </row>
    <row r="3817" spans="2:2" ht="15.5" x14ac:dyDescent="0.35">
      <c r="B3817" s="171"/>
    </row>
    <row r="3818" spans="2:2" ht="15.5" x14ac:dyDescent="0.35">
      <c r="B3818" s="171"/>
    </row>
    <row r="3819" spans="2:2" ht="15.5" x14ac:dyDescent="0.35">
      <c r="B3819" s="171"/>
    </row>
    <row r="3820" spans="2:2" ht="15.5" x14ac:dyDescent="0.35">
      <c r="B3820" s="171"/>
    </row>
    <row r="3821" spans="2:2" ht="15.5" x14ac:dyDescent="0.35">
      <c r="B3821" s="171"/>
    </row>
    <row r="3822" spans="2:2" ht="15.5" x14ac:dyDescent="0.35">
      <c r="B3822" s="171"/>
    </row>
    <row r="3823" spans="2:2" ht="15.5" x14ac:dyDescent="0.35">
      <c r="B3823" s="171"/>
    </row>
    <row r="3824" spans="2:2" ht="15.5" x14ac:dyDescent="0.35">
      <c r="B3824" s="171"/>
    </row>
    <row r="3825" spans="2:2" ht="15.5" x14ac:dyDescent="0.35">
      <c r="B3825" s="171"/>
    </row>
    <row r="3826" spans="2:2" ht="15.5" x14ac:dyDescent="0.35">
      <c r="B3826" s="171"/>
    </row>
    <row r="3827" spans="2:2" ht="15.5" x14ac:dyDescent="0.35">
      <c r="B3827" s="171"/>
    </row>
    <row r="3828" spans="2:2" ht="15.5" x14ac:dyDescent="0.35">
      <c r="B3828" s="171"/>
    </row>
    <row r="3829" spans="2:2" ht="15.5" x14ac:dyDescent="0.35">
      <c r="B3829" s="171"/>
    </row>
    <row r="3830" spans="2:2" ht="15.5" x14ac:dyDescent="0.35">
      <c r="B3830" s="171"/>
    </row>
    <row r="3831" spans="2:2" ht="15.5" x14ac:dyDescent="0.35">
      <c r="B3831" s="171"/>
    </row>
    <row r="3832" spans="2:2" ht="15.5" x14ac:dyDescent="0.35">
      <c r="B3832" s="171"/>
    </row>
    <row r="3833" spans="2:2" ht="15.5" x14ac:dyDescent="0.35">
      <c r="B3833" s="171"/>
    </row>
    <row r="3834" spans="2:2" ht="15.5" x14ac:dyDescent="0.35">
      <c r="B3834" s="171"/>
    </row>
    <row r="3835" spans="2:2" ht="15.5" x14ac:dyDescent="0.35">
      <c r="B3835" s="171"/>
    </row>
    <row r="3836" spans="2:2" ht="15.5" x14ac:dyDescent="0.35">
      <c r="B3836" s="171"/>
    </row>
    <row r="3837" spans="2:2" ht="15.5" x14ac:dyDescent="0.35">
      <c r="B3837" s="171"/>
    </row>
    <row r="3838" spans="2:2" ht="15.5" x14ac:dyDescent="0.35">
      <c r="B3838" s="171"/>
    </row>
    <row r="3839" spans="2:2" ht="15.5" x14ac:dyDescent="0.35">
      <c r="B3839" s="171"/>
    </row>
    <row r="3840" spans="2:2" ht="15.5" x14ac:dyDescent="0.35">
      <c r="B3840" s="171"/>
    </row>
    <row r="3841" spans="2:2" ht="15.5" x14ac:dyDescent="0.35">
      <c r="B3841" s="171"/>
    </row>
    <row r="3842" spans="2:2" ht="15.5" x14ac:dyDescent="0.35">
      <c r="B3842" s="171"/>
    </row>
    <row r="3843" spans="2:2" ht="15.5" x14ac:dyDescent="0.35">
      <c r="B3843" s="171"/>
    </row>
    <row r="3844" spans="2:2" ht="15.5" x14ac:dyDescent="0.35">
      <c r="B3844" s="171"/>
    </row>
    <row r="3845" spans="2:2" ht="15.5" x14ac:dyDescent="0.35">
      <c r="B3845" s="171"/>
    </row>
    <row r="3846" spans="2:2" ht="15.5" x14ac:dyDescent="0.35">
      <c r="B3846" s="171"/>
    </row>
    <row r="3847" spans="2:2" ht="15.5" x14ac:dyDescent="0.35">
      <c r="B3847" s="171"/>
    </row>
    <row r="3848" spans="2:2" ht="15.5" x14ac:dyDescent="0.35">
      <c r="B3848" s="171"/>
    </row>
    <row r="3849" spans="2:2" ht="15.5" x14ac:dyDescent="0.35">
      <c r="B3849" s="171"/>
    </row>
    <row r="3850" spans="2:2" ht="15.5" x14ac:dyDescent="0.35">
      <c r="B3850" s="171"/>
    </row>
    <row r="3851" spans="2:2" ht="15.5" x14ac:dyDescent="0.35">
      <c r="B3851" s="171"/>
    </row>
    <row r="3852" spans="2:2" ht="15.5" x14ac:dyDescent="0.35">
      <c r="B3852" s="171"/>
    </row>
    <row r="3853" spans="2:2" ht="15.5" x14ac:dyDescent="0.35">
      <c r="B3853" s="171"/>
    </row>
    <row r="3854" spans="2:2" ht="15.5" x14ac:dyDescent="0.35">
      <c r="B3854" s="171"/>
    </row>
    <row r="3855" spans="2:2" ht="15.5" x14ac:dyDescent="0.35">
      <c r="B3855" s="171"/>
    </row>
    <row r="3856" spans="2:2" ht="15.5" x14ac:dyDescent="0.35">
      <c r="B3856" s="171"/>
    </row>
    <row r="3857" spans="2:2" ht="15.5" x14ac:dyDescent="0.35">
      <c r="B3857" s="171"/>
    </row>
    <row r="3858" spans="2:2" ht="15.5" x14ac:dyDescent="0.35">
      <c r="B3858" s="171"/>
    </row>
    <row r="3859" spans="2:2" ht="15.5" x14ac:dyDescent="0.35">
      <c r="B3859" s="171"/>
    </row>
    <row r="3860" spans="2:2" ht="15.5" x14ac:dyDescent="0.35">
      <c r="B3860" s="171"/>
    </row>
    <row r="3861" spans="2:2" ht="15.5" x14ac:dyDescent="0.35">
      <c r="B3861" s="171"/>
    </row>
    <row r="3862" spans="2:2" ht="15.5" x14ac:dyDescent="0.35">
      <c r="B3862" s="171"/>
    </row>
    <row r="3863" spans="2:2" ht="15.5" x14ac:dyDescent="0.35">
      <c r="B3863" s="171"/>
    </row>
    <row r="3864" spans="2:2" ht="15.5" x14ac:dyDescent="0.35">
      <c r="B3864" s="171"/>
    </row>
    <row r="3865" spans="2:2" ht="15.5" x14ac:dyDescent="0.35">
      <c r="B3865" s="171"/>
    </row>
    <row r="3866" spans="2:2" ht="15.5" x14ac:dyDescent="0.35">
      <c r="B3866" s="171"/>
    </row>
    <row r="3867" spans="2:2" ht="15.5" x14ac:dyDescent="0.35">
      <c r="B3867" s="171"/>
    </row>
    <row r="3868" spans="2:2" ht="15.5" x14ac:dyDescent="0.35">
      <c r="B3868" s="171"/>
    </row>
    <row r="3869" spans="2:2" ht="15.5" x14ac:dyDescent="0.35">
      <c r="B3869" s="171"/>
    </row>
    <row r="3870" spans="2:2" ht="15.5" x14ac:dyDescent="0.35">
      <c r="B3870" s="171"/>
    </row>
    <row r="3871" spans="2:2" ht="15.5" x14ac:dyDescent="0.35">
      <c r="B3871" s="171"/>
    </row>
    <row r="3872" spans="2:2" ht="15.5" x14ac:dyDescent="0.35">
      <c r="B3872" s="171"/>
    </row>
    <row r="3873" spans="2:2" ht="15.5" x14ac:dyDescent="0.35">
      <c r="B3873" s="171"/>
    </row>
    <row r="3874" spans="2:2" ht="15.5" x14ac:dyDescent="0.35">
      <c r="B3874" s="171"/>
    </row>
    <row r="3875" spans="2:2" ht="15.5" x14ac:dyDescent="0.35">
      <c r="B3875" s="171"/>
    </row>
    <row r="3876" spans="2:2" ht="15.5" x14ac:dyDescent="0.35">
      <c r="B3876" s="171"/>
    </row>
    <row r="3877" spans="2:2" ht="15.5" x14ac:dyDescent="0.35">
      <c r="B3877" s="171"/>
    </row>
    <row r="3878" spans="2:2" ht="15.5" x14ac:dyDescent="0.35">
      <c r="B3878" s="171"/>
    </row>
    <row r="3879" spans="2:2" ht="15.5" x14ac:dyDescent="0.35">
      <c r="B3879" s="171"/>
    </row>
    <row r="3880" spans="2:2" ht="15.5" x14ac:dyDescent="0.35">
      <c r="B3880" s="171"/>
    </row>
    <row r="3881" spans="2:2" ht="15.5" x14ac:dyDescent="0.35">
      <c r="B3881" s="171"/>
    </row>
    <row r="3882" spans="2:2" ht="15.5" x14ac:dyDescent="0.35">
      <c r="B3882" s="171"/>
    </row>
    <row r="3883" spans="2:2" ht="15.5" x14ac:dyDescent="0.35">
      <c r="B3883" s="171"/>
    </row>
    <row r="3884" spans="2:2" ht="15.5" x14ac:dyDescent="0.35">
      <c r="B3884" s="171"/>
    </row>
    <row r="3885" spans="2:2" ht="15.5" x14ac:dyDescent="0.35">
      <c r="B3885" s="171"/>
    </row>
    <row r="3886" spans="2:2" ht="15.5" x14ac:dyDescent="0.35">
      <c r="B3886" s="171"/>
    </row>
    <row r="3887" spans="2:2" ht="15.5" x14ac:dyDescent="0.35">
      <c r="B3887" s="171"/>
    </row>
    <row r="3888" spans="2:2" ht="15.5" x14ac:dyDescent="0.35">
      <c r="B3888" s="171"/>
    </row>
    <row r="3889" spans="2:2" ht="15.5" x14ac:dyDescent="0.35">
      <c r="B3889" s="171"/>
    </row>
    <row r="3890" spans="2:2" ht="15.5" x14ac:dyDescent="0.35">
      <c r="B3890" s="171"/>
    </row>
    <row r="3891" spans="2:2" ht="15.5" x14ac:dyDescent="0.35">
      <c r="B3891" s="171"/>
    </row>
    <row r="3892" spans="2:2" ht="15.5" x14ac:dyDescent="0.35">
      <c r="B3892" s="171"/>
    </row>
    <row r="3893" spans="2:2" ht="15.5" x14ac:dyDescent="0.35">
      <c r="B3893" s="171"/>
    </row>
    <row r="3894" spans="2:2" ht="15.5" x14ac:dyDescent="0.35">
      <c r="B3894" s="171"/>
    </row>
    <row r="3895" spans="2:2" ht="15.5" x14ac:dyDescent="0.35">
      <c r="B3895" s="171"/>
    </row>
    <row r="3896" spans="2:2" ht="15.5" x14ac:dyDescent="0.35">
      <c r="B3896" s="171"/>
    </row>
    <row r="3897" spans="2:2" ht="15.5" x14ac:dyDescent="0.35">
      <c r="B3897" s="171"/>
    </row>
    <row r="3898" spans="2:2" ht="15.5" x14ac:dyDescent="0.35">
      <c r="B3898" s="171"/>
    </row>
    <row r="3899" spans="2:2" ht="15.5" x14ac:dyDescent="0.35">
      <c r="B3899" s="171"/>
    </row>
    <row r="3900" spans="2:2" ht="15.5" x14ac:dyDescent="0.35">
      <c r="B3900" s="171"/>
    </row>
    <row r="3901" spans="2:2" ht="15.5" x14ac:dyDescent="0.35">
      <c r="B3901" s="171"/>
    </row>
    <row r="3902" spans="2:2" ht="15.5" x14ac:dyDescent="0.35">
      <c r="B3902" s="171"/>
    </row>
    <row r="3903" spans="2:2" ht="15.5" x14ac:dyDescent="0.35">
      <c r="B3903" s="171"/>
    </row>
    <row r="3904" spans="2:2" ht="15.5" x14ac:dyDescent="0.35">
      <c r="B3904" s="171"/>
    </row>
    <row r="3905" spans="2:2" ht="15.5" x14ac:dyDescent="0.35">
      <c r="B3905" s="171"/>
    </row>
    <row r="3906" spans="2:2" ht="15.5" x14ac:dyDescent="0.35">
      <c r="B3906" s="171"/>
    </row>
    <row r="3907" spans="2:2" ht="15.5" x14ac:dyDescent="0.35">
      <c r="B3907" s="171"/>
    </row>
    <row r="3908" spans="2:2" ht="15.5" x14ac:dyDescent="0.35">
      <c r="B3908" s="171"/>
    </row>
    <row r="3909" spans="2:2" ht="15.5" x14ac:dyDescent="0.35">
      <c r="B3909" s="171"/>
    </row>
    <row r="3910" spans="2:2" ht="15.5" x14ac:dyDescent="0.35">
      <c r="B3910" s="171"/>
    </row>
    <row r="3911" spans="2:2" ht="15.5" x14ac:dyDescent="0.35">
      <c r="B3911" s="171"/>
    </row>
    <row r="3912" spans="2:2" ht="15.5" x14ac:dyDescent="0.35">
      <c r="B3912" s="171"/>
    </row>
    <row r="3913" spans="2:2" ht="15.5" x14ac:dyDescent="0.35">
      <c r="B3913" s="171"/>
    </row>
    <row r="3914" spans="2:2" ht="15.5" x14ac:dyDescent="0.35">
      <c r="B3914" s="171"/>
    </row>
    <row r="3915" spans="2:2" ht="15.5" x14ac:dyDescent="0.35">
      <c r="B3915" s="171"/>
    </row>
    <row r="3916" spans="2:2" ht="15.5" x14ac:dyDescent="0.35">
      <c r="B3916" s="171"/>
    </row>
    <row r="3917" spans="2:2" ht="15.5" x14ac:dyDescent="0.35">
      <c r="B3917" s="171"/>
    </row>
    <row r="3918" spans="2:2" ht="15.5" x14ac:dyDescent="0.35">
      <c r="B3918" s="171"/>
    </row>
    <row r="3919" spans="2:2" ht="15.5" x14ac:dyDescent="0.35">
      <c r="B3919" s="171"/>
    </row>
    <row r="3920" spans="2:2" ht="15.5" x14ac:dyDescent="0.35">
      <c r="B3920" s="171"/>
    </row>
    <row r="3921" spans="2:2" ht="15.5" x14ac:dyDescent="0.35">
      <c r="B3921" s="171"/>
    </row>
    <row r="3922" spans="2:2" ht="15.5" x14ac:dyDescent="0.35">
      <c r="B3922" s="171"/>
    </row>
    <row r="3923" spans="2:2" ht="15.5" x14ac:dyDescent="0.35">
      <c r="B3923" s="171"/>
    </row>
    <row r="3924" spans="2:2" ht="15.5" x14ac:dyDescent="0.35">
      <c r="B3924" s="171"/>
    </row>
    <row r="3925" spans="2:2" ht="15.5" x14ac:dyDescent="0.35">
      <c r="B3925" s="171"/>
    </row>
    <row r="3926" spans="2:2" ht="15.5" x14ac:dyDescent="0.35">
      <c r="B3926" s="171"/>
    </row>
    <row r="3927" spans="2:2" ht="15.5" x14ac:dyDescent="0.35">
      <c r="B3927" s="171"/>
    </row>
    <row r="3928" spans="2:2" ht="15.5" x14ac:dyDescent="0.35">
      <c r="B3928" s="171"/>
    </row>
    <row r="3929" spans="2:2" ht="15.5" x14ac:dyDescent="0.35">
      <c r="B3929" s="171"/>
    </row>
    <row r="3930" spans="2:2" ht="15.5" x14ac:dyDescent="0.35">
      <c r="B3930" s="171"/>
    </row>
    <row r="3931" spans="2:2" ht="15.5" x14ac:dyDescent="0.35">
      <c r="B3931" s="171"/>
    </row>
    <row r="3932" spans="2:2" ht="15.5" x14ac:dyDescent="0.35">
      <c r="B3932" s="171"/>
    </row>
    <row r="3933" spans="2:2" ht="15.5" x14ac:dyDescent="0.35">
      <c r="B3933" s="171"/>
    </row>
    <row r="3934" spans="2:2" ht="15.5" x14ac:dyDescent="0.35">
      <c r="B3934" s="171"/>
    </row>
    <row r="3935" spans="2:2" ht="15.5" x14ac:dyDescent="0.35">
      <c r="B3935" s="171"/>
    </row>
    <row r="3936" spans="2:2" ht="15.5" x14ac:dyDescent="0.35">
      <c r="B3936" s="171"/>
    </row>
    <row r="3937" spans="2:2" ht="15.5" x14ac:dyDescent="0.35">
      <c r="B3937" s="171"/>
    </row>
    <row r="3938" spans="2:2" ht="15.5" x14ac:dyDescent="0.35">
      <c r="B3938" s="171"/>
    </row>
    <row r="3939" spans="2:2" ht="15.5" x14ac:dyDescent="0.35">
      <c r="B3939" s="171"/>
    </row>
    <row r="3940" spans="2:2" ht="15.5" x14ac:dyDescent="0.35">
      <c r="B3940" s="171"/>
    </row>
    <row r="3941" spans="2:2" ht="15.5" x14ac:dyDescent="0.35">
      <c r="B3941" s="171"/>
    </row>
    <row r="3942" spans="2:2" ht="15.5" x14ac:dyDescent="0.35">
      <c r="B3942" s="171"/>
    </row>
    <row r="3943" spans="2:2" ht="15.5" x14ac:dyDescent="0.35">
      <c r="B3943" s="171"/>
    </row>
    <row r="3944" spans="2:2" ht="15.5" x14ac:dyDescent="0.35">
      <c r="B3944" s="171"/>
    </row>
    <row r="3945" spans="2:2" ht="15.5" x14ac:dyDescent="0.35">
      <c r="B3945" s="171"/>
    </row>
    <row r="3946" spans="2:2" ht="15.5" x14ac:dyDescent="0.35">
      <c r="B3946" s="171"/>
    </row>
    <row r="3947" spans="2:2" ht="15.5" x14ac:dyDescent="0.35">
      <c r="B3947" s="171"/>
    </row>
    <row r="3948" spans="2:2" ht="15.5" x14ac:dyDescent="0.35">
      <c r="B3948" s="171"/>
    </row>
    <row r="3949" spans="2:2" ht="15.5" x14ac:dyDescent="0.35">
      <c r="B3949" s="171"/>
    </row>
    <row r="3950" spans="2:2" ht="15.5" x14ac:dyDescent="0.35">
      <c r="B3950" s="171"/>
    </row>
    <row r="3951" spans="2:2" ht="15.5" x14ac:dyDescent="0.35">
      <c r="B3951" s="171"/>
    </row>
    <row r="3952" spans="2:2" ht="15.5" x14ac:dyDescent="0.35">
      <c r="B3952" s="171"/>
    </row>
    <row r="3953" spans="2:2" ht="15.5" x14ac:dyDescent="0.35">
      <c r="B3953" s="171"/>
    </row>
    <row r="3954" spans="2:2" ht="15.5" x14ac:dyDescent="0.35">
      <c r="B3954" s="171"/>
    </row>
    <row r="3955" spans="2:2" ht="15.5" x14ac:dyDescent="0.35">
      <c r="B3955" s="171"/>
    </row>
    <row r="3956" spans="2:2" ht="15.5" x14ac:dyDescent="0.35">
      <c r="B3956" s="171"/>
    </row>
    <row r="3957" spans="2:2" ht="15.5" x14ac:dyDescent="0.35">
      <c r="B3957" s="171"/>
    </row>
    <row r="3958" spans="2:2" ht="15.5" x14ac:dyDescent="0.35">
      <c r="B3958" s="171"/>
    </row>
    <row r="3959" spans="2:2" ht="15.5" x14ac:dyDescent="0.35">
      <c r="B3959" s="171"/>
    </row>
    <row r="3960" spans="2:2" ht="15.5" x14ac:dyDescent="0.35">
      <c r="B3960" s="171"/>
    </row>
    <row r="3961" spans="2:2" ht="15.5" x14ac:dyDescent="0.35">
      <c r="B3961" s="171"/>
    </row>
    <row r="3962" spans="2:2" ht="15.5" x14ac:dyDescent="0.35">
      <c r="B3962" s="171"/>
    </row>
    <row r="3963" spans="2:2" ht="15.5" x14ac:dyDescent="0.35">
      <c r="B3963" s="171"/>
    </row>
    <row r="3964" spans="2:2" ht="15.5" x14ac:dyDescent="0.35">
      <c r="B3964" s="171"/>
    </row>
    <row r="3965" spans="2:2" ht="15.5" x14ac:dyDescent="0.35">
      <c r="B3965" s="171"/>
    </row>
    <row r="3966" spans="2:2" ht="15.5" x14ac:dyDescent="0.35">
      <c r="B3966" s="171"/>
    </row>
    <row r="3967" spans="2:2" ht="15.5" x14ac:dyDescent="0.35">
      <c r="B3967" s="171"/>
    </row>
    <row r="3968" spans="2:2" ht="15.5" x14ac:dyDescent="0.35">
      <c r="B3968" s="171"/>
    </row>
    <row r="3969" spans="2:2" ht="15.5" x14ac:dyDescent="0.35">
      <c r="B3969" s="171"/>
    </row>
    <row r="3970" spans="2:2" ht="15.5" x14ac:dyDescent="0.35">
      <c r="B3970" s="171"/>
    </row>
    <row r="3971" spans="2:2" ht="15.5" x14ac:dyDescent="0.35">
      <c r="B3971" s="171"/>
    </row>
    <row r="3972" spans="2:2" ht="15.5" x14ac:dyDescent="0.35">
      <c r="B3972" s="171"/>
    </row>
    <row r="3973" spans="2:2" ht="15.5" x14ac:dyDescent="0.35">
      <c r="B3973" s="171"/>
    </row>
    <row r="3974" spans="2:2" ht="15.5" x14ac:dyDescent="0.35">
      <c r="B3974" s="171"/>
    </row>
    <row r="3975" spans="2:2" ht="15.5" x14ac:dyDescent="0.35">
      <c r="B3975" s="171"/>
    </row>
    <row r="3976" spans="2:2" ht="15.5" x14ac:dyDescent="0.35">
      <c r="B3976" s="171"/>
    </row>
    <row r="3977" spans="2:2" ht="15.5" x14ac:dyDescent="0.35">
      <c r="B3977" s="171"/>
    </row>
    <row r="3978" spans="2:2" ht="15.5" x14ac:dyDescent="0.35">
      <c r="B3978" s="171"/>
    </row>
    <row r="3979" spans="2:2" ht="15.5" x14ac:dyDescent="0.35">
      <c r="B3979" s="171"/>
    </row>
    <row r="3980" spans="2:2" ht="15.5" x14ac:dyDescent="0.35">
      <c r="B3980" s="171"/>
    </row>
    <row r="3981" spans="2:2" ht="15.5" x14ac:dyDescent="0.35">
      <c r="B3981" s="171"/>
    </row>
    <row r="3982" spans="2:2" ht="15.5" x14ac:dyDescent="0.35">
      <c r="B3982" s="171"/>
    </row>
    <row r="3983" spans="2:2" ht="15.5" x14ac:dyDescent="0.35">
      <c r="B3983" s="171"/>
    </row>
    <row r="3984" spans="2:2" ht="15.5" x14ac:dyDescent="0.35">
      <c r="B3984" s="171"/>
    </row>
    <row r="3985" spans="2:2" ht="15.5" x14ac:dyDescent="0.35">
      <c r="B3985" s="171"/>
    </row>
    <row r="3986" spans="2:2" ht="15.5" x14ac:dyDescent="0.35">
      <c r="B3986" s="171"/>
    </row>
    <row r="3987" spans="2:2" ht="15.5" x14ac:dyDescent="0.35">
      <c r="B3987" s="171"/>
    </row>
    <row r="3988" spans="2:2" ht="15.5" x14ac:dyDescent="0.35">
      <c r="B3988" s="171"/>
    </row>
    <row r="3989" spans="2:2" ht="15.5" x14ac:dyDescent="0.35">
      <c r="B3989" s="171"/>
    </row>
    <row r="3990" spans="2:2" ht="15.5" x14ac:dyDescent="0.35">
      <c r="B3990" s="171"/>
    </row>
    <row r="3991" spans="2:2" ht="15.5" x14ac:dyDescent="0.35">
      <c r="B3991" s="171"/>
    </row>
    <row r="3992" spans="2:2" ht="15.5" x14ac:dyDescent="0.35">
      <c r="B3992" s="171"/>
    </row>
    <row r="3993" spans="2:2" ht="15.5" x14ac:dyDescent="0.35">
      <c r="B3993" s="171"/>
    </row>
    <row r="3994" spans="2:2" ht="15.5" x14ac:dyDescent="0.35">
      <c r="B3994" s="171"/>
    </row>
    <row r="3995" spans="2:2" ht="15.5" x14ac:dyDescent="0.35">
      <c r="B3995" s="171"/>
    </row>
    <row r="3996" spans="2:2" ht="15.5" x14ac:dyDescent="0.35">
      <c r="B3996" s="171"/>
    </row>
    <row r="3997" spans="2:2" ht="15.5" x14ac:dyDescent="0.35">
      <c r="B3997" s="171"/>
    </row>
    <row r="3998" spans="2:2" ht="15.5" x14ac:dyDescent="0.35">
      <c r="B3998" s="171"/>
    </row>
    <row r="3999" spans="2:2" ht="15.5" x14ac:dyDescent="0.35">
      <c r="B3999" s="171"/>
    </row>
    <row r="4000" spans="2:2" ht="15.5" x14ac:dyDescent="0.35">
      <c r="B4000" s="171"/>
    </row>
    <row r="4001" spans="2:2" ht="15.5" x14ac:dyDescent="0.35">
      <c r="B4001" s="171"/>
    </row>
    <row r="4002" spans="2:2" ht="15.5" x14ac:dyDescent="0.35">
      <c r="B4002" s="171"/>
    </row>
    <row r="4003" spans="2:2" ht="15.5" x14ac:dyDescent="0.35">
      <c r="B4003" s="171"/>
    </row>
    <row r="4004" spans="2:2" ht="15.5" x14ac:dyDescent="0.35">
      <c r="B4004" s="171"/>
    </row>
    <row r="4005" spans="2:2" ht="15.5" x14ac:dyDescent="0.35">
      <c r="B4005" s="171"/>
    </row>
    <row r="4006" spans="2:2" ht="15.5" x14ac:dyDescent="0.35">
      <c r="B4006" s="171"/>
    </row>
    <row r="4007" spans="2:2" ht="15.5" x14ac:dyDescent="0.35">
      <c r="B4007" s="171"/>
    </row>
    <row r="4008" spans="2:2" ht="15.5" x14ac:dyDescent="0.35">
      <c r="B4008" s="171"/>
    </row>
    <row r="4009" spans="2:2" ht="15.5" x14ac:dyDescent="0.35">
      <c r="B4009" s="171"/>
    </row>
    <row r="4010" spans="2:2" ht="15.5" x14ac:dyDescent="0.35">
      <c r="B4010" s="171"/>
    </row>
    <row r="4011" spans="2:2" ht="15.5" x14ac:dyDescent="0.35">
      <c r="B4011" s="171"/>
    </row>
    <row r="4012" spans="2:2" ht="15.5" x14ac:dyDescent="0.35">
      <c r="B4012" s="171"/>
    </row>
    <row r="4013" spans="2:2" ht="15.5" x14ac:dyDescent="0.35">
      <c r="B4013" s="171"/>
    </row>
    <row r="4014" spans="2:2" ht="15.5" x14ac:dyDescent="0.35">
      <c r="B4014" s="171"/>
    </row>
    <row r="4015" spans="2:2" ht="15.5" x14ac:dyDescent="0.35">
      <c r="B4015" s="171"/>
    </row>
    <row r="4016" spans="2:2" ht="15.5" x14ac:dyDescent="0.35">
      <c r="B4016" s="171"/>
    </row>
    <row r="4017" spans="2:2" ht="15.5" x14ac:dyDescent="0.35">
      <c r="B4017" s="171"/>
    </row>
    <row r="4018" spans="2:2" ht="15.5" x14ac:dyDescent="0.35">
      <c r="B4018" s="171"/>
    </row>
    <row r="4019" spans="2:2" ht="15.5" x14ac:dyDescent="0.35">
      <c r="B4019" s="171"/>
    </row>
    <row r="4020" spans="2:2" ht="15.5" x14ac:dyDescent="0.35">
      <c r="B4020" s="171"/>
    </row>
    <row r="4021" spans="2:2" ht="15.5" x14ac:dyDescent="0.35">
      <c r="B4021" s="171"/>
    </row>
    <row r="4022" spans="2:2" ht="15.5" x14ac:dyDescent="0.35">
      <c r="B4022" s="171"/>
    </row>
    <row r="4023" spans="2:2" ht="15.5" x14ac:dyDescent="0.35">
      <c r="B4023" s="171"/>
    </row>
    <row r="4024" spans="2:2" ht="15.5" x14ac:dyDescent="0.35">
      <c r="B4024" s="171"/>
    </row>
    <row r="4025" spans="2:2" ht="15.5" x14ac:dyDescent="0.35">
      <c r="B4025" s="171"/>
    </row>
    <row r="4026" spans="2:2" ht="15.5" x14ac:dyDescent="0.35">
      <c r="B4026" s="171"/>
    </row>
    <row r="4027" spans="2:2" ht="15.5" x14ac:dyDescent="0.35">
      <c r="B4027" s="171"/>
    </row>
    <row r="4028" spans="2:2" ht="15.5" x14ac:dyDescent="0.35">
      <c r="B4028" s="171"/>
    </row>
    <row r="4029" spans="2:2" ht="15.5" x14ac:dyDescent="0.35">
      <c r="B4029" s="171"/>
    </row>
    <row r="4030" spans="2:2" ht="15.5" x14ac:dyDescent="0.35">
      <c r="B4030" s="171"/>
    </row>
    <row r="4031" spans="2:2" ht="15.5" x14ac:dyDescent="0.35">
      <c r="B4031" s="171"/>
    </row>
    <row r="4032" spans="2:2" ht="15.5" x14ac:dyDescent="0.35">
      <c r="B4032" s="171"/>
    </row>
    <row r="4033" spans="2:2" ht="15.5" x14ac:dyDescent="0.35">
      <c r="B4033" s="171"/>
    </row>
    <row r="4034" spans="2:2" ht="15.5" x14ac:dyDescent="0.35">
      <c r="B4034" s="171"/>
    </row>
    <row r="4035" spans="2:2" ht="15.5" x14ac:dyDescent="0.35">
      <c r="B4035" s="171"/>
    </row>
    <row r="4036" spans="2:2" ht="15.5" x14ac:dyDescent="0.35">
      <c r="B4036" s="171"/>
    </row>
    <row r="4037" spans="2:2" ht="15.5" x14ac:dyDescent="0.35">
      <c r="B4037" s="171"/>
    </row>
    <row r="4038" spans="2:2" ht="15.5" x14ac:dyDescent="0.35">
      <c r="B4038" s="171"/>
    </row>
    <row r="4039" spans="2:2" ht="15.5" x14ac:dyDescent="0.35">
      <c r="B4039" s="171"/>
    </row>
    <row r="4040" spans="2:2" ht="15.5" x14ac:dyDescent="0.35">
      <c r="B4040" s="171"/>
    </row>
    <row r="4041" spans="2:2" ht="15.5" x14ac:dyDescent="0.35">
      <c r="B4041" s="171"/>
    </row>
    <row r="4042" spans="2:2" ht="15.5" x14ac:dyDescent="0.35">
      <c r="B4042" s="171"/>
    </row>
    <row r="4043" spans="2:2" ht="15.5" x14ac:dyDescent="0.35">
      <c r="B4043" s="171"/>
    </row>
    <row r="4044" spans="2:2" ht="15.5" x14ac:dyDescent="0.35">
      <c r="B4044" s="171"/>
    </row>
    <row r="4045" spans="2:2" ht="15.5" x14ac:dyDescent="0.35">
      <c r="B4045" s="171"/>
    </row>
    <row r="4046" spans="2:2" ht="15.5" x14ac:dyDescent="0.35">
      <c r="B4046" s="171"/>
    </row>
    <row r="4047" spans="2:2" ht="15.5" x14ac:dyDescent="0.35">
      <c r="B4047" s="171"/>
    </row>
    <row r="4048" spans="2:2" ht="15.5" x14ac:dyDescent="0.35">
      <c r="B4048" s="171"/>
    </row>
    <row r="4049" spans="2:2" ht="15.5" x14ac:dyDescent="0.35">
      <c r="B4049" s="171"/>
    </row>
    <row r="4050" spans="2:2" ht="15.5" x14ac:dyDescent="0.35">
      <c r="B4050" s="171"/>
    </row>
    <row r="4051" spans="2:2" ht="15.5" x14ac:dyDescent="0.35">
      <c r="B4051" s="171"/>
    </row>
    <row r="4052" spans="2:2" ht="15.5" x14ac:dyDescent="0.35">
      <c r="B4052" s="171"/>
    </row>
    <row r="4053" spans="2:2" ht="15.5" x14ac:dyDescent="0.35">
      <c r="B4053" s="171"/>
    </row>
    <row r="4054" spans="2:2" ht="15.5" x14ac:dyDescent="0.35">
      <c r="B4054" s="171"/>
    </row>
    <row r="4055" spans="2:2" ht="15.5" x14ac:dyDescent="0.35">
      <c r="B4055" s="171"/>
    </row>
    <row r="4056" spans="2:2" ht="15.5" x14ac:dyDescent="0.35">
      <c r="B4056" s="171"/>
    </row>
    <row r="4057" spans="2:2" ht="15.5" x14ac:dyDescent="0.35">
      <c r="B4057" s="171"/>
    </row>
    <row r="4058" spans="2:2" ht="15.5" x14ac:dyDescent="0.35">
      <c r="B4058" s="171"/>
    </row>
    <row r="4059" spans="2:2" ht="15.5" x14ac:dyDescent="0.35">
      <c r="B4059" s="171"/>
    </row>
    <row r="4060" spans="2:2" ht="15.5" x14ac:dyDescent="0.35">
      <c r="B4060" s="171"/>
    </row>
    <row r="4061" spans="2:2" ht="15.5" x14ac:dyDescent="0.35">
      <c r="B4061" s="171"/>
    </row>
    <row r="4062" spans="2:2" ht="15.5" x14ac:dyDescent="0.35">
      <c r="B4062" s="171"/>
    </row>
    <row r="4063" spans="2:2" ht="15.5" x14ac:dyDescent="0.35">
      <c r="B4063" s="171"/>
    </row>
    <row r="4064" spans="2:2" ht="15.5" x14ac:dyDescent="0.35">
      <c r="B4064" s="171"/>
    </row>
    <row r="4065" spans="2:2" ht="15.5" x14ac:dyDescent="0.35">
      <c r="B4065" s="171"/>
    </row>
    <row r="4066" spans="2:2" ht="15.5" x14ac:dyDescent="0.35">
      <c r="B4066" s="171"/>
    </row>
    <row r="4067" spans="2:2" ht="15.5" x14ac:dyDescent="0.35">
      <c r="B4067" s="171"/>
    </row>
    <row r="4068" spans="2:2" ht="15.5" x14ac:dyDescent="0.35">
      <c r="B4068" s="171"/>
    </row>
    <row r="4069" spans="2:2" ht="15.5" x14ac:dyDescent="0.35">
      <c r="B4069" s="171"/>
    </row>
    <row r="4070" spans="2:2" ht="15.5" x14ac:dyDescent="0.35">
      <c r="B4070" s="171"/>
    </row>
    <row r="4071" spans="2:2" ht="15.5" x14ac:dyDescent="0.35">
      <c r="B4071" s="171"/>
    </row>
    <row r="4072" spans="2:2" ht="15.5" x14ac:dyDescent="0.35">
      <c r="B4072" s="171"/>
    </row>
    <row r="4073" spans="2:2" ht="15.5" x14ac:dyDescent="0.35">
      <c r="B4073" s="171"/>
    </row>
    <row r="4074" spans="2:2" ht="15.5" x14ac:dyDescent="0.35">
      <c r="B4074" s="171"/>
    </row>
    <row r="4075" spans="2:2" ht="15.5" x14ac:dyDescent="0.35">
      <c r="B4075" s="171"/>
    </row>
    <row r="4076" spans="2:2" ht="15.5" x14ac:dyDescent="0.35">
      <c r="B4076" s="171"/>
    </row>
    <row r="4077" spans="2:2" ht="15.5" x14ac:dyDescent="0.35">
      <c r="B4077" s="171"/>
    </row>
    <row r="4078" spans="2:2" ht="15.5" x14ac:dyDescent="0.35">
      <c r="B4078" s="171"/>
    </row>
    <row r="4079" spans="2:2" ht="15.5" x14ac:dyDescent="0.35">
      <c r="B4079" s="171"/>
    </row>
    <row r="4080" spans="2:2" ht="15.5" x14ac:dyDescent="0.35">
      <c r="B4080" s="171"/>
    </row>
    <row r="4081" spans="2:2" ht="15.5" x14ac:dyDescent="0.35">
      <c r="B4081" s="171"/>
    </row>
    <row r="4082" spans="2:2" ht="15.5" x14ac:dyDescent="0.35">
      <c r="B4082" s="171"/>
    </row>
    <row r="4083" spans="2:2" ht="15.5" x14ac:dyDescent="0.35">
      <c r="B4083" s="171"/>
    </row>
    <row r="4084" spans="2:2" ht="15.5" x14ac:dyDescent="0.35">
      <c r="B4084" s="171"/>
    </row>
    <row r="4085" spans="2:2" ht="15.5" x14ac:dyDescent="0.35">
      <c r="B4085" s="171"/>
    </row>
    <row r="4086" spans="2:2" ht="15.5" x14ac:dyDescent="0.35">
      <c r="B4086" s="171"/>
    </row>
    <row r="4087" spans="2:2" ht="15.5" x14ac:dyDescent="0.35">
      <c r="B4087" s="171"/>
    </row>
    <row r="4088" spans="2:2" ht="15.5" x14ac:dyDescent="0.35">
      <c r="B4088" s="171"/>
    </row>
    <row r="4089" spans="2:2" ht="15.5" x14ac:dyDescent="0.35">
      <c r="B4089" s="171"/>
    </row>
    <row r="4090" spans="2:2" ht="15.5" x14ac:dyDescent="0.35">
      <c r="B4090" s="171"/>
    </row>
    <row r="4091" spans="2:2" ht="15.5" x14ac:dyDescent="0.35">
      <c r="B4091" s="171"/>
    </row>
    <row r="4092" spans="2:2" ht="15.5" x14ac:dyDescent="0.35">
      <c r="B4092" s="171"/>
    </row>
    <row r="4093" spans="2:2" ht="15.5" x14ac:dyDescent="0.35">
      <c r="B4093" s="171"/>
    </row>
    <row r="4094" spans="2:2" ht="15.5" x14ac:dyDescent="0.35">
      <c r="B4094" s="171"/>
    </row>
    <row r="4095" spans="2:2" ht="15.5" x14ac:dyDescent="0.35">
      <c r="B4095" s="171"/>
    </row>
    <row r="4096" spans="2:2" ht="15.5" x14ac:dyDescent="0.35">
      <c r="B4096" s="171"/>
    </row>
    <row r="4097" spans="2:2" ht="15.5" x14ac:dyDescent="0.35">
      <c r="B4097" s="171"/>
    </row>
    <row r="4098" spans="2:2" ht="15.5" x14ac:dyDescent="0.35">
      <c r="B4098" s="171"/>
    </row>
    <row r="4099" spans="2:2" ht="15.5" x14ac:dyDescent="0.35">
      <c r="B4099" s="171"/>
    </row>
    <row r="4100" spans="2:2" ht="15.5" x14ac:dyDescent="0.35">
      <c r="B4100" s="171"/>
    </row>
    <row r="4101" spans="2:2" ht="15.5" x14ac:dyDescent="0.35">
      <c r="B4101" s="171"/>
    </row>
    <row r="4102" spans="2:2" ht="15.5" x14ac:dyDescent="0.35">
      <c r="B4102" s="171"/>
    </row>
    <row r="4103" spans="2:2" ht="15.5" x14ac:dyDescent="0.35">
      <c r="B4103" s="171"/>
    </row>
    <row r="4104" spans="2:2" ht="15.5" x14ac:dyDescent="0.35">
      <c r="B4104" s="171"/>
    </row>
    <row r="4105" spans="2:2" ht="15.5" x14ac:dyDescent="0.35">
      <c r="B4105" s="171"/>
    </row>
    <row r="4106" spans="2:2" ht="15.5" x14ac:dyDescent="0.35">
      <c r="B4106" s="171"/>
    </row>
    <row r="4107" spans="2:2" ht="15.5" x14ac:dyDescent="0.35">
      <c r="B4107" s="171"/>
    </row>
    <row r="4108" spans="2:2" ht="15.5" x14ac:dyDescent="0.35">
      <c r="B4108" s="171"/>
    </row>
    <row r="4109" spans="2:2" ht="15.5" x14ac:dyDescent="0.35">
      <c r="B4109" s="171"/>
    </row>
    <row r="4110" spans="2:2" ht="15.5" x14ac:dyDescent="0.35">
      <c r="B4110" s="171"/>
    </row>
    <row r="4111" spans="2:2" ht="15.5" x14ac:dyDescent="0.35">
      <c r="B4111" s="171"/>
    </row>
    <row r="4112" spans="2:2" ht="15.5" x14ac:dyDescent="0.35">
      <c r="B4112" s="171"/>
    </row>
    <row r="4113" spans="2:2" ht="15.5" x14ac:dyDescent="0.35">
      <c r="B4113" s="171"/>
    </row>
    <row r="4114" spans="2:2" ht="15.5" x14ac:dyDescent="0.35">
      <c r="B4114" s="171"/>
    </row>
    <row r="4115" spans="2:2" ht="15.5" x14ac:dyDescent="0.35">
      <c r="B4115" s="171"/>
    </row>
    <row r="4116" spans="2:2" ht="15.5" x14ac:dyDescent="0.35">
      <c r="B4116" s="171"/>
    </row>
    <row r="4117" spans="2:2" ht="15.5" x14ac:dyDescent="0.35">
      <c r="B4117" s="171"/>
    </row>
    <row r="4118" spans="2:2" ht="15.5" x14ac:dyDescent="0.35">
      <c r="B4118" s="171"/>
    </row>
    <row r="4119" spans="2:2" ht="15.5" x14ac:dyDescent="0.35">
      <c r="B4119" s="171"/>
    </row>
    <row r="4120" spans="2:2" ht="15.5" x14ac:dyDescent="0.35">
      <c r="B4120" s="171"/>
    </row>
    <row r="4121" spans="2:2" ht="15.5" x14ac:dyDescent="0.35">
      <c r="B4121" s="171"/>
    </row>
    <row r="4122" spans="2:2" ht="15.5" x14ac:dyDescent="0.35">
      <c r="B4122" s="171"/>
    </row>
    <row r="4123" spans="2:2" ht="15.5" x14ac:dyDescent="0.35">
      <c r="B4123" s="171"/>
    </row>
    <row r="4124" spans="2:2" ht="15.5" x14ac:dyDescent="0.35">
      <c r="B4124" s="171"/>
    </row>
    <row r="4125" spans="2:2" ht="15.5" x14ac:dyDescent="0.35">
      <c r="B4125" s="171"/>
    </row>
    <row r="4126" spans="2:2" ht="15.5" x14ac:dyDescent="0.35">
      <c r="B4126" s="171"/>
    </row>
    <row r="4127" spans="2:2" ht="15.5" x14ac:dyDescent="0.35">
      <c r="B4127" s="171"/>
    </row>
    <row r="4128" spans="2:2" ht="15.5" x14ac:dyDescent="0.35">
      <c r="B4128" s="171"/>
    </row>
    <row r="4129" spans="2:2" ht="15.5" x14ac:dyDescent="0.35">
      <c r="B4129" s="171"/>
    </row>
    <row r="4130" spans="2:2" ht="15.5" x14ac:dyDescent="0.35">
      <c r="B4130" s="171"/>
    </row>
    <row r="4131" spans="2:2" ht="15.5" x14ac:dyDescent="0.35">
      <c r="B4131" s="171"/>
    </row>
    <row r="4132" spans="2:2" ht="15.5" x14ac:dyDescent="0.35">
      <c r="B4132" s="171"/>
    </row>
    <row r="4133" spans="2:2" ht="15.5" x14ac:dyDescent="0.35">
      <c r="B4133" s="171"/>
    </row>
    <row r="4134" spans="2:2" ht="15.5" x14ac:dyDescent="0.35">
      <c r="B4134" s="171"/>
    </row>
    <row r="4135" spans="2:2" ht="15.5" x14ac:dyDescent="0.35">
      <c r="B4135" s="171"/>
    </row>
    <row r="4136" spans="2:2" ht="15.5" x14ac:dyDescent="0.35">
      <c r="B4136" s="171"/>
    </row>
    <row r="4137" spans="2:2" ht="15.5" x14ac:dyDescent="0.35">
      <c r="B4137" s="171"/>
    </row>
    <row r="4138" spans="2:2" ht="15.5" x14ac:dyDescent="0.35">
      <c r="B4138" s="171"/>
    </row>
    <row r="4139" spans="2:2" ht="15.5" x14ac:dyDescent="0.35">
      <c r="B4139" s="171"/>
    </row>
    <row r="4140" spans="2:2" ht="15.5" x14ac:dyDescent="0.35">
      <c r="B4140" s="171"/>
    </row>
    <row r="4141" spans="2:2" ht="15.5" x14ac:dyDescent="0.35">
      <c r="B4141" s="171"/>
    </row>
    <row r="4142" spans="2:2" ht="15.5" x14ac:dyDescent="0.35">
      <c r="B4142" s="171"/>
    </row>
    <row r="4143" spans="2:2" ht="15.5" x14ac:dyDescent="0.35">
      <c r="B4143" s="171"/>
    </row>
    <row r="4144" spans="2:2" ht="15.5" x14ac:dyDescent="0.35">
      <c r="B4144" s="171"/>
    </row>
    <row r="4145" spans="2:2" ht="15.5" x14ac:dyDescent="0.35">
      <c r="B4145" s="171"/>
    </row>
    <row r="4146" spans="2:2" ht="15.5" x14ac:dyDescent="0.35">
      <c r="B4146" s="171"/>
    </row>
    <row r="4147" spans="2:2" ht="15.5" x14ac:dyDescent="0.35">
      <c r="B4147" s="171"/>
    </row>
    <row r="4148" spans="2:2" ht="15.5" x14ac:dyDescent="0.35">
      <c r="B4148" s="171"/>
    </row>
    <row r="4149" spans="2:2" ht="15.5" x14ac:dyDescent="0.35">
      <c r="B4149" s="171"/>
    </row>
    <row r="4150" spans="2:2" ht="15.5" x14ac:dyDescent="0.35">
      <c r="B4150" s="171"/>
    </row>
    <row r="4151" spans="2:2" ht="15.5" x14ac:dyDescent="0.35">
      <c r="B4151" s="171"/>
    </row>
    <row r="4152" spans="2:2" ht="15.5" x14ac:dyDescent="0.35">
      <c r="B4152" s="171"/>
    </row>
    <row r="4153" spans="2:2" ht="15.5" x14ac:dyDescent="0.35">
      <c r="B4153" s="171"/>
    </row>
    <row r="4154" spans="2:2" ht="15.5" x14ac:dyDescent="0.35">
      <c r="B4154" s="171"/>
    </row>
    <row r="4155" spans="2:2" ht="15.5" x14ac:dyDescent="0.35">
      <c r="B4155" s="171"/>
    </row>
    <row r="4156" spans="2:2" ht="15.5" x14ac:dyDescent="0.35">
      <c r="B4156" s="171"/>
    </row>
    <row r="4157" spans="2:2" ht="15.5" x14ac:dyDescent="0.35">
      <c r="B4157" s="171"/>
    </row>
    <row r="4158" spans="2:2" ht="15.5" x14ac:dyDescent="0.35">
      <c r="B4158" s="171"/>
    </row>
    <row r="4159" spans="2:2" ht="15.5" x14ac:dyDescent="0.35">
      <c r="B4159" s="171"/>
    </row>
    <row r="4160" spans="2:2" ht="15.5" x14ac:dyDescent="0.35">
      <c r="B4160" s="171"/>
    </row>
    <row r="4161" spans="2:2" ht="15.5" x14ac:dyDescent="0.35">
      <c r="B4161" s="171"/>
    </row>
    <row r="4162" spans="2:2" ht="15.5" x14ac:dyDescent="0.35">
      <c r="B4162" s="171"/>
    </row>
    <row r="4163" spans="2:2" ht="15.5" x14ac:dyDescent="0.35">
      <c r="B4163" s="171"/>
    </row>
    <row r="4164" spans="2:2" ht="15.5" x14ac:dyDescent="0.35">
      <c r="B4164" s="171"/>
    </row>
    <row r="4165" spans="2:2" ht="15.5" x14ac:dyDescent="0.35">
      <c r="B4165" s="171"/>
    </row>
    <row r="4166" spans="2:2" ht="15.5" x14ac:dyDescent="0.35">
      <c r="B4166" s="171"/>
    </row>
    <row r="4167" spans="2:2" ht="15.5" x14ac:dyDescent="0.35">
      <c r="B4167" s="171"/>
    </row>
    <row r="4168" spans="2:2" ht="15.5" x14ac:dyDescent="0.35">
      <c r="B4168" s="171"/>
    </row>
    <row r="4169" spans="2:2" ht="15.5" x14ac:dyDescent="0.35">
      <c r="B4169" s="171"/>
    </row>
    <row r="4170" spans="2:2" ht="15.5" x14ac:dyDescent="0.35">
      <c r="B4170" s="171"/>
    </row>
    <row r="4171" spans="2:2" ht="15.5" x14ac:dyDescent="0.35">
      <c r="B4171" s="171"/>
    </row>
    <row r="4172" spans="2:2" ht="15.5" x14ac:dyDescent="0.35">
      <c r="B4172" s="171"/>
    </row>
    <row r="4173" spans="2:2" ht="15.5" x14ac:dyDescent="0.35">
      <c r="B4173" s="171"/>
    </row>
    <row r="4174" spans="2:2" ht="15.5" x14ac:dyDescent="0.35">
      <c r="B4174" s="171"/>
    </row>
    <row r="4175" spans="2:2" ht="15.5" x14ac:dyDescent="0.35">
      <c r="B4175" s="171"/>
    </row>
    <row r="4176" spans="2:2" ht="15.5" x14ac:dyDescent="0.35">
      <c r="B4176" s="171"/>
    </row>
    <row r="4177" spans="2:2" ht="15.5" x14ac:dyDescent="0.35">
      <c r="B4177" s="171"/>
    </row>
    <row r="4178" spans="2:2" ht="15.5" x14ac:dyDescent="0.35">
      <c r="B4178" s="171"/>
    </row>
    <row r="4179" spans="2:2" ht="15.5" x14ac:dyDescent="0.35">
      <c r="B4179" s="171"/>
    </row>
    <row r="4180" spans="2:2" ht="15.5" x14ac:dyDescent="0.35">
      <c r="B4180" s="171"/>
    </row>
    <row r="4181" spans="2:2" ht="15.5" x14ac:dyDescent="0.35">
      <c r="B4181" s="171"/>
    </row>
    <row r="4182" spans="2:2" ht="15.5" x14ac:dyDescent="0.35">
      <c r="B4182" s="171"/>
    </row>
    <row r="4183" spans="2:2" ht="15.5" x14ac:dyDescent="0.35">
      <c r="B4183" s="171"/>
    </row>
    <row r="4184" spans="2:2" ht="15.5" x14ac:dyDescent="0.35">
      <c r="B4184" s="171"/>
    </row>
    <row r="4185" spans="2:2" ht="15.5" x14ac:dyDescent="0.35">
      <c r="B4185" s="171"/>
    </row>
    <row r="4186" spans="2:2" ht="15.5" x14ac:dyDescent="0.35">
      <c r="B4186" s="171"/>
    </row>
    <row r="4187" spans="2:2" ht="15.5" x14ac:dyDescent="0.35">
      <c r="B4187" s="171"/>
    </row>
    <row r="4188" spans="2:2" ht="15.5" x14ac:dyDescent="0.35">
      <c r="B4188" s="171"/>
    </row>
    <row r="4189" spans="2:2" ht="15.5" x14ac:dyDescent="0.35">
      <c r="B4189" s="171"/>
    </row>
    <row r="4190" spans="2:2" ht="15.5" x14ac:dyDescent="0.35">
      <c r="B4190" s="171"/>
    </row>
    <row r="4191" spans="2:2" ht="15.5" x14ac:dyDescent="0.35">
      <c r="B4191" s="171"/>
    </row>
    <row r="4192" spans="2:2" ht="15.5" x14ac:dyDescent="0.35">
      <c r="B4192" s="171"/>
    </row>
    <row r="4193" spans="2:2" ht="15.5" x14ac:dyDescent="0.35">
      <c r="B4193" s="171"/>
    </row>
    <row r="4194" spans="2:2" ht="15.5" x14ac:dyDescent="0.35">
      <c r="B4194" s="171"/>
    </row>
    <row r="4195" spans="2:2" ht="15.5" x14ac:dyDescent="0.35">
      <c r="B4195" s="171"/>
    </row>
    <row r="4196" spans="2:2" ht="15.5" x14ac:dyDescent="0.35">
      <c r="B4196" s="171"/>
    </row>
    <row r="4197" spans="2:2" ht="15.5" x14ac:dyDescent="0.35">
      <c r="B4197" s="171"/>
    </row>
    <row r="4198" spans="2:2" ht="15.5" x14ac:dyDescent="0.35">
      <c r="B4198" s="171"/>
    </row>
    <row r="4199" spans="2:2" ht="15.5" x14ac:dyDescent="0.35">
      <c r="B4199" s="171"/>
    </row>
    <row r="4200" spans="2:2" ht="15.5" x14ac:dyDescent="0.35">
      <c r="B4200" s="171"/>
    </row>
    <row r="4201" spans="2:2" ht="15.5" x14ac:dyDescent="0.35">
      <c r="B4201" s="171"/>
    </row>
    <row r="4202" spans="2:2" ht="15.5" x14ac:dyDescent="0.35">
      <c r="B4202" s="171"/>
    </row>
    <row r="4203" spans="2:2" ht="15.5" x14ac:dyDescent="0.35">
      <c r="B4203" s="171"/>
    </row>
    <row r="4204" spans="2:2" ht="15.5" x14ac:dyDescent="0.35">
      <c r="B4204" s="171"/>
    </row>
    <row r="4205" spans="2:2" ht="15.5" x14ac:dyDescent="0.35">
      <c r="B4205" s="171"/>
    </row>
    <row r="4206" spans="2:2" ht="15.5" x14ac:dyDescent="0.35">
      <c r="B4206" s="171"/>
    </row>
    <row r="4207" spans="2:2" ht="15.5" x14ac:dyDescent="0.35">
      <c r="B4207" s="171"/>
    </row>
    <row r="4208" spans="2:2" ht="15.5" x14ac:dyDescent="0.35">
      <c r="B4208" s="171"/>
    </row>
    <row r="4209" spans="2:2" ht="15.5" x14ac:dyDescent="0.35">
      <c r="B4209" s="171"/>
    </row>
    <row r="4210" spans="2:2" ht="15.5" x14ac:dyDescent="0.35">
      <c r="B4210" s="171"/>
    </row>
    <row r="4211" spans="2:2" ht="15.5" x14ac:dyDescent="0.35">
      <c r="B4211" s="171"/>
    </row>
    <row r="4212" spans="2:2" ht="15.5" x14ac:dyDescent="0.35">
      <c r="B4212" s="171"/>
    </row>
    <row r="4213" spans="2:2" ht="15.5" x14ac:dyDescent="0.35">
      <c r="B4213" s="171"/>
    </row>
    <row r="4214" spans="2:2" ht="15.5" x14ac:dyDescent="0.35">
      <c r="B4214" s="171"/>
    </row>
    <row r="4215" spans="2:2" ht="15.5" x14ac:dyDescent="0.35">
      <c r="B4215" s="171"/>
    </row>
    <row r="4216" spans="2:2" ht="15.5" x14ac:dyDescent="0.35">
      <c r="B4216" s="171"/>
    </row>
    <row r="4217" spans="2:2" ht="15.5" x14ac:dyDescent="0.35">
      <c r="B4217" s="171"/>
    </row>
    <row r="4218" spans="2:2" ht="15.5" x14ac:dyDescent="0.35">
      <c r="B4218" s="171"/>
    </row>
    <row r="4219" spans="2:2" ht="15.5" x14ac:dyDescent="0.35">
      <c r="B4219" s="171"/>
    </row>
    <row r="4220" spans="2:2" ht="15.5" x14ac:dyDescent="0.35">
      <c r="B4220" s="171"/>
    </row>
    <row r="4221" spans="2:2" ht="15.5" x14ac:dyDescent="0.35">
      <c r="B4221" s="171"/>
    </row>
    <row r="4222" spans="2:2" ht="15.5" x14ac:dyDescent="0.35">
      <c r="B4222" s="171"/>
    </row>
    <row r="4223" spans="2:2" ht="15.5" x14ac:dyDescent="0.35">
      <c r="B4223" s="171"/>
    </row>
    <row r="4224" spans="2:2" ht="15.5" x14ac:dyDescent="0.35">
      <c r="B4224" s="171"/>
    </row>
    <row r="4225" spans="2:2" ht="15.5" x14ac:dyDescent="0.35">
      <c r="B4225" s="171"/>
    </row>
    <row r="4226" spans="2:2" ht="15.5" x14ac:dyDescent="0.35">
      <c r="B4226" s="171"/>
    </row>
    <row r="4227" spans="2:2" ht="15.5" x14ac:dyDescent="0.35">
      <c r="B4227" s="171"/>
    </row>
    <row r="4228" spans="2:2" ht="15.5" x14ac:dyDescent="0.35">
      <c r="B4228" s="171"/>
    </row>
    <row r="4229" spans="2:2" ht="15.5" x14ac:dyDescent="0.35">
      <c r="B4229" s="171"/>
    </row>
    <row r="4230" spans="2:2" ht="15.5" x14ac:dyDescent="0.35">
      <c r="B4230" s="171"/>
    </row>
    <row r="4231" spans="2:2" ht="15.5" x14ac:dyDescent="0.35">
      <c r="B4231" s="171"/>
    </row>
    <row r="4232" spans="2:2" ht="15.5" x14ac:dyDescent="0.35">
      <c r="B4232" s="171"/>
    </row>
    <row r="4233" spans="2:2" ht="15.5" x14ac:dyDescent="0.35">
      <c r="B4233" s="171"/>
    </row>
    <row r="4234" spans="2:2" ht="15.5" x14ac:dyDescent="0.35">
      <c r="B4234" s="171"/>
    </row>
    <row r="4235" spans="2:2" ht="15.5" x14ac:dyDescent="0.35">
      <c r="B4235" s="171"/>
    </row>
    <row r="4236" spans="2:2" ht="15.5" x14ac:dyDescent="0.35">
      <c r="B4236" s="171"/>
    </row>
    <row r="4237" spans="2:2" ht="15.5" x14ac:dyDescent="0.35">
      <c r="B4237" s="171"/>
    </row>
    <row r="4238" spans="2:2" ht="15.5" x14ac:dyDescent="0.35">
      <c r="B4238" s="171"/>
    </row>
    <row r="4239" spans="2:2" ht="15.5" x14ac:dyDescent="0.35">
      <c r="B4239" s="171"/>
    </row>
    <row r="4240" spans="2:2" ht="15.5" x14ac:dyDescent="0.35">
      <c r="B4240" s="171"/>
    </row>
    <row r="4241" spans="2:2" ht="15.5" x14ac:dyDescent="0.35">
      <c r="B4241" s="171"/>
    </row>
    <row r="4242" spans="2:2" ht="15.5" x14ac:dyDescent="0.35">
      <c r="B4242" s="171"/>
    </row>
    <row r="4243" spans="2:2" ht="15.5" x14ac:dyDescent="0.35">
      <c r="B4243" s="171"/>
    </row>
    <row r="4244" spans="2:2" ht="15.5" x14ac:dyDescent="0.35">
      <c r="B4244" s="171"/>
    </row>
    <row r="4245" spans="2:2" ht="15.5" x14ac:dyDescent="0.35">
      <c r="B4245" s="171"/>
    </row>
    <row r="4246" spans="2:2" ht="15.5" x14ac:dyDescent="0.35">
      <c r="B4246" s="171"/>
    </row>
    <row r="4247" spans="2:2" ht="15.5" x14ac:dyDescent="0.35">
      <c r="B4247" s="171"/>
    </row>
    <row r="4248" spans="2:2" ht="15.5" x14ac:dyDescent="0.35">
      <c r="B4248" s="171"/>
    </row>
    <row r="4249" spans="2:2" ht="15.5" x14ac:dyDescent="0.35">
      <c r="B4249" s="171"/>
    </row>
    <row r="4250" spans="2:2" ht="15.5" x14ac:dyDescent="0.35">
      <c r="B4250" s="171"/>
    </row>
    <row r="4251" spans="2:2" ht="15.5" x14ac:dyDescent="0.35">
      <c r="B4251" s="171"/>
    </row>
    <row r="4252" spans="2:2" ht="15.5" x14ac:dyDescent="0.35">
      <c r="B4252" s="171"/>
    </row>
    <row r="4253" spans="2:2" ht="15.5" x14ac:dyDescent="0.35">
      <c r="B4253" s="171"/>
    </row>
    <row r="4254" spans="2:2" ht="15.5" x14ac:dyDescent="0.35">
      <c r="B4254" s="171"/>
    </row>
    <row r="4255" spans="2:2" ht="15.5" x14ac:dyDescent="0.35">
      <c r="B4255" s="171"/>
    </row>
    <row r="4256" spans="2:2" ht="15.5" x14ac:dyDescent="0.35">
      <c r="B4256" s="171"/>
    </row>
    <row r="4257" spans="2:2" ht="15.5" x14ac:dyDescent="0.35">
      <c r="B4257" s="171"/>
    </row>
    <row r="4258" spans="2:2" ht="15.5" x14ac:dyDescent="0.35">
      <c r="B4258" s="171"/>
    </row>
    <row r="4259" spans="2:2" ht="15.5" x14ac:dyDescent="0.35">
      <c r="B4259" s="171"/>
    </row>
    <row r="4260" spans="2:2" ht="15.5" x14ac:dyDescent="0.35">
      <c r="B4260" s="171"/>
    </row>
    <row r="4261" spans="2:2" ht="15.5" x14ac:dyDescent="0.35">
      <c r="B4261" s="171"/>
    </row>
    <row r="4262" spans="2:2" ht="15.5" x14ac:dyDescent="0.35">
      <c r="B4262" s="171"/>
    </row>
    <row r="4263" spans="2:2" ht="15.5" x14ac:dyDescent="0.35">
      <c r="B4263" s="171"/>
    </row>
    <row r="4264" spans="2:2" ht="15.5" x14ac:dyDescent="0.35">
      <c r="B4264" s="171"/>
    </row>
    <row r="4265" spans="2:2" ht="15.5" x14ac:dyDescent="0.35">
      <c r="B4265" s="171"/>
    </row>
    <row r="4266" spans="2:2" ht="15.5" x14ac:dyDescent="0.35">
      <c r="B4266" s="171"/>
    </row>
    <row r="4267" spans="2:2" ht="15.5" x14ac:dyDescent="0.35">
      <c r="B4267" s="171"/>
    </row>
    <row r="4268" spans="2:2" ht="15.5" x14ac:dyDescent="0.35">
      <c r="B4268" s="171"/>
    </row>
    <row r="4269" spans="2:2" ht="15.5" x14ac:dyDescent="0.35">
      <c r="B4269" s="171"/>
    </row>
    <row r="4270" spans="2:2" ht="15.5" x14ac:dyDescent="0.35">
      <c r="B4270" s="171"/>
    </row>
    <row r="4271" spans="2:2" ht="15.5" x14ac:dyDescent="0.35">
      <c r="B4271" s="171"/>
    </row>
    <row r="4272" spans="2:2" ht="15.5" x14ac:dyDescent="0.35">
      <c r="B4272" s="171"/>
    </row>
    <row r="4273" spans="2:2" ht="15.5" x14ac:dyDescent="0.35">
      <c r="B4273" s="171"/>
    </row>
    <row r="4274" spans="2:2" ht="15.5" x14ac:dyDescent="0.35">
      <c r="B4274" s="171"/>
    </row>
    <row r="4275" spans="2:2" ht="15.5" x14ac:dyDescent="0.35">
      <c r="B4275" s="171"/>
    </row>
    <row r="4276" spans="2:2" ht="15.5" x14ac:dyDescent="0.35">
      <c r="B4276" s="171"/>
    </row>
    <row r="4277" spans="2:2" ht="15.5" x14ac:dyDescent="0.35">
      <c r="B4277" s="171"/>
    </row>
    <row r="4278" spans="2:2" ht="15.5" x14ac:dyDescent="0.35">
      <c r="B4278" s="171"/>
    </row>
    <row r="4279" spans="2:2" ht="15.5" x14ac:dyDescent="0.35">
      <c r="B4279" s="171"/>
    </row>
    <row r="4280" spans="2:2" ht="15.5" x14ac:dyDescent="0.35">
      <c r="B4280" s="171"/>
    </row>
    <row r="4281" spans="2:2" ht="15.5" x14ac:dyDescent="0.35">
      <c r="B4281" s="171"/>
    </row>
    <row r="4282" spans="2:2" ht="15.5" x14ac:dyDescent="0.35">
      <c r="B4282" s="171"/>
    </row>
    <row r="4283" spans="2:2" ht="15.5" x14ac:dyDescent="0.35">
      <c r="B4283" s="171"/>
    </row>
    <row r="4284" spans="2:2" ht="15.5" x14ac:dyDescent="0.35">
      <c r="B4284" s="171"/>
    </row>
    <row r="4285" spans="2:2" ht="15.5" x14ac:dyDescent="0.35">
      <c r="B4285" s="171"/>
    </row>
    <row r="4286" spans="2:2" ht="15.5" x14ac:dyDescent="0.35">
      <c r="B4286" s="171"/>
    </row>
    <row r="4287" spans="2:2" ht="15.5" x14ac:dyDescent="0.35">
      <c r="B4287" s="171"/>
    </row>
    <row r="4288" spans="2:2" ht="15.5" x14ac:dyDescent="0.35">
      <c r="B4288" s="171"/>
    </row>
    <row r="4289" spans="2:2" ht="15.5" x14ac:dyDescent="0.35">
      <c r="B4289" s="171"/>
    </row>
    <row r="4290" spans="2:2" ht="15.5" x14ac:dyDescent="0.35">
      <c r="B4290" s="171"/>
    </row>
    <row r="4291" spans="2:2" ht="15.5" x14ac:dyDescent="0.35">
      <c r="B4291" s="171"/>
    </row>
    <row r="4292" spans="2:2" ht="15.5" x14ac:dyDescent="0.35">
      <c r="B4292" s="171"/>
    </row>
    <row r="4293" spans="2:2" ht="15.5" x14ac:dyDescent="0.35">
      <c r="B4293" s="171"/>
    </row>
    <row r="4294" spans="2:2" ht="15.5" x14ac:dyDescent="0.35">
      <c r="B4294" s="171"/>
    </row>
    <row r="4295" spans="2:2" ht="15.5" x14ac:dyDescent="0.35">
      <c r="B4295" s="171"/>
    </row>
    <row r="4296" spans="2:2" ht="15.5" x14ac:dyDescent="0.35">
      <c r="B4296" s="171"/>
    </row>
    <row r="4297" spans="2:2" ht="15.5" x14ac:dyDescent="0.35">
      <c r="B4297" s="171"/>
    </row>
    <row r="4298" spans="2:2" ht="15.5" x14ac:dyDescent="0.35">
      <c r="B4298" s="171"/>
    </row>
    <row r="4299" spans="2:2" ht="15.5" x14ac:dyDescent="0.35">
      <c r="B4299" s="171"/>
    </row>
    <row r="4300" spans="2:2" ht="15.5" x14ac:dyDescent="0.35">
      <c r="B4300" s="171"/>
    </row>
    <row r="4301" spans="2:2" ht="15.5" x14ac:dyDescent="0.35">
      <c r="B4301" s="171"/>
    </row>
    <row r="4302" spans="2:2" ht="15.5" x14ac:dyDescent="0.35">
      <c r="B4302" s="171"/>
    </row>
    <row r="4303" spans="2:2" ht="15.5" x14ac:dyDescent="0.35">
      <c r="B4303" s="171"/>
    </row>
    <row r="4304" spans="2:2" ht="15.5" x14ac:dyDescent="0.35">
      <c r="B4304" s="171"/>
    </row>
    <row r="4305" spans="2:2" ht="15.5" x14ac:dyDescent="0.35">
      <c r="B4305" s="171"/>
    </row>
    <row r="4306" spans="2:2" ht="15.5" x14ac:dyDescent="0.35">
      <c r="B4306" s="171"/>
    </row>
    <row r="4307" spans="2:2" ht="15.5" x14ac:dyDescent="0.35">
      <c r="B4307" s="171"/>
    </row>
    <row r="4308" spans="2:2" ht="15.5" x14ac:dyDescent="0.35">
      <c r="B4308" s="171"/>
    </row>
    <row r="4309" spans="2:2" ht="15.5" x14ac:dyDescent="0.35">
      <c r="B4309" s="171"/>
    </row>
    <row r="4310" spans="2:2" ht="15.5" x14ac:dyDescent="0.35">
      <c r="B4310" s="171"/>
    </row>
    <row r="4311" spans="2:2" ht="15.5" x14ac:dyDescent="0.35">
      <c r="B4311" s="171"/>
    </row>
    <row r="4312" spans="2:2" ht="15.5" x14ac:dyDescent="0.35">
      <c r="B4312" s="171"/>
    </row>
    <row r="4313" spans="2:2" ht="15.5" x14ac:dyDescent="0.35">
      <c r="B4313" s="171"/>
    </row>
    <row r="4314" spans="2:2" ht="15.5" x14ac:dyDescent="0.35">
      <c r="B4314" s="171"/>
    </row>
    <row r="4315" spans="2:2" ht="15.5" x14ac:dyDescent="0.35">
      <c r="B4315" s="171"/>
    </row>
    <row r="4316" spans="2:2" ht="15.5" x14ac:dyDescent="0.35">
      <c r="B4316" s="171"/>
    </row>
    <row r="4317" spans="2:2" ht="15.5" x14ac:dyDescent="0.35">
      <c r="B4317" s="171"/>
    </row>
    <row r="4318" spans="2:2" ht="15.5" x14ac:dyDescent="0.35">
      <c r="B4318" s="171"/>
    </row>
    <row r="4319" spans="2:2" ht="15.5" x14ac:dyDescent="0.35">
      <c r="B4319" s="171"/>
    </row>
    <row r="4320" spans="2:2" ht="15.5" x14ac:dyDescent="0.35">
      <c r="B4320" s="171"/>
    </row>
    <row r="4321" spans="2:2" ht="15.5" x14ac:dyDescent="0.35">
      <c r="B4321" s="171"/>
    </row>
    <row r="4322" spans="2:2" ht="15.5" x14ac:dyDescent="0.35">
      <c r="B4322" s="171"/>
    </row>
    <row r="4323" spans="2:2" ht="15.5" x14ac:dyDescent="0.35">
      <c r="B4323" s="171"/>
    </row>
    <row r="4324" spans="2:2" ht="15.5" x14ac:dyDescent="0.35">
      <c r="B4324" s="171"/>
    </row>
    <row r="4325" spans="2:2" ht="15.5" x14ac:dyDescent="0.35">
      <c r="B4325" s="171"/>
    </row>
    <row r="4326" spans="2:2" ht="15.5" x14ac:dyDescent="0.35">
      <c r="B4326" s="171"/>
    </row>
    <row r="4327" spans="2:2" ht="15.5" x14ac:dyDescent="0.35">
      <c r="B4327" s="171"/>
    </row>
    <row r="4328" spans="2:2" ht="15.5" x14ac:dyDescent="0.35">
      <c r="B4328" s="171"/>
    </row>
    <row r="4329" spans="2:2" ht="15.5" x14ac:dyDescent="0.35">
      <c r="B4329" s="171"/>
    </row>
    <row r="4330" spans="2:2" ht="15.5" x14ac:dyDescent="0.35">
      <c r="B4330" s="171"/>
    </row>
    <row r="4331" spans="2:2" ht="15.5" x14ac:dyDescent="0.35">
      <c r="B4331" s="171"/>
    </row>
    <row r="4332" spans="2:2" ht="15.5" x14ac:dyDescent="0.35">
      <c r="B4332" s="171"/>
    </row>
    <row r="4333" spans="2:2" ht="15.5" x14ac:dyDescent="0.35">
      <c r="B4333" s="171"/>
    </row>
    <row r="4334" spans="2:2" ht="15.5" x14ac:dyDescent="0.35">
      <c r="B4334" s="171"/>
    </row>
    <row r="4335" spans="2:2" ht="15.5" x14ac:dyDescent="0.35">
      <c r="B4335" s="171"/>
    </row>
    <row r="4336" spans="2:2" ht="15.5" x14ac:dyDescent="0.35">
      <c r="B4336" s="171"/>
    </row>
    <row r="4337" spans="2:2" ht="15.5" x14ac:dyDescent="0.35">
      <c r="B4337" s="171"/>
    </row>
    <row r="4338" spans="2:2" ht="15.5" x14ac:dyDescent="0.35">
      <c r="B4338" s="171"/>
    </row>
    <row r="4339" spans="2:2" ht="15.5" x14ac:dyDescent="0.35">
      <c r="B4339" s="171"/>
    </row>
    <row r="4340" spans="2:2" ht="15.5" x14ac:dyDescent="0.35">
      <c r="B4340" s="171"/>
    </row>
    <row r="4341" spans="2:2" ht="15.5" x14ac:dyDescent="0.35">
      <c r="B4341" s="171"/>
    </row>
    <row r="4342" spans="2:2" ht="15.5" x14ac:dyDescent="0.35">
      <c r="B4342" s="171"/>
    </row>
    <row r="4343" spans="2:2" ht="15.5" x14ac:dyDescent="0.35">
      <c r="B4343" s="171"/>
    </row>
    <row r="4344" spans="2:2" ht="15.5" x14ac:dyDescent="0.35">
      <c r="B4344" s="171"/>
    </row>
    <row r="4345" spans="2:2" ht="15.5" x14ac:dyDescent="0.35">
      <c r="B4345" s="171"/>
    </row>
    <row r="4346" spans="2:2" ht="15.5" x14ac:dyDescent="0.35">
      <c r="B4346" s="171"/>
    </row>
    <row r="4347" spans="2:2" ht="15.5" x14ac:dyDescent="0.35">
      <c r="B4347" s="171"/>
    </row>
    <row r="4348" spans="2:2" ht="15.5" x14ac:dyDescent="0.35">
      <c r="B4348" s="171"/>
    </row>
    <row r="4349" spans="2:2" ht="15.5" x14ac:dyDescent="0.35">
      <c r="B4349" s="171"/>
    </row>
    <row r="4350" spans="2:2" ht="15.5" x14ac:dyDescent="0.35">
      <c r="B4350" s="171"/>
    </row>
    <row r="4351" spans="2:2" ht="15.5" x14ac:dyDescent="0.35">
      <c r="B4351" s="171"/>
    </row>
    <row r="4352" spans="2:2" ht="15.5" x14ac:dyDescent="0.35">
      <c r="B4352" s="171"/>
    </row>
    <row r="4353" spans="2:2" ht="15.5" x14ac:dyDescent="0.35">
      <c r="B4353" s="171"/>
    </row>
    <row r="4354" spans="2:2" ht="15.5" x14ac:dyDescent="0.35">
      <c r="B4354" s="171"/>
    </row>
    <row r="4355" spans="2:2" ht="15.5" x14ac:dyDescent="0.35">
      <c r="B4355" s="171"/>
    </row>
    <row r="4356" spans="2:2" ht="15.5" x14ac:dyDescent="0.35">
      <c r="B4356" s="171"/>
    </row>
    <row r="4357" spans="2:2" ht="15.5" x14ac:dyDescent="0.35">
      <c r="B4357" s="171"/>
    </row>
    <row r="4358" spans="2:2" ht="15.5" x14ac:dyDescent="0.35">
      <c r="B4358" s="171"/>
    </row>
    <row r="4359" spans="2:2" ht="15.5" x14ac:dyDescent="0.35">
      <c r="B4359" s="171"/>
    </row>
    <row r="4360" spans="2:2" ht="15.5" x14ac:dyDescent="0.35">
      <c r="B4360" s="171"/>
    </row>
    <row r="4361" spans="2:2" ht="15.5" x14ac:dyDescent="0.35">
      <c r="B4361" s="171"/>
    </row>
    <row r="4362" spans="2:2" ht="15.5" x14ac:dyDescent="0.35">
      <c r="B4362" s="171"/>
    </row>
    <row r="4363" spans="2:2" ht="15.5" x14ac:dyDescent="0.35">
      <c r="B4363" s="171"/>
    </row>
    <row r="4364" spans="2:2" ht="15.5" x14ac:dyDescent="0.35">
      <c r="B4364" s="171"/>
    </row>
    <row r="4365" spans="2:2" ht="15.5" x14ac:dyDescent="0.35">
      <c r="B4365" s="171"/>
    </row>
    <row r="4366" spans="2:2" ht="15.5" x14ac:dyDescent="0.35">
      <c r="B4366" s="171"/>
    </row>
    <row r="4367" spans="2:2" ht="15.5" x14ac:dyDescent="0.35">
      <c r="B4367" s="171"/>
    </row>
    <row r="4368" spans="2:2" ht="15.5" x14ac:dyDescent="0.35">
      <c r="B4368" s="171"/>
    </row>
    <row r="4369" spans="2:2" ht="15.5" x14ac:dyDescent="0.35">
      <c r="B4369" s="171"/>
    </row>
    <row r="4370" spans="2:2" ht="15.5" x14ac:dyDescent="0.35">
      <c r="B4370" s="171"/>
    </row>
    <row r="4371" spans="2:2" ht="15.5" x14ac:dyDescent="0.35">
      <c r="B4371" s="171"/>
    </row>
    <row r="4372" spans="2:2" ht="15.5" x14ac:dyDescent="0.35">
      <c r="B4372" s="171"/>
    </row>
    <row r="4373" spans="2:2" ht="15.5" x14ac:dyDescent="0.35">
      <c r="B4373" s="171"/>
    </row>
    <row r="4374" spans="2:2" ht="15.5" x14ac:dyDescent="0.35">
      <c r="B4374" s="171"/>
    </row>
    <row r="4375" spans="2:2" ht="15.5" x14ac:dyDescent="0.35">
      <c r="B4375" s="171"/>
    </row>
    <row r="4376" spans="2:2" ht="15.5" x14ac:dyDescent="0.35">
      <c r="B4376" s="171"/>
    </row>
    <row r="4377" spans="2:2" ht="15.5" x14ac:dyDescent="0.35">
      <c r="B4377" s="171"/>
    </row>
    <row r="4378" spans="2:2" ht="15.5" x14ac:dyDescent="0.35">
      <c r="B4378" s="171"/>
    </row>
    <row r="4379" spans="2:2" ht="15.5" x14ac:dyDescent="0.35">
      <c r="B4379" s="171"/>
    </row>
    <row r="4380" spans="2:2" ht="15.5" x14ac:dyDescent="0.35">
      <c r="B4380" s="171"/>
    </row>
    <row r="4381" spans="2:2" ht="15.5" x14ac:dyDescent="0.35">
      <c r="B4381" s="171"/>
    </row>
    <row r="4382" spans="2:2" ht="15.5" x14ac:dyDescent="0.35">
      <c r="B4382" s="171"/>
    </row>
    <row r="4383" spans="2:2" ht="15.5" x14ac:dyDescent="0.35">
      <c r="B4383" s="171"/>
    </row>
    <row r="4384" spans="2:2" ht="15.5" x14ac:dyDescent="0.35">
      <c r="B4384" s="171"/>
    </row>
    <row r="4385" spans="2:2" ht="15.5" x14ac:dyDescent="0.35">
      <c r="B4385" s="171"/>
    </row>
    <row r="4386" spans="2:2" ht="15.5" x14ac:dyDescent="0.35">
      <c r="B4386" s="171"/>
    </row>
    <row r="4387" spans="2:2" ht="15.5" x14ac:dyDescent="0.35">
      <c r="B4387" s="171"/>
    </row>
    <row r="4388" spans="2:2" ht="15.5" x14ac:dyDescent="0.35">
      <c r="B4388" s="171"/>
    </row>
    <row r="4389" spans="2:2" ht="15.5" x14ac:dyDescent="0.35">
      <c r="B4389" s="171"/>
    </row>
    <row r="4390" spans="2:2" ht="15.5" x14ac:dyDescent="0.35">
      <c r="B4390" s="171"/>
    </row>
    <row r="4391" spans="2:2" ht="15.5" x14ac:dyDescent="0.35">
      <c r="B4391" s="171"/>
    </row>
    <row r="4392" spans="2:2" ht="15.5" x14ac:dyDescent="0.35">
      <c r="B4392" s="171"/>
    </row>
    <row r="4393" spans="2:2" ht="15.5" x14ac:dyDescent="0.35">
      <c r="B4393" s="171"/>
    </row>
    <row r="4394" spans="2:2" ht="15.5" x14ac:dyDescent="0.35">
      <c r="B4394" s="171"/>
    </row>
    <row r="4395" spans="2:2" ht="15.5" x14ac:dyDescent="0.35">
      <c r="B4395" s="171"/>
    </row>
    <row r="4396" spans="2:2" ht="15.5" x14ac:dyDescent="0.35">
      <c r="B4396" s="171"/>
    </row>
    <row r="4397" spans="2:2" ht="15.5" x14ac:dyDescent="0.35">
      <c r="B4397" s="171"/>
    </row>
    <row r="4398" spans="2:2" ht="15.5" x14ac:dyDescent="0.35">
      <c r="B4398" s="171"/>
    </row>
    <row r="4399" spans="2:2" ht="15.5" x14ac:dyDescent="0.35">
      <c r="B4399" s="171"/>
    </row>
    <row r="4400" spans="2:2" ht="15.5" x14ac:dyDescent="0.35">
      <c r="B4400" s="171"/>
    </row>
    <row r="4401" spans="2:2" ht="15.5" x14ac:dyDescent="0.35">
      <c r="B4401" s="171"/>
    </row>
    <row r="4402" spans="2:2" ht="15.5" x14ac:dyDescent="0.35">
      <c r="B4402" s="171"/>
    </row>
    <row r="4403" spans="2:2" ht="15.5" x14ac:dyDescent="0.35">
      <c r="B4403" s="171"/>
    </row>
    <row r="4404" spans="2:2" ht="15.5" x14ac:dyDescent="0.35">
      <c r="B4404" s="171"/>
    </row>
    <row r="4405" spans="2:2" ht="15.5" x14ac:dyDescent="0.35">
      <c r="B4405" s="171"/>
    </row>
    <row r="4406" spans="2:2" ht="15.5" x14ac:dyDescent="0.35">
      <c r="B4406" s="171"/>
    </row>
    <row r="4407" spans="2:2" ht="15.5" x14ac:dyDescent="0.35">
      <c r="B4407" s="171"/>
    </row>
    <row r="4408" spans="2:2" ht="15.5" x14ac:dyDescent="0.35">
      <c r="B4408" s="171"/>
    </row>
    <row r="4409" spans="2:2" ht="15.5" x14ac:dyDescent="0.35">
      <c r="B4409" s="171"/>
    </row>
    <row r="4410" spans="2:2" ht="15.5" x14ac:dyDescent="0.35">
      <c r="B4410" s="171"/>
    </row>
    <row r="4411" spans="2:2" ht="15.5" x14ac:dyDescent="0.35">
      <c r="B4411" s="171"/>
    </row>
    <row r="4412" spans="2:2" ht="15.5" x14ac:dyDescent="0.35">
      <c r="B4412" s="171"/>
    </row>
    <row r="4413" spans="2:2" ht="15.5" x14ac:dyDescent="0.35">
      <c r="B4413" s="171"/>
    </row>
    <row r="4414" spans="2:2" ht="15.5" x14ac:dyDescent="0.35">
      <c r="B4414" s="171"/>
    </row>
    <row r="4415" spans="2:2" ht="15.5" x14ac:dyDescent="0.35">
      <c r="B4415" s="171"/>
    </row>
    <row r="4416" spans="2:2" ht="15.5" x14ac:dyDescent="0.35">
      <c r="B4416" s="171"/>
    </row>
    <row r="4417" spans="2:2" ht="15.5" x14ac:dyDescent="0.35">
      <c r="B4417" s="171"/>
    </row>
    <row r="4418" spans="2:2" ht="15.5" x14ac:dyDescent="0.35">
      <c r="B4418" s="171"/>
    </row>
    <row r="4419" spans="2:2" ht="15.5" x14ac:dyDescent="0.35">
      <c r="B4419" s="171"/>
    </row>
    <row r="4420" spans="2:2" ht="15.5" x14ac:dyDescent="0.35">
      <c r="B4420" s="171"/>
    </row>
    <row r="4421" spans="2:2" ht="15.5" x14ac:dyDescent="0.35">
      <c r="B4421" s="171"/>
    </row>
    <row r="4422" spans="2:2" ht="15.5" x14ac:dyDescent="0.35">
      <c r="B4422" s="171"/>
    </row>
    <row r="4423" spans="2:2" ht="15.5" x14ac:dyDescent="0.35">
      <c r="B4423" s="171"/>
    </row>
    <row r="4424" spans="2:2" ht="15.5" x14ac:dyDescent="0.35">
      <c r="B4424" s="171"/>
    </row>
    <row r="4425" spans="2:2" ht="15.5" x14ac:dyDescent="0.35">
      <c r="B4425" s="171"/>
    </row>
    <row r="4426" spans="2:2" ht="15.5" x14ac:dyDescent="0.35">
      <c r="B4426" s="171"/>
    </row>
    <row r="4427" spans="2:2" ht="15.5" x14ac:dyDescent="0.35">
      <c r="B4427" s="171"/>
    </row>
    <row r="4428" spans="2:2" ht="15.5" x14ac:dyDescent="0.35">
      <c r="B4428" s="171"/>
    </row>
    <row r="4429" spans="2:2" ht="15.5" x14ac:dyDescent="0.35">
      <c r="B4429" s="171"/>
    </row>
    <row r="4430" spans="2:2" ht="15.5" x14ac:dyDescent="0.35">
      <c r="B4430" s="171"/>
    </row>
    <row r="4431" spans="2:2" ht="15.5" x14ac:dyDescent="0.35">
      <c r="B4431" s="171"/>
    </row>
    <row r="4432" spans="2:2" ht="15.5" x14ac:dyDescent="0.35">
      <c r="B4432" s="171"/>
    </row>
    <row r="4433" spans="2:2" ht="15.5" x14ac:dyDescent="0.35">
      <c r="B4433" s="171"/>
    </row>
    <row r="4434" spans="2:2" ht="15.5" x14ac:dyDescent="0.35">
      <c r="B4434" s="171"/>
    </row>
    <row r="4435" spans="2:2" ht="15.5" x14ac:dyDescent="0.35">
      <c r="B4435" s="171"/>
    </row>
    <row r="4436" spans="2:2" ht="15.5" x14ac:dyDescent="0.35">
      <c r="B4436" s="171"/>
    </row>
    <row r="4437" spans="2:2" ht="15.5" x14ac:dyDescent="0.35">
      <c r="B4437" s="171"/>
    </row>
    <row r="4438" spans="2:2" ht="15.5" x14ac:dyDescent="0.35">
      <c r="B4438" s="171"/>
    </row>
    <row r="4439" spans="2:2" ht="15.5" x14ac:dyDescent="0.35">
      <c r="B4439" s="171"/>
    </row>
    <row r="4440" spans="2:2" ht="15.5" x14ac:dyDescent="0.35">
      <c r="B4440" s="171"/>
    </row>
    <row r="4441" spans="2:2" ht="15.5" x14ac:dyDescent="0.35">
      <c r="B4441" s="171"/>
    </row>
    <row r="4442" spans="2:2" ht="15.5" x14ac:dyDescent="0.35">
      <c r="B4442" s="171"/>
    </row>
    <row r="4443" spans="2:2" ht="15.5" x14ac:dyDescent="0.35">
      <c r="B4443" s="171"/>
    </row>
    <row r="4444" spans="2:2" ht="15.5" x14ac:dyDescent="0.35">
      <c r="B4444" s="171"/>
    </row>
    <row r="4445" spans="2:2" ht="15.5" x14ac:dyDescent="0.35">
      <c r="B4445" s="171"/>
    </row>
    <row r="4446" spans="2:2" ht="15.5" x14ac:dyDescent="0.35">
      <c r="B4446" s="171"/>
    </row>
    <row r="4447" spans="2:2" ht="15.5" x14ac:dyDescent="0.35">
      <c r="B4447" s="171"/>
    </row>
    <row r="4448" spans="2:2" ht="15.5" x14ac:dyDescent="0.35">
      <c r="B4448" s="171"/>
    </row>
    <row r="4449" spans="2:2" ht="15.5" x14ac:dyDescent="0.35">
      <c r="B4449" s="171"/>
    </row>
    <row r="4450" spans="2:2" ht="15.5" x14ac:dyDescent="0.35">
      <c r="B4450" s="171"/>
    </row>
    <row r="4451" spans="2:2" ht="15.5" x14ac:dyDescent="0.35">
      <c r="B4451" s="171"/>
    </row>
    <row r="4452" spans="2:2" ht="15.5" x14ac:dyDescent="0.35">
      <c r="B4452" s="171"/>
    </row>
    <row r="4453" spans="2:2" ht="15.5" x14ac:dyDescent="0.35">
      <c r="B4453" s="171"/>
    </row>
    <row r="4454" spans="2:2" ht="15.5" x14ac:dyDescent="0.35">
      <c r="B4454" s="171"/>
    </row>
    <row r="4455" spans="2:2" ht="15.5" x14ac:dyDescent="0.35">
      <c r="B4455" s="171"/>
    </row>
    <row r="4456" spans="2:2" ht="15.5" x14ac:dyDescent="0.35">
      <c r="B4456" s="171"/>
    </row>
    <row r="4457" spans="2:2" ht="15.5" x14ac:dyDescent="0.35">
      <c r="B4457" s="171"/>
    </row>
    <row r="4458" spans="2:2" ht="15.5" x14ac:dyDescent="0.35">
      <c r="B4458" s="171"/>
    </row>
    <row r="4459" spans="2:2" ht="15.5" x14ac:dyDescent="0.35">
      <c r="B4459" s="171"/>
    </row>
    <row r="4460" spans="2:2" ht="15.5" x14ac:dyDescent="0.35">
      <c r="B4460" s="171"/>
    </row>
    <row r="4461" spans="2:2" ht="15.5" x14ac:dyDescent="0.35">
      <c r="B4461" s="171"/>
    </row>
    <row r="4462" spans="2:2" ht="15.5" x14ac:dyDescent="0.35">
      <c r="B4462" s="171"/>
    </row>
    <row r="4463" spans="2:2" ht="15.5" x14ac:dyDescent="0.35">
      <c r="B4463" s="171"/>
    </row>
    <row r="4464" spans="2:2" ht="15.5" x14ac:dyDescent="0.35">
      <c r="B4464" s="171"/>
    </row>
    <row r="4465" spans="2:2" ht="15.5" x14ac:dyDescent="0.35">
      <c r="B4465" s="171"/>
    </row>
    <row r="4466" spans="2:2" ht="15.5" x14ac:dyDescent="0.35">
      <c r="B4466" s="171"/>
    </row>
    <row r="4467" spans="2:2" ht="15.5" x14ac:dyDescent="0.35">
      <c r="B4467" s="171"/>
    </row>
    <row r="4468" spans="2:2" ht="15.5" x14ac:dyDescent="0.35">
      <c r="B4468" s="171"/>
    </row>
    <row r="4469" spans="2:2" ht="15.5" x14ac:dyDescent="0.35">
      <c r="B4469" s="171"/>
    </row>
    <row r="4470" spans="2:2" ht="15.5" x14ac:dyDescent="0.35">
      <c r="B4470" s="171"/>
    </row>
    <row r="4471" spans="2:2" ht="15.5" x14ac:dyDescent="0.35">
      <c r="B4471" s="171"/>
    </row>
    <row r="4472" spans="2:2" ht="15.5" x14ac:dyDescent="0.35">
      <c r="B4472" s="171"/>
    </row>
    <row r="4473" spans="2:2" ht="15.5" x14ac:dyDescent="0.35">
      <c r="B4473" s="171"/>
    </row>
    <row r="4474" spans="2:2" ht="15.5" x14ac:dyDescent="0.35">
      <c r="B4474" s="171"/>
    </row>
    <row r="4475" spans="2:2" ht="15.5" x14ac:dyDescent="0.35">
      <c r="B4475" s="171"/>
    </row>
    <row r="4476" spans="2:2" ht="15.5" x14ac:dyDescent="0.35">
      <c r="B4476" s="171"/>
    </row>
    <row r="4477" spans="2:2" ht="15.5" x14ac:dyDescent="0.35">
      <c r="B4477" s="171"/>
    </row>
    <row r="4478" spans="2:2" ht="15.5" x14ac:dyDescent="0.35">
      <c r="B4478" s="171"/>
    </row>
    <row r="4479" spans="2:2" ht="15.5" x14ac:dyDescent="0.35">
      <c r="B4479" s="171"/>
    </row>
    <row r="4480" spans="2:2" ht="15.5" x14ac:dyDescent="0.35">
      <c r="B4480" s="171"/>
    </row>
    <row r="4481" spans="2:2" ht="15.5" x14ac:dyDescent="0.35">
      <c r="B4481" s="171"/>
    </row>
    <row r="4482" spans="2:2" ht="15.5" x14ac:dyDescent="0.35">
      <c r="B4482" s="171"/>
    </row>
    <row r="4483" spans="2:2" ht="15.5" x14ac:dyDescent="0.35">
      <c r="B4483" s="171"/>
    </row>
    <row r="4484" spans="2:2" ht="15.5" x14ac:dyDescent="0.35">
      <c r="B4484" s="171"/>
    </row>
    <row r="4485" spans="2:2" ht="15.5" x14ac:dyDescent="0.35">
      <c r="B4485" s="171"/>
    </row>
    <row r="4486" spans="2:2" ht="15.5" x14ac:dyDescent="0.35">
      <c r="B4486" s="171"/>
    </row>
    <row r="4487" spans="2:2" ht="15.5" x14ac:dyDescent="0.35">
      <c r="B4487" s="171"/>
    </row>
    <row r="4488" spans="2:2" ht="15.5" x14ac:dyDescent="0.35">
      <c r="B4488" s="171"/>
    </row>
    <row r="4489" spans="2:2" ht="15.5" x14ac:dyDescent="0.35">
      <c r="B4489" s="171"/>
    </row>
    <row r="4490" spans="2:2" ht="15.5" x14ac:dyDescent="0.35">
      <c r="B4490" s="171"/>
    </row>
    <row r="4491" spans="2:2" ht="15.5" x14ac:dyDescent="0.35">
      <c r="B4491" s="171"/>
    </row>
    <row r="4492" spans="2:2" ht="15.5" x14ac:dyDescent="0.35">
      <c r="B4492" s="171"/>
    </row>
    <row r="4493" spans="2:2" ht="15.5" x14ac:dyDescent="0.35">
      <c r="B4493" s="171"/>
    </row>
    <row r="4494" spans="2:2" ht="15.5" x14ac:dyDescent="0.35">
      <c r="B4494" s="171"/>
    </row>
    <row r="4495" spans="2:2" ht="15.5" x14ac:dyDescent="0.35">
      <c r="B4495" s="171"/>
    </row>
    <row r="4496" spans="2:2" ht="15.5" x14ac:dyDescent="0.35">
      <c r="B4496" s="171"/>
    </row>
    <row r="4497" spans="2:2" ht="15.5" x14ac:dyDescent="0.35">
      <c r="B4497" s="171"/>
    </row>
    <row r="4498" spans="2:2" ht="15.5" x14ac:dyDescent="0.35">
      <c r="B4498" s="171"/>
    </row>
    <row r="4499" spans="2:2" ht="15.5" x14ac:dyDescent="0.35">
      <c r="B4499" s="171"/>
    </row>
    <row r="4500" spans="2:2" ht="15.5" x14ac:dyDescent="0.35">
      <c r="B4500" s="171"/>
    </row>
    <row r="4501" spans="2:2" ht="15.5" x14ac:dyDescent="0.35">
      <c r="B4501" s="171"/>
    </row>
    <row r="4502" spans="2:2" ht="15.5" x14ac:dyDescent="0.35">
      <c r="B4502" s="171"/>
    </row>
    <row r="4503" spans="2:2" ht="15.5" x14ac:dyDescent="0.35">
      <c r="B4503" s="171"/>
    </row>
    <row r="4504" spans="2:2" ht="15.5" x14ac:dyDescent="0.35">
      <c r="B4504" s="171"/>
    </row>
    <row r="4505" spans="2:2" ht="15.5" x14ac:dyDescent="0.35">
      <c r="B4505" s="171"/>
    </row>
    <row r="4506" spans="2:2" ht="15.5" x14ac:dyDescent="0.35">
      <c r="B4506" s="171"/>
    </row>
    <row r="4507" spans="2:2" ht="15.5" x14ac:dyDescent="0.35">
      <c r="B4507" s="171"/>
    </row>
    <row r="4508" spans="2:2" ht="15.5" x14ac:dyDescent="0.35">
      <c r="B4508" s="171"/>
    </row>
    <row r="4509" spans="2:2" ht="15.5" x14ac:dyDescent="0.35">
      <c r="B4509" s="171"/>
    </row>
    <row r="4510" spans="2:2" ht="15.5" x14ac:dyDescent="0.35">
      <c r="B4510" s="171"/>
    </row>
    <row r="4511" spans="2:2" ht="15.5" x14ac:dyDescent="0.35">
      <c r="B4511" s="171"/>
    </row>
    <row r="4512" spans="2:2" ht="15.5" x14ac:dyDescent="0.35">
      <c r="B4512" s="171"/>
    </row>
    <row r="4513" spans="2:2" ht="15.5" x14ac:dyDescent="0.35">
      <c r="B4513" s="171"/>
    </row>
    <row r="4514" spans="2:2" ht="15.5" x14ac:dyDescent="0.35">
      <c r="B4514" s="171"/>
    </row>
    <row r="4515" spans="2:2" ht="15.5" x14ac:dyDescent="0.35">
      <c r="B4515" s="171"/>
    </row>
    <row r="4516" spans="2:2" ht="15.5" x14ac:dyDescent="0.35">
      <c r="B4516" s="171"/>
    </row>
    <row r="4517" spans="2:2" ht="15.5" x14ac:dyDescent="0.35">
      <c r="B4517" s="171"/>
    </row>
    <row r="4518" spans="2:2" ht="15.5" x14ac:dyDescent="0.35">
      <c r="B4518" s="171"/>
    </row>
    <row r="4519" spans="2:2" ht="15.5" x14ac:dyDescent="0.35">
      <c r="B4519" s="171"/>
    </row>
    <row r="4520" spans="2:2" ht="15.5" x14ac:dyDescent="0.35">
      <c r="B4520" s="171"/>
    </row>
    <row r="4521" spans="2:2" ht="15.5" x14ac:dyDescent="0.35">
      <c r="B4521" s="171"/>
    </row>
    <row r="4522" spans="2:2" ht="15.5" x14ac:dyDescent="0.35">
      <c r="B4522" s="171"/>
    </row>
    <row r="4523" spans="2:2" ht="15.5" x14ac:dyDescent="0.35">
      <c r="B4523" s="171"/>
    </row>
    <row r="4524" spans="2:2" ht="15.5" x14ac:dyDescent="0.35">
      <c r="B4524" s="171"/>
    </row>
    <row r="4525" spans="2:2" ht="15.5" x14ac:dyDescent="0.35">
      <c r="B4525" s="171"/>
    </row>
    <row r="4526" spans="2:2" ht="15.5" x14ac:dyDescent="0.35">
      <c r="B4526" s="171"/>
    </row>
    <row r="4527" spans="2:2" ht="15.5" x14ac:dyDescent="0.35">
      <c r="B4527" s="171"/>
    </row>
    <row r="4528" spans="2:2" ht="15.5" x14ac:dyDescent="0.35">
      <c r="B4528" s="171"/>
    </row>
    <row r="4529" spans="2:2" ht="15.5" x14ac:dyDescent="0.35">
      <c r="B4529" s="171"/>
    </row>
    <row r="4530" spans="2:2" ht="15.5" x14ac:dyDescent="0.35">
      <c r="B4530" s="171"/>
    </row>
    <row r="4531" spans="2:2" ht="15.5" x14ac:dyDescent="0.35">
      <c r="B4531" s="171"/>
    </row>
    <row r="4532" spans="2:2" ht="15.5" x14ac:dyDescent="0.35">
      <c r="B4532" s="171"/>
    </row>
    <row r="4533" spans="2:2" ht="15.5" x14ac:dyDescent="0.35">
      <c r="B4533" s="171"/>
    </row>
    <row r="4534" spans="2:2" ht="15.5" x14ac:dyDescent="0.35">
      <c r="B4534" s="171"/>
    </row>
    <row r="4535" spans="2:2" ht="15.5" x14ac:dyDescent="0.35">
      <c r="B4535" s="171"/>
    </row>
    <row r="4536" spans="2:2" ht="15.5" x14ac:dyDescent="0.35">
      <c r="B4536" s="171"/>
    </row>
    <row r="4537" spans="2:2" ht="15.5" x14ac:dyDescent="0.35">
      <c r="B4537" s="171"/>
    </row>
    <row r="4538" spans="2:2" ht="15.5" x14ac:dyDescent="0.35">
      <c r="B4538" s="171"/>
    </row>
    <row r="4539" spans="2:2" ht="15.5" x14ac:dyDescent="0.35">
      <c r="B4539" s="171"/>
    </row>
    <row r="4540" spans="2:2" ht="15.5" x14ac:dyDescent="0.35">
      <c r="B4540" s="171"/>
    </row>
    <row r="4541" spans="2:2" ht="15.5" x14ac:dyDescent="0.35">
      <c r="B4541" s="171"/>
    </row>
    <row r="4542" spans="2:2" ht="15.5" x14ac:dyDescent="0.35">
      <c r="B4542" s="171"/>
    </row>
    <row r="4543" spans="2:2" ht="15.5" x14ac:dyDescent="0.35">
      <c r="B4543" s="171"/>
    </row>
    <row r="4544" spans="2:2" ht="15.5" x14ac:dyDescent="0.35">
      <c r="B4544" s="171"/>
    </row>
    <row r="4545" spans="2:2" ht="15.5" x14ac:dyDescent="0.35">
      <c r="B4545" s="171"/>
    </row>
    <row r="4546" spans="2:2" ht="15.5" x14ac:dyDescent="0.35">
      <c r="B4546" s="171"/>
    </row>
    <row r="4547" spans="2:2" ht="15.5" x14ac:dyDescent="0.35">
      <c r="B4547" s="171"/>
    </row>
    <row r="4548" spans="2:2" ht="15.5" x14ac:dyDescent="0.35">
      <c r="B4548" s="171"/>
    </row>
    <row r="4549" spans="2:2" ht="15.5" x14ac:dyDescent="0.35">
      <c r="B4549" s="171"/>
    </row>
    <row r="4550" spans="2:2" ht="15.5" x14ac:dyDescent="0.35">
      <c r="B4550" s="171"/>
    </row>
    <row r="4551" spans="2:2" ht="15.5" x14ac:dyDescent="0.35">
      <c r="B4551" s="171"/>
    </row>
    <row r="4552" spans="2:2" ht="15.5" x14ac:dyDescent="0.35">
      <c r="B4552" s="171"/>
    </row>
    <row r="4553" spans="2:2" ht="15.5" x14ac:dyDescent="0.35">
      <c r="B4553" s="171"/>
    </row>
    <row r="4554" spans="2:2" ht="15.5" x14ac:dyDescent="0.35">
      <c r="B4554" s="171"/>
    </row>
    <row r="4555" spans="2:2" ht="15.5" x14ac:dyDescent="0.35">
      <c r="B4555" s="171"/>
    </row>
    <row r="4556" spans="2:2" ht="15.5" x14ac:dyDescent="0.35">
      <c r="B4556" s="171"/>
    </row>
    <row r="4557" spans="2:2" ht="15.5" x14ac:dyDescent="0.35">
      <c r="B4557" s="171"/>
    </row>
    <row r="4558" spans="2:2" ht="15.5" x14ac:dyDescent="0.35">
      <c r="B4558" s="171"/>
    </row>
    <row r="4559" spans="2:2" ht="15.5" x14ac:dyDescent="0.35">
      <c r="B4559" s="171"/>
    </row>
    <row r="4560" spans="2:2" ht="15.5" x14ac:dyDescent="0.35">
      <c r="B4560" s="171"/>
    </row>
    <row r="4561" spans="2:2" ht="15.5" x14ac:dyDescent="0.35">
      <c r="B4561" s="171"/>
    </row>
    <row r="4562" spans="2:2" ht="15.5" x14ac:dyDescent="0.35">
      <c r="B4562" s="171"/>
    </row>
    <row r="4563" spans="2:2" ht="15.5" x14ac:dyDescent="0.35">
      <c r="B4563" s="171"/>
    </row>
    <row r="4564" spans="2:2" ht="15.5" x14ac:dyDescent="0.35">
      <c r="B4564" s="171"/>
    </row>
    <row r="4565" spans="2:2" ht="15.5" x14ac:dyDescent="0.35">
      <c r="B4565" s="171"/>
    </row>
    <row r="4566" spans="2:2" ht="15.5" x14ac:dyDescent="0.35">
      <c r="B4566" s="171"/>
    </row>
    <row r="4567" spans="2:2" ht="15.5" x14ac:dyDescent="0.35">
      <c r="B4567" s="171"/>
    </row>
    <row r="4568" spans="2:2" ht="15.5" x14ac:dyDescent="0.35">
      <c r="B4568" s="171"/>
    </row>
    <row r="4569" spans="2:2" ht="15.5" x14ac:dyDescent="0.35">
      <c r="B4569" s="171"/>
    </row>
    <row r="4570" spans="2:2" ht="15.5" x14ac:dyDescent="0.35">
      <c r="B4570" s="171"/>
    </row>
    <row r="4571" spans="2:2" ht="15.5" x14ac:dyDescent="0.35">
      <c r="B4571" s="171"/>
    </row>
    <row r="4572" spans="2:2" ht="15.5" x14ac:dyDescent="0.35">
      <c r="B4572" s="171"/>
    </row>
    <row r="4573" spans="2:2" ht="15.5" x14ac:dyDescent="0.35">
      <c r="B4573" s="171"/>
    </row>
    <row r="4574" spans="2:2" ht="15.5" x14ac:dyDescent="0.35">
      <c r="B4574" s="171"/>
    </row>
    <row r="4575" spans="2:2" ht="15.5" x14ac:dyDescent="0.35">
      <c r="B4575" s="171"/>
    </row>
    <row r="4576" spans="2:2" ht="15.5" x14ac:dyDescent="0.35">
      <c r="B4576" s="171"/>
    </row>
    <row r="4577" spans="2:2" ht="15.5" x14ac:dyDescent="0.35">
      <c r="B4577" s="171"/>
    </row>
    <row r="4578" spans="2:2" ht="15.5" x14ac:dyDescent="0.35">
      <c r="B4578" s="171"/>
    </row>
    <row r="4579" spans="2:2" ht="15.5" x14ac:dyDescent="0.35">
      <c r="B4579" s="171"/>
    </row>
    <row r="4580" spans="2:2" ht="15.5" x14ac:dyDescent="0.35">
      <c r="B4580" s="171"/>
    </row>
    <row r="4581" spans="2:2" ht="15.5" x14ac:dyDescent="0.35">
      <c r="B4581" s="171"/>
    </row>
    <row r="4582" spans="2:2" ht="15.5" x14ac:dyDescent="0.35">
      <c r="B4582" s="171"/>
    </row>
    <row r="4583" spans="2:2" ht="15.5" x14ac:dyDescent="0.35">
      <c r="B4583" s="171"/>
    </row>
    <row r="4584" spans="2:2" ht="15.5" x14ac:dyDescent="0.35">
      <c r="B4584" s="171"/>
    </row>
    <row r="4585" spans="2:2" ht="15.5" x14ac:dyDescent="0.35">
      <c r="B4585" s="171"/>
    </row>
    <row r="4586" spans="2:2" ht="15.5" x14ac:dyDescent="0.35">
      <c r="B4586" s="171"/>
    </row>
    <row r="4587" spans="2:2" ht="15.5" x14ac:dyDescent="0.35">
      <c r="B4587" s="171"/>
    </row>
    <row r="4588" spans="2:2" ht="15.5" x14ac:dyDescent="0.35">
      <c r="B4588" s="171"/>
    </row>
    <row r="4589" spans="2:2" ht="15.5" x14ac:dyDescent="0.35">
      <c r="B4589" s="171"/>
    </row>
    <row r="4590" spans="2:2" ht="15.5" x14ac:dyDescent="0.35">
      <c r="B4590" s="171"/>
    </row>
    <row r="4591" spans="2:2" ht="15.5" x14ac:dyDescent="0.35">
      <c r="B4591" s="171"/>
    </row>
    <row r="4592" spans="2:2" ht="15.5" x14ac:dyDescent="0.35">
      <c r="B4592" s="171"/>
    </row>
    <row r="4593" spans="2:2" ht="15.5" x14ac:dyDescent="0.35">
      <c r="B4593" s="171"/>
    </row>
    <row r="4594" spans="2:2" ht="15.5" x14ac:dyDescent="0.35">
      <c r="B4594" s="171"/>
    </row>
    <row r="4595" spans="2:2" ht="15.5" x14ac:dyDescent="0.35">
      <c r="B4595" s="171"/>
    </row>
    <row r="4596" spans="2:2" ht="15.5" x14ac:dyDescent="0.35">
      <c r="B4596" s="171"/>
    </row>
    <row r="4597" spans="2:2" ht="15.5" x14ac:dyDescent="0.35">
      <c r="B4597" s="171"/>
    </row>
    <row r="4598" spans="2:2" ht="15.5" x14ac:dyDescent="0.35">
      <c r="B4598" s="171"/>
    </row>
    <row r="4599" spans="2:2" ht="15.5" x14ac:dyDescent="0.35">
      <c r="B4599" s="171"/>
    </row>
    <row r="4600" spans="2:2" ht="15.5" x14ac:dyDescent="0.35">
      <c r="B4600" s="171"/>
    </row>
    <row r="4601" spans="2:2" ht="15.5" x14ac:dyDescent="0.35">
      <c r="B4601" s="171"/>
    </row>
    <row r="4602" spans="2:2" ht="15.5" x14ac:dyDescent="0.35">
      <c r="B4602" s="171"/>
    </row>
    <row r="4603" spans="2:2" ht="15.5" x14ac:dyDescent="0.35">
      <c r="B4603" s="171"/>
    </row>
    <row r="4604" spans="2:2" ht="15.5" x14ac:dyDescent="0.35">
      <c r="B4604" s="171"/>
    </row>
    <row r="4605" spans="2:2" ht="15.5" x14ac:dyDescent="0.35">
      <c r="B4605" s="171"/>
    </row>
    <row r="4606" spans="2:2" ht="15.5" x14ac:dyDescent="0.35">
      <c r="B4606" s="171"/>
    </row>
    <row r="4607" spans="2:2" ht="15.5" x14ac:dyDescent="0.35">
      <c r="B4607" s="171"/>
    </row>
    <row r="4608" spans="2:2" ht="15.5" x14ac:dyDescent="0.35">
      <c r="B4608" s="171"/>
    </row>
    <row r="4609" spans="2:2" ht="15.5" x14ac:dyDescent="0.35">
      <c r="B4609" s="171"/>
    </row>
    <row r="4610" spans="2:2" ht="15.5" x14ac:dyDescent="0.35">
      <c r="B4610" s="171"/>
    </row>
    <row r="4611" spans="2:2" ht="15.5" x14ac:dyDescent="0.35">
      <c r="B4611" s="171"/>
    </row>
    <row r="4612" spans="2:2" ht="15.5" x14ac:dyDescent="0.35">
      <c r="B4612" s="171"/>
    </row>
    <row r="4613" spans="2:2" ht="15.5" x14ac:dyDescent="0.35">
      <c r="B4613" s="171"/>
    </row>
    <row r="4614" spans="2:2" ht="15.5" x14ac:dyDescent="0.35">
      <c r="B4614" s="171"/>
    </row>
    <row r="4615" spans="2:2" ht="15.5" x14ac:dyDescent="0.35">
      <c r="B4615" s="171"/>
    </row>
    <row r="4616" spans="2:2" ht="15.5" x14ac:dyDescent="0.35">
      <c r="B4616" s="171"/>
    </row>
    <row r="4617" spans="2:2" ht="15.5" x14ac:dyDescent="0.35">
      <c r="B4617" s="171"/>
    </row>
    <row r="4618" spans="2:2" ht="15.5" x14ac:dyDescent="0.35">
      <c r="B4618" s="171"/>
    </row>
    <row r="4619" spans="2:2" ht="15.5" x14ac:dyDescent="0.35">
      <c r="B4619" s="171"/>
    </row>
    <row r="4620" spans="2:2" ht="15.5" x14ac:dyDescent="0.35">
      <c r="B4620" s="171"/>
    </row>
    <row r="4621" spans="2:2" ht="15.5" x14ac:dyDescent="0.35">
      <c r="B4621" s="171"/>
    </row>
    <row r="4622" spans="2:2" ht="15.5" x14ac:dyDescent="0.35">
      <c r="B4622" s="171"/>
    </row>
    <row r="4623" spans="2:2" ht="15.5" x14ac:dyDescent="0.35">
      <c r="B4623" s="171"/>
    </row>
    <row r="4624" spans="2:2" ht="15.5" x14ac:dyDescent="0.35">
      <c r="B4624" s="171"/>
    </row>
    <row r="4625" spans="2:2" ht="15.5" x14ac:dyDescent="0.35">
      <c r="B4625" s="171"/>
    </row>
    <row r="4626" spans="2:2" ht="15.5" x14ac:dyDescent="0.35">
      <c r="B4626" s="171"/>
    </row>
    <row r="4627" spans="2:2" ht="15.5" x14ac:dyDescent="0.35">
      <c r="B4627" s="171"/>
    </row>
    <row r="4628" spans="2:2" ht="15.5" x14ac:dyDescent="0.35">
      <c r="B4628" s="171"/>
    </row>
    <row r="4629" spans="2:2" ht="15.5" x14ac:dyDescent="0.35">
      <c r="B4629" s="171"/>
    </row>
    <row r="4630" spans="2:2" ht="15.5" x14ac:dyDescent="0.35">
      <c r="B4630" s="171"/>
    </row>
    <row r="4631" spans="2:2" ht="15.5" x14ac:dyDescent="0.35">
      <c r="B4631" s="171"/>
    </row>
    <row r="4632" spans="2:2" ht="15.5" x14ac:dyDescent="0.35">
      <c r="B4632" s="171"/>
    </row>
    <row r="4633" spans="2:2" ht="15.5" x14ac:dyDescent="0.35">
      <c r="B4633" s="171"/>
    </row>
    <row r="4634" spans="2:2" ht="15.5" x14ac:dyDescent="0.35">
      <c r="B4634" s="171"/>
    </row>
    <row r="4635" spans="2:2" ht="15.5" x14ac:dyDescent="0.35">
      <c r="B4635" s="171"/>
    </row>
    <row r="4636" spans="2:2" ht="15.5" x14ac:dyDescent="0.35">
      <c r="B4636" s="171"/>
    </row>
    <row r="4637" spans="2:2" ht="15.5" x14ac:dyDescent="0.35">
      <c r="B4637" s="171"/>
    </row>
    <row r="4638" spans="2:2" ht="15.5" x14ac:dyDescent="0.35">
      <c r="B4638" s="171"/>
    </row>
    <row r="4639" spans="2:2" ht="15.5" x14ac:dyDescent="0.35">
      <c r="B4639" s="171"/>
    </row>
    <row r="4640" spans="2:2" ht="15.5" x14ac:dyDescent="0.35">
      <c r="B4640" s="171"/>
    </row>
    <row r="4641" spans="2:2" ht="15.5" x14ac:dyDescent="0.35">
      <c r="B4641" s="171"/>
    </row>
    <row r="4642" spans="2:2" ht="15.5" x14ac:dyDescent="0.35">
      <c r="B4642" s="171"/>
    </row>
    <row r="4643" spans="2:2" ht="15.5" x14ac:dyDescent="0.35">
      <c r="B4643" s="171"/>
    </row>
    <row r="4644" spans="2:2" ht="15.5" x14ac:dyDescent="0.35">
      <c r="B4644" s="171"/>
    </row>
    <row r="4645" spans="2:2" ht="15.5" x14ac:dyDescent="0.35">
      <c r="B4645" s="171"/>
    </row>
    <row r="4646" spans="2:2" ht="15.5" x14ac:dyDescent="0.35">
      <c r="B4646" s="171"/>
    </row>
    <row r="4647" spans="2:2" ht="15.5" x14ac:dyDescent="0.35">
      <c r="B4647" s="171"/>
    </row>
    <row r="4648" spans="2:2" ht="15.5" x14ac:dyDescent="0.35">
      <c r="B4648" s="171"/>
    </row>
    <row r="4649" spans="2:2" ht="15.5" x14ac:dyDescent="0.35">
      <c r="B4649" s="171"/>
    </row>
    <row r="4650" spans="2:2" ht="15.5" x14ac:dyDescent="0.35">
      <c r="B4650" s="171"/>
    </row>
    <row r="4651" spans="2:2" ht="15.5" x14ac:dyDescent="0.35">
      <c r="B4651" s="171"/>
    </row>
    <row r="4652" spans="2:2" ht="15.5" x14ac:dyDescent="0.35">
      <c r="B4652" s="171"/>
    </row>
    <row r="4653" spans="2:2" ht="15.5" x14ac:dyDescent="0.35">
      <c r="B4653" s="171"/>
    </row>
    <row r="4654" spans="2:2" ht="15.5" x14ac:dyDescent="0.35">
      <c r="B4654" s="171"/>
    </row>
    <row r="4655" spans="2:2" ht="15.5" x14ac:dyDescent="0.35">
      <c r="B4655" s="171"/>
    </row>
    <row r="4656" spans="2:2" ht="15.5" x14ac:dyDescent="0.35">
      <c r="B4656" s="171"/>
    </row>
    <row r="4657" spans="2:2" ht="15.5" x14ac:dyDescent="0.35">
      <c r="B4657" s="171"/>
    </row>
    <row r="4658" spans="2:2" ht="15.5" x14ac:dyDescent="0.35">
      <c r="B4658" s="171"/>
    </row>
    <row r="4659" spans="2:2" ht="15.5" x14ac:dyDescent="0.35">
      <c r="B4659" s="171"/>
    </row>
    <row r="4660" spans="2:2" ht="15.5" x14ac:dyDescent="0.35">
      <c r="B4660" s="171"/>
    </row>
    <row r="4661" spans="2:2" ht="15.5" x14ac:dyDescent="0.35">
      <c r="B4661" s="171"/>
    </row>
    <row r="4662" spans="2:2" ht="15.5" x14ac:dyDescent="0.35">
      <c r="B4662" s="171"/>
    </row>
    <row r="4663" spans="2:2" ht="15.5" x14ac:dyDescent="0.35">
      <c r="B4663" s="171"/>
    </row>
    <row r="4664" spans="2:2" ht="15.5" x14ac:dyDescent="0.35">
      <c r="B4664" s="171"/>
    </row>
    <row r="4665" spans="2:2" ht="15.5" x14ac:dyDescent="0.35">
      <c r="B4665" s="171"/>
    </row>
    <row r="4666" spans="2:2" ht="15.5" x14ac:dyDescent="0.35">
      <c r="B4666" s="171"/>
    </row>
    <row r="4667" spans="2:2" ht="15.5" x14ac:dyDescent="0.35">
      <c r="B4667" s="171"/>
    </row>
    <row r="4668" spans="2:2" ht="15.5" x14ac:dyDescent="0.35">
      <c r="B4668" s="171"/>
    </row>
    <row r="4669" spans="2:2" ht="15.5" x14ac:dyDescent="0.35">
      <c r="B4669" s="171"/>
    </row>
    <row r="4670" spans="2:2" ht="15.5" x14ac:dyDescent="0.35">
      <c r="B4670" s="171"/>
    </row>
    <row r="4671" spans="2:2" ht="15.5" x14ac:dyDescent="0.35">
      <c r="B4671" s="171"/>
    </row>
    <row r="4672" spans="2:2" ht="15.5" x14ac:dyDescent="0.35">
      <c r="B4672" s="171"/>
    </row>
    <row r="4673" spans="2:2" ht="15.5" x14ac:dyDescent="0.35">
      <c r="B4673" s="171"/>
    </row>
    <row r="4674" spans="2:2" ht="15.5" x14ac:dyDescent="0.35">
      <c r="B4674" s="171"/>
    </row>
    <row r="4675" spans="2:2" ht="15.5" x14ac:dyDescent="0.35">
      <c r="B4675" s="171"/>
    </row>
    <row r="4676" spans="2:2" ht="15.5" x14ac:dyDescent="0.35">
      <c r="B4676" s="171"/>
    </row>
    <row r="4677" spans="2:2" ht="15.5" x14ac:dyDescent="0.35">
      <c r="B4677" s="171"/>
    </row>
    <row r="4678" spans="2:2" ht="15.5" x14ac:dyDescent="0.35">
      <c r="B4678" s="171"/>
    </row>
    <row r="4679" spans="2:2" ht="15.5" x14ac:dyDescent="0.35">
      <c r="B4679" s="171"/>
    </row>
    <row r="4680" spans="2:2" ht="15.5" x14ac:dyDescent="0.35">
      <c r="B4680" s="171"/>
    </row>
    <row r="4681" spans="2:2" ht="15.5" x14ac:dyDescent="0.35">
      <c r="B4681" s="171"/>
    </row>
    <row r="4682" spans="2:2" ht="15.5" x14ac:dyDescent="0.35">
      <c r="B4682" s="171"/>
    </row>
    <row r="4683" spans="2:2" ht="15.5" x14ac:dyDescent="0.35">
      <c r="B4683" s="171"/>
    </row>
    <row r="4684" spans="2:2" ht="15.5" x14ac:dyDescent="0.35">
      <c r="B4684" s="171"/>
    </row>
    <row r="4685" spans="2:2" ht="15.5" x14ac:dyDescent="0.35">
      <c r="B4685" s="171"/>
    </row>
    <row r="4686" spans="2:2" ht="15.5" x14ac:dyDescent="0.35">
      <c r="B4686" s="171"/>
    </row>
    <row r="4687" spans="2:2" ht="15.5" x14ac:dyDescent="0.35">
      <c r="B4687" s="171"/>
    </row>
    <row r="4688" spans="2:2" ht="15.5" x14ac:dyDescent="0.35">
      <c r="B4688" s="171"/>
    </row>
    <row r="4689" spans="2:2" ht="15.5" x14ac:dyDescent="0.35">
      <c r="B4689" s="171"/>
    </row>
    <row r="4690" spans="2:2" ht="15.5" x14ac:dyDescent="0.35">
      <c r="B4690" s="171"/>
    </row>
    <row r="4691" spans="2:2" ht="15.5" x14ac:dyDescent="0.35">
      <c r="B4691" s="171"/>
    </row>
    <row r="4692" spans="2:2" ht="15.5" x14ac:dyDescent="0.35">
      <c r="B4692" s="171"/>
    </row>
    <row r="4693" spans="2:2" ht="15.5" x14ac:dyDescent="0.35">
      <c r="B4693" s="171"/>
    </row>
    <row r="4694" spans="2:2" ht="15.5" x14ac:dyDescent="0.35">
      <c r="B4694" s="171"/>
    </row>
    <row r="4695" spans="2:2" ht="15.5" x14ac:dyDescent="0.35">
      <c r="B4695" s="171"/>
    </row>
    <row r="4696" spans="2:2" ht="15.5" x14ac:dyDescent="0.35">
      <c r="B4696" s="171"/>
    </row>
    <row r="4697" spans="2:2" ht="15.5" x14ac:dyDescent="0.35">
      <c r="B4697" s="171"/>
    </row>
    <row r="4698" spans="2:2" ht="15.5" x14ac:dyDescent="0.35">
      <c r="B4698" s="171"/>
    </row>
    <row r="4699" spans="2:2" ht="15.5" x14ac:dyDescent="0.35">
      <c r="B4699" s="171"/>
    </row>
    <row r="4700" spans="2:2" ht="15.5" x14ac:dyDescent="0.35">
      <c r="B4700" s="171"/>
    </row>
    <row r="4701" spans="2:2" ht="15.5" x14ac:dyDescent="0.35">
      <c r="B4701" s="171"/>
    </row>
    <row r="4702" spans="2:2" ht="15.5" x14ac:dyDescent="0.35">
      <c r="B4702" s="171"/>
    </row>
    <row r="4703" spans="2:2" ht="15.5" x14ac:dyDescent="0.35">
      <c r="B4703" s="171"/>
    </row>
    <row r="4704" spans="2:2" ht="15.5" x14ac:dyDescent="0.35">
      <c r="B4704" s="171"/>
    </row>
    <row r="4705" spans="2:2" ht="15.5" x14ac:dyDescent="0.35">
      <c r="B4705" s="171"/>
    </row>
    <row r="4706" spans="2:2" ht="15.5" x14ac:dyDescent="0.35">
      <c r="B4706" s="171"/>
    </row>
    <row r="4707" spans="2:2" ht="15.5" x14ac:dyDescent="0.35">
      <c r="B4707" s="171"/>
    </row>
    <row r="4708" spans="2:2" ht="15.5" x14ac:dyDescent="0.35">
      <c r="B4708" s="171"/>
    </row>
    <row r="4709" spans="2:2" ht="15.5" x14ac:dyDescent="0.35">
      <c r="B4709" s="171"/>
    </row>
    <row r="4710" spans="2:2" ht="15.5" x14ac:dyDescent="0.35">
      <c r="B4710" s="171"/>
    </row>
    <row r="4711" spans="2:2" ht="15.5" x14ac:dyDescent="0.35">
      <c r="B4711" s="171"/>
    </row>
    <row r="4712" spans="2:2" ht="15.5" x14ac:dyDescent="0.35">
      <c r="B4712" s="171"/>
    </row>
    <row r="4713" spans="2:2" ht="15.5" x14ac:dyDescent="0.35">
      <c r="B4713" s="171"/>
    </row>
    <row r="4714" spans="2:2" ht="15.5" x14ac:dyDescent="0.35">
      <c r="B4714" s="171"/>
    </row>
    <row r="4715" spans="2:2" ht="15.5" x14ac:dyDescent="0.35">
      <c r="B4715" s="171"/>
    </row>
    <row r="4716" spans="2:2" ht="15.5" x14ac:dyDescent="0.35">
      <c r="B4716" s="171"/>
    </row>
    <row r="4717" spans="2:2" ht="15.5" x14ac:dyDescent="0.35">
      <c r="B4717" s="171"/>
    </row>
    <row r="4718" spans="2:2" ht="15.5" x14ac:dyDescent="0.35">
      <c r="B4718" s="171"/>
    </row>
    <row r="4719" spans="2:2" ht="15.5" x14ac:dyDescent="0.35">
      <c r="B4719" s="171"/>
    </row>
    <row r="4720" spans="2:2" ht="15.5" x14ac:dyDescent="0.35">
      <c r="B4720" s="171"/>
    </row>
    <row r="4721" spans="2:2" ht="15.5" x14ac:dyDescent="0.35">
      <c r="B4721" s="171"/>
    </row>
    <row r="4722" spans="2:2" ht="15.5" x14ac:dyDescent="0.35">
      <c r="B4722" s="171"/>
    </row>
    <row r="4723" spans="2:2" ht="15.5" x14ac:dyDescent="0.35">
      <c r="B4723" s="171"/>
    </row>
    <row r="4724" spans="2:2" ht="15.5" x14ac:dyDescent="0.35">
      <c r="B4724" s="171"/>
    </row>
    <row r="4725" spans="2:2" ht="15.5" x14ac:dyDescent="0.35">
      <c r="B4725" s="171"/>
    </row>
    <row r="4726" spans="2:2" ht="15.5" x14ac:dyDescent="0.35">
      <c r="B4726" s="171"/>
    </row>
    <row r="4727" spans="2:2" ht="15.5" x14ac:dyDescent="0.35">
      <c r="B4727" s="171"/>
    </row>
    <row r="4728" spans="2:2" ht="15.5" x14ac:dyDescent="0.35">
      <c r="B4728" s="171"/>
    </row>
    <row r="4729" spans="2:2" ht="15.5" x14ac:dyDescent="0.35">
      <c r="B4729" s="171"/>
    </row>
    <row r="4730" spans="2:2" ht="15.5" x14ac:dyDescent="0.35">
      <c r="B4730" s="171"/>
    </row>
    <row r="4731" spans="2:2" ht="15.5" x14ac:dyDescent="0.35">
      <c r="B4731" s="171"/>
    </row>
    <row r="4732" spans="2:2" ht="15.5" x14ac:dyDescent="0.35">
      <c r="B4732" s="171"/>
    </row>
    <row r="4733" spans="2:2" ht="15.5" x14ac:dyDescent="0.35">
      <c r="B4733" s="171"/>
    </row>
    <row r="4734" spans="2:2" ht="15.5" x14ac:dyDescent="0.35">
      <c r="B4734" s="171"/>
    </row>
    <row r="4735" spans="2:2" ht="15.5" x14ac:dyDescent="0.35">
      <c r="B4735" s="171"/>
    </row>
    <row r="4736" spans="2:2" ht="15.5" x14ac:dyDescent="0.35">
      <c r="B4736" s="171"/>
    </row>
    <row r="4737" spans="2:2" ht="15.5" x14ac:dyDescent="0.35">
      <c r="B4737" s="171"/>
    </row>
    <row r="4738" spans="2:2" ht="15.5" x14ac:dyDescent="0.35">
      <c r="B4738" s="171"/>
    </row>
    <row r="4739" spans="2:2" ht="15.5" x14ac:dyDescent="0.35">
      <c r="B4739" s="171"/>
    </row>
    <row r="4740" spans="2:2" ht="15.5" x14ac:dyDescent="0.35">
      <c r="B4740" s="171"/>
    </row>
    <row r="4741" spans="2:2" ht="15.5" x14ac:dyDescent="0.35">
      <c r="B4741" s="171"/>
    </row>
    <row r="4742" spans="2:2" ht="15.5" x14ac:dyDescent="0.35">
      <c r="B4742" s="171"/>
    </row>
    <row r="4743" spans="2:2" ht="15.5" x14ac:dyDescent="0.35">
      <c r="B4743" s="171"/>
    </row>
    <row r="4744" spans="2:2" ht="15.5" x14ac:dyDescent="0.35">
      <c r="B4744" s="171"/>
    </row>
    <row r="4745" spans="2:2" ht="15.5" x14ac:dyDescent="0.35">
      <c r="B4745" s="171"/>
    </row>
    <row r="4746" spans="2:2" ht="15.5" x14ac:dyDescent="0.35">
      <c r="B4746" s="171"/>
    </row>
    <row r="4747" spans="2:2" ht="15.5" x14ac:dyDescent="0.35">
      <c r="B4747" s="171"/>
    </row>
    <row r="4748" spans="2:2" ht="15.5" x14ac:dyDescent="0.35">
      <c r="B4748" s="171"/>
    </row>
    <row r="4749" spans="2:2" ht="15.5" x14ac:dyDescent="0.35">
      <c r="B4749" s="171"/>
    </row>
    <row r="4750" spans="2:2" ht="15.5" x14ac:dyDescent="0.35">
      <c r="B4750" s="171"/>
    </row>
    <row r="4751" spans="2:2" ht="15.5" x14ac:dyDescent="0.35">
      <c r="B4751" s="171"/>
    </row>
    <row r="4752" spans="2:2" ht="15.5" x14ac:dyDescent="0.35">
      <c r="B4752" s="171"/>
    </row>
    <row r="4753" spans="2:2" ht="15.5" x14ac:dyDescent="0.35">
      <c r="B4753" s="171"/>
    </row>
    <row r="4754" spans="2:2" ht="15.5" x14ac:dyDescent="0.35">
      <c r="B4754" s="171"/>
    </row>
    <row r="4755" spans="2:2" ht="15.5" x14ac:dyDescent="0.35">
      <c r="B4755" s="171"/>
    </row>
    <row r="4756" spans="2:2" ht="15.5" x14ac:dyDescent="0.35">
      <c r="B4756" s="171"/>
    </row>
    <row r="4757" spans="2:2" ht="15.5" x14ac:dyDescent="0.35">
      <c r="B4757" s="171"/>
    </row>
    <row r="4758" spans="2:2" ht="15.5" x14ac:dyDescent="0.35">
      <c r="B4758" s="171"/>
    </row>
    <row r="4759" spans="2:2" ht="15.5" x14ac:dyDescent="0.35">
      <c r="B4759" s="171"/>
    </row>
    <row r="4760" spans="2:2" ht="15.5" x14ac:dyDescent="0.35">
      <c r="B4760" s="171"/>
    </row>
    <row r="4761" spans="2:2" ht="15.5" x14ac:dyDescent="0.35">
      <c r="B4761" s="171"/>
    </row>
    <row r="4762" spans="2:2" ht="15.5" x14ac:dyDescent="0.35">
      <c r="B4762" s="171"/>
    </row>
    <row r="4763" spans="2:2" ht="15.5" x14ac:dyDescent="0.35">
      <c r="B4763" s="171"/>
    </row>
    <row r="4764" spans="2:2" ht="15.5" x14ac:dyDescent="0.35">
      <c r="B4764" s="171"/>
    </row>
    <row r="4765" spans="2:2" ht="15.5" x14ac:dyDescent="0.35">
      <c r="B4765" s="171"/>
    </row>
    <row r="4766" spans="2:2" ht="15.5" x14ac:dyDescent="0.35">
      <c r="B4766" s="171"/>
    </row>
    <row r="4767" spans="2:2" ht="15.5" x14ac:dyDescent="0.35">
      <c r="B4767" s="171"/>
    </row>
    <row r="4768" spans="2:2" ht="15.5" x14ac:dyDescent="0.35">
      <c r="B4768" s="171"/>
    </row>
    <row r="4769" spans="2:2" ht="15.5" x14ac:dyDescent="0.35">
      <c r="B4769" s="171"/>
    </row>
    <row r="4770" spans="2:2" ht="15.5" x14ac:dyDescent="0.35">
      <c r="B4770" s="171"/>
    </row>
    <row r="4771" spans="2:2" ht="15.5" x14ac:dyDescent="0.35">
      <c r="B4771" s="171"/>
    </row>
    <row r="4772" spans="2:2" ht="15.5" x14ac:dyDescent="0.35">
      <c r="B4772" s="171"/>
    </row>
    <row r="4773" spans="2:2" ht="15.5" x14ac:dyDescent="0.35">
      <c r="B4773" s="171"/>
    </row>
    <row r="4774" spans="2:2" ht="15.5" x14ac:dyDescent="0.35">
      <c r="B4774" s="171"/>
    </row>
    <row r="4775" spans="2:2" ht="15.5" x14ac:dyDescent="0.35">
      <c r="B4775" s="171"/>
    </row>
    <row r="4776" spans="2:2" ht="15.5" x14ac:dyDescent="0.35">
      <c r="B4776" s="171"/>
    </row>
    <row r="4777" spans="2:2" ht="15.5" x14ac:dyDescent="0.35">
      <c r="B4777" s="171"/>
    </row>
    <row r="4778" spans="2:2" ht="15.5" x14ac:dyDescent="0.35">
      <c r="B4778" s="171"/>
    </row>
    <row r="4779" spans="2:2" ht="15.5" x14ac:dyDescent="0.35">
      <c r="B4779" s="171"/>
    </row>
    <row r="4780" spans="2:2" ht="15.5" x14ac:dyDescent="0.35">
      <c r="B4780" s="171"/>
    </row>
    <row r="4781" spans="2:2" ht="15.5" x14ac:dyDescent="0.35">
      <c r="B4781" s="171"/>
    </row>
    <row r="4782" spans="2:2" ht="15.5" x14ac:dyDescent="0.35">
      <c r="B4782" s="171"/>
    </row>
    <row r="4783" spans="2:2" ht="15.5" x14ac:dyDescent="0.35">
      <c r="B4783" s="171"/>
    </row>
    <row r="4784" spans="2:2" ht="15.5" x14ac:dyDescent="0.35">
      <c r="B4784" s="171"/>
    </row>
    <row r="4785" spans="2:2" ht="15.5" x14ac:dyDescent="0.35">
      <c r="B4785" s="171"/>
    </row>
    <row r="4786" spans="2:2" ht="15.5" x14ac:dyDescent="0.35">
      <c r="B4786" s="171"/>
    </row>
    <row r="4787" spans="2:2" ht="15.5" x14ac:dyDescent="0.35">
      <c r="B4787" s="171"/>
    </row>
    <row r="4788" spans="2:2" ht="15.5" x14ac:dyDescent="0.35">
      <c r="B4788" s="171"/>
    </row>
    <row r="4789" spans="2:2" ht="15.5" x14ac:dyDescent="0.35">
      <c r="B4789" s="171"/>
    </row>
    <row r="4790" spans="2:2" ht="15.5" x14ac:dyDescent="0.35">
      <c r="B4790" s="171"/>
    </row>
    <row r="4791" spans="2:2" ht="15.5" x14ac:dyDescent="0.35">
      <c r="B4791" s="171"/>
    </row>
    <row r="4792" spans="2:2" ht="15.5" x14ac:dyDescent="0.35">
      <c r="B4792" s="171"/>
    </row>
    <row r="4793" spans="2:2" ht="15.5" x14ac:dyDescent="0.35">
      <c r="B4793" s="171"/>
    </row>
    <row r="4794" spans="2:2" ht="15.5" x14ac:dyDescent="0.35">
      <c r="B4794" s="171"/>
    </row>
    <row r="4795" spans="2:2" ht="15.5" x14ac:dyDescent="0.35">
      <c r="B4795" s="171"/>
    </row>
    <row r="4796" spans="2:2" ht="15.5" x14ac:dyDescent="0.35">
      <c r="B4796" s="171"/>
    </row>
    <row r="4797" spans="2:2" ht="15.5" x14ac:dyDescent="0.35">
      <c r="B4797" s="171"/>
    </row>
    <row r="4798" spans="2:2" ht="15.5" x14ac:dyDescent="0.35">
      <c r="B4798" s="171"/>
    </row>
    <row r="4799" spans="2:2" ht="15.5" x14ac:dyDescent="0.35">
      <c r="B4799" s="171"/>
    </row>
    <row r="4800" spans="2:2" ht="15.5" x14ac:dyDescent="0.35">
      <c r="B4800" s="171"/>
    </row>
    <row r="4801" spans="2:2" ht="15.5" x14ac:dyDescent="0.35">
      <c r="B4801" s="171"/>
    </row>
    <row r="4802" spans="2:2" ht="15.5" x14ac:dyDescent="0.35">
      <c r="B4802" s="171"/>
    </row>
    <row r="4803" spans="2:2" ht="15.5" x14ac:dyDescent="0.35">
      <c r="B4803" s="171"/>
    </row>
    <row r="4804" spans="2:2" ht="15.5" x14ac:dyDescent="0.35">
      <c r="B4804" s="171"/>
    </row>
    <row r="4805" spans="2:2" ht="15.5" x14ac:dyDescent="0.35">
      <c r="B4805" s="171"/>
    </row>
    <row r="4806" spans="2:2" ht="15.5" x14ac:dyDescent="0.35">
      <c r="B4806" s="171"/>
    </row>
    <row r="4807" spans="2:2" ht="15.5" x14ac:dyDescent="0.35">
      <c r="B4807" s="171"/>
    </row>
    <row r="4808" spans="2:2" ht="15.5" x14ac:dyDescent="0.35">
      <c r="B4808" s="171"/>
    </row>
    <row r="4809" spans="2:2" ht="15.5" x14ac:dyDescent="0.35">
      <c r="B4809" s="171"/>
    </row>
    <row r="4810" spans="2:2" ht="15.5" x14ac:dyDescent="0.35">
      <c r="B4810" s="171"/>
    </row>
    <row r="4811" spans="2:2" ht="15.5" x14ac:dyDescent="0.35">
      <c r="B4811" s="171"/>
    </row>
    <row r="4812" spans="2:2" ht="15.5" x14ac:dyDescent="0.35">
      <c r="B4812" s="171"/>
    </row>
    <row r="4813" spans="2:2" ht="15.5" x14ac:dyDescent="0.35">
      <c r="B4813" s="171"/>
    </row>
    <row r="4814" spans="2:2" ht="15.5" x14ac:dyDescent="0.35">
      <c r="B4814" s="171"/>
    </row>
    <row r="4815" spans="2:2" ht="15.5" x14ac:dyDescent="0.35">
      <c r="B4815" s="171"/>
    </row>
    <row r="4816" spans="2:2" ht="15.5" x14ac:dyDescent="0.35">
      <c r="B4816" s="171"/>
    </row>
    <row r="4817" spans="2:2" ht="15.5" x14ac:dyDescent="0.35">
      <c r="B4817" s="171"/>
    </row>
    <row r="4818" spans="2:2" ht="15.5" x14ac:dyDescent="0.35">
      <c r="B4818" s="171"/>
    </row>
    <row r="4819" spans="2:2" ht="15.5" x14ac:dyDescent="0.35">
      <c r="B4819" s="171"/>
    </row>
    <row r="4820" spans="2:2" ht="15.5" x14ac:dyDescent="0.35">
      <c r="B4820" s="171"/>
    </row>
    <row r="4821" spans="2:2" ht="15.5" x14ac:dyDescent="0.35">
      <c r="B4821" s="171"/>
    </row>
    <row r="4822" spans="2:2" ht="15.5" x14ac:dyDescent="0.35">
      <c r="B4822" s="171"/>
    </row>
    <row r="4823" spans="2:2" ht="15.5" x14ac:dyDescent="0.35">
      <c r="B4823" s="171"/>
    </row>
    <row r="4824" spans="2:2" ht="15.5" x14ac:dyDescent="0.35">
      <c r="B4824" s="171"/>
    </row>
    <row r="4825" spans="2:2" ht="15.5" x14ac:dyDescent="0.35">
      <c r="B4825" s="171"/>
    </row>
    <row r="4826" spans="2:2" ht="15.5" x14ac:dyDescent="0.35">
      <c r="B4826" s="171"/>
    </row>
    <row r="4827" spans="2:2" ht="15.5" x14ac:dyDescent="0.35">
      <c r="B4827" s="171"/>
    </row>
    <row r="4828" spans="2:2" ht="15.5" x14ac:dyDescent="0.35">
      <c r="B4828" s="171"/>
    </row>
    <row r="4829" spans="2:2" ht="15.5" x14ac:dyDescent="0.35">
      <c r="B4829" s="171"/>
    </row>
    <row r="4830" spans="2:2" ht="15.5" x14ac:dyDescent="0.35">
      <c r="B4830" s="171"/>
    </row>
    <row r="4831" spans="2:2" ht="15.5" x14ac:dyDescent="0.35">
      <c r="B4831" s="171"/>
    </row>
    <row r="4832" spans="2:2" ht="15.5" x14ac:dyDescent="0.35">
      <c r="B4832" s="171"/>
    </row>
    <row r="4833" spans="2:2" ht="15.5" x14ac:dyDescent="0.35">
      <c r="B4833" s="171"/>
    </row>
    <row r="4834" spans="2:2" ht="15.5" x14ac:dyDescent="0.35">
      <c r="B4834" s="171"/>
    </row>
    <row r="4835" spans="2:2" ht="15.5" x14ac:dyDescent="0.35">
      <c r="B4835" s="171"/>
    </row>
    <row r="4836" spans="2:2" ht="15.5" x14ac:dyDescent="0.35">
      <c r="B4836" s="171"/>
    </row>
    <row r="4837" spans="2:2" ht="15.5" x14ac:dyDescent="0.35">
      <c r="B4837" s="171"/>
    </row>
    <row r="4838" spans="2:2" ht="15.5" x14ac:dyDescent="0.35">
      <c r="B4838" s="171"/>
    </row>
    <row r="4839" spans="2:2" ht="15.5" x14ac:dyDescent="0.35">
      <c r="B4839" s="171"/>
    </row>
    <row r="4840" spans="2:2" ht="15.5" x14ac:dyDescent="0.35">
      <c r="B4840" s="171"/>
    </row>
    <row r="4841" spans="2:2" ht="15.5" x14ac:dyDescent="0.35">
      <c r="B4841" s="171"/>
    </row>
    <row r="4842" spans="2:2" ht="15.5" x14ac:dyDescent="0.35">
      <c r="B4842" s="171"/>
    </row>
    <row r="4843" spans="2:2" ht="15.5" x14ac:dyDescent="0.35">
      <c r="B4843" s="171"/>
    </row>
    <row r="4844" spans="2:2" ht="15.5" x14ac:dyDescent="0.35">
      <c r="B4844" s="171"/>
    </row>
    <row r="4845" spans="2:2" ht="15.5" x14ac:dyDescent="0.35">
      <c r="B4845" s="171"/>
    </row>
    <row r="4846" spans="2:2" ht="15.5" x14ac:dyDescent="0.35">
      <c r="B4846" s="171"/>
    </row>
    <row r="4847" spans="2:2" ht="15.5" x14ac:dyDescent="0.35">
      <c r="B4847" s="171"/>
    </row>
    <row r="4848" spans="2:2" ht="15.5" x14ac:dyDescent="0.35">
      <c r="B4848" s="171"/>
    </row>
    <row r="4849" spans="2:2" ht="15.5" x14ac:dyDescent="0.35">
      <c r="B4849" s="171"/>
    </row>
    <row r="4850" spans="2:2" ht="15.5" x14ac:dyDescent="0.35">
      <c r="B4850" s="171"/>
    </row>
    <row r="4851" spans="2:2" ht="15.5" x14ac:dyDescent="0.35">
      <c r="B4851" s="171"/>
    </row>
    <row r="4852" spans="2:2" ht="15.5" x14ac:dyDescent="0.35">
      <c r="B4852" s="171"/>
    </row>
    <row r="4853" spans="2:2" ht="15.5" x14ac:dyDescent="0.35">
      <c r="B4853" s="171"/>
    </row>
    <row r="4854" spans="2:2" ht="15.5" x14ac:dyDescent="0.35">
      <c r="B4854" s="171"/>
    </row>
    <row r="4855" spans="2:2" ht="15.5" x14ac:dyDescent="0.35">
      <c r="B4855" s="171"/>
    </row>
    <row r="4856" spans="2:2" ht="15.5" x14ac:dyDescent="0.35">
      <c r="B4856" s="171"/>
    </row>
    <row r="4857" spans="2:2" ht="15.5" x14ac:dyDescent="0.35">
      <c r="B4857" s="171"/>
    </row>
    <row r="4858" spans="2:2" ht="15.5" x14ac:dyDescent="0.35">
      <c r="B4858" s="171"/>
    </row>
    <row r="4859" spans="2:2" ht="15.5" x14ac:dyDescent="0.35">
      <c r="B4859" s="171"/>
    </row>
    <row r="4860" spans="2:2" ht="15.5" x14ac:dyDescent="0.35">
      <c r="B4860" s="171"/>
    </row>
    <row r="4861" spans="2:2" ht="15.5" x14ac:dyDescent="0.35">
      <c r="B4861" s="171"/>
    </row>
    <row r="4862" spans="2:2" ht="15.5" x14ac:dyDescent="0.35">
      <c r="B4862" s="171"/>
    </row>
    <row r="4863" spans="2:2" ht="15.5" x14ac:dyDescent="0.35">
      <c r="B4863" s="171"/>
    </row>
    <row r="4864" spans="2:2" ht="15.5" x14ac:dyDescent="0.35">
      <c r="B4864" s="171"/>
    </row>
    <row r="4865" spans="2:2" ht="15.5" x14ac:dyDescent="0.35">
      <c r="B4865" s="171"/>
    </row>
    <row r="4866" spans="2:2" ht="15.5" x14ac:dyDescent="0.35">
      <c r="B4866" s="171"/>
    </row>
    <row r="4867" spans="2:2" ht="15.5" x14ac:dyDescent="0.35">
      <c r="B4867" s="171"/>
    </row>
    <row r="4868" spans="2:2" ht="15.5" x14ac:dyDescent="0.35">
      <c r="B4868" s="171"/>
    </row>
    <row r="4869" spans="2:2" ht="15.5" x14ac:dyDescent="0.35">
      <c r="B4869" s="171"/>
    </row>
    <row r="4870" spans="2:2" ht="15.5" x14ac:dyDescent="0.35">
      <c r="B4870" s="171"/>
    </row>
    <row r="4871" spans="2:2" ht="15.5" x14ac:dyDescent="0.35">
      <c r="B4871" s="171"/>
    </row>
    <row r="4872" spans="2:2" ht="15.5" x14ac:dyDescent="0.35">
      <c r="B4872" s="171"/>
    </row>
    <row r="4873" spans="2:2" ht="15.5" x14ac:dyDescent="0.35">
      <c r="B4873" s="171"/>
    </row>
    <row r="4874" spans="2:2" ht="15.5" x14ac:dyDescent="0.35">
      <c r="B4874" s="171"/>
    </row>
    <row r="4875" spans="2:2" ht="15.5" x14ac:dyDescent="0.35">
      <c r="B4875" s="171"/>
    </row>
    <row r="4876" spans="2:2" ht="15.5" x14ac:dyDescent="0.35">
      <c r="B4876" s="171"/>
    </row>
    <row r="4877" spans="2:2" ht="15.5" x14ac:dyDescent="0.35">
      <c r="B4877" s="171"/>
    </row>
    <row r="4878" spans="2:2" ht="15.5" x14ac:dyDescent="0.35">
      <c r="B4878" s="171"/>
    </row>
    <row r="4879" spans="2:2" ht="15.5" x14ac:dyDescent="0.35">
      <c r="B4879" s="171"/>
    </row>
    <row r="4880" spans="2:2" ht="15.5" x14ac:dyDescent="0.35">
      <c r="B4880" s="171"/>
    </row>
    <row r="4881" spans="2:2" ht="15.5" x14ac:dyDescent="0.35">
      <c r="B4881" s="171"/>
    </row>
    <row r="4882" spans="2:2" ht="15.5" x14ac:dyDescent="0.35">
      <c r="B4882" s="171"/>
    </row>
    <row r="4883" spans="2:2" ht="15.5" x14ac:dyDescent="0.35">
      <c r="B4883" s="171"/>
    </row>
    <row r="4884" spans="2:2" ht="15.5" x14ac:dyDescent="0.35">
      <c r="B4884" s="171"/>
    </row>
    <row r="4885" spans="2:2" ht="15.5" x14ac:dyDescent="0.35">
      <c r="B4885" s="171"/>
    </row>
    <row r="4886" spans="2:2" ht="15.5" x14ac:dyDescent="0.35">
      <c r="B4886" s="171"/>
    </row>
    <row r="4887" spans="2:2" ht="15.5" x14ac:dyDescent="0.35">
      <c r="B4887" s="171"/>
    </row>
    <row r="4888" spans="2:2" ht="15.5" x14ac:dyDescent="0.35">
      <c r="B4888" s="171"/>
    </row>
    <row r="4889" spans="2:2" ht="15.5" x14ac:dyDescent="0.35">
      <c r="B4889" s="171"/>
    </row>
    <row r="4890" spans="2:2" ht="15.5" x14ac:dyDescent="0.35">
      <c r="B4890" s="171"/>
    </row>
    <row r="4891" spans="2:2" ht="15.5" x14ac:dyDescent="0.35">
      <c r="B4891" s="171"/>
    </row>
    <row r="4892" spans="2:2" ht="15.5" x14ac:dyDescent="0.35">
      <c r="B4892" s="171"/>
    </row>
    <row r="4893" spans="2:2" ht="15.5" x14ac:dyDescent="0.35">
      <c r="B4893" s="171"/>
    </row>
    <row r="4894" spans="2:2" ht="15.5" x14ac:dyDescent="0.35">
      <c r="B4894" s="171"/>
    </row>
    <row r="4895" spans="2:2" ht="15.5" x14ac:dyDescent="0.35">
      <c r="B4895" s="171"/>
    </row>
    <row r="4896" spans="2:2" ht="15.5" x14ac:dyDescent="0.35">
      <c r="B4896" s="171"/>
    </row>
    <row r="4897" spans="2:2" ht="15.5" x14ac:dyDescent="0.35">
      <c r="B4897" s="171"/>
    </row>
    <row r="4898" spans="2:2" ht="15.5" x14ac:dyDescent="0.35">
      <c r="B4898" s="171"/>
    </row>
    <row r="4899" spans="2:2" ht="15.5" x14ac:dyDescent="0.35">
      <c r="B4899" s="171"/>
    </row>
    <row r="4900" spans="2:2" ht="15.5" x14ac:dyDescent="0.35">
      <c r="B4900" s="171"/>
    </row>
    <row r="4901" spans="2:2" ht="15.5" x14ac:dyDescent="0.35">
      <c r="B4901" s="171"/>
    </row>
    <row r="4902" spans="2:2" ht="15.5" x14ac:dyDescent="0.35">
      <c r="B4902" s="171"/>
    </row>
    <row r="4903" spans="2:2" ht="15.5" x14ac:dyDescent="0.35">
      <c r="B4903" s="171"/>
    </row>
    <row r="4904" spans="2:2" ht="15.5" x14ac:dyDescent="0.35">
      <c r="B4904" s="171"/>
    </row>
    <row r="4905" spans="2:2" ht="15.5" x14ac:dyDescent="0.35">
      <c r="B4905" s="171"/>
    </row>
    <row r="4906" spans="2:2" ht="15.5" x14ac:dyDescent="0.35">
      <c r="B4906" s="171"/>
    </row>
    <row r="4907" spans="2:2" ht="15.5" x14ac:dyDescent="0.35">
      <c r="B4907" s="171"/>
    </row>
    <row r="4908" spans="2:2" ht="15.5" x14ac:dyDescent="0.35">
      <c r="B4908" s="171"/>
    </row>
    <row r="4909" spans="2:2" ht="15.5" x14ac:dyDescent="0.35">
      <c r="B4909" s="171"/>
    </row>
    <row r="4910" spans="2:2" ht="15.5" x14ac:dyDescent="0.35">
      <c r="B4910" s="171"/>
    </row>
    <row r="4911" spans="2:2" ht="15.5" x14ac:dyDescent="0.35">
      <c r="B4911" s="171"/>
    </row>
    <row r="4912" spans="2:2" ht="15.5" x14ac:dyDescent="0.35">
      <c r="B4912" s="171"/>
    </row>
    <row r="4913" spans="2:2" ht="15.5" x14ac:dyDescent="0.35">
      <c r="B4913" s="171"/>
    </row>
    <row r="4914" spans="2:2" ht="15.5" x14ac:dyDescent="0.35">
      <c r="B4914" s="171"/>
    </row>
    <row r="4915" spans="2:2" ht="15.5" x14ac:dyDescent="0.35">
      <c r="B4915" s="171"/>
    </row>
    <row r="4916" spans="2:2" ht="15.5" x14ac:dyDescent="0.35">
      <c r="B4916" s="171"/>
    </row>
    <row r="4917" spans="2:2" ht="15.5" x14ac:dyDescent="0.35">
      <c r="B4917" s="171"/>
    </row>
    <row r="4918" spans="2:2" ht="15.5" x14ac:dyDescent="0.35">
      <c r="B4918" s="171"/>
    </row>
    <row r="4919" spans="2:2" ht="15.5" x14ac:dyDescent="0.35">
      <c r="B4919" s="171"/>
    </row>
    <row r="4920" spans="2:2" ht="15.5" x14ac:dyDescent="0.35">
      <c r="B4920" s="171"/>
    </row>
    <row r="4921" spans="2:2" ht="15.5" x14ac:dyDescent="0.35">
      <c r="B4921" s="171"/>
    </row>
    <row r="4922" spans="2:2" ht="15.5" x14ac:dyDescent="0.35">
      <c r="B4922" s="171"/>
    </row>
    <row r="4923" spans="2:2" ht="15.5" x14ac:dyDescent="0.35">
      <c r="B4923" s="171"/>
    </row>
    <row r="4924" spans="2:2" ht="15.5" x14ac:dyDescent="0.35">
      <c r="B4924" s="171"/>
    </row>
    <row r="4925" spans="2:2" ht="15.5" x14ac:dyDescent="0.35">
      <c r="B4925" s="171"/>
    </row>
    <row r="4926" spans="2:2" ht="15.5" x14ac:dyDescent="0.35">
      <c r="B4926" s="171"/>
    </row>
    <row r="4927" spans="2:2" ht="15.5" x14ac:dyDescent="0.35">
      <c r="B4927" s="171"/>
    </row>
    <row r="4928" spans="2:2" ht="15.5" x14ac:dyDescent="0.35">
      <c r="B4928" s="171"/>
    </row>
    <row r="4929" spans="2:2" ht="15.5" x14ac:dyDescent="0.35">
      <c r="B4929" s="171"/>
    </row>
    <row r="4930" spans="2:2" ht="15.5" x14ac:dyDescent="0.35">
      <c r="B4930" s="171"/>
    </row>
    <row r="4931" spans="2:2" ht="15.5" x14ac:dyDescent="0.35">
      <c r="B4931" s="171"/>
    </row>
    <row r="4932" spans="2:2" ht="15.5" x14ac:dyDescent="0.35">
      <c r="B4932" s="171"/>
    </row>
    <row r="4933" spans="2:2" ht="15.5" x14ac:dyDescent="0.35">
      <c r="B4933" s="171"/>
    </row>
    <row r="4934" spans="2:2" ht="15.5" x14ac:dyDescent="0.35">
      <c r="B4934" s="171"/>
    </row>
    <row r="4935" spans="2:2" ht="15.5" x14ac:dyDescent="0.35">
      <c r="B4935" s="171"/>
    </row>
    <row r="4936" spans="2:2" ht="15.5" x14ac:dyDescent="0.35">
      <c r="B4936" s="171"/>
    </row>
    <row r="4937" spans="2:2" ht="15.5" x14ac:dyDescent="0.35">
      <c r="B4937" s="171"/>
    </row>
    <row r="4938" spans="2:2" ht="15.5" x14ac:dyDescent="0.35">
      <c r="B4938" s="171"/>
    </row>
    <row r="4939" spans="2:2" ht="15.5" x14ac:dyDescent="0.35">
      <c r="B4939" s="171"/>
    </row>
    <row r="4940" spans="2:2" ht="15.5" x14ac:dyDescent="0.35">
      <c r="B4940" s="171"/>
    </row>
    <row r="4941" spans="2:2" ht="15.5" x14ac:dyDescent="0.35">
      <c r="B4941" s="171"/>
    </row>
    <row r="4942" spans="2:2" ht="15.5" x14ac:dyDescent="0.35">
      <c r="B4942" s="171"/>
    </row>
    <row r="4943" spans="2:2" ht="15.5" x14ac:dyDescent="0.35">
      <c r="B4943" s="171"/>
    </row>
    <row r="4944" spans="2:2" ht="15.5" x14ac:dyDescent="0.35">
      <c r="B4944" s="171"/>
    </row>
    <row r="4945" spans="2:2" ht="15.5" x14ac:dyDescent="0.35">
      <c r="B4945" s="171"/>
    </row>
    <row r="4946" spans="2:2" ht="15.5" x14ac:dyDescent="0.35">
      <c r="B4946" s="171"/>
    </row>
    <row r="4947" spans="2:2" ht="15.5" x14ac:dyDescent="0.35">
      <c r="B4947" s="171"/>
    </row>
    <row r="4948" spans="2:2" ht="15.5" x14ac:dyDescent="0.35">
      <c r="B4948" s="171"/>
    </row>
    <row r="4949" spans="2:2" ht="15.5" x14ac:dyDescent="0.35">
      <c r="B4949" s="171"/>
    </row>
    <row r="4950" spans="2:2" ht="15.5" x14ac:dyDescent="0.35">
      <c r="B4950" s="171"/>
    </row>
    <row r="4951" spans="2:2" ht="15.5" x14ac:dyDescent="0.35">
      <c r="B4951" s="171"/>
    </row>
    <row r="4952" spans="2:2" ht="15.5" x14ac:dyDescent="0.35">
      <c r="B4952" s="171"/>
    </row>
    <row r="4953" spans="2:2" ht="15.5" x14ac:dyDescent="0.35">
      <c r="B4953" s="171"/>
    </row>
    <row r="4954" spans="2:2" ht="15.5" x14ac:dyDescent="0.35">
      <c r="B4954" s="171"/>
    </row>
    <row r="4955" spans="2:2" ht="15.5" x14ac:dyDescent="0.35">
      <c r="B4955" s="171"/>
    </row>
    <row r="4956" spans="2:2" ht="15.5" x14ac:dyDescent="0.35">
      <c r="B4956" s="171"/>
    </row>
    <row r="4957" spans="2:2" ht="15.5" x14ac:dyDescent="0.35">
      <c r="B4957" s="171"/>
    </row>
    <row r="4958" spans="2:2" ht="15.5" x14ac:dyDescent="0.35">
      <c r="B4958" s="171"/>
    </row>
    <row r="4959" spans="2:2" ht="15.5" x14ac:dyDescent="0.35">
      <c r="B4959" s="171"/>
    </row>
    <row r="4960" spans="2:2" ht="15.5" x14ac:dyDescent="0.35">
      <c r="B4960" s="171"/>
    </row>
    <row r="4961" spans="2:2" ht="15.5" x14ac:dyDescent="0.35">
      <c r="B4961" s="171"/>
    </row>
    <row r="4962" spans="2:2" ht="15.5" x14ac:dyDescent="0.35">
      <c r="B4962" s="171"/>
    </row>
    <row r="4963" spans="2:2" ht="15.5" x14ac:dyDescent="0.35">
      <c r="B4963" s="171"/>
    </row>
    <row r="4964" spans="2:2" ht="15.5" x14ac:dyDescent="0.35">
      <c r="B4964" s="171"/>
    </row>
    <row r="4965" spans="2:2" ht="15.5" x14ac:dyDescent="0.35">
      <c r="B4965" s="171"/>
    </row>
    <row r="4966" spans="2:2" ht="15.5" x14ac:dyDescent="0.35">
      <c r="B4966" s="171"/>
    </row>
    <row r="4967" spans="2:2" ht="15.5" x14ac:dyDescent="0.35">
      <c r="B4967" s="171"/>
    </row>
    <row r="4968" spans="2:2" ht="15.5" x14ac:dyDescent="0.35">
      <c r="B4968" s="171"/>
    </row>
    <row r="4969" spans="2:2" ht="15.5" x14ac:dyDescent="0.35">
      <c r="B4969" s="171"/>
    </row>
    <row r="4970" spans="2:2" ht="15.5" x14ac:dyDescent="0.35">
      <c r="B4970" s="171"/>
    </row>
    <row r="4971" spans="2:2" ht="15.5" x14ac:dyDescent="0.35">
      <c r="B4971" s="171"/>
    </row>
    <row r="4972" spans="2:2" ht="15.5" x14ac:dyDescent="0.35">
      <c r="B4972" s="171"/>
    </row>
    <row r="4973" spans="2:2" ht="15.5" x14ac:dyDescent="0.35">
      <c r="B4973" s="171"/>
    </row>
    <row r="4974" spans="2:2" ht="15.5" x14ac:dyDescent="0.35">
      <c r="B4974" s="171"/>
    </row>
    <row r="4975" spans="2:2" ht="15.5" x14ac:dyDescent="0.35">
      <c r="B4975" s="171"/>
    </row>
    <row r="4976" spans="2:2" ht="15.5" x14ac:dyDescent="0.35">
      <c r="B4976" s="171"/>
    </row>
    <row r="4977" spans="2:2" ht="15.5" x14ac:dyDescent="0.35">
      <c r="B4977" s="171"/>
    </row>
    <row r="4978" spans="2:2" ht="15.5" x14ac:dyDescent="0.35">
      <c r="B4978" s="171"/>
    </row>
    <row r="4979" spans="2:2" ht="15.5" x14ac:dyDescent="0.35">
      <c r="B4979" s="171"/>
    </row>
    <row r="4980" spans="2:2" ht="15.5" x14ac:dyDescent="0.35">
      <c r="B4980" s="171"/>
    </row>
    <row r="4981" spans="2:2" ht="15.5" x14ac:dyDescent="0.35">
      <c r="B4981" s="171"/>
    </row>
    <row r="4982" spans="2:2" ht="15.5" x14ac:dyDescent="0.35">
      <c r="B4982" s="171"/>
    </row>
    <row r="4983" spans="2:2" ht="15.5" x14ac:dyDescent="0.35">
      <c r="B4983" s="171"/>
    </row>
    <row r="4984" spans="2:2" ht="15.5" x14ac:dyDescent="0.35">
      <c r="B4984" s="171"/>
    </row>
    <row r="4985" spans="2:2" ht="15.5" x14ac:dyDescent="0.35">
      <c r="B4985" s="171"/>
    </row>
    <row r="4986" spans="2:2" ht="15.5" x14ac:dyDescent="0.35">
      <c r="B4986" s="171"/>
    </row>
    <row r="4987" spans="2:2" ht="15.5" x14ac:dyDescent="0.35">
      <c r="B4987" s="171"/>
    </row>
    <row r="4988" spans="2:2" ht="15.5" x14ac:dyDescent="0.35">
      <c r="B4988" s="171"/>
    </row>
    <row r="4989" spans="2:2" ht="15.5" x14ac:dyDescent="0.35">
      <c r="B4989" s="171"/>
    </row>
    <row r="4990" spans="2:2" ht="15.5" x14ac:dyDescent="0.35">
      <c r="B4990" s="171"/>
    </row>
    <row r="4991" spans="2:2" ht="15.5" x14ac:dyDescent="0.35">
      <c r="B4991" s="171"/>
    </row>
    <row r="4992" spans="2:2" ht="15.5" x14ac:dyDescent="0.35">
      <c r="B4992" s="171"/>
    </row>
    <row r="4993" spans="2:2" ht="15.5" x14ac:dyDescent="0.35">
      <c r="B4993" s="171"/>
    </row>
    <row r="4994" spans="2:2" ht="15.5" x14ac:dyDescent="0.35">
      <c r="B4994" s="171"/>
    </row>
    <row r="4995" spans="2:2" ht="15.5" x14ac:dyDescent="0.35">
      <c r="B4995" s="171"/>
    </row>
    <row r="4996" spans="2:2" ht="15.5" x14ac:dyDescent="0.35">
      <c r="B4996" s="171"/>
    </row>
    <row r="4997" spans="2:2" ht="15.5" x14ac:dyDescent="0.35">
      <c r="B4997" s="171"/>
    </row>
    <row r="4998" spans="2:2" ht="15.5" x14ac:dyDescent="0.35">
      <c r="B4998" s="171"/>
    </row>
    <row r="4999" spans="2:2" ht="15.5" x14ac:dyDescent="0.35">
      <c r="B4999" s="171"/>
    </row>
    <row r="5000" spans="2:2" ht="15.5" x14ac:dyDescent="0.35">
      <c r="B5000" s="171"/>
    </row>
    <row r="5001" spans="2:2" ht="15.5" x14ac:dyDescent="0.35">
      <c r="B5001" s="171"/>
    </row>
    <row r="5002" spans="2:2" ht="15.5" x14ac:dyDescent="0.35">
      <c r="B5002" s="171"/>
    </row>
    <row r="5003" spans="2:2" ht="15.5" x14ac:dyDescent="0.35">
      <c r="B5003" s="171"/>
    </row>
    <row r="5004" spans="2:2" ht="15.5" x14ac:dyDescent="0.35">
      <c r="B5004" s="171"/>
    </row>
    <row r="5005" spans="2:2" ht="15.5" x14ac:dyDescent="0.35">
      <c r="B5005" s="171"/>
    </row>
    <row r="5006" spans="2:2" ht="15.5" x14ac:dyDescent="0.35">
      <c r="B5006" s="171"/>
    </row>
    <row r="5007" spans="2:2" ht="15.5" x14ac:dyDescent="0.35">
      <c r="B5007" s="171"/>
    </row>
    <row r="5008" spans="2:2" ht="15.5" x14ac:dyDescent="0.35">
      <c r="B5008" s="171"/>
    </row>
    <row r="5009" spans="2:2" ht="15.5" x14ac:dyDescent="0.35">
      <c r="B5009" s="171"/>
    </row>
    <row r="5010" spans="2:2" ht="15.5" x14ac:dyDescent="0.35">
      <c r="B5010" s="171"/>
    </row>
    <row r="5011" spans="2:2" ht="15.5" x14ac:dyDescent="0.35">
      <c r="B5011" s="171"/>
    </row>
    <row r="5012" spans="2:2" ht="15.5" x14ac:dyDescent="0.35">
      <c r="B5012" s="171"/>
    </row>
    <row r="5013" spans="2:2" ht="15.5" x14ac:dyDescent="0.35">
      <c r="B5013" s="171"/>
    </row>
    <row r="5014" spans="2:2" ht="15.5" x14ac:dyDescent="0.35">
      <c r="B5014" s="171"/>
    </row>
    <row r="5015" spans="2:2" ht="15.5" x14ac:dyDescent="0.35">
      <c r="B5015" s="171"/>
    </row>
    <row r="5016" spans="2:2" ht="15.5" x14ac:dyDescent="0.35">
      <c r="B5016" s="171"/>
    </row>
    <row r="5017" spans="2:2" ht="15.5" x14ac:dyDescent="0.35">
      <c r="B5017" s="171"/>
    </row>
    <row r="5018" spans="2:2" ht="15.5" x14ac:dyDescent="0.35">
      <c r="B5018" s="171"/>
    </row>
    <row r="5019" spans="2:2" ht="15.5" x14ac:dyDescent="0.35">
      <c r="B5019" s="171"/>
    </row>
    <row r="5020" spans="2:2" ht="15.5" x14ac:dyDescent="0.35">
      <c r="B5020" s="171"/>
    </row>
    <row r="5021" spans="2:2" ht="15.5" x14ac:dyDescent="0.35">
      <c r="B5021" s="171"/>
    </row>
    <row r="5022" spans="2:2" ht="15.5" x14ac:dyDescent="0.35">
      <c r="B5022" s="171"/>
    </row>
    <row r="5023" spans="2:2" ht="15.5" x14ac:dyDescent="0.35">
      <c r="B5023" s="171"/>
    </row>
    <row r="5024" spans="2:2" ht="15.5" x14ac:dyDescent="0.35">
      <c r="B5024" s="171"/>
    </row>
    <row r="5025" spans="2:2" ht="15.5" x14ac:dyDescent="0.35">
      <c r="B5025" s="171"/>
    </row>
    <row r="5026" spans="2:2" ht="15.5" x14ac:dyDescent="0.35">
      <c r="B5026" s="171"/>
    </row>
    <row r="5027" spans="2:2" ht="15.5" x14ac:dyDescent="0.35">
      <c r="B5027" s="171"/>
    </row>
    <row r="5028" spans="2:2" ht="15.5" x14ac:dyDescent="0.35">
      <c r="B5028" s="171"/>
    </row>
    <row r="5029" spans="2:2" ht="15.5" x14ac:dyDescent="0.35">
      <c r="B5029" s="171"/>
    </row>
    <row r="5030" spans="2:2" ht="15.5" x14ac:dyDescent="0.35">
      <c r="B5030" s="171"/>
    </row>
    <row r="5031" spans="2:2" ht="15.5" x14ac:dyDescent="0.35">
      <c r="B5031" s="171"/>
    </row>
    <row r="5032" spans="2:2" ht="15.5" x14ac:dyDescent="0.35">
      <c r="B5032" s="171"/>
    </row>
    <row r="5033" spans="2:2" ht="15.5" x14ac:dyDescent="0.35">
      <c r="B5033" s="171"/>
    </row>
    <row r="5034" spans="2:2" ht="15.5" x14ac:dyDescent="0.35">
      <c r="B5034" s="171"/>
    </row>
    <row r="5035" spans="2:2" ht="15.5" x14ac:dyDescent="0.35">
      <c r="B5035" s="171"/>
    </row>
    <row r="5036" spans="2:2" ht="15.5" x14ac:dyDescent="0.35">
      <c r="B5036" s="171"/>
    </row>
    <row r="5037" spans="2:2" ht="15.5" x14ac:dyDescent="0.35">
      <c r="B5037" s="171"/>
    </row>
    <row r="5038" spans="2:2" ht="15.5" x14ac:dyDescent="0.35">
      <c r="B5038" s="171"/>
    </row>
    <row r="5039" spans="2:2" ht="15.5" x14ac:dyDescent="0.35">
      <c r="B5039" s="171"/>
    </row>
    <row r="5040" spans="2:2" ht="15.5" x14ac:dyDescent="0.35">
      <c r="B5040" s="171"/>
    </row>
    <row r="5041" spans="2:2" ht="15.5" x14ac:dyDescent="0.35">
      <c r="B5041" s="171"/>
    </row>
    <row r="5042" spans="2:2" ht="15.5" x14ac:dyDescent="0.35">
      <c r="B5042" s="171"/>
    </row>
    <row r="5043" spans="2:2" ht="15.5" x14ac:dyDescent="0.35">
      <c r="B5043" s="171"/>
    </row>
    <row r="5044" spans="2:2" ht="15.5" x14ac:dyDescent="0.35">
      <c r="B5044" s="171"/>
    </row>
    <row r="5045" spans="2:2" ht="15.5" x14ac:dyDescent="0.35">
      <c r="B5045" s="171"/>
    </row>
    <row r="5046" spans="2:2" ht="15.5" x14ac:dyDescent="0.35">
      <c r="B5046" s="171"/>
    </row>
    <row r="5047" spans="2:2" ht="15.5" x14ac:dyDescent="0.35">
      <c r="B5047" s="171"/>
    </row>
    <row r="5048" spans="2:2" ht="15.5" x14ac:dyDescent="0.35">
      <c r="B5048" s="171"/>
    </row>
    <row r="5049" spans="2:2" ht="15.5" x14ac:dyDescent="0.35">
      <c r="B5049" s="171"/>
    </row>
    <row r="5050" spans="2:2" ht="15.5" x14ac:dyDescent="0.35">
      <c r="B5050" s="171"/>
    </row>
    <row r="5051" spans="2:2" ht="15.5" x14ac:dyDescent="0.35">
      <c r="B5051" s="171"/>
    </row>
    <row r="5052" spans="2:2" ht="15.5" x14ac:dyDescent="0.35">
      <c r="B5052" s="171"/>
    </row>
    <row r="5053" spans="2:2" ht="15.5" x14ac:dyDescent="0.35">
      <c r="B5053" s="171"/>
    </row>
    <row r="5054" spans="2:2" ht="15.5" x14ac:dyDescent="0.35">
      <c r="B5054" s="171"/>
    </row>
    <row r="5055" spans="2:2" ht="15.5" x14ac:dyDescent="0.35">
      <c r="B5055" s="171"/>
    </row>
    <row r="5056" spans="2:2" ht="15.5" x14ac:dyDescent="0.35">
      <c r="B5056" s="171"/>
    </row>
    <row r="5057" spans="2:2" ht="15.5" x14ac:dyDescent="0.35">
      <c r="B5057" s="171"/>
    </row>
    <row r="5058" spans="2:2" ht="15.5" x14ac:dyDescent="0.35">
      <c r="B5058" s="171"/>
    </row>
    <row r="5059" spans="2:2" ht="15.5" x14ac:dyDescent="0.35">
      <c r="B5059" s="171"/>
    </row>
    <row r="5060" spans="2:2" ht="15.5" x14ac:dyDescent="0.35">
      <c r="B5060" s="171"/>
    </row>
    <row r="5061" spans="2:2" ht="15.5" x14ac:dyDescent="0.35">
      <c r="B5061" s="171"/>
    </row>
    <row r="5062" spans="2:2" ht="15.5" x14ac:dyDescent="0.35">
      <c r="B5062" s="171"/>
    </row>
    <row r="5063" spans="2:2" ht="15.5" x14ac:dyDescent="0.35">
      <c r="B5063" s="171"/>
    </row>
    <row r="5064" spans="2:2" ht="15.5" x14ac:dyDescent="0.35">
      <c r="B5064" s="171"/>
    </row>
    <row r="5065" spans="2:2" ht="15.5" x14ac:dyDescent="0.35">
      <c r="B5065" s="171"/>
    </row>
    <row r="5066" spans="2:2" ht="15.5" x14ac:dyDescent="0.35">
      <c r="B5066" s="171"/>
    </row>
    <row r="5067" spans="2:2" ht="15.5" x14ac:dyDescent="0.35">
      <c r="B5067" s="171"/>
    </row>
    <row r="5068" spans="2:2" ht="15.5" x14ac:dyDescent="0.35">
      <c r="B5068" s="171"/>
    </row>
    <row r="5069" spans="2:2" ht="15.5" x14ac:dyDescent="0.35">
      <c r="B5069" s="171"/>
    </row>
    <row r="5070" spans="2:2" ht="15.5" x14ac:dyDescent="0.35">
      <c r="B5070" s="171"/>
    </row>
    <row r="5071" spans="2:2" ht="15.5" x14ac:dyDescent="0.35">
      <c r="B5071" s="171"/>
    </row>
    <row r="5072" spans="2:2" ht="15.5" x14ac:dyDescent="0.35">
      <c r="B5072" s="171"/>
    </row>
    <row r="5073" spans="2:2" ht="15.5" x14ac:dyDescent="0.35">
      <c r="B5073" s="171"/>
    </row>
    <row r="5074" spans="2:2" ht="15.5" x14ac:dyDescent="0.35">
      <c r="B5074" s="171"/>
    </row>
    <row r="5075" spans="2:2" ht="15.5" x14ac:dyDescent="0.35">
      <c r="B5075" s="171"/>
    </row>
    <row r="5076" spans="2:2" ht="15.5" x14ac:dyDescent="0.35">
      <c r="B5076" s="171"/>
    </row>
    <row r="5077" spans="2:2" ht="15.5" x14ac:dyDescent="0.35">
      <c r="B5077" s="171"/>
    </row>
    <row r="5078" spans="2:2" ht="15.5" x14ac:dyDescent="0.35">
      <c r="B5078" s="171"/>
    </row>
    <row r="5079" spans="2:2" ht="15.5" x14ac:dyDescent="0.35">
      <c r="B5079" s="171"/>
    </row>
    <row r="5080" spans="2:2" ht="15.5" x14ac:dyDescent="0.35">
      <c r="B5080" s="171"/>
    </row>
    <row r="5081" spans="2:2" ht="15.5" x14ac:dyDescent="0.35">
      <c r="B5081" s="171"/>
    </row>
    <row r="5082" spans="2:2" ht="15.5" x14ac:dyDescent="0.35">
      <c r="B5082" s="171"/>
    </row>
    <row r="5083" spans="2:2" ht="15.5" x14ac:dyDescent="0.35">
      <c r="B5083" s="171"/>
    </row>
    <row r="5084" spans="2:2" ht="15.5" x14ac:dyDescent="0.35">
      <c r="B5084" s="171"/>
    </row>
    <row r="5085" spans="2:2" ht="15.5" x14ac:dyDescent="0.35">
      <c r="B5085" s="171"/>
    </row>
    <row r="5086" spans="2:2" ht="15.5" x14ac:dyDescent="0.35">
      <c r="B5086" s="171"/>
    </row>
    <row r="5087" spans="2:2" ht="15.5" x14ac:dyDescent="0.35">
      <c r="B5087" s="171"/>
    </row>
    <row r="5088" spans="2:2" ht="15.5" x14ac:dyDescent="0.35">
      <c r="B5088" s="171"/>
    </row>
    <row r="5089" spans="2:2" ht="15.5" x14ac:dyDescent="0.35">
      <c r="B5089" s="171"/>
    </row>
    <row r="5090" spans="2:2" ht="15.5" x14ac:dyDescent="0.35">
      <c r="B5090" s="171"/>
    </row>
    <row r="5091" spans="2:2" ht="15.5" x14ac:dyDescent="0.35">
      <c r="B5091" s="171"/>
    </row>
    <row r="5092" spans="2:2" ht="15.5" x14ac:dyDescent="0.35">
      <c r="B5092" s="171"/>
    </row>
    <row r="5093" spans="2:2" ht="15.5" x14ac:dyDescent="0.35">
      <c r="B5093" s="171"/>
    </row>
    <row r="5094" spans="2:2" ht="15.5" x14ac:dyDescent="0.35">
      <c r="B5094" s="171"/>
    </row>
    <row r="5095" spans="2:2" ht="15.5" x14ac:dyDescent="0.35">
      <c r="B5095" s="171"/>
    </row>
    <row r="5096" spans="2:2" ht="15.5" x14ac:dyDescent="0.35">
      <c r="B5096" s="171"/>
    </row>
    <row r="5097" spans="2:2" ht="15.5" x14ac:dyDescent="0.35">
      <c r="B5097" s="171"/>
    </row>
    <row r="5098" spans="2:2" ht="15.5" x14ac:dyDescent="0.35">
      <c r="B5098" s="171"/>
    </row>
    <row r="5099" spans="2:2" ht="15.5" x14ac:dyDescent="0.35">
      <c r="B5099" s="171"/>
    </row>
    <row r="5100" spans="2:2" ht="15.5" x14ac:dyDescent="0.35">
      <c r="B5100" s="171"/>
    </row>
    <row r="5101" spans="2:2" ht="15.5" x14ac:dyDescent="0.35">
      <c r="B5101" s="171"/>
    </row>
    <row r="5102" spans="2:2" ht="15.5" x14ac:dyDescent="0.35">
      <c r="B5102" s="171"/>
    </row>
    <row r="5103" spans="2:2" ht="15.5" x14ac:dyDescent="0.35">
      <c r="B5103" s="171"/>
    </row>
    <row r="5104" spans="2:2" ht="15.5" x14ac:dyDescent="0.35">
      <c r="B5104" s="171"/>
    </row>
    <row r="5105" spans="2:2" ht="15.5" x14ac:dyDescent="0.35">
      <c r="B5105" s="171"/>
    </row>
    <row r="5106" spans="2:2" ht="15.5" x14ac:dyDescent="0.35">
      <c r="B5106" s="171"/>
    </row>
    <row r="5107" spans="2:2" ht="15.5" x14ac:dyDescent="0.35">
      <c r="B5107" s="171"/>
    </row>
    <row r="5108" spans="2:2" ht="15.5" x14ac:dyDescent="0.35">
      <c r="B5108" s="171"/>
    </row>
    <row r="5109" spans="2:2" ht="15.5" x14ac:dyDescent="0.35">
      <c r="B5109" s="171"/>
    </row>
    <row r="5110" spans="2:2" ht="15.5" x14ac:dyDescent="0.35">
      <c r="B5110" s="171"/>
    </row>
    <row r="5111" spans="2:2" ht="15.5" x14ac:dyDescent="0.35">
      <c r="B5111" s="171"/>
    </row>
    <row r="5112" spans="2:2" ht="15.5" x14ac:dyDescent="0.35">
      <c r="B5112" s="171"/>
    </row>
    <row r="5113" spans="2:2" ht="15.5" x14ac:dyDescent="0.35">
      <c r="B5113" s="171"/>
    </row>
    <row r="5114" spans="2:2" ht="15.5" x14ac:dyDescent="0.35">
      <c r="B5114" s="171"/>
    </row>
    <row r="5115" spans="2:2" ht="15.5" x14ac:dyDescent="0.35">
      <c r="B5115" s="171"/>
    </row>
    <row r="5116" spans="2:2" ht="15.5" x14ac:dyDescent="0.35">
      <c r="B5116" s="171"/>
    </row>
    <row r="5117" spans="2:2" ht="15.5" x14ac:dyDescent="0.35">
      <c r="B5117" s="171"/>
    </row>
    <row r="5118" spans="2:2" ht="15.5" x14ac:dyDescent="0.35">
      <c r="B5118" s="171"/>
    </row>
    <row r="5119" spans="2:2" ht="15.5" x14ac:dyDescent="0.35">
      <c r="B5119" s="171"/>
    </row>
    <row r="5120" spans="2:2" ht="15.5" x14ac:dyDescent="0.35">
      <c r="B5120" s="171"/>
    </row>
    <row r="5121" spans="2:2" ht="15.5" x14ac:dyDescent="0.35">
      <c r="B5121" s="171"/>
    </row>
    <row r="5122" spans="2:2" ht="15.5" x14ac:dyDescent="0.35">
      <c r="B5122" s="171"/>
    </row>
    <row r="5123" spans="2:2" ht="15.5" x14ac:dyDescent="0.35">
      <c r="B5123" s="171"/>
    </row>
    <row r="5124" spans="2:2" ht="15.5" x14ac:dyDescent="0.35">
      <c r="B5124" s="171"/>
    </row>
    <row r="5125" spans="2:2" ht="15.5" x14ac:dyDescent="0.35">
      <c r="B5125" s="171"/>
    </row>
    <row r="5126" spans="2:2" ht="15.5" x14ac:dyDescent="0.35">
      <c r="B5126" s="171"/>
    </row>
    <row r="5127" spans="2:2" ht="15.5" x14ac:dyDescent="0.35">
      <c r="B5127" s="171"/>
    </row>
    <row r="5128" spans="2:2" ht="15.5" x14ac:dyDescent="0.35">
      <c r="B5128" s="171"/>
    </row>
    <row r="5129" spans="2:2" ht="15.5" x14ac:dyDescent="0.35">
      <c r="B5129" s="171"/>
    </row>
    <row r="5130" spans="2:2" ht="15.5" x14ac:dyDescent="0.35">
      <c r="B5130" s="171"/>
    </row>
    <row r="5131" spans="2:2" ht="15.5" x14ac:dyDescent="0.35">
      <c r="B5131" s="171"/>
    </row>
    <row r="5132" spans="2:2" ht="15.5" x14ac:dyDescent="0.35">
      <c r="B5132" s="171"/>
    </row>
    <row r="5133" spans="2:2" ht="15.5" x14ac:dyDescent="0.35">
      <c r="B5133" s="171"/>
    </row>
    <row r="5134" spans="2:2" ht="15.5" x14ac:dyDescent="0.35">
      <c r="B5134" s="171"/>
    </row>
    <row r="5135" spans="2:2" ht="15.5" x14ac:dyDescent="0.35">
      <c r="B5135" s="171"/>
    </row>
    <row r="5136" spans="2:2" ht="15.5" x14ac:dyDescent="0.35">
      <c r="B5136" s="171"/>
    </row>
    <row r="5137" spans="2:2" ht="15.5" x14ac:dyDescent="0.35">
      <c r="B5137" s="171"/>
    </row>
    <row r="5138" spans="2:2" ht="15.5" x14ac:dyDescent="0.35">
      <c r="B5138" s="171"/>
    </row>
    <row r="5139" spans="2:2" ht="15.5" x14ac:dyDescent="0.35">
      <c r="B5139" s="171"/>
    </row>
    <row r="5140" spans="2:2" ht="15.5" x14ac:dyDescent="0.35">
      <c r="B5140" s="171"/>
    </row>
    <row r="5141" spans="2:2" ht="15.5" x14ac:dyDescent="0.35">
      <c r="B5141" s="171"/>
    </row>
    <row r="5142" spans="2:2" ht="15.5" x14ac:dyDescent="0.35">
      <c r="B5142" s="171"/>
    </row>
    <row r="5143" spans="2:2" ht="15.5" x14ac:dyDescent="0.35">
      <c r="B5143" s="171"/>
    </row>
    <row r="5144" spans="2:2" ht="15.5" x14ac:dyDescent="0.35">
      <c r="B5144" s="171"/>
    </row>
    <row r="5145" spans="2:2" ht="15.5" x14ac:dyDescent="0.35">
      <c r="B5145" s="171"/>
    </row>
    <row r="5146" spans="2:2" ht="15.5" x14ac:dyDescent="0.35">
      <c r="B5146" s="171"/>
    </row>
    <row r="5147" spans="2:2" ht="15.5" x14ac:dyDescent="0.35">
      <c r="B5147" s="171"/>
    </row>
    <row r="5148" spans="2:2" ht="15.5" x14ac:dyDescent="0.35">
      <c r="B5148" s="171"/>
    </row>
    <row r="5149" spans="2:2" ht="15.5" x14ac:dyDescent="0.35">
      <c r="B5149" s="171"/>
    </row>
    <row r="5150" spans="2:2" ht="15.5" x14ac:dyDescent="0.35">
      <c r="B5150" s="171"/>
    </row>
    <row r="5151" spans="2:2" ht="15.5" x14ac:dyDescent="0.35">
      <c r="B5151" s="171"/>
    </row>
    <row r="5152" spans="2:2" ht="15.5" x14ac:dyDescent="0.35">
      <c r="B5152" s="171"/>
    </row>
    <row r="5153" spans="2:2" ht="15.5" x14ac:dyDescent="0.35">
      <c r="B5153" s="171"/>
    </row>
    <row r="5154" spans="2:2" ht="15.5" x14ac:dyDescent="0.35">
      <c r="B5154" s="171"/>
    </row>
    <row r="5155" spans="2:2" ht="15.5" x14ac:dyDescent="0.35">
      <c r="B5155" s="171"/>
    </row>
    <row r="5156" spans="2:2" ht="15.5" x14ac:dyDescent="0.35">
      <c r="B5156" s="171"/>
    </row>
    <row r="5157" spans="2:2" ht="15.5" x14ac:dyDescent="0.35">
      <c r="B5157" s="171"/>
    </row>
    <row r="5158" spans="2:2" ht="15.5" x14ac:dyDescent="0.35">
      <c r="B5158" s="171"/>
    </row>
    <row r="5159" spans="2:2" ht="15.5" x14ac:dyDescent="0.35">
      <c r="B5159" s="171"/>
    </row>
    <row r="5160" spans="2:2" ht="15.5" x14ac:dyDescent="0.35">
      <c r="B5160" s="171"/>
    </row>
    <row r="5161" spans="2:2" ht="15.5" x14ac:dyDescent="0.35">
      <c r="B5161" s="171"/>
    </row>
    <row r="5162" spans="2:2" ht="15.5" x14ac:dyDescent="0.35">
      <c r="B5162" s="171"/>
    </row>
    <row r="5163" spans="2:2" ht="15.5" x14ac:dyDescent="0.35">
      <c r="B5163" s="171"/>
    </row>
    <row r="5164" spans="2:2" ht="15.5" x14ac:dyDescent="0.35">
      <c r="B5164" s="171"/>
    </row>
    <row r="5165" spans="2:2" ht="15.5" x14ac:dyDescent="0.35">
      <c r="B5165" s="171"/>
    </row>
    <row r="5166" spans="2:2" ht="15.5" x14ac:dyDescent="0.35">
      <c r="B5166" s="171"/>
    </row>
    <row r="5167" spans="2:2" ht="15.5" x14ac:dyDescent="0.35">
      <c r="B5167" s="171"/>
    </row>
    <row r="5168" spans="2:2" ht="15.5" x14ac:dyDescent="0.35">
      <c r="B5168" s="171"/>
    </row>
    <row r="5169" spans="2:2" ht="15.5" x14ac:dyDescent="0.35">
      <c r="B5169" s="171"/>
    </row>
    <row r="5170" spans="2:2" ht="15.5" x14ac:dyDescent="0.35">
      <c r="B5170" s="171"/>
    </row>
    <row r="5171" spans="2:2" ht="15.5" x14ac:dyDescent="0.35">
      <c r="B5171" s="171"/>
    </row>
    <row r="5172" spans="2:2" ht="15.5" x14ac:dyDescent="0.35">
      <c r="B5172" s="171"/>
    </row>
    <row r="5173" spans="2:2" ht="15.5" x14ac:dyDescent="0.35">
      <c r="B5173" s="171"/>
    </row>
    <row r="5174" spans="2:2" ht="15.5" x14ac:dyDescent="0.35">
      <c r="B5174" s="171"/>
    </row>
    <row r="5175" spans="2:2" ht="15.5" x14ac:dyDescent="0.35">
      <c r="B5175" s="171"/>
    </row>
    <row r="5176" spans="2:2" ht="15.5" x14ac:dyDescent="0.35">
      <c r="B5176" s="171"/>
    </row>
    <row r="5177" spans="2:2" ht="15.5" x14ac:dyDescent="0.35">
      <c r="B5177" s="171"/>
    </row>
    <row r="5178" spans="2:2" ht="15.5" x14ac:dyDescent="0.35">
      <c r="B5178" s="171"/>
    </row>
    <row r="5179" spans="2:2" ht="15.5" x14ac:dyDescent="0.35">
      <c r="B5179" s="171"/>
    </row>
    <row r="5180" spans="2:2" ht="15.5" x14ac:dyDescent="0.35">
      <c r="B5180" s="171"/>
    </row>
    <row r="5181" spans="2:2" ht="15.5" x14ac:dyDescent="0.35">
      <c r="B5181" s="171"/>
    </row>
    <row r="5182" spans="2:2" ht="15.5" x14ac:dyDescent="0.35">
      <c r="B5182" s="171"/>
    </row>
    <row r="5183" spans="2:2" ht="15.5" x14ac:dyDescent="0.35">
      <c r="B5183" s="171"/>
    </row>
    <row r="5184" spans="2:2" ht="15.5" x14ac:dyDescent="0.35">
      <c r="B5184" s="171"/>
    </row>
    <row r="5185" spans="2:2" ht="15.5" x14ac:dyDescent="0.35">
      <c r="B5185" s="171"/>
    </row>
    <row r="5186" spans="2:2" ht="15.5" x14ac:dyDescent="0.35">
      <c r="B5186" s="171"/>
    </row>
    <row r="5187" spans="2:2" ht="15.5" x14ac:dyDescent="0.35">
      <c r="B5187" s="171"/>
    </row>
    <row r="5188" spans="2:2" ht="15.5" x14ac:dyDescent="0.35">
      <c r="B5188" s="171"/>
    </row>
    <row r="5189" spans="2:2" ht="15.5" x14ac:dyDescent="0.35">
      <c r="B5189" s="171"/>
    </row>
    <row r="5190" spans="2:2" ht="15.5" x14ac:dyDescent="0.35">
      <c r="B5190" s="171"/>
    </row>
    <row r="5191" spans="2:2" ht="15.5" x14ac:dyDescent="0.35">
      <c r="B5191" s="171"/>
    </row>
    <row r="5192" spans="2:2" ht="15.5" x14ac:dyDescent="0.35">
      <c r="B5192" s="171"/>
    </row>
    <row r="5193" spans="2:2" ht="15.5" x14ac:dyDescent="0.35">
      <c r="B5193" s="171"/>
    </row>
    <row r="5194" spans="2:2" ht="15.5" x14ac:dyDescent="0.35">
      <c r="B5194" s="171"/>
    </row>
    <row r="5195" spans="2:2" ht="15.5" x14ac:dyDescent="0.35">
      <c r="B5195" s="171"/>
    </row>
    <row r="5196" spans="2:2" ht="15.5" x14ac:dyDescent="0.35">
      <c r="B5196" s="171"/>
    </row>
    <row r="5197" spans="2:2" ht="15.5" x14ac:dyDescent="0.35">
      <c r="B5197" s="171"/>
    </row>
    <row r="5198" spans="2:2" ht="15.5" x14ac:dyDescent="0.35">
      <c r="B5198" s="171"/>
    </row>
    <row r="5199" spans="2:2" ht="15.5" x14ac:dyDescent="0.35">
      <c r="B5199" s="171"/>
    </row>
    <row r="5200" spans="2:2" ht="15.5" x14ac:dyDescent="0.35">
      <c r="B5200" s="171"/>
    </row>
    <row r="5201" spans="2:2" ht="15.5" x14ac:dyDescent="0.35">
      <c r="B5201" s="171"/>
    </row>
    <row r="5202" spans="2:2" ht="15.5" x14ac:dyDescent="0.35">
      <c r="B5202" s="171"/>
    </row>
    <row r="5203" spans="2:2" ht="15.5" x14ac:dyDescent="0.35">
      <c r="B5203" s="171"/>
    </row>
    <row r="5204" spans="2:2" ht="15.5" x14ac:dyDescent="0.35">
      <c r="B5204" s="171"/>
    </row>
    <row r="5205" spans="2:2" ht="15.5" x14ac:dyDescent="0.35">
      <c r="B5205" s="171"/>
    </row>
    <row r="5206" spans="2:2" ht="15.5" x14ac:dyDescent="0.35">
      <c r="B5206" s="171"/>
    </row>
    <row r="5207" spans="2:2" ht="15.5" x14ac:dyDescent="0.35">
      <c r="B5207" s="171"/>
    </row>
    <row r="5208" spans="2:2" ht="15.5" x14ac:dyDescent="0.35">
      <c r="B5208" s="171"/>
    </row>
    <row r="5209" spans="2:2" ht="15.5" x14ac:dyDescent="0.35">
      <c r="B5209" s="171"/>
    </row>
    <row r="5210" spans="2:2" ht="15.5" x14ac:dyDescent="0.35">
      <c r="B5210" s="171"/>
    </row>
    <row r="5211" spans="2:2" ht="15.5" x14ac:dyDescent="0.35">
      <c r="B5211" s="171"/>
    </row>
    <row r="5212" spans="2:2" ht="15.5" x14ac:dyDescent="0.35">
      <c r="B5212" s="171"/>
    </row>
    <row r="5213" spans="2:2" ht="15.5" x14ac:dyDescent="0.35">
      <c r="B5213" s="171"/>
    </row>
    <row r="5214" spans="2:2" ht="15.5" x14ac:dyDescent="0.35">
      <c r="B5214" s="171"/>
    </row>
    <row r="5215" spans="2:2" ht="15.5" x14ac:dyDescent="0.35">
      <c r="B5215" s="171"/>
    </row>
    <row r="5216" spans="2:2" ht="15.5" x14ac:dyDescent="0.35">
      <c r="B5216" s="171"/>
    </row>
    <row r="5217" spans="2:2" ht="15.5" x14ac:dyDescent="0.35">
      <c r="B5217" s="171"/>
    </row>
    <row r="5218" spans="2:2" ht="15.5" x14ac:dyDescent="0.35">
      <c r="B5218" s="171"/>
    </row>
    <row r="5219" spans="2:2" ht="15.5" x14ac:dyDescent="0.35">
      <c r="B5219" s="171"/>
    </row>
    <row r="5220" spans="2:2" ht="15.5" x14ac:dyDescent="0.35">
      <c r="B5220" s="171"/>
    </row>
    <row r="5221" spans="2:2" ht="15.5" x14ac:dyDescent="0.35">
      <c r="B5221" s="171"/>
    </row>
    <row r="5222" spans="2:2" ht="15.5" x14ac:dyDescent="0.35">
      <c r="B5222" s="171"/>
    </row>
    <row r="5223" spans="2:2" ht="15.5" x14ac:dyDescent="0.35">
      <c r="B5223" s="171"/>
    </row>
    <row r="5224" spans="2:2" ht="15.5" x14ac:dyDescent="0.35">
      <c r="B5224" s="171"/>
    </row>
    <row r="5225" spans="2:2" ht="15.5" x14ac:dyDescent="0.35">
      <c r="B5225" s="171"/>
    </row>
    <row r="5226" spans="2:2" ht="15.5" x14ac:dyDescent="0.35">
      <c r="B5226" s="171"/>
    </row>
    <row r="5227" spans="2:2" ht="15.5" x14ac:dyDescent="0.35">
      <c r="B5227" s="171"/>
    </row>
    <row r="5228" spans="2:2" ht="15.5" x14ac:dyDescent="0.35">
      <c r="B5228" s="171"/>
    </row>
    <row r="5229" spans="2:2" ht="15.5" x14ac:dyDescent="0.35">
      <c r="B5229" s="171"/>
    </row>
    <row r="5230" spans="2:2" ht="15.5" x14ac:dyDescent="0.35">
      <c r="B5230" s="171"/>
    </row>
    <row r="5231" spans="2:2" ht="15.5" x14ac:dyDescent="0.35">
      <c r="B5231" s="171"/>
    </row>
    <row r="5232" spans="2:2" ht="15.5" x14ac:dyDescent="0.35">
      <c r="B5232" s="171"/>
    </row>
    <row r="5233" spans="2:2" ht="15.5" x14ac:dyDescent="0.35">
      <c r="B5233" s="171"/>
    </row>
    <row r="5234" spans="2:2" ht="15.5" x14ac:dyDescent="0.35">
      <c r="B5234" s="171"/>
    </row>
    <row r="5235" spans="2:2" ht="15.5" x14ac:dyDescent="0.35">
      <c r="B5235" s="171"/>
    </row>
    <row r="5236" spans="2:2" ht="15.5" x14ac:dyDescent="0.35">
      <c r="B5236" s="171"/>
    </row>
    <row r="5237" spans="2:2" ht="15.5" x14ac:dyDescent="0.35">
      <c r="B5237" s="171"/>
    </row>
    <row r="5238" spans="2:2" ht="15.5" x14ac:dyDescent="0.35">
      <c r="B5238" s="171"/>
    </row>
    <row r="5239" spans="2:2" ht="15.5" x14ac:dyDescent="0.35">
      <c r="B5239" s="171"/>
    </row>
    <row r="5240" spans="2:2" ht="15.5" x14ac:dyDescent="0.35">
      <c r="B5240" s="171"/>
    </row>
    <row r="5241" spans="2:2" ht="15.5" x14ac:dyDescent="0.35">
      <c r="B5241" s="171"/>
    </row>
    <row r="5242" spans="2:2" ht="15.5" x14ac:dyDescent="0.35">
      <c r="B5242" s="171"/>
    </row>
    <row r="5243" spans="2:2" ht="15.5" x14ac:dyDescent="0.35">
      <c r="B5243" s="171"/>
    </row>
    <row r="5244" spans="2:2" ht="15.5" x14ac:dyDescent="0.35">
      <c r="B5244" s="171"/>
    </row>
    <row r="5245" spans="2:2" ht="15.5" x14ac:dyDescent="0.35">
      <c r="B5245" s="171"/>
    </row>
    <row r="5246" spans="2:2" ht="15.5" x14ac:dyDescent="0.35">
      <c r="B5246" s="171"/>
    </row>
    <row r="5247" spans="2:2" ht="15.5" x14ac:dyDescent="0.35">
      <c r="B5247" s="171"/>
    </row>
    <row r="5248" spans="2:2" ht="15.5" x14ac:dyDescent="0.35">
      <c r="B5248" s="171"/>
    </row>
    <row r="5249" spans="2:2" ht="15.5" x14ac:dyDescent="0.35">
      <c r="B5249" s="171"/>
    </row>
    <row r="5250" spans="2:2" ht="15.5" x14ac:dyDescent="0.35">
      <c r="B5250" s="171"/>
    </row>
    <row r="5251" spans="2:2" ht="15.5" x14ac:dyDescent="0.35">
      <c r="B5251" s="171"/>
    </row>
    <row r="5252" spans="2:2" ht="15.5" x14ac:dyDescent="0.35">
      <c r="B5252" s="171"/>
    </row>
    <row r="5253" spans="2:2" ht="15.5" x14ac:dyDescent="0.35">
      <c r="B5253" s="171"/>
    </row>
    <row r="5254" spans="2:2" ht="15.5" x14ac:dyDescent="0.35">
      <c r="B5254" s="171"/>
    </row>
    <row r="5255" spans="2:2" ht="15.5" x14ac:dyDescent="0.35">
      <c r="B5255" s="171"/>
    </row>
    <row r="5256" spans="2:2" ht="15.5" x14ac:dyDescent="0.35">
      <c r="B5256" s="171"/>
    </row>
    <row r="5257" spans="2:2" ht="15.5" x14ac:dyDescent="0.35">
      <c r="B5257" s="171"/>
    </row>
    <row r="5258" spans="2:2" ht="15.5" x14ac:dyDescent="0.35">
      <c r="B5258" s="171"/>
    </row>
    <row r="5259" spans="2:2" ht="15.5" x14ac:dyDescent="0.35">
      <c r="B5259" s="171"/>
    </row>
    <row r="5260" spans="2:2" ht="15.5" x14ac:dyDescent="0.35">
      <c r="B5260" s="171"/>
    </row>
    <row r="5261" spans="2:2" ht="15.5" x14ac:dyDescent="0.35">
      <c r="B5261" s="171"/>
    </row>
    <row r="5262" spans="2:2" ht="15.5" x14ac:dyDescent="0.35">
      <c r="B5262" s="171"/>
    </row>
    <row r="5263" spans="2:2" ht="15.5" x14ac:dyDescent="0.35">
      <c r="B5263" s="171"/>
    </row>
    <row r="5264" spans="2:2" ht="15.5" x14ac:dyDescent="0.35">
      <c r="B5264" s="171"/>
    </row>
    <row r="5265" spans="2:2" ht="15.5" x14ac:dyDescent="0.35">
      <c r="B5265" s="171"/>
    </row>
    <row r="5266" spans="2:2" ht="15.5" x14ac:dyDescent="0.35">
      <c r="B5266" s="171"/>
    </row>
    <row r="5267" spans="2:2" ht="15.5" x14ac:dyDescent="0.35">
      <c r="B5267" s="171"/>
    </row>
    <row r="5268" spans="2:2" ht="15.5" x14ac:dyDescent="0.35">
      <c r="B5268" s="171"/>
    </row>
    <row r="5269" spans="2:2" ht="15.5" x14ac:dyDescent="0.35">
      <c r="B5269" s="171"/>
    </row>
    <row r="5270" spans="2:2" ht="15.5" x14ac:dyDescent="0.35">
      <c r="B5270" s="171"/>
    </row>
    <row r="5271" spans="2:2" ht="15.5" x14ac:dyDescent="0.35">
      <c r="B5271" s="171"/>
    </row>
    <row r="5272" spans="2:2" ht="15.5" x14ac:dyDescent="0.35">
      <c r="B5272" s="171"/>
    </row>
    <row r="5273" spans="2:2" ht="15.5" x14ac:dyDescent="0.35">
      <c r="B5273" s="171"/>
    </row>
    <row r="5274" spans="2:2" ht="15.5" x14ac:dyDescent="0.35">
      <c r="B5274" s="171"/>
    </row>
    <row r="5275" spans="2:2" ht="15.5" x14ac:dyDescent="0.35">
      <c r="B5275" s="171"/>
    </row>
    <row r="5276" spans="2:2" ht="15.5" x14ac:dyDescent="0.35">
      <c r="B5276" s="171"/>
    </row>
    <row r="5277" spans="2:2" ht="15.5" x14ac:dyDescent="0.35">
      <c r="B5277" s="171"/>
    </row>
    <row r="5278" spans="2:2" ht="15.5" x14ac:dyDescent="0.35">
      <c r="B5278" s="171"/>
    </row>
    <row r="5279" spans="2:2" ht="15.5" x14ac:dyDescent="0.35">
      <c r="B5279" s="171"/>
    </row>
    <row r="5280" spans="2:2" ht="15.5" x14ac:dyDescent="0.35">
      <c r="B5280" s="171"/>
    </row>
    <row r="5281" spans="2:2" ht="15.5" x14ac:dyDescent="0.35">
      <c r="B5281" s="171"/>
    </row>
    <row r="5282" spans="2:2" ht="15.5" x14ac:dyDescent="0.35">
      <c r="B5282" s="171"/>
    </row>
    <row r="5283" spans="2:2" ht="15.5" x14ac:dyDescent="0.35">
      <c r="B5283" s="171"/>
    </row>
    <row r="5284" spans="2:2" ht="15.5" x14ac:dyDescent="0.35">
      <c r="B5284" s="171"/>
    </row>
    <row r="5285" spans="2:2" ht="15.5" x14ac:dyDescent="0.35">
      <c r="B5285" s="171"/>
    </row>
    <row r="5286" spans="2:2" ht="15.5" x14ac:dyDescent="0.35">
      <c r="B5286" s="171"/>
    </row>
    <row r="5287" spans="2:2" ht="15.5" x14ac:dyDescent="0.35">
      <c r="B5287" s="171"/>
    </row>
    <row r="5288" spans="2:2" ht="15.5" x14ac:dyDescent="0.35">
      <c r="B5288" s="171"/>
    </row>
    <row r="5289" spans="2:2" ht="15.5" x14ac:dyDescent="0.35">
      <c r="B5289" s="171"/>
    </row>
    <row r="5290" spans="2:2" ht="15.5" x14ac:dyDescent="0.35">
      <c r="B5290" s="171"/>
    </row>
    <row r="5291" spans="2:2" ht="15.5" x14ac:dyDescent="0.35">
      <c r="B5291" s="171"/>
    </row>
    <row r="5292" spans="2:2" ht="15.5" x14ac:dyDescent="0.35">
      <c r="B5292" s="171"/>
    </row>
    <row r="5293" spans="2:2" ht="15.5" x14ac:dyDescent="0.35">
      <c r="B5293" s="171"/>
    </row>
    <row r="5294" spans="2:2" ht="15.5" x14ac:dyDescent="0.35">
      <c r="B5294" s="171"/>
    </row>
    <row r="5295" spans="2:2" ht="15.5" x14ac:dyDescent="0.35">
      <c r="B5295" s="171"/>
    </row>
    <row r="5296" spans="2:2" ht="15.5" x14ac:dyDescent="0.35">
      <c r="B5296" s="171"/>
    </row>
    <row r="5297" spans="2:2" ht="15.5" x14ac:dyDescent="0.35">
      <c r="B5297" s="171"/>
    </row>
    <row r="5298" spans="2:2" ht="15.5" x14ac:dyDescent="0.35">
      <c r="B5298" s="171"/>
    </row>
    <row r="5299" spans="2:2" ht="15.5" x14ac:dyDescent="0.35">
      <c r="B5299" s="171"/>
    </row>
    <row r="5300" spans="2:2" ht="15.5" x14ac:dyDescent="0.35">
      <c r="B5300" s="171"/>
    </row>
    <row r="5301" spans="2:2" ht="15.5" x14ac:dyDescent="0.35">
      <c r="B5301" s="171"/>
    </row>
    <row r="5302" spans="2:2" ht="15.5" x14ac:dyDescent="0.35">
      <c r="B5302" s="171"/>
    </row>
    <row r="5303" spans="2:2" ht="15.5" x14ac:dyDescent="0.35">
      <c r="B5303" s="171"/>
    </row>
    <row r="5304" spans="2:2" ht="15.5" x14ac:dyDescent="0.35">
      <c r="B5304" s="171"/>
    </row>
    <row r="5305" spans="2:2" ht="15.5" x14ac:dyDescent="0.35">
      <c r="B5305" s="171"/>
    </row>
    <row r="5306" spans="2:2" ht="15.5" x14ac:dyDescent="0.35">
      <c r="B5306" s="171"/>
    </row>
    <row r="5307" spans="2:2" ht="15.5" x14ac:dyDescent="0.35">
      <c r="B5307" s="171"/>
    </row>
    <row r="5308" spans="2:2" ht="15.5" x14ac:dyDescent="0.35">
      <c r="B5308" s="171"/>
    </row>
    <row r="5309" spans="2:2" ht="15.5" x14ac:dyDescent="0.35">
      <c r="B5309" s="171"/>
    </row>
    <row r="5310" spans="2:2" ht="15.5" x14ac:dyDescent="0.35">
      <c r="B5310" s="171"/>
    </row>
    <row r="5311" spans="2:2" ht="15.5" x14ac:dyDescent="0.35">
      <c r="B5311" s="171"/>
    </row>
    <row r="5312" spans="2:2" ht="15.5" x14ac:dyDescent="0.35">
      <c r="B5312" s="171"/>
    </row>
    <row r="5313" spans="2:2" ht="15.5" x14ac:dyDescent="0.35">
      <c r="B5313" s="171"/>
    </row>
    <row r="5314" spans="2:2" ht="15.5" x14ac:dyDescent="0.35">
      <c r="B5314" s="171"/>
    </row>
    <row r="5315" spans="2:2" ht="15.5" x14ac:dyDescent="0.35">
      <c r="B5315" s="171"/>
    </row>
    <row r="5316" spans="2:2" ht="15.5" x14ac:dyDescent="0.35">
      <c r="B5316" s="171"/>
    </row>
    <row r="5317" spans="2:2" ht="15.5" x14ac:dyDescent="0.35">
      <c r="B5317" s="171"/>
    </row>
    <row r="5318" spans="2:2" ht="15.5" x14ac:dyDescent="0.35">
      <c r="B5318" s="171"/>
    </row>
    <row r="5319" spans="2:2" ht="15.5" x14ac:dyDescent="0.35">
      <c r="B5319" s="171"/>
    </row>
    <row r="5320" spans="2:2" ht="15.5" x14ac:dyDescent="0.35">
      <c r="B5320" s="171"/>
    </row>
    <row r="5321" spans="2:2" ht="15.5" x14ac:dyDescent="0.35">
      <c r="B5321" s="171"/>
    </row>
    <row r="5322" spans="2:2" ht="15.5" x14ac:dyDescent="0.35">
      <c r="B5322" s="171"/>
    </row>
    <row r="5323" spans="2:2" ht="15.5" x14ac:dyDescent="0.35">
      <c r="B5323" s="171"/>
    </row>
    <row r="5324" spans="2:2" ht="15.5" x14ac:dyDescent="0.35">
      <c r="B5324" s="171"/>
    </row>
    <row r="5325" spans="2:2" ht="15.5" x14ac:dyDescent="0.35">
      <c r="B5325" s="171"/>
    </row>
    <row r="5326" spans="2:2" ht="15.5" x14ac:dyDescent="0.35">
      <c r="B5326" s="171"/>
    </row>
    <row r="5327" spans="2:2" ht="15.5" x14ac:dyDescent="0.35">
      <c r="B5327" s="171"/>
    </row>
    <row r="5328" spans="2:2" ht="15.5" x14ac:dyDescent="0.35">
      <c r="B5328" s="171"/>
    </row>
    <row r="5329" spans="2:2" ht="15.5" x14ac:dyDescent="0.35">
      <c r="B5329" s="171"/>
    </row>
    <row r="5330" spans="2:2" ht="15.5" x14ac:dyDescent="0.35">
      <c r="B5330" s="171"/>
    </row>
    <row r="5331" spans="2:2" ht="15.5" x14ac:dyDescent="0.35">
      <c r="B5331" s="171"/>
    </row>
    <row r="5332" spans="2:2" ht="15.5" x14ac:dyDescent="0.35">
      <c r="B5332" s="171"/>
    </row>
    <row r="5333" spans="2:2" ht="15.5" x14ac:dyDescent="0.35">
      <c r="B5333" s="171"/>
    </row>
    <row r="5334" spans="2:2" ht="15.5" x14ac:dyDescent="0.35">
      <c r="B5334" s="171"/>
    </row>
    <row r="5335" spans="2:2" ht="15.5" x14ac:dyDescent="0.35">
      <c r="B5335" s="171"/>
    </row>
    <row r="5336" spans="2:2" ht="15.5" x14ac:dyDescent="0.35">
      <c r="B5336" s="171"/>
    </row>
    <row r="5337" spans="2:2" ht="15.5" x14ac:dyDescent="0.35">
      <c r="B5337" s="171"/>
    </row>
    <row r="5338" spans="2:2" ht="15.5" x14ac:dyDescent="0.35">
      <c r="B5338" s="171"/>
    </row>
    <row r="5339" spans="2:2" ht="15.5" x14ac:dyDescent="0.35">
      <c r="B5339" s="171"/>
    </row>
    <row r="5340" spans="2:2" ht="15.5" x14ac:dyDescent="0.35">
      <c r="B5340" s="171"/>
    </row>
    <row r="5341" spans="2:2" ht="15.5" x14ac:dyDescent="0.35">
      <c r="B5341" s="171"/>
    </row>
    <row r="5342" spans="2:2" ht="15.5" x14ac:dyDescent="0.35">
      <c r="B5342" s="171"/>
    </row>
    <row r="5343" spans="2:2" ht="15.5" x14ac:dyDescent="0.35">
      <c r="B5343" s="171"/>
    </row>
    <row r="5344" spans="2:2" ht="15.5" x14ac:dyDescent="0.35">
      <c r="B5344" s="171"/>
    </row>
    <row r="5345" spans="2:2" ht="15.5" x14ac:dyDescent="0.35">
      <c r="B5345" s="171"/>
    </row>
    <row r="5346" spans="2:2" ht="15.5" x14ac:dyDescent="0.35">
      <c r="B5346" s="171"/>
    </row>
    <row r="5347" spans="2:2" ht="15.5" x14ac:dyDescent="0.35">
      <c r="B5347" s="171"/>
    </row>
    <row r="5348" spans="2:2" ht="15.5" x14ac:dyDescent="0.35">
      <c r="B5348" s="171"/>
    </row>
    <row r="5349" spans="2:2" ht="15.5" x14ac:dyDescent="0.35">
      <c r="B5349" s="171"/>
    </row>
    <row r="5350" spans="2:2" ht="15.5" x14ac:dyDescent="0.35">
      <c r="B5350" s="171"/>
    </row>
    <row r="5351" spans="2:2" ht="15.5" x14ac:dyDescent="0.35">
      <c r="B5351" s="171"/>
    </row>
    <row r="5352" spans="2:2" ht="15.5" x14ac:dyDescent="0.35">
      <c r="B5352" s="171"/>
    </row>
    <row r="5353" spans="2:2" ht="15.5" x14ac:dyDescent="0.35">
      <c r="B5353" s="171"/>
    </row>
    <row r="5354" spans="2:2" ht="15.5" x14ac:dyDescent="0.35">
      <c r="B5354" s="171"/>
    </row>
    <row r="5355" spans="2:2" ht="15.5" x14ac:dyDescent="0.35">
      <c r="B5355" s="171"/>
    </row>
    <row r="5356" spans="2:2" ht="15.5" x14ac:dyDescent="0.35">
      <c r="B5356" s="171"/>
    </row>
    <row r="5357" spans="2:2" ht="15.5" x14ac:dyDescent="0.35">
      <c r="B5357" s="171"/>
    </row>
    <row r="5358" spans="2:2" ht="15.5" x14ac:dyDescent="0.35">
      <c r="B5358" s="171"/>
    </row>
    <row r="5359" spans="2:2" ht="15.5" x14ac:dyDescent="0.35">
      <c r="B5359" s="171"/>
    </row>
    <row r="5360" spans="2:2" ht="15.5" x14ac:dyDescent="0.35">
      <c r="B5360" s="171"/>
    </row>
    <row r="5361" spans="2:2" ht="15.5" x14ac:dyDescent="0.35">
      <c r="B5361" s="171"/>
    </row>
    <row r="5362" spans="2:2" ht="15.5" x14ac:dyDescent="0.35">
      <c r="B5362" s="171"/>
    </row>
    <row r="5363" spans="2:2" ht="15.5" x14ac:dyDescent="0.35">
      <c r="B5363" s="171"/>
    </row>
    <row r="5364" spans="2:2" ht="15.5" x14ac:dyDescent="0.35">
      <c r="B5364" s="171"/>
    </row>
    <row r="5365" spans="2:2" ht="15.5" x14ac:dyDescent="0.35">
      <c r="B5365" s="171"/>
    </row>
    <row r="5366" spans="2:2" ht="15.5" x14ac:dyDescent="0.35">
      <c r="B5366" s="171"/>
    </row>
    <row r="5367" spans="2:2" ht="15.5" x14ac:dyDescent="0.35">
      <c r="B5367" s="171"/>
    </row>
    <row r="5368" spans="2:2" ht="15.5" x14ac:dyDescent="0.35">
      <c r="B5368" s="171"/>
    </row>
    <row r="5369" spans="2:2" ht="15.5" x14ac:dyDescent="0.35">
      <c r="B5369" s="171"/>
    </row>
    <row r="5370" spans="2:2" ht="15.5" x14ac:dyDescent="0.35">
      <c r="B5370" s="171"/>
    </row>
    <row r="5371" spans="2:2" ht="15.5" x14ac:dyDescent="0.35">
      <c r="B5371" s="171"/>
    </row>
    <row r="5372" spans="2:2" ht="15.5" x14ac:dyDescent="0.35">
      <c r="B5372" s="171"/>
    </row>
    <row r="5373" spans="2:2" ht="15.5" x14ac:dyDescent="0.35">
      <c r="B5373" s="171"/>
    </row>
    <row r="5374" spans="2:2" ht="15.5" x14ac:dyDescent="0.35">
      <c r="B5374" s="171"/>
    </row>
    <row r="5375" spans="2:2" ht="15.5" x14ac:dyDescent="0.35">
      <c r="B5375" s="171"/>
    </row>
    <row r="5376" spans="2:2" ht="15.5" x14ac:dyDescent="0.35">
      <c r="B5376" s="171"/>
    </row>
    <row r="5377" spans="2:2" ht="15.5" x14ac:dyDescent="0.35">
      <c r="B5377" s="171"/>
    </row>
    <row r="5378" spans="2:2" ht="15.5" x14ac:dyDescent="0.35">
      <c r="B5378" s="171"/>
    </row>
    <row r="5379" spans="2:2" ht="15.5" x14ac:dyDescent="0.35">
      <c r="B5379" s="171"/>
    </row>
    <row r="5380" spans="2:2" ht="15.5" x14ac:dyDescent="0.35">
      <c r="B5380" s="171"/>
    </row>
    <row r="5381" spans="2:2" ht="15.5" x14ac:dyDescent="0.35">
      <c r="B5381" s="171"/>
    </row>
    <row r="5382" spans="2:2" ht="15.5" x14ac:dyDescent="0.35">
      <c r="B5382" s="171"/>
    </row>
    <row r="5383" spans="2:2" ht="15.5" x14ac:dyDescent="0.35">
      <c r="B5383" s="171"/>
    </row>
    <row r="5384" spans="2:2" ht="15.5" x14ac:dyDescent="0.35">
      <c r="B5384" s="171"/>
    </row>
    <row r="5385" spans="2:2" ht="15.5" x14ac:dyDescent="0.35">
      <c r="B5385" s="171"/>
    </row>
    <row r="5386" spans="2:2" ht="15.5" x14ac:dyDescent="0.35">
      <c r="B5386" s="171"/>
    </row>
    <row r="5387" spans="2:2" ht="15.5" x14ac:dyDescent="0.35">
      <c r="B5387" s="171"/>
    </row>
    <row r="5388" spans="2:2" ht="15.5" x14ac:dyDescent="0.35">
      <c r="B5388" s="171"/>
    </row>
    <row r="5389" spans="2:2" ht="15.5" x14ac:dyDescent="0.35">
      <c r="B5389" s="171"/>
    </row>
    <row r="5390" spans="2:2" ht="15.5" x14ac:dyDescent="0.35">
      <c r="B5390" s="171"/>
    </row>
    <row r="5391" spans="2:2" ht="15.5" x14ac:dyDescent="0.35">
      <c r="B5391" s="171"/>
    </row>
    <row r="5392" spans="2:2" ht="15.5" x14ac:dyDescent="0.35">
      <c r="B5392" s="171"/>
    </row>
    <row r="5393" spans="2:2" ht="15.5" x14ac:dyDescent="0.35">
      <c r="B5393" s="171"/>
    </row>
    <row r="5394" spans="2:2" ht="15.5" x14ac:dyDescent="0.35">
      <c r="B5394" s="171"/>
    </row>
    <row r="5395" spans="2:2" ht="15.5" x14ac:dyDescent="0.35">
      <c r="B5395" s="171"/>
    </row>
    <row r="5396" spans="2:2" ht="15.5" x14ac:dyDescent="0.35">
      <c r="B5396" s="171"/>
    </row>
    <row r="5397" spans="2:2" ht="15.5" x14ac:dyDescent="0.35">
      <c r="B5397" s="171"/>
    </row>
    <row r="5398" spans="2:2" ht="15.5" x14ac:dyDescent="0.35">
      <c r="B5398" s="171"/>
    </row>
    <row r="5399" spans="2:2" ht="15.5" x14ac:dyDescent="0.35">
      <c r="B5399" s="171"/>
    </row>
    <row r="5400" spans="2:2" ht="15.5" x14ac:dyDescent="0.35">
      <c r="B5400" s="171"/>
    </row>
    <row r="5401" spans="2:2" ht="15.5" x14ac:dyDescent="0.35">
      <c r="B5401" s="171"/>
    </row>
    <row r="5402" spans="2:2" ht="15.5" x14ac:dyDescent="0.35">
      <c r="B5402" s="171"/>
    </row>
    <row r="5403" spans="2:2" ht="15.5" x14ac:dyDescent="0.35">
      <c r="B5403" s="171"/>
    </row>
    <row r="5404" spans="2:2" ht="15.5" x14ac:dyDescent="0.35">
      <c r="B5404" s="171"/>
    </row>
    <row r="5405" spans="2:2" ht="15.5" x14ac:dyDescent="0.35">
      <c r="B5405" s="171"/>
    </row>
    <row r="5406" spans="2:2" ht="15.5" x14ac:dyDescent="0.35">
      <c r="B5406" s="171"/>
    </row>
    <row r="5407" spans="2:2" ht="15.5" x14ac:dyDescent="0.35">
      <c r="B5407" s="171"/>
    </row>
    <row r="5408" spans="2:2" ht="15.5" x14ac:dyDescent="0.35">
      <c r="B5408" s="171"/>
    </row>
    <row r="5409" spans="2:2" ht="15.5" x14ac:dyDescent="0.35">
      <c r="B5409" s="171"/>
    </row>
    <row r="5410" spans="2:2" ht="15.5" x14ac:dyDescent="0.35">
      <c r="B5410" s="171"/>
    </row>
    <row r="5411" spans="2:2" ht="15.5" x14ac:dyDescent="0.35">
      <c r="B5411" s="171"/>
    </row>
    <row r="5412" spans="2:2" ht="15.5" x14ac:dyDescent="0.35">
      <c r="B5412" s="171"/>
    </row>
    <row r="5413" spans="2:2" ht="15.5" x14ac:dyDescent="0.35">
      <c r="B5413" s="171"/>
    </row>
    <row r="5414" spans="2:2" ht="15.5" x14ac:dyDescent="0.35">
      <c r="B5414" s="171"/>
    </row>
    <row r="5415" spans="2:2" ht="15.5" x14ac:dyDescent="0.35">
      <c r="B5415" s="171"/>
    </row>
    <row r="5416" spans="2:2" ht="15.5" x14ac:dyDescent="0.35">
      <c r="B5416" s="171"/>
    </row>
    <row r="5417" spans="2:2" ht="15.5" x14ac:dyDescent="0.35">
      <c r="B5417" s="171"/>
    </row>
    <row r="5418" spans="2:2" ht="15.5" x14ac:dyDescent="0.35">
      <c r="B5418" s="171"/>
    </row>
    <row r="5419" spans="2:2" ht="15.5" x14ac:dyDescent="0.35">
      <c r="B5419" s="171"/>
    </row>
    <row r="5420" spans="2:2" ht="15.5" x14ac:dyDescent="0.35">
      <c r="B5420" s="171"/>
    </row>
    <row r="5421" spans="2:2" ht="15.5" x14ac:dyDescent="0.35">
      <c r="B5421" s="171"/>
    </row>
    <row r="5422" spans="2:2" ht="15.5" x14ac:dyDescent="0.35">
      <c r="B5422" s="171"/>
    </row>
    <row r="5423" spans="2:2" ht="15.5" x14ac:dyDescent="0.35">
      <c r="B5423" s="171"/>
    </row>
    <row r="5424" spans="2:2" ht="15.5" x14ac:dyDescent="0.35">
      <c r="B5424" s="171"/>
    </row>
    <row r="5425" spans="2:2" ht="15.5" x14ac:dyDescent="0.35">
      <c r="B5425" s="171"/>
    </row>
    <row r="5426" spans="2:2" ht="15.5" x14ac:dyDescent="0.35">
      <c r="B5426" s="171"/>
    </row>
    <row r="5427" spans="2:2" ht="15.5" x14ac:dyDescent="0.35">
      <c r="B5427" s="171"/>
    </row>
    <row r="5428" spans="2:2" ht="15.5" x14ac:dyDescent="0.35">
      <c r="B5428" s="171"/>
    </row>
    <row r="5429" spans="2:2" ht="15.5" x14ac:dyDescent="0.35">
      <c r="B5429" s="171"/>
    </row>
    <row r="5430" spans="2:2" ht="15.5" x14ac:dyDescent="0.35">
      <c r="B5430" s="171"/>
    </row>
    <row r="5431" spans="2:2" ht="15.5" x14ac:dyDescent="0.35">
      <c r="B5431" s="171"/>
    </row>
    <row r="5432" spans="2:2" ht="15.5" x14ac:dyDescent="0.35">
      <c r="B5432" s="171"/>
    </row>
    <row r="5433" spans="2:2" ht="15.5" x14ac:dyDescent="0.35">
      <c r="B5433" s="171"/>
    </row>
    <row r="5434" spans="2:2" ht="15.5" x14ac:dyDescent="0.35">
      <c r="B5434" s="171"/>
    </row>
    <row r="5435" spans="2:2" ht="15.5" x14ac:dyDescent="0.35">
      <c r="B5435" s="171"/>
    </row>
    <row r="5436" spans="2:2" ht="15.5" x14ac:dyDescent="0.35">
      <c r="B5436" s="171"/>
    </row>
    <row r="5437" spans="2:2" ht="15.5" x14ac:dyDescent="0.35">
      <c r="B5437" s="171"/>
    </row>
    <row r="5438" spans="2:2" ht="15.5" x14ac:dyDescent="0.35">
      <c r="B5438" s="171"/>
    </row>
    <row r="5439" spans="2:2" ht="15.5" x14ac:dyDescent="0.35">
      <c r="B5439" s="171"/>
    </row>
    <row r="5440" spans="2:2" ht="15.5" x14ac:dyDescent="0.35">
      <c r="B5440" s="171"/>
    </row>
    <row r="5441" spans="2:2" ht="15.5" x14ac:dyDescent="0.35">
      <c r="B5441" s="171"/>
    </row>
    <row r="5442" spans="2:2" ht="15.5" x14ac:dyDescent="0.35">
      <c r="B5442" s="171"/>
    </row>
    <row r="5443" spans="2:2" ht="15.5" x14ac:dyDescent="0.35">
      <c r="B5443" s="171"/>
    </row>
    <row r="5444" spans="2:2" ht="15.5" x14ac:dyDescent="0.35">
      <c r="B5444" s="171"/>
    </row>
    <row r="5445" spans="2:2" ht="15.5" x14ac:dyDescent="0.35">
      <c r="B5445" s="171"/>
    </row>
    <row r="5446" spans="2:2" ht="15.5" x14ac:dyDescent="0.35">
      <c r="B5446" s="171"/>
    </row>
    <row r="5447" spans="2:2" ht="15.5" x14ac:dyDescent="0.35">
      <c r="B5447" s="171"/>
    </row>
    <row r="5448" spans="2:2" ht="15.5" x14ac:dyDescent="0.35">
      <c r="B5448" s="171"/>
    </row>
    <row r="5449" spans="2:2" ht="15.5" x14ac:dyDescent="0.35">
      <c r="B5449" s="171"/>
    </row>
    <row r="5450" spans="2:2" ht="15.5" x14ac:dyDescent="0.35">
      <c r="B5450" s="171"/>
    </row>
    <row r="5451" spans="2:2" ht="15.5" x14ac:dyDescent="0.35">
      <c r="B5451" s="171"/>
    </row>
    <row r="5452" spans="2:2" ht="15.5" x14ac:dyDescent="0.35">
      <c r="B5452" s="171"/>
    </row>
    <row r="5453" spans="2:2" ht="15.5" x14ac:dyDescent="0.35">
      <c r="B5453" s="171"/>
    </row>
    <row r="5454" spans="2:2" ht="15.5" x14ac:dyDescent="0.35">
      <c r="B5454" s="171"/>
    </row>
    <row r="5455" spans="2:2" ht="15.5" x14ac:dyDescent="0.35">
      <c r="B5455" s="171"/>
    </row>
    <row r="5456" spans="2:2" ht="15.5" x14ac:dyDescent="0.35">
      <c r="B5456" s="171"/>
    </row>
    <row r="5457" spans="2:2" ht="15.5" x14ac:dyDescent="0.35">
      <c r="B5457" s="171"/>
    </row>
    <row r="5458" spans="2:2" ht="15.5" x14ac:dyDescent="0.35">
      <c r="B5458" s="171"/>
    </row>
    <row r="5459" spans="2:2" ht="15.5" x14ac:dyDescent="0.35">
      <c r="B5459" s="171"/>
    </row>
    <row r="5460" spans="2:2" ht="15.5" x14ac:dyDescent="0.35">
      <c r="B5460" s="171"/>
    </row>
    <row r="5461" spans="2:2" ht="15.5" x14ac:dyDescent="0.35">
      <c r="B5461" s="171"/>
    </row>
    <row r="5462" spans="2:2" ht="15.5" x14ac:dyDescent="0.35">
      <c r="B5462" s="171"/>
    </row>
    <row r="5463" spans="2:2" ht="15.5" x14ac:dyDescent="0.35">
      <c r="B5463" s="171"/>
    </row>
    <row r="5464" spans="2:2" ht="15.5" x14ac:dyDescent="0.35">
      <c r="B5464" s="171"/>
    </row>
    <row r="5465" spans="2:2" ht="15.5" x14ac:dyDescent="0.35">
      <c r="B5465" s="171"/>
    </row>
    <row r="5466" spans="2:2" ht="15.5" x14ac:dyDescent="0.35">
      <c r="B5466" s="171"/>
    </row>
    <row r="5467" spans="2:2" ht="15.5" x14ac:dyDescent="0.35">
      <c r="B5467" s="171"/>
    </row>
    <row r="5468" spans="2:2" ht="15.5" x14ac:dyDescent="0.35">
      <c r="B5468" s="171"/>
    </row>
    <row r="5469" spans="2:2" ht="15.5" x14ac:dyDescent="0.35">
      <c r="B5469" s="171"/>
    </row>
    <row r="5470" spans="2:2" ht="15.5" x14ac:dyDescent="0.35">
      <c r="B5470" s="171"/>
    </row>
    <row r="5471" spans="2:2" ht="15.5" x14ac:dyDescent="0.35">
      <c r="B5471" s="171"/>
    </row>
    <row r="5472" spans="2:2" ht="15.5" x14ac:dyDescent="0.35">
      <c r="B5472" s="171"/>
    </row>
    <row r="5473" spans="2:2" ht="15.5" x14ac:dyDescent="0.35">
      <c r="B5473" s="171"/>
    </row>
    <row r="5474" spans="2:2" ht="15.5" x14ac:dyDescent="0.35">
      <c r="B5474" s="171"/>
    </row>
    <row r="5475" spans="2:2" ht="15.5" x14ac:dyDescent="0.35">
      <c r="B5475" s="171"/>
    </row>
    <row r="5476" spans="2:2" ht="15.5" x14ac:dyDescent="0.35">
      <c r="B5476" s="171"/>
    </row>
    <row r="5477" spans="2:2" ht="15.5" x14ac:dyDescent="0.35">
      <c r="B5477" s="171"/>
    </row>
    <row r="5478" spans="2:2" ht="15.5" x14ac:dyDescent="0.35">
      <c r="B5478" s="171"/>
    </row>
    <row r="5479" spans="2:2" ht="15.5" x14ac:dyDescent="0.35">
      <c r="B5479" s="171"/>
    </row>
    <row r="5480" spans="2:2" ht="15.5" x14ac:dyDescent="0.35">
      <c r="B5480" s="171"/>
    </row>
    <row r="5481" spans="2:2" ht="15.5" x14ac:dyDescent="0.35">
      <c r="B5481" s="171"/>
    </row>
    <row r="5482" spans="2:2" ht="15.5" x14ac:dyDescent="0.35">
      <c r="B5482" s="171"/>
    </row>
    <row r="5483" spans="2:2" ht="15.5" x14ac:dyDescent="0.35">
      <c r="B5483" s="171"/>
    </row>
    <row r="5484" spans="2:2" ht="15.5" x14ac:dyDescent="0.35">
      <c r="B5484" s="171"/>
    </row>
    <row r="5485" spans="2:2" ht="15.5" x14ac:dyDescent="0.35">
      <c r="B5485" s="171"/>
    </row>
    <row r="5486" spans="2:2" ht="15.5" x14ac:dyDescent="0.35">
      <c r="B5486" s="171"/>
    </row>
    <row r="5487" spans="2:2" ht="15.5" x14ac:dyDescent="0.35">
      <c r="B5487" s="171"/>
    </row>
    <row r="5488" spans="2:2" ht="15.5" x14ac:dyDescent="0.35">
      <c r="B5488" s="171"/>
    </row>
    <row r="5489" spans="2:2" ht="15.5" x14ac:dyDescent="0.35">
      <c r="B5489" s="171"/>
    </row>
    <row r="5490" spans="2:2" ht="15.5" x14ac:dyDescent="0.35">
      <c r="B5490" s="171"/>
    </row>
    <row r="5491" spans="2:2" ht="15.5" x14ac:dyDescent="0.35">
      <c r="B5491" s="171"/>
    </row>
    <row r="5492" spans="2:2" ht="15.5" x14ac:dyDescent="0.35">
      <c r="B5492" s="171"/>
    </row>
    <row r="5493" spans="2:2" ht="15.5" x14ac:dyDescent="0.35">
      <c r="B5493" s="171"/>
    </row>
    <row r="5494" spans="2:2" ht="15.5" x14ac:dyDescent="0.35">
      <c r="B5494" s="171"/>
    </row>
    <row r="5495" spans="2:2" ht="15.5" x14ac:dyDescent="0.35">
      <c r="B5495" s="171"/>
    </row>
    <row r="5496" spans="2:2" ht="15.5" x14ac:dyDescent="0.35">
      <c r="B5496" s="171"/>
    </row>
    <row r="5497" spans="2:2" ht="15.5" x14ac:dyDescent="0.35">
      <c r="B5497" s="171"/>
    </row>
    <row r="5498" spans="2:2" ht="15.5" x14ac:dyDescent="0.35">
      <c r="B5498" s="171"/>
    </row>
    <row r="5499" spans="2:2" ht="15.5" x14ac:dyDescent="0.35">
      <c r="B5499" s="171"/>
    </row>
    <row r="5500" spans="2:2" ht="15.5" x14ac:dyDescent="0.35">
      <c r="B5500" s="171"/>
    </row>
    <row r="5501" spans="2:2" ht="15.5" x14ac:dyDescent="0.35">
      <c r="B5501" s="171"/>
    </row>
    <row r="5502" spans="2:2" ht="15.5" x14ac:dyDescent="0.35">
      <c r="B5502" s="171"/>
    </row>
    <row r="5503" spans="2:2" ht="15.5" x14ac:dyDescent="0.35">
      <c r="B5503" s="171"/>
    </row>
    <row r="5504" spans="2:2" ht="15.5" x14ac:dyDescent="0.35">
      <c r="B5504" s="171"/>
    </row>
    <row r="5505" spans="2:2" ht="15.5" x14ac:dyDescent="0.35">
      <c r="B5505" s="171"/>
    </row>
    <row r="5506" spans="2:2" ht="15.5" x14ac:dyDescent="0.35">
      <c r="B5506" s="171"/>
    </row>
    <row r="5507" spans="2:2" ht="15.5" x14ac:dyDescent="0.35">
      <c r="B5507" s="171"/>
    </row>
    <row r="5508" spans="2:2" ht="15.5" x14ac:dyDescent="0.35">
      <c r="B5508" s="171"/>
    </row>
    <row r="5509" spans="2:2" ht="15.5" x14ac:dyDescent="0.35">
      <c r="B5509" s="171"/>
    </row>
    <row r="5510" spans="2:2" ht="15.5" x14ac:dyDescent="0.35">
      <c r="B5510" s="171"/>
    </row>
    <row r="5511" spans="2:2" ht="15.5" x14ac:dyDescent="0.35">
      <c r="B5511" s="171"/>
    </row>
    <row r="5512" spans="2:2" ht="15.5" x14ac:dyDescent="0.35">
      <c r="B5512" s="171"/>
    </row>
    <row r="5513" spans="2:2" ht="15.5" x14ac:dyDescent="0.35">
      <c r="B5513" s="171"/>
    </row>
    <row r="5514" spans="2:2" ht="15.5" x14ac:dyDescent="0.35">
      <c r="B5514" s="171"/>
    </row>
    <row r="5515" spans="2:2" ht="15.5" x14ac:dyDescent="0.35">
      <c r="B5515" s="171"/>
    </row>
    <row r="5516" spans="2:2" ht="15.5" x14ac:dyDescent="0.35">
      <c r="B5516" s="171"/>
    </row>
    <row r="5517" spans="2:2" ht="15.5" x14ac:dyDescent="0.35">
      <c r="B5517" s="171"/>
    </row>
    <row r="5518" spans="2:2" ht="15.5" x14ac:dyDescent="0.35">
      <c r="B5518" s="171"/>
    </row>
    <row r="5519" spans="2:2" ht="15.5" x14ac:dyDescent="0.35">
      <c r="B5519" s="171"/>
    </row>
    <row r="5520" spans="2:2" ht="15.5" x14ac:dyDescent="0.35">
      <c r="B5520" s="171"/>
    </row>
    <row r="5521" spans="2:2" ht="15.5" x14ac:dyDescent="0.35">
      <c r="B5521" s="171"/>
    </row>
    <row r="5522" spans="2:2" ht="15.5" x14ac:dyDescent="0.35">
      <c r="B5522" s="171"/>
    </row>
    <row r="5523" spans="2:2" ht="15.5" x14ac:dyDescent="0.35">
      <c r="B5523" s="171"/>
    </row>
    <row r="5524" spans="2:2" ht="15.5" x14ac:dyDescent="0.35">
      <c r="B5524" s="171"/>
    </row>
    <row r="5525" spans="2:2" ht="15.5" x14ac:dyDescent="0.35">
      <c r="B5525" s="171"/>
    </row>
    <row r="5526" spans="2:2" ht="15.5" x14ac:dyDescent="0.35">
      <c r="B5526" s="171"/>
    </row>
    <row r="5527" spans="2:2" ht="15.5" x14ac:dyDescent="0.35">
      <c r="B5527" s="171"/>
    </row>
    <row r="5528" spans="2:2" ht="15.5" x14ac:dyDescent="0.35">
      <c r="B5528" s="171"/>
    </row>
    <row r="5529" spans="2:2" ht="15.5" x14ac:dyDescent="0.35">
      <c r="B5529" s="171"/>
    </row>
    <row r="5530" spans="2:2" ht="15.5" x14ac:dyDescent="0.35">
      <c r="B5530" s="171"/>
    </row>
    <row r="5531" spans="2:2" ht="15.5" x14ac:dyDescent="0.35">
      <c r="B5531" s="171"/>
    </row>
    <row r="5532" spans="2:2" ht="15.5" x14ac:dyDescent="0.35">
      <c r="B5532" s="171"/>
    </row>
    <row r="5533" spans="2:2" ht="15.5" x14ac:dyDescent="0.35">
      <c r="B5533" s="171"/>
    </row>
    <row r="5534" spans="2:2" ht="15.5" x14ac:dyDescent="0.35">
      <c r="B5534" s="171"/>
    </row>
    <row r="5535" spans="2:2" ht="15.5" x14ac:dyDescent="0.35">
      <c r="B5535" s="171"/>
    </row>
    <row r="5536" spans="2:2" ht="15.5" x14ac:dyDescent="0.35">
      <c r="B5536" s="171"/>
    </row>
    <row r="5537" spans="2:2" ht="15.5" x14ac:dyDescent="0.35">
      <c r="B5537" s="171"/>
    </row>
    <row r="5538" spans="2:2" ht="15.5" x14ac:dyDescent="0.35">
      <c r="B5538" s="171"/>
    </row>
    <row r="5539" spans="2:2" ht="15.5" x14ac:dyDescent="0.35">
      <c r="B5539" s="171"/>
    </row>
    <row r="5540" spans="2:2" ht="15.5" x14ac:dyDescent="0.35">
      <c r="B5540" s="171"/>
    </row>
    <row r="5541" spans="2:2" ht="15.5" x14ac:dyDescent="0.35">
      <c r="B5541" s="171"/>
    </row>
    <row r="5542" spans="2:2" ht="15.5" x14ac:dyDescent="0.35">
      <c r="B5542" s="171"/>
    </row>
    <row r="5543" spans="2:2" ht="15.5" x14ac:dyDescent="0.35">
      <c r="B5543" s="171"/>
    </row>
    <row r="5544" spans="2:2" ht="15.5" x14ac:dyDescent="0.35">
      <c r="B5544" s="171"/>
    </row>
    <row r="5545" spans="2:2" ht="15.5" x14ac:dyDescent="0.35">
      <c r="B5545" s="171"/>
    </row>
    <row r="5546" spans="2:2" ht="15.5" x14ac:dyDescent="0.35">
      <c r="B5546" s="171"/>
    </row>
    <row r="5547" spans="2:2" ht="15.5" x14ac:dyDescent="0.35">
      <c r="B5547" s="171"/>
    </row>
    <row r="5548" spans="2:2" ht="15.5" x14ac:dyDescent="0.35">
      <c r="B5548" s="171"/>
    </row>
    <row r="5549" spans="2:2" ht="15.5" x14ac:dyDescent="0.35">
      <c r="B5549" s="171"/>
    </row>
    <row r="5550" spans="2:2" ht="15.5" x14ac:dyDescent="0.35">
      <c r="B5550" s="171"/>
    </row>
    <row r="5551" spans="2:2" ht="15.5" x14ac:dyDescent="0.35">
      <c r="B5551" s="171"/>
    </row>
    <row r="5552" spans="2:2" ht="15.5" x14ac:dyDescent="0.35">
      <c r="B5552" s="171"/>
    </row>
    <row r="5553" spans="2:2" ht="15.5" x14ac:dyDescent="0.35">
      <c r="B5553" s="171"/>
    </row>
    <row r="5554" spans="2:2" ht="15.5" x14ac:dyDescent="0.35">
      <c r="B5554" s="171"/>
    </row>
    <row r="5555" spans="2:2" ht="15.5" x14ac:dyDescent="0.35">
      <c r="B5555" s="171"/>
    </row>
    <row r="5556" spans="2:2" ht="15.5" x14ac:dyDescent="0.35">
      <c r="B5556" s="171"/>
    </row>
    <row r="5557" spans="2:2" ht="15.5" x14ac:dyDescent="0.35">
      <c r="B5557" s="171"/>
    </row>
    <row r="5558" spans="2:2" ht="15.5" x14ac:dyDescent="0.35">
      <c r="B5558" s="171"/>
    </row>
    <row r="5559" spans="2:2" ht="15.5" x14ac:dyDescent="0.35">
      <c r="B5559" s="171"/>
    </row>
    <row r="5560" spans="2:2" ht="15.5" x14ac:dyDescent="0.35">
      <c r="B5560" s="171"/>
    </row>
    <row r="5561" spans="2:2" ht="15.5" x14ac:dyDescent="0.35">
      <c r="B5561" s="171"/>
    </row>
    <row r="5562" spans="2:2" ht="15.5" x14ac:dyDescent="0.35">
      <c r="B5562" s="171"/>
    </row>
    <row r="5563" spans="2:2" ht="15.5" x14ac:dyDescent="0.35">
      <c r="B5563" s="171"/>
    </row>
    <row r="5564" spans="2:2" ht="15.5" x14ac:dyDescent="0.35">
      <c r="B5564" s="171"/>
    </row>
    <row r="5565" spans="2:2" ht="15.5" x14ac:dyDescent="0.35">
      <c r="B5565" s="171"/>
    </row>
    <row r="5566" spans="2:2" ht="15.5" x14ac:dyDescent="0.35">
      <c r="B5566" s="171"/>
    </row>
    <row r="5567" spans="2:2" ht="15.5" x14ac:dyDescent="0.35">
      <c r="B5567" s="171"/>
    </row>
    <row r="5568" spans="2:2" ht="15.5" x14ac:dyDescent="0.35">
      <c r="B5568" s="171"/>
    </row>
    <row r="5569" spans="2:2" ht="15.5" x14ac:dyDescent="0.35">
      <c r="B5569" s="171"/>
    </row>
    <row r="5570" spans="2:2" ht="15.5" x14ac:dyDescent="0.35">
      <c r="B5570" s="171"/>
    </row>
    <row r="5571" spans="2:2" ht="15.5" x14ac:dyDescent="0.35">
      <c r="B5571" s="171"/>
    </row>
    <row r="5572" spans="2:2" ht="15.5" x14ac:dyDescent="0.35">
      <c r="B5572" s="171"/>
    </row>
    <row r="5573" spans="2:2" ht="15.5" x14ac:dyDescent="0.35">
      <c r="B5573" s="171"/>
    </row>
    <row r="5574" spans="2:2" ht="15.5" x14ac:dyDescent="0.35">
      <c r="B5574" s="171"/>
    </row>
    <row r="5575" spans="2:2" ht="15.5" x14ac:dyDescent="0.35">
      <c r="B5575" s="171"/>
    </row>
    <row r="5576" spans="2:2" ht="15.5" x14ac:dyDescent="0.35">
      <c r="B5576" s="171"/>
    </row>
    <row r="5577" spans="2:2" ht="15.5" x14ac:dyDescent="0.35">
      <c r="B5577" s="171"/>
    </row>
    <row r="5578" spans="2:2" ht="15.5" x14ac:dyDescent="0.35">
      <c r="B5578" s="171"/>
    </row>
    <row r="5579" spans="2:2" ht="15.5" x14ac:dyDescent="0.35">
      <c r="B5579" s="171"/>
    </row>
    <row r="5580" spans="2:2" ht="15.5" x14ac:dyDescent="0.35">
      <c r="B5580" s="171"/>
    </row>
    <row r="5581" spans="2:2" ht="15.5" x14ac:dyDescent="0.35">
      <c r="B5581" s="171"/>
    </row>
    <row r="5582" spans="2:2" ht="15.5" x14ac:dyDescent="0.35">
      <c r="B5582" s="171"/>
    </row>
    <row r="5583" spans="2:2" ht="15.5" x14ac:dyDescent="0.35">
      <c r="B5583" s="171"/>
    </row>
    <row r="5584" spans="2:2" ht="15.5" x14ac:dyDescent="0.35">
      <c r="B5584" s="171"/>
    </row>
    <row r="5585" spans="2:2" ht="15.5" x14ac:dyDescent="0.35">
      <c r="B5585" s="171"/>
    </row>
    <row r="5586" spans="2:2" ht="15.5" x14ac:dyDescent="0.35">
      <c r="B5586" s="171"/>
    </row>
    <row r="5587" spans="2:2" ht="15.5" x14ac:dyDescent="0.35">
      <c r="B5587" s="171"/>
    </row>
    <row r="5588" spans="2:2" ht="15.5" x14ac:dyDescent="0.35">
      <c r="B5588" s="171"/>
    </row>
    <row r="5589" spans="2:2" ht="15.5" x14ac:dyDescent="0.35">
      <c r="B5589" s="171"/>
    </row>
    <row r="5590" spans="2:2" ht="15.5" x14ac:dyDescent="0.35">
      <c r="B5590" s="171"/>
    </row>
    <row r="5591" spans="2:2" ht="15.5" x14ac:dyDescent="0.35">
      <c r="B5591" s="171"/>
    </row>
    <row r="5592" spans="2:2" ht="15.5" x14ac:dyDescent="0.35">
      <c r="B5592" s="171"/>
    </row>
    <row r="5593" spans="2:2" ht="15.5" x14ac:dyDescent="0.35">
      <c r="B5593" s="171"/>
    </row>
    <row r="5594" spans="2:2" ht="15.5" x14ac:dyDescent="0.35">
      <c r="B5594" s="171"/>
    </row>
    <row r="5595" spans="2:2" ht="15.5" x14ac:dyDescent="0.35">
      <c r="B5595" s="171"/>
    </row>
    <row r="5596" spans="2:2" ht="15.5" x14ac:dyDescent="0.35">
      <c r="B5596" s="171"/>
    </row>
    <row r="5597" spans="2:2" ht="15.5" x14ac:dyDescent="0.35">
      <c r="B5597" s="171"/>
    </row>
    <row r="5598" spans="2:2" ht="15.5" x14ac:dyDescent="0.35">
      <c r="B5598" s="171"/>
    </row>
    <row r="5599" spans="2:2" ht="15.5" x14ac:dyDescent="0.35">
      <c r="B5599" s="171"/>
    </row>
    <row r="5600" spans="2:2" ht="15.5" x14ac:dyDescent="0.35">
      <c r="B5600" s="171"/>
    </row>
    <row r="5601" spans="2:2" ht="15.5" x14ac:dyDescent="0.35">
      <c r="B5601" s="171"/>
    </row>
    <row r="5602" spans="2:2" ht="15.5" x14ac:dyDescent="0.35">
      <c r="B5602" s="171"/>
    </row>
    <row r="5603" spans="2:2" ht="15.5" x14ac:dyDescent="0.35">
      <c r="B5603" s="171"/>
    </row>
    <row r="5604" spans="2:2" ht="15.5" x14ac:dyDescent="0.35">
      <c r="B5604" s="171"/>
    </row>
    <row r="5605" spans="2:2" ht="15.5" x14ac:dyDescent="0.35">
      <c r="B5605" s="171"/>
    </row>
    <row r="5606" spans="2:2" ht="15.5" x14ac:dyDescent="0.35">
      <c r="B5606" s="171"/>
    </row>
    <row r="5607" spans="2:2" ht="15.5" x14ac:dyDescent="0.35">
      <c r="B5607" s="171"/>
    </row>
    <row r="5608" spans="2:2" ht="15.5" x14ac:dyDescent="0.35">
      <c r="B5608" s="171"/>
    </row>
    <row r="5609" spans="2:2" ht="15.5" x14ac:dyDescent="0.35">
      <c r="B5609" s="171"/>
    </row>
    <row r="5610" spans="2:2" ht="15.5" x14ac:dyDescent="0.35">
      <c r="B5610" s="171"/>
    </row>
    <row r="5611" spans="2:2" ht="15.5" x14ac:dyDescent="0.35">
      <c r="B5611" s="171"/>
    </row>
    <row r="5612" spans="2:2" ht="15.5" x14ac:dyDescent="0.35">
      <c r="B5612" s="171"/>
    </row>
    <row r="5613" spans="2:2" ht="15.5" x14ac:dyDescent="0.35">
      <c r="B5613" s="171"/>
    </row>
    <row r="5614" spans="2:2" ht="15.5" x14ac:dyDescent="0.35">
      <c r="B5614" s="171"/>
    </row>
    <row r="5615" spans="2:2" ht="15.5" x14ac:dyDescent="0.35">
      <c r="B5615" s="171"/>
    </row>
    <row r="5616" spans="2:2" ht="15.5" x14ac:dyDescent="0.35">
      <c r="B5616" s="171"/>
    </row>
    <row r="5617" spans="2:2" ht="15.5" x14ac:dyDescent="0.35">
      <c r="B5617" s="171"/>
    </row>
    <row r="5618" spans="2:2" ht="15.5" x14ac:dyDescent="0.35">
      <c r="B5618" s="171"/>
    </row>
    <row r="5619" spans="2:2" ht="15.5" x14ac:dyDescent="0.35">
      <c r="B5619" s="171"/>
    </row>
    <row r="5620" spans="2:2" ht="15.5" x14ac:dyDescent="0.35">
      <c r="B5620" s="171"/>
    </row>
    <row r="5621" spans="2:2" ht="15.5" x14ac:dyDescent="0.35">
      <c r="B5621" s="171"/>
    </row>
    <row r="5622" spans="2:2" ht="15.5" x14ac:dyDescent="0.35">
      <c r="B5622" s="171"/>
    </row>
    <row r="5623" spans="2:2" ht="15.5" x14ac:dyDescent="0.35">
      <c r="B5623" s="171"/>
    </row>
    <row r="5624" spans="2:2" ht="15.5" x14ac:dyDescent="0.35">
      <c r="B5624" s="171"/>
    </row>
    <row r="5625" spans="2:2" ht="15.5" x14ac:dyDescent="0.35">
      <c r="B5625" s="171"/>
    </row>
    <row r="5626" spans="2:2" ht="15.5" x14ac:dyDescent="0.35">
      <c r="B5626" s="171"/>
    </row>
    <row r="5627" spans="2:2" ht="15.5" x14ac:dyDescent="0.35">
      <c r="B5627" s="171"/>
    </row>
    <row r="5628" spans="2:2" ht="15.5" x14ac:dyDescent="0.35">
      <c r="B5628" s="171"/>
    </row>
    <row r="5629" spans="2:2" ht="15.5" x14ac:dyDescent="0.35">
      <c r="B5629" s="171"/>
    </row>
    <row r="5630" spans="2:2" ht="15.5" x14ac:dyDescent="0.35">
      <c r="B5630" s="171"/>
    </row>
    <row r="5631" spans="2:2" ht="15.5" x14ac:dyDescent="0.35">
      <c r="B5631" s="171"/>
    </row>
    <row r="5632" spans="2:2" ht="15.5" x14ac:dyDescent="0.35">
      <c r="B5632" s="171"/>
    </row>
    <row r="5633" spans="2:2" ht="15.5" x14ac:dyDescent="0.35">
      <c r="B5633" s="171"/>
    </row>
    <row r="5634" spans="2:2" ht="15.5" x14ac:dyDescent="0.35">
      <c r="B5634" s="171"/>
    </row>
    <row r="5635" spans="2:2" ht="15.5" x14ac:dyDescent="0.35">
      <c r="B5635" s="171"/>
    </row>
    <row r="5636" spans="2:2" ht="15.5" x14ac:dyDescent="0.35">
      <c r="B5636" s="171"/>
    </row>
    <row r="5637" spans="2:2" ht="15.5" x14ac:dyDescent="0.35">
      <c r="B5637" s="171"/>
    </row>
    <row r="5638" spans="2:2" ht="15.5" x14ac:dyDescent="0.35">
      <c r="B5638" s="171"/>
    </row>
    <row r="5639" spans="2:2" ht="15.5" x14ac:dyDescent="0.35">
      <c r="B5639" s="171"/>
    </row>
    <row r="5640" spans="2:2" ht="15.5" x14ac:dyDescent="0.35">
      <c r="B5640" s="171"/>
    </row>
    <row r="5641" spans="2:2" ht="15.5" x14ac:dyDescent="0.35">
      <c r="B5641" s="171"/>
    </row>
    <row r="5642" spans="2:2" ht="15.5" x14ac:dyDescent="0.35">
      <c r="B5642" s="171"/>
    </row>
    <row r="5643" spans="2:2" ht="15.5" x14ac:dyDescent="0.35">
      <c r="B5643" s="171"/>
    </row>
    <row r="5644" spans="2:2" ht="15.5" x14ac:dyDescent="0.35">
      <c r="B5644" s="171"/>
    </row>
    <row r="5645" spans="2:2" ht="15.5" x14ac:dyDescent="0.35">
      <c r="B5645" s="171"/>
    </row>
    <row r="5646" spans="2:2" ht="15.5" x14ac:dyDescent="0.35">
      <c r="B5646" s="171"/>
    </row>
    <row r="5647" spans="2:2" ht="15.5" x14ac:dyDescent="0.35">
      <c r="B5647" s="171"/>
    </row>
    <row r="5648" spans="2:2" ht="15.5" x14ac:dyDescent="0.35">
      <c r="B5648" s="171"/>
    </row>
    <row r="5649" spans="2:2" ht="15.5" x14ac:dyDescent="0.35">
      <c r="B5649" s="171"/>
    </row>
    <row r="5650" spans="2:2" ht="15.5" x14ac:dyDescent="0.35">
      <c r="B5650" s="171"/>
    </row>
    <row r="5651" spans="2:2" ht="15.5" x14ac:dyDescent="0.35">
      <c r="B5651" s="171"/>
    </row>
    <row r="5652" spans="2:2" ht="15.5" x14ac:dyDescent="0.35">
      <c r="B5652" s="171"/>
    </row>
    <row r="5653" spans="2:2" ht="15.5" x14ac:dyDescent="0.35">
      <c r="B5653" s="171"/>
    </row>
    <row r="5654" spans="2:2" ht="15.5" x14ac:dyDescent="0.35">
      <c r="B5654" s="171"/>
    </row>
    <row r="5655" spans="2:2" ht="15.5" x14ac:dyDescent="0.35">
      <c r="B5655" s="171"/>
    </row>
    <row r="5656" spans="2:2" ht="15.5" x14ac:dyDescent="0.35">
      <c r="B5656" s="171"/>
    </row>
    <row r="5657" spans="2:2" ht="15.5" x14ac:dyDescent="0.35">
      <c r="B5657" s="171"/>
    </row>
    <row r="5658" spans="2:2" ht="15.5" x14ac:dyDescent="0.35">
      <c r="B5658" s="171"/>
    </row>
    <row r="5659" spans="2:2" ht="15.5" x14ac:dyDescent="0.35">
      <c r="B5659" s="171"/>
    </row>
    <row r="5660" spans="2:2" ht="15.5" x14ac:dyDescent="0.35">
      <c r="B5660" s="171"/>
    </row>
    <row r="5661" spans="2:2" ht="15.5" x14ac:dyDescent="0.35">
      <c r="B5661" s="171"/>
    </row>
    <row r="5662" spans="2:2" ht="15.5" x14ac:dyDescent="0.35">
      <c r="B5662" s="171"/>
    </row>
    <row r="5663" spans="2:2" ht="15.5" x14ac:dyDescent="0.35">
      <c r="B5663" s="171"/>
    </row>
    <row r="5664" spans="2:2" ht="15.5" x14ac:dyDescent="0.35">
      <c r="B5664" s="171"/>
    </row>
    <row r="5665" spans="2:2" ht="15.5" x14ac:dyDescent="0.35">
      <c r="B5665" s="171"/>
    </row>
    <row r="5666" spans="2:2" ht="15.5" x14ac:dyDescent="0.35">
      <c r="B5666" s="171"/>
    </row>
    <row r="5667" spans="2:2" ht="15.5" x14ac:dyDescent="0.35">
      <c r="B5667" s="171"/>
    </row>
    <row r="5668" spans="2:2" ht="15.5" x14ac:dyDescent="0.35">
      <c r="B5668" s="171"/>
    </row>
    <row r="5669" spans="2:2" ht="15.5" x14ac:dyDescent="0.35">
      <c r="B5669" s="171"/>
    </row>
    <row r="5670" spans="2:2" ht="15.5" x14ac:dyDescent="0.35">
      <c r="B5670" s="171"/>
    </row>
    <row r="5671" spans="2:2" ht="15.5" x14ac:dyDescent="0.35">
      <c r="B5671" s="171"/>
    </row>
    <row r="5672" spans="2:2" ht="15.5" x14ac:dyDescent="0.35">
      <c r="B5672" s="171"/>
    </row>
    <row r="5673" spans="2:2" ht="15.5" x14ac:dyDescent="0.35">
      <c r="B5673" s="171"/>
    </row>
    <row r="5674" spans="2:2" ht="15.5" x14ac:dyDescent="0.35">
      <c r="B5674" s="171"/>
    </row>
    <row r="5675" spans="2:2" ht="15.5" x14ac:dyDescent="0.35">
      <c r="B5675" s="171"/>
    </row>
    <row r="5676" spans="2:2" ht="15.5" x14ac:dyDescent="0.35">
      <c r="B5676" s="171"/>
    </row>
    <row r="5677" spans="2:2" ht="15.5" x14ac:dyDescent="0.35">
      <c r="B5677" s="171"/>
    </row>
    <row r="5678" spans="2:2" ht="15.5" x14ac:dyDescent="0.35">
      <c r="B5678" s="171"/>
    </row>
    <row r="5679" spans="2:2" ht="15.5" x14ac:dyDescent="0.35">
      <c r="B5679" s="171"/>
    </row>
    <row r="5680" spans="2:2" ht="15.5" x14ac:dyDescent="0.35">
      <c r="B5680" s="171"/>
    </row>
    <row r="5681" spans="2:2" ht="15.5" x14ac:dyDescent="0.35">
      <c r="B5681" s="171"/>
    </row>
    <row r="5682" spans="2:2" ht="15.5" x14ac:dyDescent="0.35">
      <c r="B5682" s="171"/>
    </row>
    <row r="5683" spans="2:2" ht="15.5" x14ac:dyDescent="0.35">
      <c r="B5683" s="171"/>
    </row>
    <row r="5684" spans="2:2" ht="15.5" x14ac:dyDescent="0.35">
      <c r="B5684" s="171"/>
    </row>
    <row r="5685" spans="2:2" ht="15.5" x14ac:dyDescent="0.35">
      <c r="B5685" s="171"/>
    </row>
    <row r="5686" spans="2:2" ht="15.5" x14ac:dyDescent="0.35">
      <c r="B5686" s="171"/>
    </row>
    <row r="5687" spans="2:2" ht="15.5" x14ac:dyDescent="0.35">
      <c r="B5687" s="171"/>
    </row>
    <row r="5688" spans="2:2" ht="15.5" x14ac:dyDescent="0.35">
      <c r="B5688" s="171"/>
    </row>
    <row r="5689" spans="2:2" ht="15.5" x14ac:dyDescent="0.35">
      <c r="B5689" s="171"/>
    </row>
    <row r="5690" spans="2:2" ht="15.5" x14ac:dyDescent="0.35">
      <c r="B5690" s="171"/>
    </row>
    <row r="5691" spans="2:2" ht="15.5" x14ac:dyDescent="0.35">
      <c r="B5691" s="171"/>
    </row>
    <row r="5692" spans="2:2" ht="15.5" x14ac:dyDescent="0.35">
      <c r="B5692" s="171"/>
    </row>
    <row r="5693" spans="2:2" ht="15.5" x14ac:dyDescent="0.35">
      <c r="B5693" s="171"/>
    </row>
    <row r="5694" spans="2:2" ht="15.5" x14ac:dyDescent="0.35">
      <c r="B5694" s="171"/>
    </row>
    <row r="5695" spans="2:2" ht="15.5" x14ac:dyDescent="0.35">
      <c r="B5695" s="171"/>
    </row>
    <row r="5696" spans="2:2" ht="15.5" x14ac:dyDescent="0.35">
      <c r="B5696" s="171"/>
    </row>
    <row r="5697" spans="2:2" ht="15.5" x14ac:dyDescent="0.35">
      <c r="B5697" s="171"/>
    </row>
    <row r="5698" spans="2:2" ht="15.5" x14ac:dyDescent="0.35">
      <c r="B5698" s="171"/>
    </row>
    <row r="5699" spans="2:2" ht="15.5" x14ac:dyDescent="0.35">
      <c r="B5699" s="171"/>
    </row>
    <row r="5700" spans="2:2" ht="15.5" x14ac:dyDescent="0.35">
      <c r="B5700" s="171"/>
    </row>
    <row r="5701" spans="2:2" ht="15.5" x14ac:dyDescent="0.35">
      <c r="B5701" s="171"/>
    </row>
    <row r="5702" spans="2:2" ht="15.5" x14ac:dyDescent="0.35">
      <c r="B5702" s="171"/>
    </row>
    <row r="5703" spans="2:2" ht="15.5" x14ac:dyDescent="0.35">
      <c r="B5703" s="171"/>
    </row>
    <row r="5704" spans="2:2" ht="15.5" x14ac:dyDescent="0.35">
      <c r="B5704" s="171"/>
    </row>
    <row r="5705" spans="2:2" ht="15.5" x14ac:dyDescent="0.35">
      <c r="B5705" s="171"/>
    </row>
    <row r="5706" spans="2:2" ht="15.5" x14ac:dyDescent="0.35">
      <c r="B5706" s="171"/>
    </row>
    <row r="5707" spans="2:2" ht="15.5" x14ac:dyDescent="0.35">
      <c r="B5707" s="171"/>
    </row>
    <row r="5708" spans="2:2" ht="15.5" x14ac:dyDescent="0.35">
      <c r="B5708" s="171"/>
    </row>
    <row r="5709" spans="2:2" ht="15.5" x14ac:dyDescent="0.35">
      <c r="B5709" s="171"/>
    </row>
    <row r="5710" spans="2:2" ht="15.5" x14ac:dyDescent="0.35">
      <c r="B5710" s="171"/>
    </row>
    <row r="5711" spans="2:2" ht="15.5" x14ac:dyDescent="0.35">
      <c r="B5711" s="171"/>
    </row>
    <row r="5712" spans="2:2" ht="15.5" x14ac:dyDescent="0.35">
      <c r="B5712" s="171"/>
    </row>
    <row r="5713" spans="2:2" ht="15.5" x14ac:dyDescent="0.35">
      <c r="B5713" s="171"/>
    </row>
    <row r="5714" spans="2:2" ht="15.5" x14ac:dyDescent="0.35">
      <c r="B5714" s="171"/>
    </row>
    <row r="5715" spans="2:2" ht="15.5" x14ac:dyDescent="0.35">
      <c r="B5715" s="171"/>
    </row>
    <row r="5716" spans="2:2" ht="15.5" x14ac:dyDescent="0.35">
      <c r="B5716" s="171"/>
    </row>
    <row r="5717" spans="2:2" ht="15.5" x14ac:dyDescent="0.35">
      <c r="B5717" s="171"/>
    </row>
    <row r="5718" spans="2:2" ht="15.5" x14ac:dyDescent="0.35">
      <c r="B5718" s="171"/>
    </row>
    <row r="5719" spans="2:2" ht="15.5" x14ac:dyDescent="0.35">
      <c r="B5719" s="171"/>
    </row>
    <row r="5720" spans="2:2" ht="15.5" x14ac:dyDescent="0.35">
      <c r="B5720" s="171"/>
    </row>
    <row r="5721" spans="2:2" ht="15.5" x14ac:dyDescent="0.35">
      <c r="B5721" s="171"/>
    </row>
    <row r="5722" spans="2:2" ht="15.5" x14ac:dyDescent="0.35">
      <c r="B5722" s="171"/>
    </row>
    <row r="5723" spans="2:2" ht="15.5" x14ac:dyDescent="0.35">
      <c r="B5723" s="171"/>
    </row>
    <row r="5724" spans="2:2" ht="15.5" x14ac:dyDescent="0.35">
      <c r="B5724" s="171"/>
    </row>
    <row r="5725" spans="2:2" ht="15.5" x14ac:dyDescent="0.35">
      <c r="B5725" s="171"/>
    </row>
    <row r="5726" spans="2:2" ht="15.5" x14ac:dyDescent="0.35">
      <c r="B5726" s="171"/>
    </row>
    <row r="5727" spans="2:2" ht="15.5" x14ac:dyDescent="0.35">
      <c r="B5727" s="171"/>
    </row>
    <row r="5728" spans="2:2" ht="15.5" x14ac:dyDescent="0.35">
      <c r="B5728" s="171"/>
    </row>
    <row r="5729" spans="2:2" ht="15.5" x14ac:dyDescent="0.35">
      <c r="B5729" s="171"/>
    </row>
    <row r="5730" spans="2:2" ht="15.5" x14ac:dyDescent="0.35">
      <c r="B5730" s="171"/>
    </row>
    <row r="5731" spans="2:2" ht="15.5" x14ac:dyDescent="0.35">
      <c r="B5731" s="171"/>
    </row>
    <row r="5732" spans="2:2" ht="15.5" x14ac:dyDescent="0.35">
      <c r="B5732" s="171"/>
    </row>
    <row r="5733" spans="2:2" ht="15.5" x14ac:dyDescent="0.35">
      <c r="B5733" s="171"/>
    </row>
    <row r="5734" spans="2:2" ht="15.5" x14ac:dyDescent="0.35">
      <c r="B5734" s="171"/>
    </row>
    <row r="5735" spans="2:2" ht="15.5" x14ac:dyDescent="0.35">
      <c r="B5735" s="171"/>
    </row>
    <row r="5736" spans="2:2" ht="15.5" x14ac:dyDescent="0.35">
      <c r="B5736" s="171"/>
    </row>
    <row r="5737" spans="2:2" ht="15.5" x14ac:dyDescent="0.35">
      <c r="B5737" s="171"/>
    </row>
    <row r="5738" spans="2:2" ht="15.5" x14ac:dyDescent="0.35">
      <c r="B5738" s="171"/>
    </row>
    <row r="5739" spans="2:2" ht="15.5" x14ac:dyDescent="0.35">
      <c r="B5739" s="171"/>
    </row>
    <row r="5740" spans="2:2" ht="15.5" x14ac:dyDescent="0.35">
      <c r="B5740" s="171"/>
    </row>
    <row r="5741" spans="2:2" ht="15.5" x14ac:dyDescent="0.35">
      <c r="B5741" s="171"/>
    </row>
    <row r="5742" spans="2:2" ht="15.5" x14ac:dyDescent="0.35">
      <c r="B5742" s="171"/>
    </row>
    <row r="5743" spans="2:2" ht="15.5" x14ac:dyDescent="0.35">
      <c r="B5743" s="171"/>
    </row>
    <row r="5744" spans="2:2" ht="15.5" x14ac:dyDescent="0.35">
      <c r="B5744" s="171"/>
    </row>
    <row r="5745" spans="2:2" ht="15.5" x14ac:dyDescent="0.35">
      <c r="B5745" s="171"/>
    </row>
    <row r="5746" spans="2:2" ht="15.5" x14ac:dyDescent="0.35">
      <c r="B5746" s="171"/>
    </row>
    <row r="5747" spans="2:2" ht="15.5" x14ac:dyDescent="0.35">
      <c r="B5747" s="171"/>
    </row>
    <row r="5748" spans="2:2" ht="15.5" x14ac:dyDescent="0.35">
      <c r="B5748" s="171"/>
    </row>
    <row r="5749" spans="2:2" ht="15.5" x14ac:dyDescent="0.35">
      <c r="B5749" s="171"/>
    </row>
    <row r="5750" spans="2:2" ht="15.5" x14ac:dyDescent="0.35">
      <c r="B5750" s="171"/>
    </row>
    <row r="5751" spans="2:2" ht="15.5" x14ac:dyDescent="0.35">
      <c r="B5751" s="171"/>
    </row>
    <row r="5752" spans="2:2" ht="15.5" x14ac:dyDescent="0.35">
      <c r="B5752" s="171"/>
    </row>
    <row r="5753" spans="2:2" ht="15.5" x14ac:dyDescent="0.35">
      <c r="B5753" s="171"/>
    </row>
    <row r="5754" spans="2:2" ht="15.5" x14ac:dyDescent="0.35">
      <c r="B5754" s="171"/>
    </row>
    <row r="5755" spans="2:2" ht="15.5" x14ac:dyDescent="0.35">
      <c r="B5755" s="171"/>
    </row>
    <row r="5756" spans="2:2" ht="15.5" x14ac:dyDescent="0.35">
      <c r="B5756" s="171"/>
    </row>
    <row r="5757" spans="2:2" ht="15.5" x14ac:dyDescent="0.35">
      <c r="B5757" s="171"/>
    </row>
    <row r="5758" spans="2:2" ht="15.5" x14ac:dyDescent="0.35">
      <c r="B5758" s="171"/>
    </row>
    <row r="5759" spans="2:2" ht="15.5" x14ac:dyDescent="0.35">
      <c r="B5759" s="171"/>
    </row>
    <row r="5760" spans="2:2" ht="15.5" x14ac:dyDescent="0.35">
      <c r="B5760" s="171"/>
    </row>
    <row r="5761" spans="2:2" ht="15.5" x14ac:dyDescent="0.35">
      <c r="B5761" s="171"/>
    </row>
    <row r="5762" spans="2:2" ht="15.5" x14ac:dyDescent="0.35">
      <c r="B5762" s="171"/>
    </row>
    <row r="5763" spans="2:2" ht="15.5" x14ac:dyDescent="0.35">
      <c r="B5763" s="171"/>
    </row>
    <row r="5764" spans="2:2" ht="15.5" x14ac:dyDescent="0.35">
      <c r="B5764" s="171"/>
    </row>
    <row r="5765" spans="2:2" ht="15.5" x14ac:dyDescent="0.35">
      <c r="B5765" s="171"/>
    </row>
    <row r="5766" spans="2:2" ht="15.5" x14ac:dyDescent="0.35">
      <c r="B5766" s="171"/>
    </row>
    <row r="5767" spans="2:2" ht="15.5" x14ac:dyDescent="0.35">
      <c r="B5767" s="171"/>
    </row>
    <row r="5768" spans="2:2" ht="15.5" x14ac:dyDescent="0.35">
      <c r="B5768" s="171"/>
    </row>
    <row r="5769" spans="2:2" ht="15.5" x14ac:dyDescent="0.35">
      <c r="B5769" s="171"/>
    </row>
    <row r="5770" spans="2:2" ht="15.5" x14ac:dyDescent="0.35">
      <c r="B5770" s="171"/>
    </row>
    <row r="5771" spans="2:2" ht="15.5" x14ac:dyDescent="0.35">
      <c r="B5771" s="171"/>
    </row>
    <row r="5772" spans="2:2" ht="15.5" x14ac:dyDescent="0.35">
      <c r="B5772" s="171"/>
    </row>
    <row r="5773" spans="2:2" ht="15.5" x14ac:dyDescent="0.35">
      <c r="B5773" s="171"/>
    </row>
    <row r="5774" spans="2:2" ht="15.5" x14ac:dyDescent="0.35">
      <c r="B5774" s="171"/>
    </row>
    <row r="5775" spans="2:2" ht="15.5" x14ac:dyDescent="0.35">
      <c r="B5775" s="171"/>
    </row>
    <row r="5776" spans="2:2" ht="15.5" x14ac:dyDescent="0.35">
      <c r="B5776" s="171"/>
    </row>
    <row r="5777" spans="2:2" ht="15.5" x14ac:dyDescent="0.35">
      <c r="B5777" s="171"/>
    </row>
    <row r="5778" spans="2:2" ht="15.5" x14ac:dyDescent="0.35">
      <c r="B5778" s="171"/>
    </row>
    <row r="5779" spans="2:2" ht="15.5" x14ac:dyDescent="0.35">
      <c r="B5779" s="171"/>
    </row>
    <row r="5780" spans="2:2" ht="15.5" x14ac:dyDescent="0.35">
      <c r="B5780" s="171"/>
    </row>
    <row r="5781" spans="2:2" ht="15.5" x14ac:dyDescent="0.35">
      <c r="B5781" s="171"/>
    </row>
    <row r="5782" spans="2:2" ht="15.5" x14ac:dyDescent="0.35">
      <c r="B5782" s="171"/>
    </row>
    <row r="5783" spans="2:2" ht="15.5" x14ac:dyDescent="0.35">
      <c r="B5783" s="171"/>
    </row>
    <row r="5784" spans="2:2" ht="15.5" x14ac:dyDescent="0.35">
      <c r="B5784" s="171"/>
    </row>
    <row r="5785" spans="2:2" ht="15.5" x14ac:dyDescent="0.35">
      <c r="B5785" s="171"/>
    </row>
    <row r="5786" spans="2:2" ht="15.5" x14ac:dyDescent="0.35">
      <c r="B5786" s="171"/>
    </row>
    <row r="5787" spans="2:2" ht="15.5" x14ac:dyDescent="0.35">
      <c r="B5787" s="171"/>
    </row>
    <row r="5788" spans="2:2" ht="15.5" x14ac:dyDescent="0.35">
      <c r="B5788" s="171"/>
    </row>
    <row r="5789" spans="2:2" ht="15.5" x14ac:dyDescent="0.35">
      <c r="B5789" s="171"/>
    </row>
    <row r="5790" spans="2:2" ht="15.5" x14ac:dyDescent="0.35">
      <c r="B5790" s="171"/>
    </row>
    <row r="5791" spans="2:2" ht="15.5" x14ac:dyDescent="0.35">
      <c r="B5791" s="171"/>
    </row>
    <row r="5792" spans="2:2" ht="15.5" x14ac:dyDescent="0.35">
      <c r="B5792" s="171"/>
    </row>
    <row r="5793" spans="2:2" ht="15.5" x14ac:dyDescent="0.35">
      <c r="B5793" s="171"/>
    </row>
    <row r="5794" spans="2:2" ht="15.5" x14ac:dyDescent="0.35">
      <c r="B5794" s="171"/>
    </row>
    <row r="5795" spans="2:2" ht="15.5" x14ac:dyDescent="0.35">
      <c r="B5795" s="171"/>
    </row>
    <row r="5796" spans="2:2" ht="15.5" x14ac:dyDescent="0.35">
      <c r="B5796" s="171"/>
    </row>
    <row r="5797" spans="2:2" ht="15.5" x14ac:dyDescent="0.35">
      <c r="B5797" s="171"/>
    </row>
    <row r="5798" spans="2:2" ht="15.5" x14ac:dyDescent="0.35">
      <c r="B5798" s="171"/>
    </row>
    <row r="5799" spans="2:2" ht="15.5" x14ac:dyDescent="0.35">
      <c r="B5799" s="171"/>
    </row>
    <row r="5800" spans="2:2" ht="15.5" x14ac:dyDescent="0.35">
      <c r="B5800" s="171"/>
    </row>
    <row r="5801" spans="2:2" ht="15.5" x14ac:dyDescent="0.35">
      <c r="B5801" s="171"/>
    </row>
    <row r="5802" spans="2:2" ht="15.5" x14ac:dyDescent="0.35">
      <c r="B5802" s="171"/>
    </row>
    <row r="5803" spans="2:2" ht="15.5" x14ac:dyDescent="0.35">
      <c r="B5803" s="171"/>
    </row>
    <row r="5804" spans="2:2" ht="15.5" x14ac:dyDescent="0.35">
      <c r="B5804" s="171"/>
    </row>
    <row r="5805" spans="2:2" ht="15.5" x14ac:dyDescent="0.35">
      <c r="B5805" s="171"/>
    </row>
    <row r="5806" spans="2:2" ht="15.5" x14ac:dyDescent="0.35">
      <c r="B5806" s="171"/>
    </row>
    <row r="5807" spans="2:2" ht="15.5" x14ac:dyDescent="0.35">
      <c r="B5807" s="171"/>
    </row>
    <row r="5808" spans="2:2" ht="15.5" x14ac:dyDescent="0.35">
      <c r="B5808" s="171"/>
    </row>
    <row r="5809" spans="2:2" ht="15.5" x14ac:dyDescent="0.35">
      <c r="B5809" s="171"/>
    </row>
    <row r="5810" spans="2:2" ht="15.5" x14ac:dyDescent="0.35">
      <c r="B5810" s="171"/>
    </row>
    <row r="5811" spans="2:2" ht="15.5" x14ac:dyDescent="0.35">
      <c r="B5811" s="171"/>
    </row>
    <row r="5812" spans="2:2" ht="15.5" x14ac:dyDescent="0.35">
      <c r="B5812" s="171"/>
    </row>
    <row r="5813" spans="2:2" ht="15.5" x14ac:dyDescent="0.35">
      <c r="B5813" s="171"/>
    </row>
    <row r="5814" spans="2:2" ht="15.5" x14ac:dyDescent="0.35">
      <c r="B5814" s="171"/>
    </row>
    <row r="5815" spans="2:2" ht="15.5" x14ac:dyDescent="0.35">
      <c r="B5815" s="171"/>
    </row>
    <row r="5816" spans="2:2" ht="15.5" x14ac:dyDescent="0.35">
      <c r="B5816" s="171"/>
    </row>
    <row r="5817" spans="2:2" ht="15.5" x14ac:dyDescent="0.35">
      <c r="B5817" s="171"/>
    </row>
    <row r="5818" spans="2:2" ht="15.5" x14ac:dyDescent="0.35">
      <c r="B5818" s="171"/>
    </row>
    <row r="5819" spans="2:2" ht="15.5" x14ac:dyDescent="0.35">
      <c r="B5819" s="171"/>
    </row>
    <row r="5820" spans="2:2" ht="15.5" x14ac:dyDescent="0.35">
      <c r="B5820" s="171"/>
    </row>
    <row r="5821" spans="2:2" ht="15.5" x14ac:dyDescent="0.35">
      <c r="B5821" s="171"/>
    </row>
    <row r="5822" spans="2:2" ht="15.5" x14ac:dyDescent="0.35">
      <c r="B5822" s="171"/>
    </row>
    <row r="5823" spans="2:2" ht="15.5" x14ac:dyDescent="0.35">
      <c r="B5823" s="171"/>
    </row>
    <row r="5824" spans="2:2" ht="15.5" x14ac:dyDescent="0.35">
      <c r="B5824" s="171"/>
    </row>
    <row r="5825" spans="2:2" ht="15.5" x14ac:dyDescent="0.35">
      <c r="B5825" s="171"/>
    </row>
    <row r="5826" spans="2:2" ht="15.5" x14ac:dyDescent="0.35">
      <c r="B5826" s="171"/>
    </row>
    <row r="5827" spans="2:2" ht="15.5" x14ac:dyDescent="0.35">
      <c r="B5827" s="171"/>
    </row>
    <row r="5828" spans="2:2" ht="15.5" x14ac:dyDescent="0.35">
      <c r="B5828" s="171"/>
    </row>
    <row r="5829" spans="2:2" ht="15.5" x14ac:dyDescent="0.35">
      <c r="B5829" s="171"/>
    </row>
    <row r="5830" spans="2:2" ht="15.5" x14ac:dyDescent="0.35">
      <c r="B5830" s="171"/>
    </row>
    <row r="5831" spans="2:2" ht="15.5" x14ac:dyDescent="0.35">
      <c r="B5831" s="171"/>
    </row>
    <row r="5832" spans="2:2" ht="15.5" x14ac:dyDescent="0.35">
      <c r="B5832" s="171"/>
    </row>
    <row r="5833" spans="2:2" ht="15.5" x14ac:dyDescent="0.35">
      <c r="B5833" s="171"/>
    </row>
    <row r="5834" spans="2:2" ht="15.5" x14ac:dyDescent="0.35">
      <c r="B5834" s="171"/>
    </row>
    <row r="5835" spans="2:2" ht="15.5" x14ac:dyDescent="0.35">
      <c r="B5835" s="171"/>
    </row>
    <row r="5836" spans="2:2" ht="15.5" x14ac:dyDescent="0.35">
      <c r="B5836" s="171"/>
    </row>
    <row r="5837" spans="2:2" ht="15.5" x14ac:dyDescent="0.35">
      <c r="B5837" s="171"/>
    </row>
    <row r="5838" spans="2:2" ht="15.5" x14ac:dyDescent="0.35">
      <c r="B5838" s="171"/>
    </row>
    <row r="5839" spans="2:2" ht="15.5" x14ac:dyDescent="0.35">
      <c r="B5839" s="171"/>
    </row>
    <row r="5840" spans="2:2" ht="15.5" x14ac:dyDescent="0.35">
      <c r="B5840" s="171"/>
    </row>
    <row r="5841" spans="2:2" ht="15.5" x14ac:dyDescent="0.35">
      <c r="B5841" s="171"/>
    </row>
    <row r="5842" spans="2:2" ht="15.5" x14ac:dyDescent="0.35">
      <c r="B5842" s="171"/>
    </row>
    <row r="5843" spans="2:2" ht="15.5" x14ac:dyDescent="0.35">
      <c r="B5843" s="171"/>
    </row>
    <row r="5844" spans="2:2" ht="15.5" x14ac:dyDescent="0.35">
      <c r="B5844" s="171"/>
    </row>
    <row r="5845" spans="2:2" ht="15.5" x14ac:dyDescent="0.35">
      <c r="B5845" s="171"/>
    </row>
    <row r="5846" spans="2:2" ht="15.5" x14ac:dyDescent="0.35">
      <c r="B5846" s="171"/>
    </row>
    <row r="5847" spans="2:2" ht="15.5" x14ac:dyDescent="0.35">
      <c r="B5847" s="171"/>
    </row>
    <row r="5848" spans="2:2" ht="15.5" x14ac:dyDescent="0.35">
      <c r="B5848" s="171"/>
    </row>
    <row r="5849" spans="2:2" ht="15.5" x14ac:dyDescent="0.35">
      <c r="B5849" s="171"/>
    </row>
    <row r="5850" spans="2:2" ht="15.5" x14ac:dyDescent="0.35">
      <c r="B5850" s="171"/>
    </row>
    <row r="5851" spans="2:2" ht="15.5" x14ac:dyDescent="0.35">
      <c r="B5851" s="171"/>
    </row>
    <row r="5852" spans="2:2" ht="15.5" x14ac:dyDescent="0.35">
      <c r="B5852" s="171"/>
    </row>
    <row r="5853" spans="2:2" ht="15.5" x14ac:dyDescent="0.35">
      <c r="B5853" s="171"/>
    </row>
    <row r="5854" spans="2:2" ht="15.5" x14ac:dyDescent="0.35">
      <c r="B5854" s="171"/>
    </row>
    <row r="5855" spans="2:2" ht="15.5" x14ac:dyDescent="0.35">
      <c r="B5855" s="171"/>
    </row>
    <row r="5856" spans="2:2" ht="15.5" x14ac:dyDescent="0.35">
      <c r="B5856" s="171"/>
    </row>
    <row r="5857" spans="2:2" ht="15.5" x14ac:dyDescent="0.35">
      <c r="B5857" s="171"/>
    </row>
    <row r="5858" spans="2:2" ht="15.5" x14ac:dyDescent="0.35">
      <c r="B5858" s="171"/>
    </row>
    <row r="5859" spans="2:2" ht="15.5" x14ac:dyDescent="0.35">
      <c r="B5859" s="171"/>
    </row>
    <row r="5860" spans="2:2" ht="15.5" x14ac:dyDescent="0.35">
      <c r="B5860" s="171"/>
    </row>
    <row r="5861" spans="2:2" ht="15.5" x14ac:dyDescent="0.35">
      <c r="B5861" s="171"/>
    </row>
    <row r="5862" spans="2:2" ht="15.5" x14ac:dyDescent="0.35">
      <c r="B5862" s="171"/>
    </row>
    <row r="5863" spans="2:2" ht="15.5" x14ac:dyDescent="0.35">
      <c r="B5863" s="171"/>
    </row>
    <row r="5864" spans="2:2" ht="15.5" x14ac:dyDescent="0.35">
      <c r="B5864" s="171"/>
    </row>
    <row r="5865" spans="2:2" ht="15.5" x14ac:dyDescent="0.35">
      <c r="B5865" s="171"/>
    </row>
    <row r="5866" spans="2:2" ht="15.5" x14ac:dyDescent="0.35">
      <c r="B5866" s="171"/>
    </row>
    <row r="5867" spans="2:2" ht="15.5" x14ac:dyDescent="0.35">
      <c r="B5867" s="171"/>
    </row>
    <row r="5868" spans="2:2" ht="15.5" x14ac:dyDescent="0.35">
      <c r="B5868" s="171"/>
    </row>
    <row r="5869" spans="2:2" ht="15.5" x14ac:dyDescent="0.35">
      <c r="B5869" s="171"/>
    </row>
    <row r="5870" spans="2:2" ht="15.5" x14ac:dyDescent="0.35">
      <c r="B5870" s="171"/>
    </row>
    <row r="5871" spans="2:2" ht="15.5" x14ac:dyDescent="0.35">
      <c r="B5871" s="171"/>
    </row>
    <row r="5872" spans="2:2" ht="15.5" x14ac:dyDescent="0.35">
      <c r="B5872" s="171"/>
    </row>
    <row r="5873" spans="2:2" ht="15.5" x14ac:dyDescent="0.35">
      <c r="B5873" s="171"/>
    </row>
    <row r="5874" spans="2:2" ht="15.5" x14ac:dyDescent="0.35">
      <c r="B5874" s="171"/>
    </row>
    <row r="5875" spans="2:2" ht="15.5" x14ac:dyDescent="0.35">
      <c r="B5875" s="171"/>
    </row>
    <row r="5876" spans="2:2" ht="15.5" x14ac:dyDescent="0.35">
      <c r="B5876" s="171"/>
    </row>
    <row r="5877" spans="2:2" ht="15.5" x14ac:dyDescent="0.35">
      <c r="B5877" s="171"/>
    </row>
    <row r="5878" spans="2:2" ht="15.5" x14ac:dyDescent="0.35">
      <c r="B5878" s="171"/>
    </row>
    <row r="5879" spans="2:2" ht="15.5" x14ac:dyDescent="0.35">
      <c r="B5879" s="171"/>
    </row>
    <row r="5880" spans="2:2" ht="15.5" x14ac:dyDescent="0.35">
      <c r="B5880" s="171"/>
    </row>
    <row r="5881" spans="2:2" ht="15.5" x14ac:dyDescent="0.35">
      <c r="B5881" s="171"/>
    </row>
    <row r="5882" spans="2:2" ht="15.5" x14ac:dyDescent="0.35">
      <c r="B5882" s="171"/>
    </row>
    <row r="5883" spans="2:2" ht="15.5" x14ac:dyDescent="0.35">
      <c r="B5883" s="171"/>
    </row>
    <row r="5884" spans="2:2" ht="15.5" x14ac:dyDescent="0.35">
      <c r="B5884" s="171"/>
    </row>
    <row r="5885" spans="2:2" ht="15.5" x14ac:dyDescent="0.35">
      <c r="B5885" s="171"/>
    </row>
    <row r="5886" spans="2:2" ht="15.5" x14ac:dyDescent="0.35">
      <c r="B5886" s="171"/>
    </row>
    <row r="5887" spans="2:2" ht="15.5" x14ac:dyDescent="0.35">
      <c r="B5887" s="171"/>
    </row>
    <row r="5888" spans="2:2" ht="15.5" x14ac:dyDescent="0.35">
      <c r="B5888" s="171"/>
    </row>
    <row r="5889" spans="2:2" ht="15.5" x14ac:dyDescent="0.35">
      <c r="B5889" s="171"/>
    </row>
    <row r="5890" spans="2:2" ht="15.5" x14ac:dyDescent="0.35">
      <c r="B5890" s="171"/>
    </row>
    <row r="5891" spans="2:2" ht="15.5" x14ac:dyDescent="0.35">
      <c r="B5891" s="171"/>
    </row>
    <row r="5892" spans="2:2" ht="15.5" x14ac:dyDescent="0.35">
      <c r="B5892" s="171"/>
    </row>
    <row r="5893" spans="2:2" ht="15.5" x14ac:dyDescent="0.35">
      <c r="B5893" s="171"/>
    </row>
    <row r="5894" spans="2:2" ht="15.5" x14ac:dyDescent="0.35">
      <c r="B5894" s="171"/>
    </row>
    <row r="5895" spans="2:2" ht="15.5" x14ac:dyDescent="0.35">
      <c r="B5895" s="171"/>
    </row>
    <row r="5896" spans="2:2" ht="15.5" x14ac:dyDescent="0.35">
      <c r="B5896" s="171"/>
    </row>
    <row r="5897" spans="2:2" ht="15.5" x14ac:dyDescent="0.35">
      <c r="B5897" s="171"/>
    </row>
    <row r="5898" spans="2:2" ht="15.5" x14ac:dyDescent="0.35">
      <c r="B5898" s="171"/>
    </row>
    <row r="5899" spans="2:2" ht="15.5" x14ac:dyDescent="0.35">
      <c r="B5899" s="171"/>
    </row>
    <row r="5900" spans="2:2" ht="15.5" x14ac:dyDescent="0.35">
      <c r="B5900" s="171"/>
    </row>
    <row r="5901" spans="2:2" ht="15.5" x14ac:dyDescent="0.35">
      <c r="B5901" s="171"/>
    </row>
    <row r="5902" spans="2:2" ht="15.5" x14ac:dyDescent="0.35">
      <c r="B5902" s="171"/>
    </row>
    <row r="5903" spans="2:2" ht="15.5" x14ac:dyDescent="0.35">
      <c r="B5903" s="171"/>
    </row>
    <row r="5904" spans="2:2" ht="15.5" x14ac:dyDescent="0.35">
      <c r="B5904" s="171"/>
    </row>
    <row r="5905" spans="2:2" ht="15.5" x14ac:dyDescent="0.35">
      <c r="B5905" s="171"/>
    </row>
    <row r="5906" spans="2:2" ht="15.5" x14ac:dyDescent="0.35">
      <c r="B5906" s="171"/>
    </row>
    <row r="5907" spans="2:2" ht="15.5" x14ac:dyDescent="0.35">
      <c r="B5907" s="171"/>
    </row>
    <row r="5908" spans="2:2" ht="15.5" x14ac:dyDescent="0.35">
      <c r="B5908" s="171"/>
    </row>
    <row r="5909" spans="2:2" ht="15.5" x14ac:dyDescent="0.35">
      <c r="B5909" s="171"/>
    </row>
    <row r="5910" spans="2:2" ht="15.5" x14ac:dyDescent="0.35">
      <c r="B5910" s="171"/>
    </row>
    <row r="5911" spans="2:2" ht="15.5" x14ac:dyDescent="0.35">
      <c r="B5911" s="171"/>
    </row>
    <row r="5912" spans="2:2" ht="15.5" x14ac:dyDescent="0.35">
      <c r="B5912" s="171"/>
    </row>
    <row r="5913" spans="2:2" ht="15.5" x14ac:dyDescent="0.35">
      <c r="B5913" s="171"/>
    </row>
    <row r="5914" spans="2:2" ht="15.5" x14ac:dyDescent="0.35">
      <c r="B5914" s="171"/>
    </row>
    <row r="5915" spans="2:2" ht="15.5" x14ac:dyDescent="0.35">
      <c r="B5915" s="171"/>
    </row>
    <row r="5916" spans="2:2" ht="15.5" x14ac:dyDescent="0.35">
      <c r="B5916" s="171"/>
    </row>
    <row r="5917" spans="2:2" ht="15.5" x14ac:dyDescent="0.35">
      <c r="B5917" s="171"/>
    </row>
    <row r="5918" spans="2:2" ht="15.5" x14ac:dyDescent="0.35">
      <c r="B5918" s="171"/>
    </row>
    <row r="5919" spans="2:2" ht="15.5" x14ac:dyDescent="0.35">
      <c r="B5919" s="171"/>
    </row>
    <row r="5920" spans="2:2" ht="15.5" x14ac:dyDescent="0.35">
      <c r="B5920" s="171"/>
    </row>
    <row r="5921" spans="2:2" ht="15.5" x14ac:dyDescent="0.35">
      <c r="B5921" s="171"/>
    </row>
    <row r="5922" spans="2:2" ht="15.5" x14ac:dyDescent="0.35">
      <c r="B5922" s="171"/>
    </row>
    <row r="5923" spans="2:2" ht="15.5" x14ac:dyDescent="0.35">
      <c r="B5923" s="171"/>
    </row>
    <row r="5924" spans="2:2" ht="15.5" x14ac:dyDescent="0.35">
      <c r="B5924" s="171"/>
    </row>
    <row r="5925" spans="2:2" ht="15.5" x14ac:dyDescent="0.35">
      <c r="B5925" s="171"/>
    </row>
    <row r="5926" spans="2:2" ht="15.5" x14ac:dyDescent="0.35">
      <c r="B5926" s="171"/>
    </row>
    <row r="5927" spans="2:2" ht="15.5" x14ac:dyDescent="0.35">
      <c r="B5927" s="171"/>
    </row>
    <row r="5928" spans="2:2" ht="15.5" x14ac:dyDescent="0.35">
      <c r="B5928" s="171"/>
    </row>
    <row r="5929" spans="2:2" ht="15.5" x14ac:dyDescent="0.35">
      <c r="B5929" s="171"/>
    </row>
    <row r="5930" spans="2:2" ht="15.5" x14ac:dyDescent="0.35">
      <c r="B5930" s="171"/>
    </row>
    <row r="5931" spans="2:2" ht="15.5" x14ac:dyDescent="0.35">
      <c r="B5931" s="171"/>
    </row>
    <row r="5932" spans="2:2" ht="15.5" x14ac:dyDescent="0.35">
      <c r="B5932" s="171"/>
    </row>
    <row r="5933" spans="2:2" ht="15.5" x14ac:dyDescent="0.35">
      <c r="B5933" s="171"/>
    </row>
    <row r="5934" spans="2:2" ht="15.5" x14ac:dyDescent="0.35">
      <c r="B5934" s="171"/>
    </row>
    <row r="5935" spans="2:2" ht="15.5" x14ac:dyDescent="0.35">
      <c r="B5935" s="171"/>
    </row>
    <row r="5936" spans="2:2" ht="15.5" x14ac:dyDescent="0.35">
      <c r="B5936" s="171"/>
    </row>
    <row r="5937" spans="2:2" ht="15.5" x14ac:dyDescent="0.35">
      <c r="B5937" s="171"/>
    </row>
    <row r="5938" spans="2:2" ht="15.5" x14ac:dyDescent="0.35">
      <c r="B5938" s="171"/>
    </row>
    <row r="5939" spans="2:2" ht="15.5" x14ac:dyDescent="0.35">
      <c r="B5939" s="171"/>
    </row>
    <row r="5940" spans="2:2" ht="15.5" x14ac:dyDescent="0.35">
      <c r="B5940" s="171"/>
    </row>
    <row r="5941" spans="2:2" ht="15.5" x14ac:dyDescent="0.35">
      <c r="B5941" s="171"/>
    </row>
    <row r="5942" spans="2:2" ht="15.5" x14ac:dyDescent="0.35">
      <c r="B5942" s="171"/>
    </row>
    <row r="5943" spans="2:2" ht="15.5" x14ac:dyDescent="0.35">
      <c r="B5943" s="171"/>
    </row>
    <row r="5944" spans="2:2" ht="15.5" x14ac:dyDescent="0.35">
      <c r="B5944" s="171"/>
    </row>
    <row r="5945" spans="2:2" ht="15.5" x14ac:dyDescent="0.35">
      <c r="B5945" s="171"/>
    </row>
    <row r="5946" spans="2:2" ht="15.5" x14ac:dyDescent="0.35">
      <c r="B5946" s="171"/>
    </row>
    <row r="5947" spans="2:2" ht="15.5" x14ac:dyDescent="0.35">
      <c r="B5947" s="171"/>
    </row>
    <row r="5948" spans="2:2" ht="15.5" x14ac:dyDescent="0.35">
      <c r="B5948" s="171"/>
    </row>
    <row r="5949" spans="2:2" ht="15.5" x14ac:dyDescent="0.35">
      <c r="B5949" s="171"/>
    </row>
    <row r="5950" spans="2:2" ht="15.5" x14ac:dyDescent="0.35">
      <c r="B5950" s="171"/>
    </row>
    <row r="5951" spans="2:2" ht="15.5" x14ac:dyDescent="0.35">
      <c r="B5951" s="171"/>
    </row>
    <row r="5952" spans="2:2" ht="15.5" x14ac:dyDescent="0.35">
      <c r="B5952" s="171"/>
    </row>
    <row r="5953" spans="2:2" ht="15.5" x14ac:dyDescent="0.35">
      <c r="B5953" s="171"/>
    </row>
    <row r="5954" spans="2:2" ht="15.5" x14ac:dyDescent="0.35">
      <c r="B5954" s="171"/>
    </row>
    <row r="5955" spans="2:2" ht="15.5" x14ac:dyDescent="0.35">
      <c r="B5955" s="171"/>
    </row>
    <row r="5956" spans="2:2" ht="15.5" x14ac:dyDescent="0.35">
      <c r="B5956" s="171"/>
    </row>
    <row r="5957" spans="2:2" ht="15.5" x14ac:dyDescent="0.35">
      <c r="B5957" s="171"/>
    </row>
    <row r="5958" spans="2:2" ht="15.5" x14ac:dyDescent="0.35">
      <c r="B5958" s="171"/>
    </row>
    <row r="5959" spans="2:2" ht="15.5" x14ac:dyDescent="0.35">
      <c r="B5959" s="171"/>
    </row>
    <row r="5960" spans="2:2" ht="15.5" x14ac:dyDescent="0.35">
      <c r="B5960" s="171"/>
    </row>
    <row r="5961" spans="2:2" ht="15.5" x14ac:dyDescent="0.35">
      <c r="B5961" s="171"/>
    </row>
    <row r="5962" spans="2:2" ht="15.5" x14ac:dyDescent="0.35">
      <c r="B5962" s="171"/>
    </row>
    <row r="5963" spans="2:2" ht="15.5" x14ac:dyDescent="0.35">
      <c r="B5963" s="171"/>
    </row>
    <row r="5964" spans="2:2" ht="15.5" x14ac:dyDescent="0.35">
      <c r="B5964" s="171"/>
    </row>
    <row r="5965" spans="2:2" ht="15.5" x14ac:dyDescent="0.35">
      <c r="B5965" s="171"/>
    </row>
    <row r="5966" spans="2:2" ht="15.5" x14ac:dyDescent="0.35">
      <c r="B5966" s="171"/>
    </row>
    <row r="5967" spans="2:2" ht="15.5" x14ac:dyDescent="0.35">
      <c r="B5967" s="171"/>
    </row>
    <row r="5968" spans="2:2" ht="15.5" x14ac:dyDescent="0.35">
      <c r="B5968" s="171"/>
    </row>
    <row r="5969" spans="2:2" ht="15.5" x14ac:dyDescent="0.35">
      <c r="B5969" s="171"/>
    </row>
    <row r="5970" spans="2:2" ht="15.5" x14ac:dyDescent="0.35">
      <c r="B5970" s="171"/>
    </row>
    <row r="5971" spans="2:2" ht="15.5" x14ac:dyDescent="0.35">
      <c r="B5971" s="171"/>
    </row>
    <row r="5972" spans="2:2" ht="15.5" x14ac:dyDescent="0.35">
      <c r="B5972" s="171"/>
    </row>
    <row r="5973" spans="2:2" ht="15.5" x14ac:dyDescent="0.35">
      <c r="B5973" s="171"/>
    </row>
    <row r="5974" spans="2:2" ht="15.5" x14ac:dyDescent="0.35">
      <c r="B5974" s="171"/>
    </row>
    <row r="5975" spans="2:2" ht="15.5" x14ac:dyDescent="0.35">
      <c r="B5975" s="171"/>
    </row>
    <row r="5976" spans="2:2" ht="15.5" x14ac:dyDescent="0.35">
      <c r="B5976" s="171"/>
    </row>
    <row r="5977" spans="2:2" ht="15.5" x14ac:dyDescent="0.35">
      <c r="B5977" s="171"/>
    </row>
    <row r="5978" spans="2:2" ht="15.5" x14ac:dyDescent="0.35">
      <c r="B5978" s="171"/>
    </row>
    <row r="5979" spans="2:2" ht="15.5" x14ac:dyDescent="0.35">
      <c r="B5979" s="171"/>
    </row>
    <row r="5980" spans="2:2" ht="15.5" x14ac:dyDescent="0.35">
      <c r="B5980" s="171"/>
    </row>
    <row r="5981" spans="2:2" ht="15.5" x14ac:dyDescent="0.35">
      <c r="B5981" s="171"/>
    </row>
    <row r="5982" spans="2:2" ht="15.5" x14ac:dyDescent="0.35">
      <c r="B5982" s="171"/>
    </row>
    <row r="5983" spans="2:2" ht="15.5" x14ac:dyDescent="0.35">
      <c r="B5983" s="171"/>
    </row>
    <row r="5984" spans="2:2" ht="15.5" x14ac:dyDescent="0.35">
      <c r="B5984" s="171"/>
    </row>
    <row r="5985" spans="2:2" ht="15.5" x14ac:dyDescent="0.35">
      <c r="B5985" s="171"/>
    </row>
    <row r="5986" spans="2:2" ht="15.5" x14ac:dyDescent="0.35">
      <c r="B5986" s="171"/>
    </row>
    <row r="5987" spans="2:2" ht="15.5" x14ac:dyDescent="0.35">
      <c r="B5987" s="171"/>
    </row>
    <row r="5988" spans="2:2" ht="15.5" x14ac:dyDescent="0.35">
      <c r="B5988" s="171"/>
    </row>
    <row r="5989" spans="2:2" ht="15.5" x14ac:dyDescent="0.35">
      <c r="B5989" s="171"/>
    </row>
    <row r="5990" spans="2:2" ht="15.5" x14ac:dyDescent="0.35">
      <c r="B5990" s="171"/>
    </row>
    <row r="5991" spans="2:2" ht="15.5" x14ac:dyDescent="0.35">
      <c r="B5991" s="171"/>
    </row>
    <row r="5992" spans="2:2" ht="15.5" x14ac:dyDescent="0.35">
      <c r="B5992" s="171"/>
    </row>
    <row r="5993" spans="2:2" ht="15.5" x14ac:dyDescent="0.35">
      <c r="B5993" s="171"/>
    </row>
    <row r="5994" spans="2:2" ht="15.5" x14ac:dyDescent="0.35">
      <c r="B5994" s="171"/>
    </row>
    <row r="5995" spans="2:2" ht="15.5" x14ac:dyDescent="0.35">
      <c r="B5995" s="171"/>
    </row>
    <row r="5996" spans="2:2" ht="15.5" x14ac:dyDescent="0.35">
      <c r="B5996" s="171"/>
    </row>
    <row r="5997" spans="2:2" ht="15.5" x14ac:dyDescent="0.35">
      <c r="B5997" s="171"/>
    </row>
    <row r="5998" spans="2:2" ht="15.5" x14ac:dyDescent="0.35">
      <c r="B5998" s="171"/>
    </row>
    <row r="5999" spans="2:2" ht="15.5" x14ac:dyDescent="0.35">
      <c r="B5999" s="171"/>
    </row>
    <row r="6000" spans="2:2" ht="15.5" x14ac:dyDescent="0.35">
      <c r="B6000" s="171"/>
    </row>
    <row r="6001" spans="2:2" ht="15.5" x14ac:dyDescent="0.35">
      <c r="B6001" s="171"/>
    </row>
    <row r="6002" spans="2:2" ht="15.5" x14ac:dyDescent="0.35">
      <c r="B6002" s="171"/>
    </row>
    <row r="6003" spans="2:2" ht="15.5" x14ac:dyDescent="0.35">
      <c r="B6003" s="171"/>
    </row>
    <row r="6004" spans="2:2" ht="15.5" x14ac:dyDescent="0.35">
      <c r="B6004" s="171"/>
    </row>
    <row r="6005" spans="2:2" ht="15.5" x14ac:dyDescent="0.35">
      <c r="B6005" s="171"/>
    </row>
    <row r="6006" spans="2:2" ht="15.5" x14ac:dyDescent="0.35">
      <c r="B6006" s="171"/>
    </row>
    <row r="6007" spans="2:2" ht="15.5" x14ac:dyDescent="0.35">
      <c r="B6007" s="171"/>
    </row>
    <row r="6008" spans="2:2" ht="15.5" x14ac:dyDescent="0.35">
      <c r="B6008" s="171"/>
    </row>
    <row r="6009" spans="2:2" ht="15.5" x14ac:dyDescent="0.35">
      <c r="B6009" s="171"/>
    </row>
    <row r="6010" spans="2:2" ht="15.5" x14ac:dyDescent="0.35">
      <c r="B6010" s="171"/>
    </row>
    <row r="6011" spans="2:2" ht="15.5" x14ac:dyDescent="0.35">
      <c r="B6011" s="171"/>
    </row>
    <row r="6012" spans="2:2" ht="15.5" x14ac:dyDescent="0.35">
      <c r="B6012" s="171"/>
    </row>
    <row r="6013" spans="2:2" ht="15.5" x14ac:dyDescent="0.35">
      <c r="B6013" s="171"/>
    </row>
    <row r="6014" spans="2:2" ht="15.5" x14ac:dyDescent="0.35">
      <c r="B6014" s="171"/>
    </row>
    <row r="6015" spans="2:2" ht="15.5" x14ac:dyDescent="0.35">
      <c r="B6015" s="171"/>
    </row>
    <row r="6016" spans="2:2" ht="15.5" x14ac:dyDescent="0.35">
      <c r="B6016" s="171"/>
    </row>
    <row r="6017" spans="2:2" ht="15.5" x14ac:dyDescent="0.35">
      <c r="B6017" s="171"/>
    </row>
    <row r="6018" spans="2:2" ht="15.5" x14ac:dyDescent="0.35">
      <c r="B6018" s="171"/>
    </row>
    <row r="6019" spans="2:2" ht="15.5" x14ac:dyDescent="0.35">
      <c r="B6019" s="171"/>
    </row>
    <row r="6020" spans="2:2" ht="15.5" x14ac:dyDescent="0.35">
      <c r="B6020" s="171"/>
    </row>
    <row r="6021" spans="2:2" ht="15.5" x14ac:dyDescent="0.35">
      <c r="B6021" s="171"/>
    </row>
    <row r="6022" spans="2:2" ht="15.5" x14ac:dyDescent="0.35">
      <c r="B6022" s="171"/>
    </row>
    <row r="6023" spans="2:2" ht="15.5" x14ac:dyDescent="0.35">
      <c r="B6023" s="171"/>
    </row>
    <row r="6024" spans="2:2" ht="15.5" x14ac:dyDescent="0.35">
      <c r="B6024" s="171"/>
    </row>
    <row r="6025" spans="2:2" ht="15.5" x14ac:dyDescent="0.35">
      <c r="B6025" s="171"/>
    </row>
    <row r="6026" spans="2:2" ht="15.5" x14ac:dyDescent="0.35">
      <c r="B6026" s="171"/>
    </row>
    <row r="6027" spans="2:2" ht="15.5" x14ac:dyDescent="0.35">
      <c r="B6027" s="171"/>
    </row>
    <row r="6028" spans="2:2" ht="15.5" x14ac:dyDescent="0.35">
      <c r="B6028" s="171"/>
    </row>
    <row r="6029" spans="2:2" ht="15.5" x14ac:dyDescent="0.35">
      <c r="B6029" s="171"/>
    </row>
    <row r="6030" spans="2:2" ht="15.5" x14ac:dyDescent="0.35">
      <c r="B6030" s="171"/>
    </row>
    <row r="6031" spans="2:2" ht="15.5" x14ac:dyDescent="0.35">
      <c r="B6031" s="171"/>
    </row>
    <row r="6032" spans="2:2" ht="15.5" x14ac:dyDescent="0.35">
      <c r="B6032" s="171"/>
    </row>
    <row r="6033" spans="2:2" ht="15.5" x14ac:dyDescent="0.35">
      <c r="B6033" s="171"/>
    </row>
    <row r="6034" spans="2:2" ht="15.5" x14ac:dyDescent="0.35">
      <c r="B6034" s="171"/>
    </row>
    <row r="6035" spans="2:2" ht="15.5" x14ac:dyDescent="0.35">
      <c r="B6035" s="171"/>
    </row>
    <row r="6036" spans="2:2" ht="15.5" x14ac:dyDescent="0.35">
      <c r="B6036" s="171"/>
    </row>
    <row r="6037" spans="2:2" ht="15.5" x14ac:dyDescent="0.35">
      <c r="B6037" s="171"/>
    </row>
    <row r="6038" spans="2:2" ht="15.5" x14ac:dyDescent="0.35">
      <c r="B6038" s="171"/>
    </row>
    <row r="6039" spans="2:2" ht="15.5" x14ac:dyDescent="0.35">
      <c r="B6039" s="171"/>
    </row>
    <row r="6040" spans="2:2" ht="15.5" x14ac:dyDescent="0.35">
      <c r="B6040" s="171"/>
    </row>
    <row r="6041" spans="2:2" ht="15.5" x14ac:dyDescent="0.35">
      <c r="B6041" s="171"/>
    </row>
    <row r="6042" spans="2:2" ht="15.5" x14ac:dyDescent="0.35">
      <c r="B6042" s="171"/>
    </row>
    <row r="6043" spans="2:2" ht="15.5" x14ac:dyDescent="0.35">
      <c r="B6043" s="171"/>
    </row>
    <row r="6044" spans="2:2" ht="15.5" x14ac:dyDescent="0.35">
      <c r="B6044" s="171"/>
    </row>
    <row r="6045" spans="2:2" ht="15.5" x14ac:dyDescent="0.35">
      <c r="B6045" s="171"/>
    </row>
    <row r="6046" spans="2:2" ht="15.5" x14ac:dyDescent="0.35">
      <c r="B6046" s="171"/>
    </row>
    <row r="6047" spans="2:2" ht="15.5" x14ac:dyDescent="0.35">
      <c r="B6047" s="171"/>
    </row>
    <row r="6048" spans="2:2" ht="15.5" x14ac:dyDescent="0.35">
      <c r="B6048" s="171"/>
    </row>
    <row r="6049" spans="2:2" ht="15.5" x14ac:dyDescent="0.35">
      <c r="B6049" s="171"/>
    </row>
    <row r="6050" spans="2:2" ht="15.5" x14ac:dyDescent="0.35">
      <c r="B6050" s="171"/>
    </row>
    <row r="6051" spans="2:2" ht="15.5" x14ac:dyDescent="0.35">
      <c r="B6051" s="171"/>
    </row>
    <row r="6052" spans="2:2" ht="15.5" x14ac:dyDescent="0.35">
      <c r="B6052" s="171"/>
    </row>
    <row r="6053" spans="2:2" ht="15.5" x14ac:dyDescent="0.35">
      <c r="B6053" s="171"/>
    </row>
    <row r="6054" spans="2:2" ht="15.5" x14ac:dyDescent="0.35">
      <c r="B6054" s="171"/>
    </row>
    <row r="6055" spans="2:2" ht="15.5" x14ac:dyDescent="0.35">
      <c r="B6055" s="171"/>
    </row>
    <row r="6056" spans="2:2" ht="15.5" x14ac:dyDescent="0.35">
      <c r="B6056" s="171"/>
    </row>
    <row r="6057" spans="2:2" ht="15.5" x14ac:dyDescent="0.35">
      <c r="B6057" s="171"/>
    </row>
    <row r="6058" spans="2:2" ht="15.5" x14ac:dyDescent="0.35">
      <c r="B6058" s="171"/>
    </row>
    <row r="6059" spans="2:2" ht="15.5" x14ac:dyDescent="0.35">
      <c r="B6059" s="171"/>
    </row>
    <row r="6060" spans="2:2" ht="15.5" x14ac:dyDescent="0.35">
      <c r="B6060" s="171"/>
    </row>
    <row r="6061" spans="2:2" ht="15.5" x14ac:dyDescent="0.35">
      <c r="B6061" s="171"/>
    </row>
    <row r="6062" spans="2:2" ht="15.5" x14ac:dyDescent="0.35">
      <c r="B6062" s="171"/>
    </row>
    <row r="6063" spans="2:2" ht="15.5" x14ac:dyDescent="0.35">
      <c r="B6063" s="171"/>
    </row>
    <row r="6064" spans="2:2" ht="15.5" x14ac:dyDescent="0.35">
      <c r="B6064" s="171"/>
    </row>
    <row r="6065" spans="2:2" ht="15.5" x14ac:dyDescent="0.35">
      <c r="B6065" s="171"/>
    </row>
    <row r="6066" spans="2:2" ht="15.5" x14ac:dyDescent="0.35">
      <c r="B6066" s="171"/>
    </row>
    <row r="6067" spans="2:2" ht="15.5" x14ac:dyDescent="0.35">
      <c r="B6067" s="171"/>
    </row>
    <row r="6068" spans="2:2" ht="15.5" x14ac:dyDescent="0.35">
      <c r="B6068" s="171"/>
    </row>
    <row r="6069" spans="2:2" ht="15.5" x14ac:dyDescent="0.35">
      <c r="B6069" s="171"/>
    </row>
    <row r="6070" spans="2:2" ht="15.5" x14ac:dyDescent="0.35">
      <c r="B6070" s="171"/>
    </row>
    <row r="6071" spans="2:2" ht="15.5" x14ac:dyDescent="0.35">
      <c r="B6071" s="171"/>
    </row>
    <row r="6072" spans="2:2" ht="15.5" x14ac:dyDescent="0.35">
      <c r="B6072" s="171"/>
    </row>
    <row r="6073" spans="2:2" ht="15.5" x14ac:dyDescent="0.35">
      <c r="B6073" s="171"/>
    </row>
    <row r="6074" spans="2:2" ht="15.5" x14ac:dyDescent="0.35">
      <c r="B6074" s="171"/>
    </row>
    <row r="6075" spans="2:2" ht="15.5" x14ac:dyDescent="0.35">
      <c r="B6075" s="171"/>
    </row>
    <row r="6076" spans="2:2" ht="15.5" x14ac:dyDescent="0.35">
      <c r="B6076" s="171"/>
    </row>
    <row r="6077" spans="2:2" ht="15.5" x14ac:dyDescent="0.35">
      <c r="B6077" s="171"/>
    </row>
    <row r="6078" spans="2:2" ht="15.5" x14ac:dyDescent="0.35">
      <c r="B6078" s="171"/>
    </row>
    <row r="6079" spans="2:2" ht="15.5" x14ac:dyDescent="0.35">
      <c r="B6079" s="171"/>
    </row>
    <row r="6080" spans="2:2" ht="15.5" x14ac:dyDescent="0.35">
      <c r="B6080" s="171"/>
    </row>
    <row r="6081" spans="2:2" ht="15.5" x14ac:dyDescent="0.35">
      <c r="B6081" s="171"/>
    </row>
    <row r="6082" spans="2:2" ht="15.5" x14ac:dyDescent="0.35">
      <c r="B6082" s="171"/>
    </row>
    <row r="6083" spans="2:2" ht="15.5" x14ac:dyDescent="0.35">
      <c r="B6083" s="171"/>
    </row>
    <row r="6084" spans="2:2" ht="15.5" x14ac:dyDescent="0.35">
      <c r="B6084" s="171"/>
    </row>
    <row r="6085" spans="2:2" ht="15.5" x14ac:dyDescent="0.35">
      <c r="B6085" s="171"/>
    </row>
    <row r="6086" spans="2:2" ht="15.5" x14ac:dyDescent="0.35">
      <c r="B6086" s="171"/>
    </row>
    <row r="6087" spans="2:2" ht="15.5" x14ac:dyDescent="0.35">
      <c r="B6087" s="171"/>
    </row>
    <row r="6088" spans="2:2" ht="15.5" x14ac:dyDescent="0.35">
      <c r="B6088" s="171"/>
    </row>
    <row r="6089" spans="2:2" ht="15.5" x14ac:dyDescent="0.35">
      <c r="B6089" s="171"/>
    </row>
    <row r="6090" spans="2:2" ht="15.5" x14ac:dyDescent="0.35">
      <c r="B6090" s="171"/>
    </row>
    <row r="6091" spans="2:2" ht="15.5" x14ac:dyDescent="0.35">
      <c r="B6091" s="171"/>
    </row>
    <row r="6092" spans="2:2" ht="15.5" x14ac:dyDescent="0.35">
      <c r="B6092" s="171"/>
    </row>
    <row r="6093" spans="2:2" ht="15.5" x14ac:dyDescent="0.35">
      <c r="B6093" s="171"/>
    </row>
    <row r="6094" spans="2:2" ht="15.5" x14ac:dyDescent="0.35">
      <c r="B6094" s="171"/>
    </row>
    <row r="6095" spans="2:2" ht="15.5" x14ac:dyDescent="0.35">
      <c r="B6095" s="171"/>
    </row>
    <row r="6096" spans="2:2" ht="15.5" x14ac:dyDescent="0.35">
      <c r="B6096" s="171"/>
    </row>
    <row r="6097" spans="2:2" ht="15.5" x14ac:dyDescent="0.35">
      <c r="B6097" s="171"/>
    </row>
    <row r="6098" spans="2:2" ht="15.5" x14ac:dyDescent="0.35">
      <c r="B6098" s="171"/>
    </row>
    <row r="6099" spans="2:2" ht="15.5" x14ac:dyDescent="0.35">
      <c r="B6099" s="171"/>
    </row>
    <row r="6100" spans="2:2" ht="15.5" x14ac:dyDescent="0.35">
      <c r="B6100" s="171"/>
    </row>
    <row r="6101" spans="2:2" ht="15.5" x14ac:dyDescent="0.35">
      <c r="B6101" s="171"/>
    </row>
    <row r="6102" spans="2:2" ht="15.5" x14ac:dyDescent="0.35">
      <c r="B6102" s="171"/>
    </row>
    <row r="6103" spans="2:2" ht="15.5" x14ac:dyDescent="0.35">
      <c r="B6103" s="171"/>
    </row>
    <row r="6104" spans="2:2" ht="15.5" x14ac:dyDescent="0.35">
      <c r="B6104" s="171"/>
    </row>
    <row r="6105" spans="2:2" ht="15.5" x14ac:dyDescent="0.35">
      <c r="B6105" s="171"/>
    </row>
    <row r="6106" spans="2:2" ht="15.5" x14ac:dyDescent="0.35">
      <c r="B6106" s="171"/>
    </row>
    <row r="6107" spans="2:2" ht="15.5" x14ac:dyDescent="0.35">
      <c r="B6107" s="171"/>
    </row>
    <row r="6108" spans="2:2" ht="15.5" x14ac:dyDescent="0.35">
      <c r="B6108" s="171"/>
    </row>
    <row r="6109" spans="2:2" ht="15.5" x14ac:dyDescent="0.35">
      <c r="B6109" s="171"/>
    </row>
    <row r="6110" spans="2:2" ht="15.5" x14ac:dyDescent="0.35">
      <c r="B6110" s="171"/>
    </row>
    <row r="6111" spans="2:2" ht="15.5" x14ac:dyDescent="0.35">
      <c r="B6111" s="171"/>
    </row>
    <row r="6112" spans="2:2" ht="15.5" x14ac:dyDescent="0.35">
      <c r="B6112" s="171"/>
    </row>
    <row r="6113" spans="2:2" ht="15.5" x14ac:dyDescent="0.35">
      <c r="B6113" s="171"/>
    </row>
    <row r="6114" spans="2:2" ht="15.5" x14ac:dyDescent="0.35">
      <c r="B6114" s="171"/>
    </row>
    <row r="6115" spans="2:2" ht="15.5" x14ac:dyDescent="0.35">
      <c r="B6115" s="171"/>
    </row>
    <row r="6116" spans="2:2" ht="15.5" x14ac:dyDescent="0.35">
      <c r="B6116" s="171"/>
    </row>
    <row r="6117" spans="2:2" ht="15.5" x14ac:dyDescent="0.35">
      <c r="B6117" s="171"/>
    </row>
    <row r="6118" spans="2:2" ht="15.5" x14ac:dyDescent="0.35">
      <c r="B6118" s="171"/>
    </row>
    <row r="6119" spans="2:2" ht="15.5" x14ac:dyDescent="0.35">
      <c r="B6119" s="171"/>
    </row>
    <row r="6120" spans="2:2" ht="15.5" x14ac:dyDescent="0.35">
      <c r="B6120" s="171"/>
    </row>
    <row r="6121" spans="2:2" ht="15.5" x14ac:dyDescent="0.35">
      <c r="B6121" s="171"/>
    </row>
    <row r="6122" spans="2:2" ht="15.5" x14ac:dyDescent="0.35">
      <c r="B6122" s="171"/>
    </row>
    <row r="6123" spans="2:2" ht="15.5" x14ac:dyDescent="0.35">
      <c r="B6123" s="171"/>
    </row>
    <row r="6124" spans="2:2" ht="15.5" x14ac:dyDescent="0.35">
      <c r="B6124" s="171"/>
    </row>
    <row r="6125" spans="2:2" ht="15.5" x14ac:dyDescent="0.35">
      <c r="B6125" s="171"/>
    </row>
    <row r="6126" spans="2:2" ht="15.5" x14ac:dyDescent="0.35">
      <c r="B6126" s="171"/>
    </row>
    <row r="6127" spans="2:2" ht="15.5" x14ac:dyDescent="0.35">
      <c r="B6127" s="171"/>
    </row>
    <row r="6128" spans="2:2" ht="15.5" x14ac:dyDescent="0.35">
      <c r="B6128" s="171"/>
    </row>
    <row r="6129" spans="2:2" ht="15.5" x14ac:dyDescent="0.35">
      <c r="B6129" s="171"/>
    </row>
    <row r="6130" spans="2:2" ht="15.5" x14ac:dyDescent="0.35">
      <c r="B6130" s="171"/>
    </row>
    <row r="6131" spans="2:2" ht="15.5" x14ac:dyDescent="0.35">
      <c r="B6131" s="171"/>
    </row>
    <row r="6132" spans="2:2" ht="15.5" x14ac:dyDescent="0.35">
      <c r="B6132" s="171"/>
    </row>
    <row r="6133" spans="2:2" ht="15.5" x14ac:dyDescent="0.35">
      <c r="B6133" s="171"/>
    </row>
    <row r="6134" spans="2:2" ht="15.5" x14ac:dyDescent="0.35">
      <c r="B6134" s="171"/>
    </row>
    <row r="6135" spans="2:2" ht="15.5" x14ac:dyDescent="0.35">
      <c r="B6135" s="171"/>
    </row>
    <row r="6136" spans="2:2" ht="15.5" x14ac:dyDescent="0.35">
      <c r="B6136" s="171"/>
    </row>
    <row r="6137" spans="2:2" ht="15.5" x14ac:dyDescent="0.35">
      <c r="B6137" s="171"/>
    </row>
    <row r="6138" spans="2:2" ht="15.5" x14ac:dyDescent="0.35">
      <c r="B6138" s="171"/>
    </row>
    <row r="6139" spans="2:2" ht="15.5" x14ac:dyDescent="0.35">
      <c r="B6139" s="171"/>
    </row>
    <row r="6140" spans="2:2" ht="15.5" x14ac:dyDescent="0.35">
      <c r="B6140" s="171"/>
    </row>
    <row r="6141" spans="2:2" ht="15.5" x14ac:dyDescent="0.35">
      <c r="B6141" s="171"/>
    </row>
    <row r="6142" spans="2:2" ht="15.5" x14ac:dyDescent="0.35">
      <c r="B6142" s="171"/>
    </row>
    <row r="6143" spans="2:2" ht="15.5" x14ac:dyDescent="0.35">
      <c r="B6143" s="171"/>
    </row>
    <row r="6144" spans="2:2" ht="15.5" x14ac:dyDescent="0.35">
      <c r="B6144" s="171"/>
    </row>
    <row r="6145" spans="2:2" ht="15.5" x14ac:dyDescent="0.35">
      <c r="B6145" s="171"/>
    </row>
    <row r="6146" spans="2:2" ht="15.5" x14ac:dyDescent="0.35">
      <c r="B6146" s="171"/>
    </row>
    <row r="6147" spans="2:2" ht="15.5" x14ac:dyDescent="0.35">
      <c r="B6147" s="171"/>
    </row>
    <row r="6148" spans="2:2" ht="15.5" x14ac:dyDescent="0.35">
      <c r="B6148" s="171"/>
    </row>
    <row r="6149" spans="2:2" ht="15.5" x14ac:dyDescent="0.35">
      <c r="B6149" s="171"/>
    </row>
    <row r="6150" spans="2:2" ht="15.5" x14ac:dyDescent="0.35">
      <c r="B6150" s="171"/>
    </row>
    <row r="6151" spans="2:2" ht="15.5" x14ac:dyDescent="0.35">
      <c r="B6151" s="171"/>
    </row>
    <row r="6152" spans="2:2" ht="15.5" x14ac:dyDescent="0.35">
      <c r="B6152" s="171"/>
    </row>
    <row r="6153" spans="2:2" ht="15.5" x14ac:dyDescent="0.35">
      <c r="B6153" s="171"/>
    </row>
    <row r="6154" spans="2:2" ht="15.5" x14ac:dyDescent="0.35">
      <c r="B6154" s="171"/>
    </row>
    <row r="6155" spans="2:2" ht="15.5" x14ac:dyDescent="0.35">
      <c r="B6155" s="171"/>
    </row>
    <row r="6156" spans="2:2" ht="15.5" x14ac:dyDescent="0.35">
      <c r="B6156" s="171"/>
    </row>
    <row r="6157" spans="2:2" ht="15.5" x14ac:dyDescent="0.35">
      <c r="B6157" s="171"/>
    </row>
    <row r="6158" spans="2:2" ht="15.5" x14ac:dyDescent="0.35">
      <c r="B6158" s="171"/>
    </row>
    <row r="6159" spans="2:2" ht="15.5" x14ac:dyDescent="0.35">
      <c r="B6159" s="171"/>
    </row>
    <row r="6160" spans="2:2" ht="15.5" x14ac:dyDescent="0.35">
      <c r="B6160" s="171"/>
    </row>
    <row r="6161" spans="2:2" ht="15.5" x14ac:dyDescent="0.35">
      <c r="B6161" s="171"/>
    </row>
    <row r="6162" spans="2:2" ht="15.5" x14ac:dyDescent="0.35">
      <c r="B6162" s="171"/>
    </row>
    <row r="6163" spans="2:2" ht="15.5" x14ac:dyDescent="0.35">
      <c r="B6163" s="171"/>
    </row>
    <row r="6164" spans="2:2" ht="15.5" x14ac:dyDescent="0.35">
      <c r="B6164" s="171"/>
    </row>
    <row r="6165" spans="2:2" ht="15.5" x14ac:dyDescent="0.35">
      <c r="B6165" s="171"/>
    </row>
    <row r="6166" spans="2:2" ht="15.5" x14ac:dyDescent="0.35">
      <c r="B6166" s="171"/>
    </row>
    <row r="6167" spans="2:2" ht="15.5" x14ac:dyDescent="0.35">
      <c r="B6167" s="171"/>
    </row>
    <row r="6168" spans="2:2" ht="15.5" x14ac:dyDescent="0.35">
      <c r="B6168" s="171"/>
    </row>
    <row r="6169" spans="2:2" ht="15.5" x14ac:dyDescent="0.35">
      <c r="B6169" s="171"/>
    </row>
    <row r="6170" spans="2:2" ht="15.5" x14ac:dyDescent="0.35">
      <c r="B6170" s="171"/>
    </row>
    <row r="6171" spans="2:2" ht="15.5" x14ac:dyDescent="0.35">
      <c r="B6171" s="171"/>
    </row>
    <row r="6172" spans="2:2" ht="15.5" x14ac:dyDescent="0.35">
      <c r="B6172" s="171"/>
    </row>
    <row r="6173" spans="2:2" ht="15.5" x14ac:dyDescent="0.35">
      <c r="B6173" s="171"/>
    </row>
    <row r="6174" spans="2:2" ht="15.5" x14ac:dyDescent="0.35">
      <c r="B6174" s="171"/>
    </row>
    <row r="6175" spans="2:2" ht="15.5" x14ac:dyDescent="0.35">
      <c r="B6175" s="171"/>
    </row>
    <row r="6176" spans="2:2" ht="15.5" x14ac:dyDescent="0.35">
      <c r="B6176" s="171"/>
    </row>
    <row r="6177" spans="2:2" ht="15.5" x14ac:dyDescent="0.35">
      <c r="B6177" s="171"/>
    </row>
    <row r="6178" spans="2:2" ht="15.5" x14ac:dyDescent="0.35">
      <c r="B6178" s="171"/>
    </row>
    <row r="6179" spans="2:2" ht="15.5" x14ac:dyDescent="0.35">
      <c r="B6179" s="171"/>
    </row>
    <row r="6180" spans="2:2" ht="15.5" x14ac:dyDescent="0.35">
      <c r="B6180" s="171"/>
    </row>
    <row r="6181" spans="2:2" ht="15.5" x14ac:dyDescent="0.35">
      <c r="B6181" s="171"/>
    </row>
    <row r="6182" spans="2:2" ht="15.5" x14ac:dyDescent="0.35">
      <c r="B6182" s="171"/>
    </row>
    <row r="6183" spans="2:2" ht="15.5" x14ac:dyDescent="0.35">
      <c r="B6183" s="171"/>
    </row>
    <row r="6184" spans="2:2" ht="15.5" x14ac:dyDescent="0.35">
      <c r="B6184" s="171"/>
    </row>
    <row r="6185" spans="2:2" ht="15.5" x14ac:dyDescent="0.35">
      <c r="B6185" s="171"/>
    </row>
    <row r="6186" spans="2:2" ht="15.5" x14ac:dyDescent="0.35">
      <c r="B6186" s="171"/>
    </row>
    <row r="6187" spans="2:2" ht="15.5" x14ac:dyDescent="0.35">
      <c r="B6187" s="171"/>
    </row>
    <row r="6188" spans="2:2" ht="15.5" x14ac:dyDescent="0.35">
      <c r="B6188" s="171"/>
    </row>
    <row r="6189" spans="2:2" ht="15.5" x14ac:dyDescent="0.35">
      <c r="B6189" s="171"/>
    </row>
    <row r="6190" spans="2:2" ht="15.5" x14ac:dyDescent="0.35">
      <c r="B6190" s="171"/>
    </row>
    <row r="6191" spans="2:2" ht="15.5" x14ac:dyDescent="0.35">
      <c r="B6191" s="171"/>
    </row>
    <row r="6192" spans="2:2" ht="15.5" x14ac:dyDescent="0.35">
      <c r="B6192" s="171"/>
    </row>
    <row r="6193" spans="2:2" ht="15.5" x14ac:dyDescent="0.35">
      <c r="B6193" s="171"/>
    </row>
    <row r="6194" spans="2:2" ht="15.5" x14ac:dyDescent="0.35">
      <c r="B6194" s="171"/>
    </row>
    <row r="6195" spans="2:2" ht="15.5" x14ac:dyDescent="0.35">
      <c r="B6195" s="171"/>
    </row>
    <row r="6196" spans="2:2" ht="15.5" x14ac:dyDescent="0.35">
      <c r="B6196" s="171"/>
    </row>
    <row r="6197" spans="2:2" ht="15.5" x14ac:dyDescent="0.35">
      <c r="B6197" s="171"/>
    </row>
    <row r="6198" spans="2:2" ht="15.5" x14ac:dyDescent="0.35">
      <c r="B6198" s="171"/>
    </row>
    <row r="6199" spans="2:2" ht="15.5" x14ac:dyDescent="0.35">
      <c r="B6199" s="171"/>
    </row>
    <row r="6200" spans="2:2" ht="15.5" x14ac:dyDescent="0.35">
      <c r="B6200" s="171"/>
    </row>
    <row r="6201" spans="2:2" ht="15.5" x14ac:dyDescent="0.35">
      <c r="B6201" s="171"/>
    </row>
    <row r="6202" spans="2:2" ht="15.5" x14ac:dyDescent="0.35">
      <c r="B6202" s="171"/>
    </row>
    <row r="6203" spans="2:2" ht="15.5" x14ac:dyDescent="0.35">
      <c r="B6203" s="171"/>
    </row>
    <row r="6204" spans="2:2" ht="15.5" x14ac:dyDescent="0.35">
      <c r="B6204" s="171"/>
    </row>
    <row r="6205" spans="2:2" ht="15.5" x14ac:dyDescent="0.35">
      <c r="B6205" s="171"/>
    </row>
    <row r="6206" spans="2:2" ht="15.5" x14ac:dyDescent="0.35">
      <c r="B6206" s="171"/>
    </row>
    <row r="6207" spans="2:2" ht="15.5" x14ac:dyDescent="0.35">
      <c r="B6207" s="171"/>
    </row>
    <row r="6208" spans="2:2" ht="15.5" x14ac:dyDescent="0.35">
      <c r="B6208" s="171"/>
    </row>
    <row r="6209" spans="2:2" ht="15.5" x14ac:dyDescent="0.35">
      <c r="B6209" s="171"/>
    </row>
    <row r="6210" spans="2:2" ht="15.5" x14ac:dyDescent="0.35">
      <c r="B6210" s="171"/>
    </row>
    <row r="6211" spans="2:2" ht="15.5" x14ac:dyDescent="0.35">
      <c r="B6211" s="171"/>
    </row>
    <row r="6212" spans="2:2" ht="15.5" x14ac:dyDescent="0.35">
      <c r="B6212" s="171"/>
    </row>
    <row r="6213" spans="2:2" ht="15.5" x14ac:dyDescent="0.35">
      <c r="B6213" s="171"/>
    </row>
    <row r="6214" spans="2:2" ht="15.5" x14ac:dyDescent="0.35">
      <c r="B6214" s="171"/>
    </row>
    <row r="6215" spans="2:2" ht="15.5" x14ac:dyDescent="0.35">
      <c r="B6215" s="171"/>
    </row>
    <row r="6216" spans="2:2" ht="15.5" x14ac:dyDescent="0.35">
      <c r="B6216" s="171"/>
    </row>
    <row r="6217" spans="2:2" ht="15.5" x14ac:dyDescent="0.35">
      <c r="B6217" s="171"/>
    </row>
    <row r="6218" spans="2:2" ht="15.5" x14ac:dyDescent="0.35">
      <c r="B6218" s="171"/>
    </row>
    <row r="6219" spans="2:2" ht="15.5" x14ac:dyDescent="0.35">
      <c r="B6219" s="171"/>
    </row>
    <row r="6220" spans="2:2" ht="15.5" x14ac:dyDescent="0.35">
      <c r="B6220" s="171"/>
    </row>
    <row r="6221" spans="2:2" ht="15.5" x14ac:dyDescent="0.35">
      <c r="B6221" s="171"/>
    </row>
    <row r="6222" spans="2:2" ht="15.5" x14ac:dyDescent="0.35">
      <c r="B6222" s="171"/>
    </row>
    <row r="6223" spans="2:2" ht="15.5" x14ac:dyDescent="0.35">
      <c r="B6223" s="171"/>
    </row>
    <row r="6224" spans="2:2" ht="15.5" x14ac:dyDescent="0.35">
      <c r="B6224" s="171"/>
    </row>
    <row r="6225" spans="2:2" ht="15.5" x14ac:dyDescent="0.35">
      <c r="B6225" s="171"/>
    </row>
    <row r="6226" spans="2:2" ht="15.5" x14ac:dyDescent="0.35">
      <c r="B6226" s="171"/>
    </row>
    <row r="6227" spans="2:2" ht="15.5" x14ac:dyDescent="0.35">
      <c r="B6227" s="171"/>
    </row>
    <row r="6228" spans="2:2" ht="15.5" x14ac:dyDescent="0.35">
      <c r="B6228" s="171"/>
    </row>
    <row r="6229" spans="2:2" ht="15.5" x14ac:dyDescent="0.35">
      <c r="B6229" s="171"/>
    </row>
    <row r="6230" spans="2:2" ht="15.5" x14ac:dyDescent="0.35">
      <c r="B6230" s="171"/>
    </row>
    <row r="6231" spans="2:2" ht="15.5" x14ac:dyDescent="0.35">
      <c r="B6231" s="171"/>
    </row>
    <row r="6232" spans="2:2" ht="15.5" x14ac:dyDescent="0.35">
      <c r="B6232" s="171"/>
    </row>
    <row r="6233" spans="2:2" ht="15.5" x14ac:dyDescent="0.35">
      <c r="B6233" s="171"/>
    </row>
    <row r="6234" spans="2:2" ht="15.5" x14ac:dyDescent="0.35">
      <c r="B6234" s="171"/>
    </row>
    <row r="6235" spans="2:2" ht="15.5" x14ac:dyDescent="0.35">
      <c r="B6235" s="171"/>
    </row>
    <row r="6236" spans="2:2" ht="15.5" x14ac:dyDescent="0.35">
      <c r="B6236" s="171"/>
    </row>
    <row r="6237" spans="2:2" ht="15.5" x14ac:dyDescent="0.35">
      <c r="B6237" s="171"/>
    </row>
    <row r="6238" spans="2:2" ht="15.5" x14ac:dyDescent="0.35">
      <c r="B6238" s="171"/>
    </row>
    <row r="6239" spans="2:2" ht="15.5" x14ac:dyDescent="0.35">
      <c r="B6239" s="171"/>
    </row>
    <row r="6240" spans="2:2" ht="15.5" x14ac:dyDescent="0.35">
      <c r="B6240" s="171"/>
    </row>
    <row r="6241" spans="2:2" ht="15.5" x14ac:dyDescent="0.35">
      <c r="B6241" s="171"/>
    </row>
    <row r="6242" spans="2:2" ht="15.5" x14ac:dyDescent="0.35">
      <c r="B6242" s="171"/>
    </row>
    <row r="6243" spans="2:2" ht="15.5" x14ac:dyDescent="0.35">
      <c r="B6243" s="171"/>
    </row>
    <row r="6244" spans="2:2" ht="15.5" x14ac:dyDescent="0.35">
      <c r="B6244" s="171"/>
    </row>
    <row r="6245" spans="2:2" ht="15.5" x14ac:dyDescent="0.35">
      <c r="B6245" s="171"/>
    </row>
    <row r="6246" spans="2:2" ht="15.5" x14ac:dyDescent="0.35">
      <c r="B6246" s="171"/>
    </row>
    <row r="6247" spans="2:2" ht="15.5" x14ac:dyDescent="0.35">
      <c r="B6247" s="171"/>
    </row>
    <row r="6248" spans="2:2" ht="15.5" x14ac:dyDescent="0.35">
      <c r="B6248" s="171"/>
    </row>
    <row r="6249" spans="2:2" ht="15.5" x14ac:dyDescent="0.35">
      <c r="B6249" s="171"/>
    </row>
    <row r="6250" spans="2:2" ht="15.5" x14ac:dyDescent="0.35">
      <c r="B6250" s="171"/>
    </row>
    <row r="6251" spans="2:2" ht="15.5" x14ac:dyDescent="0.35">
      <c r="B6251" s="171"/>
    </row>
    <row r="6252" spans="2:2" ht="15.5" x14ac:dyDescent="0.35">
      <c r="B6252" s="171"/>
    </row>
    <row r="6253" spans="2:2" ht="15.5" x14ac:dyDescent="0.35">
      <c r="B6253" s="171"/>
    </row>
    <row r="6254" spans="2:2" ht="15.5" x14ac:dyDescent="0.35">
      <c r="B6254" s="171"/>
    </row>
    <row r="6255" spans="2:2" ht="15.5" x14ac:dyDescent="0.35">
      <c r="B6255" s="171"/>
    </row>
    <row r="6256" spans="2:2" ht="15.5" x14ac:dyDescent="0.35">
      <c r="B6256" s="171"/>
    </row>
    <row r="6257" spans="2:2" ht="15.5" x14ac:dyDescent="0.35">
      <c r="B6257" s="171"/>
    </row>
    <row r="6258" spans="2:2" ht="15.5" x14ac:dyDescent="0.35">
      <c r="B6258" s="171"/>
    </row>
    <row r="6259" spans="2:2" ht="15.5" x14ac:dyDescent="0.35">
      <c r="B6259" s="171"/>
    </row>
    <row r="6260" spans="2:2" ht="15.5" x14ac:dyDescent="0.35">
      <c r="B6260" s="171"/>
    </row>
    <row r="6261" spans="2:2" ht="15.5" x14ac:dyDescent="0.35">
      <c r="B6261" s="171"/>
    </row>
    <row r="6262" spans="2:2" ht="15.5" x14ac:dyDescent="0.35">
      <c r="B6262" s="171"/>
    </row>
    <row r="6263" spans="2:2" ht="15.5" x14ac:dyDescent="0.35">
      <c r="B6263" s="171"/>
    </row>
    <row r="6264" spans="2:2" ht="15.5" x14ac:dyDescent="0.35">
      <c r="B6264" s="171"/>
    </row>
    <row r="6265" spans="2:2" ht="15.5" x14ac:dyDescent="0.35">
      <c r="B6265" s="171"/>
    </row>
    <row r="6266" spans="2:2" ht="15.5" x14ac:dyDescent="0.35">
      <c r="B6266" s="171"/>
    </row>
    <row r="6267" spans="2:2" ht="15.5" x14ac:dyDescent="0.35">
      <c r="B6267" s="171"/>
    </row>
    <row r="6268" spans="2:2" ht="15.5" x14ac:dyDescent="0.35">
      <c r="B6268" s="171"/>
    </row>
    <row r="6269" spans="2:2" ht="15.5" x14ac:dyDescent="0.35">
      <c r="B6269" s="171"/>
    </row>
    <row r="6270" spans="2:2" ht="15.5" x14ac:dyDescent="0.35">
      <c r="B6270" s="171"/>
    </row>
    <row r="6271" spans="2:2" ht="15.5" x14ac:dyDescent="0.35">
      <c r="B6271" s="171"/>
    </row>
    <row r="6272" spans="2:2" ht="15.5" x14ac:dyDescent="0.35">
      <c r="B6272" s="171"/>
    </row>
    <row r="6273" spans="2:2" ht="15.5" x14ac:dyDescent="0.35">
      <c r="B6273" s="171"/>
    </row>
    <row r="6274" spans="2:2" ht="15.5" x14ac:dyDescent="0.35">
      <c r="B6274" s="171"/>
    </row>
    <row r="6275" spans="2:2" ht="15.5" x14ac:dyDescent="0.35">
      <c r="B6275" s="171"/>
    </row>
    <row r="6276" spans="2:2" ht="15.5" x14ac:dyDescent="0.35">
      <c r="B6276" s="171"/>
    </row>
    <row r="6277" spans="2:2" ht="15.5" x14ac:dyDescent="0.35">
      <c r="B6277" s="171"/>
    </row>
    <row r="6278" spans="2:2" ht="15.5" x14ac:dyDescent="0.35">
      <c r="B6278" s="171"/>
    </row>
    <row r="6279" spans="2:2" ht="15.5" x14ac:dyDescent="0.35">
      <c r="B6279" s="171"/>
    </row>
    <row r="6280" spans="2:2" ht="15.5" x14ac:dyDescent="0.35">
      <c r="B6280" s="171"/>
    </row>
    <row r="6281" spans="2:2" ht="15.5" x14ac:dyDescent="0.35">
      <c r="B6281" s="171"/>
    </row>
    <row r="6282" spans="2:2" ht="15.5" x14ac:dyDescent="0.35">
      <c r="B6282" s="171"/>
    </row>
    <row r="6283" spans="2:2" ht="15.5" x14ac:dyDescent="0.35">
      <c r="B6283" s="171"/>
    </row>
    <row r="6284" spans="2:2" ht="15.5" x14ac:dyDescent="0.35">
      <c r="B6284" s="171"/>
    </row>
    <row r="6285" spans="2:2" ht="15.5" x14ac:dyDescent="0.35">
      <c r="B6285" s="171"/>
    </row>
    <row r="6286" spans="2:2" ht="15.5" x14ac:dyDescent="0.35">
      <c r="B6286" s="171"/>
    </row>
    <row r="6287" spans="2:2" ht="15.5" x14ac:dyDescent="0.35">
      <c r="B6287" s="171"/>
    </row>
    <row r="6288" spans="2:2" ht="15.5" x14ac:dyDescent="0.35">
      <c r="B6288" s="171"/>
    </row>
    <row r="6289" spans="2:2" ht="15.5" x14ac:dyDescent="0.35">
      <c r="B6289" s="171"/>
    </row>
    <row r="6290" spans="2:2" ht="15.5" x14ac:dyDescent="0.35">
      <c r="B6290" s="171"/>
    </row>
    <row r="6291" spans="2:2" ht="15.5" x14ac:dyDescent="0.35">
      <c r="B6291" s="171"/>
    </row>
    <row r="6292" spans="2:2" ht="15.5" x14ac:dyDescent="0.35">
      <c r="B6292" s="171"/>
    </row>
    <row r="6293" spans="2:2" ht="15.5" x14ac:dyDescent="0.35">
      <c r="B6293" s="171"/>
    </row>
    <row r="6294" spans="2:2" ht="15.5" x14ac:dyDescent="0.35">
      <c r="B6294" s="171"/>
    </row>
    <row r="6295" spans="2:2" ht="15.5" x14ac:dyDescent="0.35">
      <c r="B6295" s="171"/>
    </row>
    <row r="6296" spans="2:2" ht="15.5" x14ac:dyDescent="0.35">
      <c r="B6296" s="171"/>
    </row>
    <row r="6297" spans="2:2" ht="15.5" x14ac:dyDescent="0.35">
      <c r="B6297" s="171"/>
    </row>
    <row r="6298" spans="2:2" ht="15.5" x14ac:dyDescent="0.35">
      <c r="B6298" s="171"/>
    </row>
    <row r="6299" spans="2:2" ht="15.5" x14ac:dyDescent="0.35">
      <c r="B6299" s="171"/>
    </row>
    <row r="6300" spans="2:2" ht="15.5" x14ac:dyDescent="0.35">
      <c r="B6300" s="171"/>
    </row>
    <row r="6301" spans="2:2" ht="15.5" x14ac:dyDescent="0.35">
      <c r="B6301" s="171"/>
    </row>
    <row r="6302" spans="2:2" ht="15.5" x14ac:dyDescent="0.35">
      <c r="B6302" s="171"/>
    </row>
    <row r="6303" spans="2:2" ht="15.5" x14ac:dyDescent="0.35">
      <c r="B6303" s="171"/>
    </row>
    <row r="6304" spans="2:2" ht="15.5" x14ac:dyDescent="0.35">
      <c r="B6304" s="171"/>
    </row>
    <row r="6305" spans="2:2" ht="15.5" x14ac:dyDescent="0.35">
      <c r="B6305" s="171"/>
    </row>
    <row r="6306" spans="2:2" ht="15.5" x14ac:dyDescent="0.35">
      <c r="B6306" s="171"/>
    </row>
    <row r="6307" spans="2:2" ht="15.5" x14ac:dyDescent="0.35">
      <c r="B6307" s="171"/>
    </row>
    <row r="6308" spans="2:2" ht="15.5" x14ac:dyDescent="0.35">
      <c r="B6308" s="171"/>
    </row>
    <row r="6309" spans="2:2" ht="15.5" x14ac:dyDescent="0.35">
      <c r="B6309" s="171"/>
    </row>
    <row r="6310" spans="2:2" ht="15.5" x14ac:dyDescent="0.35">
      <c r="B6310" s="171"/>
    </row>
    <row r="6311" spans="2:2" ht="15.5" x14ac:dyDescent="0.35">
      <c r="B6311" s="171"/>
    </row>
    <row r="6312" spans="2:2" ht="15.5" x14ac:dyDescent="0.35">
      <c r="B6312" s="171"/>
    </row>
    <row r="6313" spans="2:2" ht="15.5" x14ac:dyDescent="0.35">
      <c r="B6313" s="171"/>
    </row>
    <row r="6314" spans="2:2" ht="15.5" x14ac:dyDescent="0.35">
      <c r="B6314" s="171"/>
    </row>
    <row r="6315" spans="2:2" ht="15.5" x14ac:dyDescent="0.35">
      <c r="B6315" s="171"/>
    </row>
    <row r="6316" spans="2:2" ht="15.5" x14ac:dyDescent="0.35">
      <c r="B6316" s="171"/>
    </row>
    <row r="6317" spans="2:2" ht="15.5" x14ac:dyDescent="0.35">
      <c r="B6317" s="171"/>
    </row>
    <row r="6318" spans="2:2" ht="15.5" x14ac:dyDescent="0.35">
      <c r="B6318" s="171"/>
    </row>
    <row r="6319" spans="2:2" ht="15.5" x14ac:dyDescent="0.35">
      <c r="B6319" s="171"/>
    </row>
    <row r="6320" spans="2:2" ht="15.5" x14ac:dyDescent="0.35">
      <c r="B6320" s="171"/>
    </row>
    <row r="6321" spans="2:2" ht="15.5" x14ac:dyDescent="0.35">
      <c r="B6321" s="171"/>
    </row>
    <row r="6322" spans="2:2" ht="15.5" x14ac:dyDescent="0.35">
      <c r="B6322" s="171"/>
    </row>
    <row r="6323" spans="2:2" ht="15.5" x14ac:dyDescent="0.35">
      <c r="B6323" s="171"/>
    </row>
    <row r="6324" spans="2:2" ht="15.5" x14ac:dyDescent="0.35">
      <c r="B6324" s="171"/>
    </row>
    <row r="6325" spans="2:2" ht="15.5" x14ac:dyDescent="0.35">
      <c r="B6325" s="171"/>
    </row>
    <row r="6326" spans="2:2" ht="15.5" x14ac:dyDescent="0.35">
      <c r="B6326" s="171"/>
    </row>
    <row r="6327" spans="2:2" ht="15.5" x14ac:dyDescent="0.35">
      <c r="B6327" s="171"/>
    </row>
    <row r="6328" spans="2:2" ht="15.5" x14ac:dyDescent="0.35">
      <c r="B6328" s="171"/>
    </row>
    <row r="6329" spans="2:2" ht="15.5" x14ac:dyDescent="0.35">
      <c r="B6329" s="171"/>
    </row>
    <row r="6330" spans="2:2" ht="15.5" x14ac:dyDescent="0.35">
      <c r="B6330" s="171"/>
    </row>
    <row r="6331" spans="2:2" ht="15.5" x14ac:dyDescent="0.35">
      <c r="B6331" s="171"/>
    </row>
    <row r="6332" spans="2:2" ht="15.5" x14ac:dyDescent="0.35">
      <c r="B6332" s="171"/>
    </row>
    <row r="6333" spans="2:2" ht="15.5" x14ac:dyDescent="0.35">
      <c r="B6333" s="171"/>
    </row>
    <row r="6334" spans="2:2" ht="15.5" x14ac:dyDescent="0.35">
      <c r="B6334" s="171"/>
    </row>
    <row r="6335" spans="2:2" ht="15.5" x14ac:dyDescent="0.35">
      <c r="B6335" s="171"/>
    </row>
    <row r="6336" spans="2:2" ht="15.5" x14ac:dyDescent="0.35">
      <c r="B6336" s="171"/>
    </row>
    <row r="6337" spans="2:2" ht="15.5" x14ac:dyDescent="0.35">
      <c r="B6337" s="171"/>
    </row>
    <row r="6338" spans="2:2" ht="15.5" x14ac:dyDescent="0.35">
      <c r="B6338" s="171"/>
    </row>
    <row r="6339" spans="2:2" ht="15.5" x14ac:dyDescent="0.35">
      <c r="B6339" s="171"/>
    </row>
    <row r="6340" spans="2:2" ht="15.5" x14ac:dyDescent="0.35">
      <c r="B6340" s="171"/>
    </row>
    <row r="6341" spans="2:2" ht="15.5" x14ac:dyDescent="0.35">
      <c r="B6341" s="171"/>
    </row>
    <row r="6342" spans="2:2" ht="15.5" x14ac:dyDescent="0.35">
      <c r="B6342" s="171"/>
    </row>
    <row r="6343" spans="2:2" ht="15.5" x14ac:dyDescent="0.35">
      <c r="B6343" s="171"/>
    </row>
    <row r="6344" spans="2:2" ht="15.5" x14ac:dyDescent="0.35">
      <c r="B6344" s="171"/>
    </row>
    <row r="6345" spans="2:2" ht="15.5" x14ac:dyDescent="0.35">
      <c r="B6345" s="171"/>
    </row>
    <row r="6346" spans="2:2" ht="15.5" x14ac:dyDescent="0.35">
      <c r="B6346" s="171"/>
    </row>
    <row r="6347" spans="2:2" ht="15.5" x14ac:dyDescent="0.35">
      <c r="B6347" s="171"/>
    </row>
    <row r="6348" spans="2:2" ht="15.5" x14ac:dyDescent="0.35">
      <c r="B6348" s="171"/>
    </row>
    <row r="6349" spans="2:2" ht="15.5" x14ac:dyDescent="0.35">
      <c r="B6349" s="171"/>
    </row>
    <row r="6350" spans="2:2" ht="15.5" x14ac:dyDescent="0.35">
      <c r="B6350" s="171"/>
    </row>
    <row r="6351" spans="2:2" ht="15.5" x14ac:dyDescent="0.35">
      <c r="B6351" s="171"/>
    </row>
    <row r="6352" spans="2:2" ht="15.5" x14ac:dyDescent="0.35">
      <c r="B6352" s="171"/>
    </row>
    <row r="6353" spans="2:2" ht="15.5" x14ac:dyDescent="0.35">
      <c r="B6353" s="171"/>
    </row>
    <row r="6354" spans="2:2" ht="15.5" x14ac:dyDescent="0.35">
      <c r="B6354" s="171"/>
    </row>
    <row r="6355" spans="2:2" ht="15.5" x14ac:dyDescent="0.35">
      <c r="B6355" s="171"/>
    </row>
    <row r="6356" spans="2:2" ht="15.5" x14ac:dyDescent="0.35">
      <c r="B6356" s="171"/>
    </row>
    <row r="6357" spans="2:2" ht="15.5" x14ac:dyDescent="0.35">
      <c r="B6357" s="171"/>
    </row>
    <row r="6358" spans="2:2" ht="15.5" x14ac:dyDescent="0.35">
      <c r="B6358" s="171"/>
    </row>
    <row r="6359" spans="2:2" ht="15.5" x14ac:dyDescent="0.35">
      <c r="B6359" s="171"/>
    </row>
    <row r="6360" spans="2:2" ht="15.5" x14ac:dyDescent="0.35">
      <c r="B6360" s="171"/>
    </row>
    <row r="6361" spans="2:2" ht="15.5" x14ac:dyDescent="0.35">
      <c r="B6361" s="171"/>
    </row>
    <row r="6362" spans="2:2" ht="15.5" x14ac:dyDescent="0.35">
      <c r="B6362" s="171"/>
    </row>
    <row r="6363" spans="2:2" ht="15.5" x14ac:dyDescent="0.35">
      <c r="B6363" s="171"/>
    </row>
    <row r="6364" spans="2:2" ht="15.5" x14ac:dyDescent="0.35">
      <c r="B6364" s="171"/>
    </row>
    <row r="6365" spans="2:2" ht="15.5" x14ac:dyDescent="0.35">
      <c r="B6365" s="171"/>
    </row>
    <row r="6366" spans="2:2" ht="15.5" x14ac:dyDescent="0.35">
      <c r="B6366" s="171"/>
    </row>
    <row r="6367" spans="2:2" ht="15.5" x14ac:dyDescent="0.35">
      <c r="B6367" s="171"/>
    </row>
    <row r="6368" spans="2:2" ht="15.5" x14ac:dyDescent="0.35">
      <c r="B6368" s="171"/>
    </row>
    <row r="6369" spans="2:2" ht="15.5" x14ac:dyDescent="0.35">
      <c r="B6369" s="171"/>
    </row>
    <row r="6370" spans="2:2" ht="15.5" x14ac:dyDescent="0.35">
      <c r="B6370" s="171"/>
    </row>
    <row r="6371" spans="2:2" ht="15.5" x14ac:dyDescent="0.35">
      <c r="B6371" s="171"/>
    </row>
    <row r="6372" spans="2:2" ht="15.5" x14ac:dyDescent="0.35">
      <c r="B6372" s="171"/>
    </row>
    <row r="6373" spans="2:2" ht="15.5" x14ac:dyDescent="0.35">
      <c r="B6373" s="171"/>
    </row>
    <row r="6374" spans="2:2" ht="15.5" x14ac:dyDescent="0.35">
      <c r="B6374" s="171"/>
    </row>
    <row r="6375" spans="2:2" ht="15.5" x14ac:dyDescent="0.35">
      <c r="B6375" s="171"/>
    </row>
    <row r="6376" spans="2:2" ht="15.5" x14ac:dyDescent="0.35">
      <c r="B6376" s="171"/>
    </row>
    <row r="6377" spans="2:2" ht="15.5" x14ac:dyDescent="0.35">
      <c r="B6377" s="171"/>
    </row>
    <row r="6378" spans="2:2" ht="15.5" x14ac:dyDescent="0.35">
      <c r="B6378" s="171"/>
    </row>
    <row r="6379" spans="2:2" ht="15.5" x14ac:dyDescent="0.35">
      <c r="B6379" s="171"/>
    </row>
    <row r="6380" spans="2:2" ht="15.5" x14ac:dyDescent="0.35">
      <c r="B6380" s="171"/>
    </row>
    <row r="6381" spans="2:2" ht="15.5" x14ac:dyDescent="0.35">
      <c r="B6381" s="171"/>
    </row>
    <row r="6382" spans="2:2" ht="15.5" x14ac:dyDescent="0.35">
      <c r="B6382" s="171"/>
    </row>
    <row r="6383" spans="2:2" ht="15.5" x14ac:dyDescent="0.35">
      <c r="B6383" s="171"/>
    </row>
    <row r="6384" spans="2:2" ht="15.5" x14ac:dyDescent="0.35">
      <c r="B6384" s="171"/>
    </row>
    <row r="6385" spans="2:2" ht="15.5" x14ac:dyDescent="0.35">
      <c r="B6385" s="171"/>
    </row>
    <row r="6386" spans="2:2" ht="15.5" x14ac:dyDescent="0.35">
      <c r="B6386" s="171"/>
    </row>
    <row r="6387" spans="2:2" ht="15.5" x14ac:dyDescent="0.35">
      <c r="B6387" s="171"/>
    </row>
    <row r="6388" spans="2:2" ht="15.5" x14ac:dyDescent="0.35">
      <c r="B6388" s="171"/>
    </row>
    <row r="6389" spans="2:2" ht="15.5" x14ac:dyDescent="0.35">
      <c r="B6389" s="171"/>
    </row>
    <row r="6390" spans="2:2" ht="15.5" x14ac:dyDescent="0.35">
      <c r="B6390" s="171"/>
    </row>
    <row r="6391" spans="2:2" ht="15.5" x14ac:dyDescent="0.35">
      <c r="B6391" s="171"/>
    </row>
    <row r="6392" spans="2:2" ht="15.5" x14ac:dyDescent="0.35">
      <c r="B6392" s="171"/>
    </row>
    <row r="6393" spans="2:2" ht="15.5" x14ac:dyDescent="0.35">
      <c r="B6393" s="171"/>
    </row>
    <row r="6394" spans="2:2" ht="15.5" x14ac:dyDescent="0.35">
      <c r="B6394" s="171"/>
    </row>
    <row r="6395" spans="2:2" ht="15.5" x14ac:dyDescent="0.35">
      <c r="B6395" s="171"/>
    </row>
    <row r="6396" spans="2:2" ht="15.5" x14ac:dyDescent="0.35">
      <c r="B6396" s="171"/>
    </row>
    <row r="6397" spans="2:2" ht="15.5" x14ac:dyDescent="0.35">
      <c r="B6397" s="171"/>
    </row>
    <row r="6398" spans="2:2" ht="15.5" x14ac:dyDescent="0.35">
      <c r="B6398" s="171"/>
    </row>
    <row r="6399" spans="2:2" ht="15.5" x14ac:dyDescent="0.35">
      <c r="B6399" s="171"/>
    </row>
    <row r="6400" spans="2:2" ht="15.5" x14ac:dyDescent="0.35">
      <c r="B6400" s="171"/>
    </row>
    <row r="6401" spans="2:2" ht="15.5" x14ac:dyDescent="0.35">
      <c r="B6401" s="171"/>
    </row>
    <row r="6402" spans="2:2" ht="15.5" x14ac:dyDescent="0.35">
      <c r="B6402" s="171"/>
    </row>
    <row r="6403" spans="2:2" ht="15.5" x14ac:dyDescent="0.35">
      <c r="B6403" s="171"/>
    </row>
    <row r="6404" spans="2:2" ht="15.5" x14ac:dyDescent="0.35">
      <c r="B6404" s="171"/>
    </row>
    <row r="6405" spans="2:2" ht="15.5" x14ac:dyDescent="0.35">
      <c r="B6405" s="171"/>
    </row>
    <row r="6406" spans="2:2" ht="15.5" x14ac:dyDescent="0.35">
      <c r="B6406" s="171"/>
    </row>
    <row r="6407" spans="2:2" ht="15.5" x14ac:dyDescent="0.35">
      <c r="B6407" s="171"/>
    </row>
    <row r="6408" spans="2:2" ht="15.5" x14ac:dyDescent="0.35">
      <c r="B6408" s="171"/>
    </row>
    <row r="6409" spans="2:2" ht="15.5" x14ac:dyDescent="0.35">
      <c r="B6409" s="171"/>
    </row>
    <row r="6410" spans="2:2" ht="15.5" x14ac:dyDescent="0.35">
      <c r="B6410" s="171"/>
    </row>
    <row r="6411" spans="2:2" ht="15.5" x14ac:dyDescent="0.35">
      <c r="B6411" s="171"/>
    </row>
    <row r="6412" spans="2:2" ht="15.5" x14ac:dyDescent="0.35">
      <c r="B6412" s="171"/>
    </row>
    <row r="6413" spans="2:2" ht="15.5" x14ac:dyDescent="0.35">
      <c r="B6413" s="171"/>
    </row>
    <row r="6414" spans="2:2" ht="15.5" x14ac:dyDescent="0.35">
      <c r="B6414" s="171"/>
    </row>
    <row r="6415" spans="2:2" ht="15.5" x14ac:dyDescent="0.35">
      <c r="B6415" s="171"/>
    </row>
    <row r="6416" spans="2:2" ht="15.5" x14ac:dyDescent="0.35">
      <c r="B6416" s="171"/>
    </row>
    <row r="6417" spans="2:2" ht="15.5" x14ac:dyDescent="0.35">
      <c r="B6417" s="171"/>
    </row>
    <row r="6418" spans="2:2" ht="15.5" x14ac:dyDescent="0.35">
      <c r="B6418" s="171"/>
    </row>
    <row r="6419" spans="2:2" ht="15.5" x14ac:dyDescent="0.35">
      <c r="B6419" s="171"/>
    </row>
    <row r="6420" spans="2:2" ht="15.5" x14ac:dyDescent="0.35">
      <c r="B6420" s="171"/>
    </row>
    <row r="6421" spans="2:2" ht="15.5" x14ac:dyDescent="0.35">
      <c r="B6421" s="171"/>
    </row>
    <row r="6422" spans="2:2" ht="15.5" x14ac:dyDescent="0.35">
      <c r="B6422" s="171"/>
    </row>
    <row r="6423" spans="2:2" ht="15.5" x14ac:dyDescent="0.35">
      <c r="B6423" s="171"/>
    </row>
    <row r="6424" spans="2:2" ht="15.5" x14ac:dyDescent="0.35">
      <c r="B6424" s="171"/>
    </row>
    <row r="6425" spans="2:2" ht="15.5" x14ac:dyDescent="0.35">
      <c r="B6425" s="171"/>
    </row>
    <row r="6426" spans="2:2" ht="15.5" x14ac:dyDescent="0.35">
      <c r="B6426" s="171"/>
    </row>
    <row r="6427" spans="2:2" ht="15.5" x14ac:dyDescent="0.35">
      <c r="B6427" s="171"/>
    </row>
    <row r="6428" spans="2:2" ht="15.5" x14ac:dyDescent="0.35">
      <c r="B6428" s="171"/>
    </row>
    <row r="6429" spans="2:2" ht="15.5" x14ac:dyDescent="0.35">
      <c r="B6429" s="171"/>
    </row>
    <row r="6430" spans="2:2" ht="15.5" x14ac:dyDescent="0.35">
      <c r="B6430" s="171"/>
    </row>
    <row r="6431" spans="2:2" ht="15.5" x14ac:dyDescent="0.35">
      <c r="B6431" s="171"/>
    </row>
    <row r="6432" spans="2:2" ht="15.5" x14ac:dyDescent="0.35">
      <c r="B6432" s="171"/>
    </row>
    <row r="6433" spans="2:2" ht="15.5" x14ac:dyDescent="0.35">
      <c r="B6433" s="171"/>
    </row>
    <row r="6434" spans="2:2" ht="15.5" x14ac:dyDescent="0.35">
      <c r="B6434" s="171"/>
    </row>
    <row r="6435" spans="2:2" ht="15.5" x14ac:dyDescent="0.35">
      <c r="B6435" s="171"/>
    </row>
    <row r="6436" spans="2:2" ht="15.5" x14ac:dyDescent="0.35">
      <c r="B6436" s="171"/>
    </row>
    <row r="6437" spans="2:2" ht="15.5" x14ac:dyDescent="0.35">
      <c r="B6437" s="171"/>
    </row>
    <row r="6438" spans="2:2" ht="15.5" x14ac:dyDescent="0.35">
      <c r="B6438" s="171"/>
    </row>
    <row r="6439" spans="2:2" ht="15.5" x14ac:dyDescent="0.35">
      <c r="B6439" s="171"/>
    </row>
    <row r="6440" spans="2:2" ht="15.5" x14ac:dyDescent="0.35">
      <c r="B6440" s="171"/>
    </row>
    <row r="6441" spans="2:2" ht="15.5" x14ac:dyDescent="0.35">
      <c r="B6441" s="171"/>
    </row>
    <row r="6442" spans="2:2" ht="15.5" x14ac:dyDescent="0.35">
      <c r="B6442" s="171"/>
    </row>
    <row r="6443" spans="2:2" ht="15.5" x14ac:dyDescent="0.35">
      <c r="B6443" s="171"/>
    </row>
    <row r="6444" spans="2:2" ht="15.5" x14ac:dyDescent="0.35">
      <c r="B6444" s="171"/>
    </row>
    <row r="6445" spans="2:2" ht="15.5" x14ac:dyDescent="0.35">
      <c r="B6445" s="171"/>
    </row>
    <row r="6446" spans="2:2" ht="15.5" x14ac:dyDescent="0.35">
      <c r="B6446" s="171"/>
    </row>
    <row r="6447" spans="2:2" ht="15.5" x14ac:dyDescent="0.35">
      <c r="B6447" s="171"/>
    </row>
    <row r="6448" spans="2:2" ht="15.5" x14ac:dyDescent="0.35">
      <c r="B6448" s="171"/>
    </row>
    <row r="6449" spans="2:2" ht="15.5" x14ac:dyDescent="0.35">
      <c r="B6449" s="171"/>
    </row>
    <row r="6450" spans="2:2" ht="15.5" x14ac:dyDescent="0.35">
      <c r="B6450" s="171"/>
    </row>
    <row r="6451" spans="2:2" ht="15.5" x14ac:dyDescent="0.35">
      <c r="B6451" s="171"/>
    </row>
    <row r="6452" spans="2:2" ht="15.5" x14ac:dyDescent="0.35">
      <c r="B6452" s="171"/>
    </row>
    <row r="6453" spans="2:2" ht="15.5" x14ac:dyDescent="0.35">
      <c r="B6453" s="171"/>
    </row>
    <row r="6454" spans="2:2" ht="15.5" x14ac:dyDescent="0.35">
      <c r="B6454" s="171"/>
    </row>
    <row r="6455" spans="2:2" ht="15.5" x14ac:dyDescent="0.35">
      <c r="B6455" s="171"/>
    </row>
    <row r="6456" spans="2:2" ht="15.5" x14ac:dyDescent="0.35">
      <c r="B6456" s="171"/>
    </row>
    <row r="6457" spans="2:2" ht="15.5" x14ac:dyDescent="0.35">
      <c r="B6457" s="171"/>
    </row>
    <row r="6458" spans="2:2" ht="15.5" x14ac:dyDescent="0.35">
      <c r="B6458" s="171"/>
    </row>
    <row r="6459" spans="2:2" ht="15.5" x14ac:dyDescent="0.35">
      <c r="B6459" s="171"/>
    </row>
    <row r="6460" spans="2:2" ht="15.5" x14ac:dyDescent="0.35">
      <c r="B6460" s="171"/>
    </row>
    <row r="6461" spans="2:2" ht="15.5" x14ac:dyDescent="0.35">
      <c r="B6461" s="171"/>
    </row>
    <row r="6462" spans="2:2" ht="15.5" x14ac:dyDescent="0.35">
      <c r="B6462" s="171"/>
    </row>
    <row r="6463" spans="2:2" ht="15.5" x14ac:dyDescent="0.35">
      <c r="B6463" s="171"/>
    </row>
    <row r="6464" spans="2:2" ht="15.5" x14ac:dyDescent="0.35">
      <c r="B6464" s="171"/>
    </row>
    <row r="6465" spans="2:2" ht="15.5" x14ac:dyDescent="0.35">
      <c r="B6465" s="171"/>
    </row>
    <row r="6466" spans="2:2" ht="15.5" x14ac:dyDescent="0.35">
      <c r="B6466" s="171"/>
    </row>
    <row r="6467" spans="2:2" ht="15.5" x14ac:dyDescent="0.35">
      <c r="B6467" s="171"/>
    </row>
    <row r="6468" spans="2:2" ht="15.5" x14ac:dyDescent="0.35">
      <c r="B6468" s="171"/>
    </row>
    <row r="6469" spans="2:2" ht="15.5" x14ac:dyDescent="0.35">
      <c r="B6469" s="171"/>
    </row>
    <row r="6470" spans="2:2" ht="15.5" x14ac:dyDescent="0.35">
      <c r="B6470" s="171"/>
    </row>
    <row r="6471" spans="2:2" ht="15.5" x14ac:dyDescent="0.35">
      <c r="B6471" s="171"/>
    </row>
    <row r="6472" spans="2:2" ht="15.5" x14ac:dyDescent="0.35">
      <c r="B6472" s="171"/>
    </row>
    <row r="6473" spans="2:2" ht="15.5" x14ac:dyDescent="0.35">
      <c r="B6473" s="171"/>
    </row>
    <row r="6474" spans="2:2" ht="15.5" x14ac:dyDescent="0.35">
      <c r="B6474" s="171"/>
    </row>
    <row r="6475" spans="2:2" ht="15.5" x14ac:dyDescent="0.35">
      <c r="B6475" s="171"/>
    </row>
    <row r="6476" spans="2:2" ht="15.5" x14ac:dyDescent="0.35">
      <c r="B6476" s="171"/>
    </row>
    <row r="6477" spans="2:2" ht="15.5" x14ac:dyDescent="0.35">
      <c r="B6477" s="171"/>
    </row>
    <row r="6478" spans="2:2" ht="15.5" x14ac:dyDescent="0.35">
      <c r="B6478" s="171"/>
    </row>
    <row r="6479" spans="2:2" ht="15.5" x14ac:dyDescent="0.35">
      <c r="B6479" s="171"/>
    </row>
    <row r="6480" spans="2:2" ht="15.5" x14ac:dyDescent="0.35">
      <c r="B6480" s="171"/>
    </row>
    <row r="6481" spans="2:2" ht="15.5" x14ac:dyDescent="0.35">
      <c r="B6481" s="171"/>
    </row>
    <row r="6482" spans="2:2" ht="15.5" x14ac:dyDescent="0.35">
      <c r="B6482" s="171"/>
    </row>
    <row r="6483" spans="2:2" ht="15.5" x14ac:dyDescent="0.35">
      <c r="B6483" s="171"/>
    </row>
    <row r="6484" spans="2:2" ht="15.5" x14ac:dyDescent="0.35">
      <c r="B6484" s="171"/>
    </row>
    <row r="6485" spans="2:2" ht="15.5" x14ac:dyDescent="0.35">
      <c r="B6485" s="171"/>
    </row>
    <row r="6486" spans="2:2" ht="15.5" x14ac:dyDescent="0.35">
      <c r="B6486" s="171"/>
    </row>
    <row r="6487" spans="2:2" ht="15.5" x14ac:dyDescent="0.35">
      <c r="B6487" s="171"/>
    </row>
    <row r="6488" spans="2:2" ht="15.5" x14ac:dyDescent="0.35">
      <c r="B6488" s="171"/>
    </row>
    <row r="6489" spans="2:2" ht="15.5" x14ac:dyDescent="0.35">
      <c r="B6489" s="171"/>
    </row>
    <row r="6490" spans="2:2" ht="15.5" x14ac:dyDescent="0.35">
      <c r="B6490" s="171"/>
    </row>
    <row r="6491" spans="2:2" ht="15.5" x14ac:dyDescent="0.35">
      <c r="B6491" s="171"/>
    </row>
    <row r="6492" spans="2:2" ht="15.5" x14ac:dyDescent="0.35">
      <c r="B6492" s="171"/>
    </row>
    <row r="6493" spans="2:2" ht="15.5" x14ac:dyDescent="0.35">
      <c r="B6493" s="171"/>
    </row>
    <row r="6494" spans="2:2" ht="15.5" x14ac:dyDescent="0.35">
      <c r="B6494" s="171"/>
    </row>
    <row r="6495" spans="2:2" ht="15.5" x14ac:dyDescent="0.35">
      <c r="B6495" s="171"/>
    </row>
    <row r="6496" spans="2:2" ht="15.5" x14ac:dyDescent="0.35">
      <c r="B6496" s="171"/>
    </row>
    <row r="6497" spans="2:2" ht="15.5" x14ac:dyDescent="0.35">
      <c r="B6497" s="171"/>
    </row>
    <row r="6498" spans="2:2" ht="15.5" x14ac:dyDescent="0.35">
      <c r="B6498" s="171"/>
    </row>
    <row r="6499" spans="2:2" ht="15.5" x14ac:dyDescent="0.35">
      <c r="B6499" s="171"/>
    </row>
    <row r="6500" spans="2:2" ht="15.5" x14ac:dyDescent="0.35">
      <c r="B6500" s="171"/>
    </row>
    <row r="6501" spans="2:2" ht="15.5" x14ac:dyDescent="0.35">
      <c r="B6501" s="171"/>
    </row>
    <row r="6502" spans="2:2" ht="15.5" x14ac:dyDescent="0.35">
      <c r="B6502" s="171"/>
    </row>
    <row r="6503" spans="2:2" ht="15.5" x14ac:dyDescent="0.35">
      <c r="B6503" s="171"/>
    </row>
    <row r="6504" spans="2:2" ht="15.5" x14ac:dyDescent="0.35">
      <c r="B6504" s="171"/>
    </row>
    <row r="6505" spans="2:2" ht="15.5" x14ac:dyDescent="0.35">
      <c r="B6505" s="171"/>
    </row>
    <row r="6506" spans="2:2" ht="15.5" x14ac:dyDescent="0.35">
      <c r="B6506" s="171"/>
    </row>
    <row r="6507" spans="2:2" ht="15.5" x14ac:dyDescent="0.35">
      <c r="B6507" s="171"/>
    </row>
    <row r="6508" spans="2:2" ht="15.5" x14ac:dyDescent="0.35">
      <c r="B6508" s="171"/>
    </row>
    <row r="6509" spans="2:2" ht="15.5" x14ac:dyDescent="0.35">
      <c r="B6509" s="171"/>
    </row>
    <row r="6510" spans="2:2" ht="15.5" x14ac:dyDescent="0.35">
      <c r="B6510" s="171"/>
    </row>
    <row r="6511" spans="2:2" ht="15.5" x14ac:dyDescent="0.35">
      <c r="B6511" s="171"/>
    </row>
    <row r="6512" spans="2:2" ht="15.5" x14ac:dyDescent="0.35">
      <c r="B6512" s="171"/>
    </row>
    <row r="6513" spans="2:2" ht="15.5" x14ac:dyDescent="0.35">
      <c r="B6513" s="171"/>
    </row>
    <row r="6514" spans="2:2" ht="15.5" x14ac:dyDescent="0.35">
      <c r="B6514" s="171"/>
    </row>
    <row r="6515" spans="2:2" ht="15.5" x14ac:dyDescent="0.35">
      <c r="B6515" s="171"/>
    </row>
    <row r="6516" spans="2:2" ht="15.5" x14ac:dyDescent="0.35">
      <c r="B6516" s="171"/>
    </row>
    <row r="6517" spans="2:2" ht="15.5" x14ac:dyDescent="0.35">
      <c r="B6517" s="171"/>
    </row>
    <row r="6518" spans="2:2" ht="15.5" x14ac:dyDescent="0.35">
      <c r="B6518" s="171"/>
    </row>
    <row r="6519" spans="2:2" ht="15.5" x14ac:dyDescent="0.35">
      <c r="B6519" s="171"/>
    </row>
    <row r="6520" spans="2:2" ht="15.5" x14ac:dyDescent="0.35">
      <c r="B6520" s="171"/>
    </row>
    <row r="6521" spans="2:2" ht="15.5" x14ac:dyDescent="0.35">
      <c r="B6521" s="171"/>
    </row>
    <row r="6522" spans="2:2" ht="15.5" x14ac:dyDescent="0.35">
      <c r="B6522" s="171"/>
    </row>
    <row r="6523" spans="2:2" ht="15.5" x14ac:dyDescent="0.35">
      <c r="B6523" s="171"/>
    </row>
    <row r="6524" spans="2:2" ht="15.5" x14ac:dyDescent="0.35">
      <c r="B6524" s="171"/>
    </row>
    <row r="6525" spans="2:2" ht="15.5" x14ac:dyDescent="0.35">
      <c r="B6525" s="171"/>
    </row>
    <row r="6526" spans="2:2" ht="15.5" x14ac:dyDescent="0.35">
      <c r="B6526" s="171"/>
    </row>
    <row r="6527" spans="2:2" ht="15.5" x14ac:dyDescent="0.35">
      <c r="B6527" s="171"/>
    </row>
    <row r="6528" spans="2:2" ht="15.5" x14ac:dyDescent="0.35">
      <c r="B6528" s="171"/>
    </row>
    <row r="6529" spans="2:2" ht="15.5" x14ac:dyDescent="0.35">
      <c r="B6529" s="171"/>
    </row>
    <row r="6530" spans="2:2" ht="15.5" x14ac:dyDescent="0.35">
      <c r="B6530" s="171"/>
    </row>
    <row r="6531" spans="2:2" ht="15.5" x14ac:dyDescent="0.35">
      <c r="B6531" s="171"/>
    </row>
    <row r="6532" spans="2:2" ht="15.5" x14ac:dyDescent="0.35">
      <c r="B6532" s="171"/>
    </row>
    <row r="6533" spans="2:2" ht="15.5" x14ac:dyDescent="0.35">
      <c r="B6533" s="171"/>
    </row>
    <row r="6534" spans="2:2" ht="15.5" x14ac:dyDescent="0.35">
      <c r="B6534" s="171"/>
    </row>
    <row r="6535" spans="2:2" ht="15.5" x14ac:dyDescent="0.35">
      <c r="B6535" s="171"/>
    </row>
    <row r="6536" spans="2:2" ht="15.5" x14ac:dyDescent="0.35">
      <c r="B6536" s="171"/>
    </row>
    <row r="6537" spans="2:2" ht="15.5" x14ac:dyDescent="0.35">
      <c r="B6537" s="171"/>
    </row>
    <row r="6538" spans="2:2" ht="15.5" x14ac:dyDescent="0.35">
      <c r="B6538" s="171"/>
    </row>
    <row r="6539" spans="2:2" ht="15.5" x14ac:dyDescent="0.35">
      <c r="B6539" s="171"/>
    </row>
    <row r="6540" spans="2:2" ht="15.5" x14ac:dyDescent="0.35">
      <c r="B6540" s="171"/>
    </row>
    <row r="6541" spans="2:2" ht="15.5" x14ac:dyDescent="0.35">
      <c r="B6541" s="171"/>
    </row>
    <row r="6542" spans="2:2" ht="15.5" x14ac:dyDescent="0.35">
      <c r="B6542" s="171"/>
    </row>
    <row r="6543" spans="2:2" ht="15.5" x14ac:dyDescent="0.35">
      <c r="B6543" s="171"/>
    </row>
    <row r="6544" spans="2:2" ht="15.5" x14ac:dyDescent="0.35">
      <c r="B6544" s="171"/>
    </row>
    <row r="6545" spans="2:2" ht="15.5" x14ac:dyDescent="0.35">
      <c r="B6545" s="171"/>
    </row>
    <row r="6546" spans="2:2" ht="15.5" x14ac:dyDescent="0.35">
      <c r="B6546" s="171"/>
    </row>
    <row r="6547" spans="2:2" ht="15.5" x14ac:dyDescent="0.35">
      <c r="B6547" s="171"/>
    </row>
    <row r="6548" spans="2:2" ht="15.5" x14ac:dyDescent="0.35">
      <c r="B6548" s="171"/>
    </row>
    <row r="6549" spans="2:2" ht="15.5" x14ac:dyDescent="0.35">
      <c r="B6549" s="171"/>
    </row>
    <row r="6550" spans="2:2" ht="15.5" x14ac:dyDescent="0.35">
      <c r="B6550" s="171"/>
    </row>
    <row r="6551" spans="2:2" ht="15.5" x14ac:dyDescent="0.35">
      <c r="B6551" s="171"/>
    </row>
    <row r="6552" spans="2:2" ht="15.5" x14ac:dyDescent="0.35">
      <c r="B6552" s="171"/>
    </row>
    <row r="6553" spans="2:2" ht="15.5" x14ac:dyDescent="0.35">
      <c r="B6553" s="171"/>
    </row>
    <row r="6554" spans="2:2" ht="15.5" x14ac:dyDescent="0.35">
      <c r="B6554" s="171"/>
    </row>
    <row r="6555" spans="2:2" ht="15.5" x14ac:dyDescent="0.35">
      <c r="B6555" s="171"/>
    </row>
    <row r="6556" spans="2:2" ht="15.5" x14ac:dyDescent="0.35">
      <c r="B6556" s="171"/>
    </row>
    <row r="6557" spans="2:2" ht="15.5" x14ac:dyDescent="0.35">
      <c r="B6557" s="171"/>
    </row>
    <row r="6558" spans="2:2" ht="15.5" x14ac:dyDescent="0.35">
      <c r="B6558" s="171"/>
    </row>
    <row r="6559" spans="2:2" ht="15.5" x14ac:dyDescent="0.35">
      <c r="B6559" s="171"/>
    </row>
    <row r="6560" spans="2:2" ht="15.5" x14ac:dyDescent="0.35">
      <c r="B6560" s="171"/>
    </row>
    <row r="6561" spans="2:2" ht="15.5" x14ac:dyDescent="0.35">
      <c r="B6561" s="171"/>
    </row>
    <row r="6562" spans="2:2" ht="15.5" x14ac:dyDescent="0.35">
      <c r="B6562" s="171"/>
    </row>
    <row r="6563" spans="2:2" ht="15.5" x14ac:dyDescent="0.35">
      <c r="B6563" s="171"/>
    </row>
    <row r="6564" spans="2:2" ht="15.5" x14ac:dyDescent="0.35">
      <c r="B6564" s="171"/>
    </row>
    <row r="6565" spans="2:2" ht="15.5" x14ac:dyDescent="0.35">
      <c r="B6565" s="171"/>
    </row>
    <row r="6566" spans="2:2" ht="15.5" x14ac:dyDescent="0.35">
      <c r="B6566" s="171"/>
    </row>
    <row r="6567" spans="2:2" ht="15.5" x14ac:dyDescent="0.35">
      <c r="B6567" s="171"/>
    </row>
    <row r="6568" spans="2:2" ht="15.5" x14ac:dyDescent="0.35">
      <c r="B6568" s="171"/>
    </row>
    <row r="6569" spans="2:2" ht="15.5" x14ac:dyDescent="0.35">
      <c r="B6569" s="171"/>
    </row>
    <row r="6570" spans="2:2" ht="15.5" x14ac:dyDescent="0.35">
      <c r="B6570" s="171"/>
    </row>
    <row r="6571" spans="2:2" ht="15.5" x14ac:dyDescent="0.35">
      <c r="B6571" s="171"/>
    </row>
    <row r="6572" spans="2:2" ht="15.5" x14ac:dyDescent="0.35">
      <c r="B6572" s="171"/>
    </row>
    <row r="6573" spans="2:2" ht="15.5" x14ac:dyDescent="0.35">
      <c r="B6573" s="171"/>
    </row>
    <row r="6574" spans="2:2" ht="15.5" x14ac:dyDescent="0.35">
      <c r="B6574" s="171"/>
    </row>
    <row r="6575" spans="2:2" ht="15.5" x14ac:dyDescent="0.35">
      <c r="B6575" s="171"/>
    </row>
    <row r="6576" spans="2:2" ht="15.5" x14ac:dyDescent="0.35">
      <c r="B6576" s="171"/>
    </row>
    <row r="6577" spans="2:2" ht="15.5" x14ac:dyDescent="0.35">
      <c r="B6577" s="171"/>
    </row>
    <row r="6578" spans="2:2" ht="15.5" x14ac:dyDescent="0.35">
      <c r="B6578" s="171"/>
    </row>
    <row r="6579" spans="2:2" ht="15.5" x14ac:dyDescent="0.35">
      <c r="B6579" s="171"/>
    </row>
    <row r="6580" spans="2:2" ht="15.5" x14ac:dyDescent="0.35">
      <c r="B6580" s="171"/>
    </row>
    <row r="6581" spans="2:2" ht="15.5" x14ac:dyDescent="0.35">
      <c r="B6581" s="171"/>
    </row>
    <row r="6582" spans="2:2" ht="15.5" x14ac:dyDescent="0.35">
      <c r="B6582" s="171"/>
    </row>
    <row r="6583" spans="2:2" ht="15.5" x14ac:dyDescent="0.35">
      <c r="B6583" s="171"/>
    </row>
    <row r="6584" spans="2:2" ht="15.5" x14ac:dyDescent="0.35">
      <c r="B6584" s="171"/>
    </row>
    <row r="6585" spans="2:2" ht="15.5" x14ac:dyDescent="0.35">
      <c r="B6585" s="171"/>
    </row>
    <row r="6586" spans="2:2" ht="15.5" x14ac:dyDescent="0.35">
      <c r="B6586" s="171"/>
    </row>
    <row r="6587" spans="2:2" ht="15.5" x14ac:dyDescent="0.35">
      <c r="B6587" s="171"/>
    </row>
    <row r="6588" spans="2:2" ht="15.5" x14ac:dyDescent="0.35">
      <c r="B6588" s="171"/>
    </row>
    <row r="6589" spans="2:2" ht="15.5" x14ac:dyDescent="0.35">
      <c r="B6589" s="171"/>
    </row>
    <row r="6590" spans="2:2" ht="15.5" x14ac:dyDescent="0.35">
      <c r="B6590" s="171"/>
    </row>
    <row r="6591" spans="2:2" ht="15.5" x14ac:dyDescent="0.35">
      <c r="B6591" s="171"/>
    </row>
    <row r="6592" spans="2:2" ht="15.5" x14ac:dyDescent="0.35">
      <c r="B6592" s="171"/>
    </row>
    <row r="6593" spans="2:2" ht="15.5" x14ac:dyDescent="0.35">
      <c r="B6593" s="171"/>
    </row>
    <row r="6594" spans="2:2" ht="15.5" x14ac:dyDescent="0.35">
      <c r="B6594" s="171"/>
    </row>
    <row r="6595" spans="2:2" ht="15.5" x14ac:dyDescent="0.35">
      <c r="B6595" s="171"/>
    </row>
    <row r="6596" spans="2:2" ht="15.5" x14ac:dyDescent="0.35">
      <c r="B6596" s="171"/>
    </row>
    <row r="6597" spans="2:2" ht="15.5" x14ac:dyDescent="0.35">
      <c r="B6597" s="171"/>
    </row>
    <row r="6598" spans="2:2" ht="15.5" x14ac:dyDescent="0.35">
      <c r="B6598" s="171"/>
    </row>
    <row r="6599" spans="2:2" ht="15.5" x14ac:dyDescent="0.35">
      <c r="B6599" s="171"/>
    </row>
    <row r="6600" spans="2:2" ht="15.5" x14ac:dyDescent="0.35">
      <c r="B6600" s="171"/>
    </row>
    <row r="6601" spans="2:2" ht="15.5" x14ac:dyDescent="0.35">
      <c r="B6601" s="171"/>
    </row>
    <row r="6602" spans="2:2" ht="15.5" x14ac:dyDescent="0.35">
      <c r="B6602" s="171"/>
    </row>
    <row r="6603" spans="2:2" ht="15.5" x14ac:dyDescent="0.35">
      <c r="B6603" s="171"/>
    </row>
    <row r="6604" spans="2:2" ht="15.5" x14ac:dyDescent="0.35">
      <c r="B6604" s="171"/>
    </row>
    <row r="6605" spans="2:2" ht="15.5" x14ac:dyDescent="0.35">
      <c r="B6605" s="171"/>
    </row>
    <row r="6606" spans="2:2" ht="15.5" x14ac:dyDescent="0.35">
      <c r="B6606" s="171"/>
    </row>
    <row r="6607" spans="2:2" ht="15.5" x14ac:dyDescent="0.35">
      <c r="B6607" s="171"/>
    </row>
    <row r="6608" spans="2:2" ht="15.5" x14ac:dyDescent="0.35">
      <c r="B6608" s="171"/>
    </row>
    <row r="6609" spans="2:2" ht="15.5" x14ac:dyDescent="0.35">
      <c r="B6609" s="171"/>
    </row>
    <row r="6610" spans="2:2" ht="15.5" x14ac:dyDescent="0.35">
      <c r="B6610" s="171"/>
    </row>
    <row r="6611" spans="2:2" ht="15.5" x14ac:dyDescent="0.35">
      <c r="B6611" s="171"/>
    </row>
    <row r="6612" spans="2:2" ht="15.5" x14ac:dyDescent="0.35">
      <c r="B6612" s="171"/>
    </row>
    <row r="6613" spans="2:2" ht="15.5" x14ac:dyDescent="0.35">
      <c r="B6613" s="171"/>
    </row>
    <row r="6614" spans="2:2" ht="15.5" x14ac:dyDescent="0.35">
      <c r="B6614" s="171"/>
    </row>
    <row r="6615" spans="2:2" ht="15.5" x14ac:dyDescent="0.35">
      <c r="B6615" s="171"/>
    </row>
    <row r="6616" spans="2:2" ht="15.5" x14ac:dyDescent="0.35">
      <c r="B6616" s="171"/>
    </row>
    <row r="6617" spans="2:2" ht="15.5" x14ac:dyDescent="0.35">
      <c r="B6617" s="171"/>
    </row>
    <row r="6618" spans="2:2" ht="15.5" x14ac:dyDescent="0.35">
      <c r="B6618" s="171"/>
    </row>
    <row r="6619" spans="2:2" ht="15.5" x14ac:dyDescent="0.35">
      <c r="B6619" s="171"/>
    </row>
    <row r="6620" spans="2:2" ht="15.5" x14ac:dyDescent="0.35">
      <c r="B6620" s="171"/>
    </row>
    <row r="6621" spans="2:2" ht="15.5" x14ac:dyDescent="0.35">
      <c r="B6621" s="171"/>
    </row>
    <row r="6622" spans="2:2" ht="15.5" x14ac:dyDescent="0.35">
      <c r="B6622" s="171"/>
    </row>
    <row r="6623" spans="2:2" ht="15.5" x14ac:dyDescent="0.35">
      <c r="B6623" s="171"/>
    </row>
    <row r="6624" spans="2:2" ht="15.5" x14ac:dyDescent="0.35">
      <c r="B6624" s="171"/>
    </row>
    <row r="6625" spans="2:2" ht="15.5" x14ac:dyDescent="0.35">
      <c r="B6625" s="171"/>
    </row>
    <row r="6626" spans="2:2" ht="15.5" x14ac:dyDescent="0.35">
      <c r="B6626" s="171"/>
    </row>
    <row r="6627" spans="2:2" ht="15.5" x14ac:dyDescent="0.35">
      <c r="B6627" s="171"/>
    </row>
    <row r="6628" spans="2:2" ht="15.5" x14ac:dyDescent="0.35">
      <c r="B6628" s="171"/>
    </row>
    <row r="6629" spans="2:2" ht="15.5" x14ac:dyDescent="0.35">
      <c r="B6629" s="171"/>
    </row>
    <row r="6630" spans="2:2" ht="15.5" x14ac:dyDescent="0.35">
      <c r="B6630" s="171"/>
    </row>
    <row r="6631" spans="2:2" ht="15.5" x14ac:dyDescent="0.35">
      <c r="B6631" s="171"/>
    </row>
    <row r="6632" spans="2:2" ht="15.5" x14ac:dyDescent="0.35">
      <c r="B6632" s="171"/>
    </row>
    <row r="6633" spans="2:2" ht="15.5" x14ac:dyDescent="0.35">
      <c r="B6633" s="171"/>
    </row>
    <row r="6634" spans="2:2" ht="15.5" x14ac:dyDescent="0.35">
      <c r="B6634" s="171"/>
    </row>
    <row r="6635" spans="2:2" ht="15.5" x14ac:dyDescent="0.35">
      <c r="B6635" s="171"/>
    </row>
    <row r="6636" spans="2:2" ht="15.5" x14ac:dyDescent="0.35">
      <c r="B6636" s="171"/>
    </row>
    <row r="6637" spans="2:2" ht="15.5" x14ac:dyDescent="0.35">
      <c r="B6637" s="171"/>
    </row>
    <row r="6638" spans="2:2" ht="15.5" x14ac:dyDescent="0.35">
      <c r="B6638" s="171"/>
    </row>
    <row r="6639" spans="2:2" ht="15.5" x14ac:dyDescent="0.35">
      <c r="B6639" s="171"/>
    </row>
    <row r="6640" spans="2:2" ht="15.5" x14ac:dyDescent="0.35">
      <c r="B6640" s="171"/>
    </row>
    <row r="6641" spans="2:2" ht="15.5" x14ac:dyDescent="0.35">
      <c r="B6641" s="171"/>
    </row>
    <row r="6642" spans="2:2" ht="15.5" x14ac:dyDescent="0.35">
      <c r="B6642" s="171"/>
    </row>
    <row r="6643" spans="2:2" ht="15.5" x14ac:dyDescent="0.35">
      <c r="B6643" s="171"/>
    </row>
    <row r="6644" spans="2:2" ht="15.5" x14ac:dyDescent="0.35">
      <c r="B6644" s="171"/>
    </row>
    <row r="6645" spans="2:2" ht="15.5" x14ac:dyDescent="0.35">
      <c r="B6645" s="171"/>
    </row>
    <row r="6646" spans="2:2" ht="15.5" x14ac:dyDescent="0.35">
      <c r="B6646" s="171"/>
    </row>
    <row r="6647" spans="2:2" ht="15.5" x14ac:dyDescent="0.35">
      <c r="B6647" s="171"/>
    </row>
    <row r="6648" spans="2:2" ht="15.5" x14ac:dyDescent="0.35">
      <c r="B6648" s="171"/>
    </row>
    <row r="6649" spans="2:2" ht="15.5" x14ac:dyDescent="0.35">
      <c r="B6649" s="171"/>
    </row>
    <row r="6650" spans="2:2" ht="15.5" x14ac:dyDescent="0.35">
      <c r="B6650" s="171"/>
    </row>
    <row r="6651" spans="2:2" ht="15.5" x14ac:dyDescent="0.35">
      <c r="B6651" s="171"/>
    </row>
    <row r="6652" spans="2:2" ht="15.5" x14ac:dyDescent="0.35">
      <c r="B6652" s="171"/>
    </row>
    <row r="6653" spans="2:2" ht="15.5" x14ac:dyDescent="0.35">
      <c r="B6653" s="171"/>
    </row>
    <row r="6654" spans="2:2" ht="15.5" x14ac:dyDescent="0.35">
      <c r="B6654" s="171"/>
    </row>
    <row r="6655" spans="2:2" ht="15.5" x14ac:dyDescent="0.35">
      <c r="B6655" s="171"/>
    </row>
    <row r="6656" spans="2:2" ht="15.5" x14ac:dyDescent="0.35">
      <c r="B6656" s="171"/>
    </row>
    <row r="6657" spans="2:2" ht="15.5" x14ac:dyDescent="0.35">
      <c r="B6657" s="171"/>
    </row>
    <row r="6658" spans="2:2" ht="15.5" x14ac:dyDescent="0.35">
      <c r="B6658" s="171"/>
    </row>
    <row r="6659" spans="2:2" ht="15.5" x14ac:dyDescent="0.35">
      <c r="B6659" s="171"/>
    </row>
    <row r="6660" spans="2:2" ht="15.5" x14ac:dyDescent="0.35">
      <c r="B6660" s="171"/>
    </row>
    <row r="6661" spans="2:2" ht="15.5" x14ac:dyDescent="0.35">
      <c r="B6661" s="171"/>
    </row>
    <row r="6662" spans="2:2" ht="15.5" x14ac:dyDescent="0.35">
      <c r="B6662" s="171"/>
    </row>
    <row r="6663" spans="2:2" ht="15.5" x14ac:dyDescent="0.35">
      <c r="B6663" s="171"/>
    </row>
    <row r="6664" spans="2:2" ht="15.5" x14ac:dyDescent="0.35">
      <c r="B6664" s="171"/>
    </row>
    <row r="6665" spans="2:2" ht="15.5" x14ac:dyDescent="0.35">
      <c r="B6665" s="171"/>
    </row>
    <row r="6666" spans="2:2" ht="15.5" x14ac:dyDescent="0.35">
      <c r="B6666" s="171"/>
    </row>
    <row r="6667" spans="2:2" ht="15.5" x14ac:dyDescent="0.35">
      <c r="B6667" s="171"/>
    </row>
    <row r="6668" spans="2:2" ht="15.5" x14ac:dyDescent="0.35">
      <c r="B6668" s="171"/>
    </row>
    <row r="6669" spans="2:2" ht="15.5" x14ac:dyDescent="0.35">
      <c r="B6669" s="171"/>
    </row>
    <row r="6670" spans="2:2" ht="15.5" x14ac:dyDescent="0.35">
      <c r="B6670" s="171"/>
    </row>
    <row r="6671" spans="2:2" ht="15.5" x14ac:dyDescent="0.35">
      <c r="B6671" s="171"/>
    </row>
    <row r="6672" spans="2:2" ht="15.5" x14ac:dyDescent="0.35">
      <c r="B6672" s="171"/>
    </row>
    <row r="6673" spans="2:2" ht="15.5" x14ac:dyDescent="0.35">
      <c r="B6673" s="171"/>
    </row>
    <row r="6674" spans="2:2" ht="15.5" x14ac:dyDescent="0.35">
      <c r="B6674" s="171"/>
    </row>
    <row r="6675" spans="2:2" ht="15.5" x14ac:dyDescent="0.35">
      <c r="B6675" s="171"/>
    </row>
    <row r="6676" spans="2:2" ht="15.5" x14ac:dyDescent="0.35">
      <c r="B6676" s="171"/>
    </row>
    <row r="6677" spans="2:2" ht="15.5" x14ac:dyDescent="0.35">
      <c r="B6677" s="171"/>
    </row>
    <row r="6678" spans="2:2" ht="15.5" x14ac:dyDescent="0.35">
      <c r="B6678" s="171"/>
    </row>
    <row r="6679" spans="2:2" ht="15.5" x14ac:dyDescent="0.35">
      <c r="B6679" s="171"/>
    </row>
    <row r="6680" spans="2:2" ht="15.5" x14ac:dyDescent="0.35">
      <c r="B6680" s="171"/>
    </row>
    <row r="6681" spans="2:2" ht="15.5" x14ac:dyDescent="0.35">
      <c r="B6681" s="171"/>
    </row>
    <row r="6682" spans="2:2" ht="15.5" x14ac:dyDescent="0.35">
      <c r="B6682" s="171"/>
    </row>
    <row r="6683" spans="2:2" ht="15.5" x14ac:dyDescent="0.35">
      <c r="B6683" s="171"/>
    </row>
    <row r="6684" spans="2:2" ht="15.5" x14ac:dyDescent="0.35">
      <c r="B6684" s="171"/>
    </row>
    <row r="6685" spans="2:2" ht="15.5" x14ac:dyDescent="0.35">
      <c r="B6685" s="171"/>
    </row>
    <row r="6686" spans="2:2" ht="15.5" x14ac:dyDescent="0.35">
      <c r="B6686" s="171"/>
    </row>
    <row r="6687" spans="2:2" ht="15.5" x14ac:dyDescent="0.35">
      <c r="B6687" s="171"/>
    </row>
    <row r="6688" spans="2:2" ht="15.5" x14ac:dyDescent="0.35">
      <c r="B6688" s="171"/>
    </row>
    <row r="6689" spans="2:2" ht="15.5" x14ac:dyDescent="0.35">
      <c r="B6689" s="171"/>
    </row>
    <row r="6690" spans="2:2" ht="15.5" x14ac:dyDescent="0.35">
      <c r="B6690" s="171"/>
    </row>
    <row r="6691" spans="2:2" ht="15.5" x14ac:dyDescent="0.35">
      <c r="B6691" s="171"/>
    </row>
    <row r="6692" spans="2:2" ht="15.5" x14ac:dyDescent="0.35">
      <c r="B6692" s="171"/>
    </row>
    <row r="6693" spans="2:2" ht="15.5" x14ac:dyDescent="0.35">
      <c r="B6693" s="171"/>
    </row>
    <row r="6694" spans="2:2" ht="15.5" x14ac:dyDescent="0.35">
      <c r="B6694" s="171"/>
    </row>
    <row r="6695" spans="2:2" ht="15.5" x14ac:dyDescent="0.35">
      <c r="B6695" s="171"/>
    </row>
    <row r="6696" spans="2:2" ht="15.5" x14ac:dyDescent="0.35">
      <c r="B6696" s="171"/>
    </row>
    <row r="6697" spans="2:2" ht="15.5" x14ac:dyDescent="0.35">
      <c r="B6697" s="171"/>
    </row>
    <row r="6698" spans="2:2" ht="15.5" x14ac:dyDescent="0.35">
      <c r="B6698" s="171"/>
    </row>
    <row r="6699" spans="2:2" ht="15.5" x14ac:dyDescent="0.35">
      <c r="B6699" s="171"/>
    </row>
    <row r="6700" spans="2:2" ht="15.5" x14ac:dyDescent="0.35">
      <c r="B6700" s="171"/>
    </row>
    <row r="6701" spans="2:2" ht="15.5" x14ac:dyDescent="0.35">
      <c r="B6701" s="171"/>
    </row>
    <row r="6702" spans="2:2" ht="15.5" x14ac:dyDescent="0.35">
      <c r="B6702" s="171"/>
    </row>
    <row r="6703" spans="2:2" ht="15.5" x14ac:dyDescent="0.35">
      <c r="B6703" s="171"/>
    </row>
    <row r="6704" spans="2:2" ht="15.5" x14ac:dyDescent="0.35">
      <c r="B6704" s="171"/>
    </row>
    <row r="6705" spans="2:2" ht="15.5" x14ac:dyDescent="0.35">
      <c r="B6705" s="171"/>
    </row>
    <row r="6706" spans="2:2" ht="15.5" x14ac:dyDescent="0.35">
      <c r="B6706" s="171"/>
    </row>
    <row r="6707" spans="2:2" ht="15.5" x14ac:dyDescent="0.35">
      <c r="B6707" s="171"/>
    </row>
    <row r="6708" spans="2:2" ht="15.5" x14ac:dyDescent="0.35">
      <c r="B6708" s="171"/>
    </row>
    <row r="6709" spans="2:2" ht="15.5" x14ac:dyDescent="0.35">
      <c r="B6709" s="171"/>
    </row>
    <row r="6710" spans="2:2" ht="15.5" x14ac:dyDescent="0.35">
      <c r="B6710" s="171"/>
    </row>
    <row r="6711" spans="2:2" ht="15.5" x14ac:dyDescent="0.35">
      <c r="B6711" s="171"/>
    </row>
    <row r="6712" spans="2:2" ht="15.5" x14ac:dyDescent="0.35">
      <c r="B6712" s="171"/>
    </row>
    <row r="6713" spans="2:2" ht="15.5" x14ac:dyDescent="0.35">
      <c r="B6713" s="171"/>
    </row>
    <row r="6714" spans="2:2" ht="15.5" x14ac:dyDescent="0.35">
      <c r="B6714" s="171"/>
    </row>
    <row r="6715" spans="2:2" ht="15.5" x14ac:dyDescent="0.35">
      <c r="B6715" s="171"/>
    </row>
    <row r="6716" spans="2:2" ht="15.5" x14ac:dyDescent="0.35">
      <c r="B6716" s="171"/>
    </row>
    <row r="6717" spans="2:2" ht="15.5" x14ac:dyDescent="0.35">
      <c r="B6717" s="171"/>
    </row>
    <row r="6718" spans="2:2" ht="15.5" x14ac:dyDescent="0.35">
      <c r="B6718" s="171"/>
    </row>
    <row r="6719" spans="2:2" ht="15.5" x14ac:dyDescent="0.35">
      <c r="B6719" s="171"/>
    </row>
    <row r="6720" spans="2:2" ht="15.5" x14ac:dyDescent="0.35">
      <c r="B6720" s="171"/>
    </row>
    <row r="6721" spans="2:2" ht="15.5" x14ac:dyDescent="0.35">
      <c r="B6721" s="171"/>
    </row>
    <row r="6722" spans="2:2" ht="15.5" x14ac:dyDescent="0.35">
      <c r="B6722" s="171"/>
    </row>
    <row r="6723" spans="2:2" ht="15.5" x14ac:dyDescent="0.35">
      <c r="B6723" s="171"/>
    </row>
    <row r="6724" spans="2:2" ht="15.5" x14ac:dyDescent="0.35">
      <c r="B6724" s="171"/>
    </row>
    <row r="6725" spans="2:2" ht="15.5" x14ac:dyDescent="0.35">
      <c r="B6725" s="171"/>
    </row>
    <row r="6726" spans="2:2" ht="15.5" x14ac:dyDescent="0.35">
      <c r="B6726" s="171"/>
    </row>
    <row r="6727" spans="2:2" ht="15.5" x14ac:dyDescent="0.35">
      <c r="B6727" s="171"/>
    </row>
    <row r="6728" spans="2:2" ht="15.5" x14ac:dyDescent="0.35">
      <c r="B6728" s="171"/>
    </row>
    <row r="6729" spans="2:2" ht="15.5" x14ac:dyDescent="0.35">
      <c r="B6729" s="171"/>
    </row>
    <row r="6730" spans="2:2" ht="15.5" x14ac:dyDescent="0.35">
      <c r="B6730" s="171"/>
    </row>
    <row r="6731" spans="2:2" ht="15.5" x14ac:dyDescent="0.35">
      <c r="B6731" s="171"/>
    </row>
    <row r="6732" spans="2:2" ht="15.5" x14ac:dyDescent="0.35">
      <c r="B6732" s="171"/>
    </row>
    <row r="6733" spans="2:2" ht="15.5" x14ac:dyDescent="0.35">
      <c r="B6733" s="171"/>
    </row>
    <row r="6734" spans="2:2" ht="15.5" x14ac:dyDescent="0.35">
      <c r="B6734" s="171"/>
    </row>
    <row r="6735" spans="2:2" ht="15.5" x14ac:dyDescent="0.35">
      <c r="B6735" s="171"/>
    </row>
    <row r="6736" spans="2:2" ht="15.5" x14ac:dyDescent="0.35">
      <c r="B6736" s="171"/>
    </row>
    <row r="6737" spans="2:2" ht="15.5" x14ac:dyDescent="0.35">
      <c r="B6737" s="171"/>
    </row>
    <row r="6738" spans="2:2" ht="15.5" x14ac:dyDescent="0.35">
      <c r="B6738" s="171"/>
    </row>
    <row r="6739" spans="2:2" ht="15.5" x14ac:dyDescent="0.35">
      <c r="B6739" s="171"/>
    </row>
    <row r="6740" spans="2:2" ht="15.5" x14ac:dyDescent="0.35">
      <c r="B6740" s="171"/>
    </row>
    <row r="6741" spans="2:2" ht="15.5" x14ac:dyDescent="0.35">
      <c r="B6741" s="171"/>
    </row>
    <row r="6742" spans="2:2" ht="15.5" x14ac:dyDescent="0.35">
      <c r="B6742" s="171"/>
    </row>
    <row r="6743" spans="2:2" ht="15.5" x14ac:dyDescent="0.35">
      <c r="B6743" s="171"/>
    </row>
    <row r="6744" spans="2:2" ht="15.5" x14ac:dyDescent="0.35">
      <c r="B6744" s="171"/>
    </row>
    <row r="6745" spans="2:2" ht="15.5" x14ac:dyDescent="0.35">
      <c r="B6745" s="171"/>
    </row>
    <row r="6746" spans="2:2" ht="15.5" x14ac:dyDescent="0.35">
      <c r="B6746" s="171"/>
    </row>
    <row r="6747" spans="2:2" ht="15.5" x14ac:dyDescent="0.35">
      <c r="B6747" s="171"/>
    </row>
    <row r="6748" spans="2:2" ht="15.5" x14ac:dyDescent="0.35">
      <c r="B6748" s="171"/>
    </row>
    <row r="6749" spans="2:2" ht="15.5" x14ac:dyDescent="0.35">
      <c r="B6749" s="171"/>
    </row>
    <row r="6750" spans="2:2" ht="15.5" x14ac:dyDescent="0.35">
      <c r="B6750" s="171"/>
    </row>
    <row r="6751" spans="2:2" ht="15.5" x14ac:dyDescent="0.35">
      <c r="B6751" s="171"/>
    </row>
    <row r="6752" spans="2:2" ht="15.5" x14ac:dyDescent="0.35">
      <c r="B6752" s="171"/>
    </row>
    <row r="6753" spans="2:2" ht="15.5" x14ac:dyDescent="0.35">
      <c r="B6753" s="171"/>
    </row>
    <row r="6754" spans="2:2" ht="15.5" x14ac:dyDescent="0.35">
      <c r="B6754" s="171"/>
    </row>
    <row r="6755" spans="2:2" ht="15.5" x14ac:dyDescent="0.35">
      <c r="B6755" s="171"/>
    </row>
    <row r="6756" spans="2:2" ht="15.5" x14ac:dyDescent="0.35">
      <c r="B6756" s="171"/>
    </row>
    <row r="6757" spans="2:2" ht="15.5" x14ac:dyDescent="0.35">
      <c r="B6757" s="171"/>
    </row>
    <row r="6758" spans="2:2" ht="15.5" x14ac:dyDescent="0.35">
      <c r="B6758" s="171"/>
    </row>
    <row r="6759" spans="2:2" ht="15.5" x14ac:dyDescent="0.35">
      <c r="B6759" s="171"/>
    </row>
    <row r="6760" spans="2:2" ht="15.5" x14ac:dyDescent="0.35">
      <c r="B6760" s="171"/>
    </row>
    <row r="6761" spans="2:2" ht="15.5" x14ac:dyDescent="0.35">
      <c r="B6761" s="171"/>
    </row>
    <row r="6762" spans="2:2" ht="15.5" x14ac:dyDescent="0.35">
      <c r="B6762" s="171"/>
    </row>
    <row r="6763" spans="2:2" ht="15.5" x14ac:dyDescent="0.35">
      <c r="B6763" s="171"/>
    </row>
    <row r="6764" spans="2:2" ht="15.5" x14ac:dyDescent="0.35">
      <c r="B6764" s="171"/>
    </row>
    <row r="6765" spans="2:2" ht="15.5" x14ac:dyDescent="0.35">
      <c r="B6765" s="171"/>
    </row>
    <row r="6766" spans="2:2" ht="15.5" x14ac:dyDescent="0.35">
      <c r="B6766" s="171"/>
    </row>
    <row r="6767" spans="2:2" ht="15.5" x14ac:dyDescent="0.35">
      <c r="B6767" s="171"/>
    </row>
    <row r="6768" spans="2:2" ht="15.5" x14ac:dyDescent="0.35">
      <c r="B6768" s="171"/>
    </row>
    <row r="6769" spans="2:2" ht="15.5" x14ac:dyDescent="0.35">
      <c r="B6769" s="171"/>
    </row>
    <row r="6770" spans="2:2" ht="15.5" x14ac:dyDescent="0.35">
      <c r="B6770" s="171"/>
    </row>
    <row r="6771" spans="2:2" ht="15.5" x14ac:dyDescent="0.35">
      <c r="B6771" s="171"/>
    </row>
    <row r="6772" spans="2:2" ht="15.5" x14ac:dyDescent="0.35">
      <c r="B6772" s="171"/>
    </row>
    <row r="6773" spans="2:2" ht="15.5" x14ac:dyDescent="0.35">
      <c r="B6773" s="171"/>
    </row>
    <row r="6774" spans="2:2" ht="15.5" x14ac:dyDescent="0.35">
      <c r="B6774" s="171"/>
    </row>
    <row r="6775" spans="2:2" ht="15.5" x14ac:dyDescent="0.35">
      <c r="B6775" s="171"/>
    </row>
    <row r="6776" spans="2:2" ht="15.5" x14ac:dyDescent="0.35">
      <c r="B6776" s="171"/>
    </row>
    <row r="6777" spans="2:2" ht="15.5" x14ac:dyDescent="0.35">
      <c r="B6777" s="171"/>
    </row>
    <row r="6778" spans="2:2" ht="15.5" x14ac:dyDescent="0.35">
      <c r="B6778" s="171"/>
    </row>
    <row r="6779" spans="2:2" ht="15.5" x14ac:dyDescent="0.35">
      <c r="B6779" s="171"/>
    </row>
    <row r="6780" spans="2:2" ht="15.5" x14ac:dyDescent="0.35">
      <c r="B6780" s="171"/>
    </row>
    <row r="6781" spans="2:2" ht="15.5" x14ac:dyDescent="0.35">
      <c r="B6781" s="171"/>
    </row>
    <row r="6782" spans="2:2" ht="15.5" x14ac:dyDescent="0.35">
      <c r="B6782" s="171"/>
    </row>
    <row r="6783" spans="2:2" ht="15.5" x14ac:dyDescent="0.35">
      <c r="B6783" s="171"/>
    </row>
    <row r="6784" spans="2:2" ht="15.5" x14ac:dyDescent="0.35">
      <c r="B6784" s="171"/>
    </row>
    <row r="6785" spans="2:2" ht="15.5" x14ac:dyDescent="0.35">
      <c r="B6785" s="171"/>
    </row>
    <row r="6786" spans="2:2" ht="15.5" x14ac:dyDescent="0.35">
      <c r="B6786" s="171"/>
    </row>
    <row r="6787" spans="2:2" ht="15.5" x14ac:dyDescent="0.35">
      <c r="B6787" s="171"/>
    </row>
    <row r="6788" spans="2:2" ht="15.5" x14ac:dyDescent="0.35">
      <c r="B6788" s="171"/>
    </row>
    <row r="6789" spans="2:2" ht="15.5" x14ac:dyDescent="0.35">
      <c r="B6789" s="171"/>
    </row>
    <row r="6790" spans="2:2" ht="15.5" x14ac:dyDescent="0.35">
      <c r="B6790" s="171"/>
    </row>
    <row r="6791" spans="2:2" ht="15.5" x14ac:dyDescent="0.35">
      <c r="B6791" s="171"/>
    </row>
    <row r="6792" spans="2:2" ht="15.5" x14ac:dyDescent="0.35">
      <c r="B6792" s="171"/>
    </row>
    <row r="6793" spans="2:2" ht="15.5" x14ac:dyDescent="0.35">
      <c r="B6793" s="171"/>
    </row>
    <row r="6794" spans="2:2" ht="15.5" x14ac:dyDescent="0.35">
      <c r="B6794" s="171"/>
    </row>
    <row r="6795" spans="2:2" ht="15.5" x14ac:dyDescent="0.35">
      <c r="B6795" s="171"/>
    </row>
    <row r="6796" spans="2:2" ht="15.5" x14ac:dyDescent="0.35">
      <c r="B6796" s="171"/>
    </row>
    <row r="6797" spans="2:2" ht="15.5" x14ac:dyDescent="0.35">
      <c r="B6797" s="171"/>
    </row>
    <row r="6798" spans="2:2" ht="15.5" x14ac:dyDescent="0.35">
      <c r="B6798" s="171"/>
    </row>
    <row r="6799" spans="2:2" ht="15.5" x14ac:dyDescent="0.35">
      <c r="B6799" s="171"/>
    </row>
    <row r="6800" spans="2:2" ht="15.5" x14ac:dyDescent="0.35">
      <c r="B6800" s="171"/>
    </row>
    <row r="6801" spans="2:2" ht="15.5" x14ac:dyDescent="0.35">
      <c r="B6801" s="171"/>
    </row>
    <row r="6802" spans="2:2" ht="15.5" x14ac:dyDescent="0.35">
      <c r="B6802" s="171"/>
    </row>
    <row r="6803" spans="2:2" ht="15.5" x14ac:dyDescent="0.35">
      <c r="B6803" s="171"/>
    </row>
    <row r="6804" spans="2:2" ht="15.5" x14ac:dyDescent="0.35">
      <c r="B6804" s="171"/>
    </row>
    <row r="6805" spans="2:2" ht="15.5" x14ac:dyDescent="0.35">
      <c r="B6805" s="171"/>
    </row>
    <row r="6806" spans="2:2" ht="15.5" x14ac:dyDescent="0.35">
      <c r="B6806" s="171"/>
    </row>
    <row r="6807" spans="2:2" ht="15.5" x14ac:dyDescent="0.35">
      <c r="B6807" s="171"/>
    </row>
    <row r="6808" spans="2:2" ht="15.5" x14ac:dyDescent="0.35">
      <c r="B6808" s="171"/>
    </row>
    <row r="6809" spans="2:2" ht="15.5" x14ac:dyDescent="0.35">
      <c r="B6809" s="171"/>
    </row>
    <row r="6810" spans="2:2" ht="15.5" x14ac:dyDescent="0.35">
      <c r="B6810" s="171"/>
    </row>
    <row r="6811" spans="2:2" ht="15.5" x14ac:dyDescent="0.35">
      <c r="B6811" s="171"/>
    </row>
    <row r="6812" spans="2:2" ht="15.5" x14ac:dyDescent="0.35">
      <c r="B6812" s="171"/>
    </row>
    <row r="6813" spans="2:2" ht="15.5" x14ac:dyDescent="0.35">
      <c r="B6813" s="171"/>
    </row>
    <row r="6814" spans="2:2" ht="15.5" x14ac:dyDescent="0.35">
      <c r="B6814" s="171"/>
    </row>
    <row r="6815" spans="2:2" ht="15.5" x14ac:dyDescent="0.35">
      <c r="B6815" s="171"/>
    </row>
    <row r="6816" spans="2:2" ht="15.5" x14ac:dyDescent="0.35">
      <c r="B6816" s="171"/>
    </row>
    <row r="6817" spans="2:2" ht="15.5" x14ac:dyDescent="0.35">
      <c r="B6817" s="171"/>
    </row>
    <row r="6818" spans="2:2" ht="15.5" x14ac:dyDescent="0.35">
      <c r="B6818" s="171"/>
    </row>
    <row r="6819" spans="2:2" ht="15.5" x14ac:dyDescent="0.35">
      <c r="B6819" s="171"/>
    </row>
    <row r="6820" spans="2:2" ht="15.5" x14ac:dyDescent="0.35">
      <c r="B6820" s="171"/>
    </row>
    <row r="6821" spans="2:2" ht="15.5" x14ac:dyDescent="0.35">
      <c r="B6821" s="171"/>
    </row>
    <row r="6822" spans="2:2" ht="15.5" x14ac:dyDescent="0.35">
      <c r="B6822" s="171"/>
    </row>
    <row r="6823" spans="2:2" ht="15.5" x14ac:dyDescent="0.35">
      <c r="B6823" s="171"/>
    </row>
    <row r="6824" spans="2:2" ht="15.5" x14ac:dyDescent="0.35">
      <c r="B6824" s="171"/>
    </row>
    <row r="6825" spans="2:2" ht="15.5" x14ac:dyDescent="0.35">
      <c r="B6825" s="171"/>
    </row>
    <row r="6826" spans="2:2" ht="15.5" x14ac:dyDescent="0.35">
      <c r="B6826" s="171"/>
    </row>
    <row r="6827" spans="2:2" ht="15.5" x14ac:dyDescent="0.35">
      <c r="B6827" s="171"/>
    </row>
    <row r="6828" spans="2:2" ht="15.5" x14ac:dyDescent="0.35">
      <c r="B6828" s="171"/>
    </row>
    <row r="6829" spans="2:2" ht="15.5" x14ac:dyDescent="0.35">
      <c r="B6829" s="171"/>
    </row>
    <row r="6830" spans="2:2" ht="15.5" x14ac:dyDescent="0.35">
      <c r="B6830" s="171"/>
    </row>
    <row r="6831" spans="2:2" ht="15.5" x14ac:dyDescent="0.35">
      <c r="B6831" s="171"/>
    </row>
    <row r="6832" spans="2:2" ht="15.5" x14ac:dyDescent="0.35">
      <c r="B6832" s="171"/>
    </row>
    <row r="6833" spans="2:2" ht="15.5" x14ac:dyDescent="0.35">
      <c r="B6833" s="171"/>
    </row>
    <row r="6834" spans="2:2" ht="15.5" x14ac:dyDescent="0.35">
      <c r="B6834" s="171"/>
    </row>
    <row r="6835" spans="2:2" ht="15.5" x14ac:dyDescent="0.35">
      <c r="B6835" s="171"/>
    </row>
    <row r="6836" spans="2:2" ht="15.5" x14ac:dyDescent="0.35">
      <c r="B6836" s="171"/>
    </row>
    <row r="6837" spans="2:2" ht="15.5" x14ac:dyDescent="0.35">
      <c r="B6837" s="171"/>
    </row>
    <row r="6838" spans="2:2" ht="15.5" x14ac:dyDescent="0.35">
      <c r="B6838" s="171"/>
    </row>
    <row r="6839" spans="2:2" ht="15.5" x14ac:dyDescent="0.35">
      <c r="B6839" s="171"/>
    </row>
    <row r="6840" spans="2:2" ht="15.5" x14ac:dyDescent="0.35">
      <c r="B6840" s="171"/>
    </row>
    <row r="6841" spans="2:2" ht="15.5" x14ac:dyDescent="0.35">
      <c r="B6841" s="171"/>
    </row>
    <row r="6842" spans="2:2" ht="15.5" x14ac:dyDescent="0.35">
      <c r="B6842" s="171"/>
    </row>
    <row r="6843" spans="2:2" ht="15.5" x14ac:dyDescent="0.35">
      <c r="B6843" s="171"/>
    </row>
    <row r="6844" spans="2:2" ht="15.5" x14ac:dyDescent="0.35">
      <c r="B6844" s="171"/>
    </row>
    <row r="6845" spans="2:2" ht="15.5" x14ac:dyDescent="0.35">
      <c r="B6845" s="171"/>
    </row>
    <row r="6846" spans="2:2" ht="15.5" x14ac:dyDescent="0.35">
      <c r="B6846" s="171"/>
    </row>
    <row r="6847" spans="2:2" ht="15.5" x14ac:dyDescent="0.35">
      <c r="B6847" s="171"/>
    </row>
    <row r="6848" spans="2:2" ht="15.5" x14ac:dyDescent="0.35">
      <c r="B6848" s="171"/>
    </row>
    <row r="6849" spans="2:2" ht="15.5" x14ac:dyDescent="0.35">
      <c r="B6849" s="171"/>
    </row>
    <row r="6850" spans="2:2" ht="15.5" x14ac:dyDescent="0.35">
      <c r="B6850" s="171"/>
    </row>
    <row r="6851" spans="2:2" ht="15.5" x14ac:dyDescent="0.35">
      <c r="B6851" s="171"/>
    </row>
    <row r="6852" spans="2:2" ht="15.5" x14ac:dyDescent="0.35">
      <c r="B6852" s="171"/>
    </row>
    <row r="6853" spans="2:2" ht="15.5" x14ac:dyDescent="0.35">
      <c r="B6853" s="171"/>
    </row>
    <row r="6854" spans="2:2" ht="15.5" x14ac:dyDescent="0.35">
      <c r="B6854" s="171"/>
    </row>
    <row r="6855" spans="2:2" ht="15.5" x14ac:dyDescent="0.35">
      <c r="B6855" s="171"/>
    </row>
    <row r="6856" spans="2:2" ht="15.5" x14ac:dyDescent="0.35">
      <c r="B6856" s="171"/>
    </row>
    <row r="6857" spans="2:2" ht="15.5" x14ac:dyDescent="0.35">
      <c r="B6857" s="171"/>
    </row>
    <row r="6858" spans="2:2" ht="15.5" x14ac:dyDescent="0.35">
      <c r="B6858" s="171"/>
    </row>
    <row r="6859" spans="2:2" ht="15.5" x14ac:dyDescent="0.35">
      <c r="B6859" s="171"/>
    </row>
    <row r="6860" spans="2:2" ht="15.5" x14ac:dyDescent="0.35">
      <c r="B6860" s="171"/>
    </row>
    <row r="6861" spans="2:2" ht="15.5" x14ac:dyDescent="0.35">
      <c r="B6861" s="171"/>
    </row>
    <row r="6862" spans="2:2" ht="15.5" x14ac:dyDescent="0.35">
      <c r="B6862" s="171"/>
    </row>
    <row r="6863" spans="2:2" ht="15.5" x14ac:dyDescent="0.35">
      <c r="B6863" s="171"/>
    </row>
    <row r="6864" spans="2:2" ht="15.5" x14ac:dyDescent="0.35">
      <c r="B6864" s="171"/>
    </row>
    <row r="6865" spans="2:2" ht="15.5" x14ac:dyDescent="0.35">
      <c r="B6865" s="171"/>
    </row>
    <row r="6866" spans="2:2" ht="15.5" x14ac:dyDescent="0.35">
      <c r="B6866" s="171"/>
    </row>
    <row r="6867" spans="2:2" ht="15.5" x14ac:dyDescent="0.35">
      <c r="B6867" s="171"/>
    </row>
    <row r="6868" spans="2:2" ht="15.5" x14ac:dyDescent="0.35">
      <c r="B6868" s="171"/>
    </row>
    <row r="6869" spans="2:2" ht="15.5" x14ac:dyDescent="0.35">
      <c r="B6869" s="171"/>
    </row>
    <row r="6870" spans="2:2" ht="15.5" x14ac:dyDescent="0.35">
      <c r="B6870" s="171"/>
    </row>
    <row r="6871" spans="2:2" ht="15.5" x14ac:dyDescent="0.35">
      <c r="B6871" s="171"/>
    </row>
    <row r="6872" spans="2:2" ht="15.5" x14ac:dyDescent="0.35">
      <c r="B6872" s="171"/>
    </row>
    <row r="6873" spans="2:2" ht="15.5" x14ac:dyDescent="0.35">
      <c r="B6873" s="171"/>
    </row>
    <row r="6874" spans="2:2" ht="15.5" x14ac:dyDescent="0.35">
      <c r="B6874" s="171"/>
    </row>
    <row r="6875" spans="2:2" ht="15.5" x14ac:dyDescent="0.35">
      <c r="B6875" s="171"/>
    </row>
    <row r="6876" spans="2:2" ht="15.5" x14ac:dyDescent="0.35">
      <c r="B6876" s="171"/>
    </row>
    <row r="6877" spans="2:2" ht="15.5" x14ac:dyDescent="0.35">
      <c r="B6877" s="171"/>
    </row>
    <row r="6878" spans="2:2" ht="15.5" x14ac:dyDescent="0.35">
      <c r="B6878" s="171"/>
    </row>
    <row r="6879" spans="2:2" ht="15.5" x14ac:dyDescent="0.35">
      <c r="B6879" s="171"/>
    </row>
    <row r="6880" spans="2:2" ht="15.5" x14ac:dyDescent="0.35">
      <c r="B6880" s="171"/>
    </row>
    <row r="6881" spans="2:2" ht="15.5" x14ac:dyDescent="0.35">
      <c r="B6881" s="171"/>
    </row>
    <row r="6882" spans="2:2" ht="15.5" x14ac:dyDescent="0.35">
      <c r="B6882" s="171"/>
    </row>
    <row r="6883" spans="2:2" ht="15.5" x14ac:dyDescent="0.35">
      <c r="B6883" s="171"/>
    </row>
    <row r="6884" spans="2:2" ht="15.5" x14ac:dyDescent="0.35">
      <c r="B6884" s="171"/>
    </row>
    <row r="6885" spans="2:2" ht="15.5" x14ac:dyDescent="0.35">
      <c r="B6885" s="171"/>
    </row>
    <row r="6886" spans="2:2" ht="15.5" x14ac:dyDescent="0.35">
      <c r="B6886" s="171"/>
    </row>
    <row r="6887" spans="2:2" ht="15.5" x14ac:dyDescent="0.35">
      <c r="B6887" s="171"/>
    </row>
    <row r="6888" spans="2:2" ht="15.5" x14ac:dyDescent="0.35">
      <c r="B6888" s="171"/>
    </row>
    <row r="6889" spans="2:2" ht="15.5" x14ac:dyDescent="0.35">
      <c r="B6889" s="171"/>
    </row>
    <row r="6890" spans="2:2" ht="15.5" x14ac:dyDescent="0.35">
      <c r="B6890" s="171"/>
    </row>
    <row r="6891" spans="2:2" ht="15.5" x14ac:dyDescent="0.35">
      <c r="B6891" s="171"/>
    </row>
    <row r="6892" spans="2:2" ht="15.5" x14ac:dyDescent="0.35">
      <c r="B6892" s="171"/>
    </row>
    <row r="6893" spans="2:2" ht="15.5" x14ac:dyDescent="0.35">
      <c r="B6893" s="171"/>
    </row>
    <row r="6894" spans="2:2" ht="15.5" x14ac:dyDescent="0.35">
      <c r="B6894" s="171"/>
    </row>
    <row r="6895" spans="2:2" ht="15.5" x14ac:dyDescent="0.35">
      <c r="B6895" s="171"/>
    </row>
    <row r="6896" spans="2:2" ht="15.5" x14ac:dyDescent="0.35">
      <c r="B6896" s="171"/>
    </row>
    <row r="6897" spans="2:2" ht="15.5" x14ac:dyDescent="0.35">
      <c r="B6897" s="171"/>
    </row>
    <row r="6898" spans="2:2" ht="15.5" x14ac:dyDescent="0.35">
      <c r="B6898" s="171"/>
    </row>
    <row r="6899" spans="2:2" ht="15.5" x14ac:dyDescent="0.35">
      <c r="B6899" s="171"/>
    </row>
    <row r="6900" spans="2:2" ht="15.5" x14ac:dyDescent="0.35">
      <c r="B6900" s="171"/>
    </row>
    <row r="6901" spans="2:2" ht="15.5" x14ac:dyDescent="0.35">
      <c r="B6901" s="171"/>
    </row>
    <row r="6902" spans="2:2" ht="15.5" x14ac:dyDescent="0.35">
      <c r="B6902" s="171"/>
    </row>
    <row r="6903" spans="2:2" ht="15.5" x14ac:dyDescent="0.35">
      <c r="B6903" s="171"/>
    </row>
    <row r="6904" spans="2:2" ht="15.5" x14ac:dyDescent="0.35">
      <c r="B6904" s="171"/>
    </row>
    <row r="6905" spans="2:2" ht="15.5" x14ac:dyDescent="0.35">
      <c r="B6905" s="171"/>
    </row>
    <row r="6906" spans="2:2" ht="15.5" x14ac:dyDescent="0.35">
      <c r="B6906" s="171"/>
    </row>
    <row r="6907" spans="2:2" ht="15.5" x14ac:dyDescent="0.35">
      <c r="B6907" s="171"/>
    </row>
    <row r="6908" spans="2:2" ht="15.5" x14ac:dyDescent="0.35">
      <c r="B6908" s="171"/>
    </row>
    <row r="6909" spans="2:2" ht="15.5" x14ac:dyDescent="0.35">
      <c r="B6909" s="171"/>
    </row>
    <row r="6910" spans="2:2" ht="15.5" x14ac:dyDescent="0.35">
      <c r="B6910" s="171"/>
    </row>
    <row r="6911" spans="2:2" ht="15.5" x14ac:dyDescent="0.35">
      <c r="B6911" s="171"/>
    </row>
    <row r="6912" spans="2:2" ht="15.5" x14ac:dyDescent="0.35">
      <c r="B6912" s="171"/>
    </row>
    <row r="6913" spans="2:2" ht="15.5" x14ac:dyDescent="0.35">
      <c r="B6913" s="171"/>
    </row>
    <row r="6914" spans="2:2" ht="15.5" x14ac:dyDescent="0.35">
      <c r="B6914" s="171"/>
    </row>
    <row r="6915" spans="2:2" ht="15.5" x14ac:dyDescent="0.35">
      <c r="B6915" s="171"/>
    </row>
    <row r="6916" spans="2:2" ht="15.5" x14ac:dyDescent="0.35">
      <c r="B6916" s="171"/>
    </row>
    <row r="6917" spans="2:2" ht="15.5" x14ac:dyDescent="0.35">
      <c r="B6917" s="171"/>
    </row>
    <row r="6918" spans="2:2" ht="15.5" x14ac:dyDescent="0.35">
      <c r="B6918" s="171"/>
    </row>
    <row r="6919" spans="2:2" ht="15.5" x14ac:dyDescent="0.35">
      <c r="B6919" s="171"/>
    </row>
    <row r="6920" spans="2:2" ht="15.5" x14ac:dyDescent="0.35">
      <c r="B6920" s="171"/>
    </row>
    <row r="6921" spans="2:2" ht="15.5" x14ac:dyDescent="0.35">
      <c r="B6921" s="171"/>
    </row>
    <row r="6922" spans="2:2" ht="15.5" x14ac:dyDescent="0.35">
      <c r="B6922" s="171"/>
    </row>
    <row r="6923" spans="2:2" ht="15.5" x14ac:dyDescent="0.35">
      <c r="B6923" s="171"/>
    </row>
    <row r="6924" spans="2:2" ht="15.5" x14ac:dyDescent="0.35">
      <c r="B6924" s="171"/>
    </row>
    <row r="6925" spans="2:2" ht="15.5" x14ac:dyDescent="0.35">
      <c r="B6925" s="171"/>
    </row>
    <row r="6926" spans="2:2" ht="15.5" x14ac:dyDescent="0.35">
      <c r="B6926" s="171"/>
    </row>
    <row r="6927" spans="2:2" ht="15.5" x14ac:dyDescent="0.35">
      <c r="B6927" s="171"/>
    </row>
    <row r="6928" spans="2:2" ht="15.5" x14ac:dyDescent="0.35">
      <c r="B6928" s="171"/>
    </row>
    <row r="6929" spans="2:2" ht="15.5" x14ac:dyDescent="0.35">
      <c r="B6929" s="171"/>
    </row>
    <row r="6930" spans="2:2" ht="15.5" x14ac:dyDescent="0.35">
      <c r="B6930" s="171"/>
    </row>
    <row r="6931" spans="2:2" ht="15.5" x14ac:dyDescent="0.35">
      <c r="B6931" s="171"/>
    </row>
    <row r="6932" spans="2:2" ht="15.5" x14ac:dyDescent="0.35">
      <c r="B6932" s="171"/>
    </row>
    <row r="6933" spans="2:2" ht="15.5" x14ac:dyDescent="0.35">
      <c r="B6933" s="171"/>
    </row>
    <row r="6934" spans="2:2" ht="15.5" x14ac:dyDescent="0.35">
      <c r="B6934" s="171"/>
    </row>
    <row r="6935" spans="2:2" ht="15.5" x14ac:dyDescent="0.35">
      <c r="B6935" s="171"/>
    </row>
    <row r="6936" spans="2:2" ht="15.5" x14ac:dyDescent="0.35">
      <c r="B6936" s="171"/>
    </row>
    <row r="6937" spans="2:2" ht="15.5" x14ac:dyDescent="0.35">
      <c r="B6937" s="171"/>
    </row>
    <row r="6938" spans="2:2" ht="15.5" x14ac:dyDescent="0.35">
      <c r="B6938" s="171"/>
    </row>
    <row r="6939" spans="2:2" ht="15.5" x14ac:dyDescent="0.35">
      <c r="B6939" s="171"/>
    </row>
    <row r="6940" spans="2:2" ht="15.5" x14ac:dyDescent="0.35">
      <c r="B6940" s="171"/>
    </row>
    <row r="6941" spans="2:2" ht="15.5" x14ac:dyDescent="0.35">
      <c r="B6941" s="171"/>
    </row>
    <row r="6942" spans="2:2" ht="15.5" x14ac:dyDescent="0.35">
      <c r="B6942" s="171"/>
    </row>
    <row r="6943" spans="2:2" ht="15.5" x14ac:dyDescent="0.35">
      <c r="B6943" s="171"/>
    </row>
    <row r="6944" spans="2:2" ht="15.5" x14ac:dyDescent="0.35">
      <c r="B6944" s="171"/>
    </row>
    <row r="6945" spans="2:2" ht="15.5" x14ac:dyDescent="0.35">
      <c r="B6945" s="171"/>
    </row>
    <row r="6946" spans="2:2" ht="15.5" x14ac:dyDescent="0.35">
      <c r="B6946" s="171"/>
    </row>
    <row r="6947" spans="2:2" ht="15.5" x14ac:dyDescent="0.35">
      <c r="B6947" s="171"/>
    </row>
    <row r="6948" spans="2:2" ht="15.5" x14ac:dyDescent="0.35">
      <c r="B6948" s="171"/>
    </row>
    <row r="6949" spans="2:2" ht="15.5" x14ac:dyDescent="0.35">
      <c r="B6949" s="171"/>
    </row>
    <row r="6950" spans="2:2" ht="15.5" x14ac:dyDescent="0.35">
      <c r="B6950" s="171"/>
    </row>
    <row r="6951" spans="2:2" ht="15.5" x14ac:dyDescent="0.35">
      <c r="B6951" s="171"/>
    </row>
    <row r="6952" spans="2:2" ht="15.5" x14ac:dyDescent="0.35">
      <c r="B6952" s="171"/>
    </row>
    <row r="6953" spans="2:2" ht="15.5" x14ac:dyDescent="0.35">
      <c r="B6953" s="171"/>
    </row>
    <row r="6954" spans="2:2" ht="15.5" x14ac:dyDescent="0.35">
      <c r="B6954" s="171"/>
    </row>
    <row r="6955" spans="2:2" ht="15.5" x14ac:dyDescent="0.35">
      <c r="B6955" s="171"/>
    </row>
    <row r="6956" spans="2:2" ht="15.5" x14ac:dyDescent="0.35">
      <c r="B6956" s="171"/>
    </row>
    <row r="6957" spans="2:2" ht="15.5" x14ac:dyDescent="0.35">
      <c r="B6957" s="171"/>
    </row>
    <row r="6958" spans="2:2" ht="15.5" x14ac:dyDescent="0.35">
      <c r="B6958" s="171"/>
    </row>
    <row r="6959" spans="2:2" ht="15.5" x14ac:dyDescent="0.35">
      <c r="B6959" s="171"/>
    </row>
    <row r="6960" spans="2:2" ht="15.5" x14ac:dyDescent="0.35">
      <c r="B6960" s="171"/>
    </row>
    <row r="6961" spans="2:2" ht="15.5" x14ac:dyDescent="0.35">
      <c r="B6961" s="171"/>
    </row>
    <row r="6962" spans="2:2" ht="15.5" x14ac:dyDescent="0.35">
      <c r="B6962" s="171"/>
    </row>
    <row r="6963" spans="2:2" ht="15.5" x14ac:dyDescent="0.35">
      <c r="B6963" s="171"/>
    </row>
    <row r="6964" spans="2:2" ht="15.5" x14ac:dyDescent="0.35">
      <c r="B6964" s="171"/>
    </row>
    <row r="6965" spans="2:2" ht="15.5" x14ac:dyDescent="0.35">
      <c r="B6965" s="171"/>
    </row>
    <row r="6966" spans="2:2" ht="15.5" x14ac:dyDescent="0.35">
      <c r="B6966" s="171"/>
    </row>
    <row r="6967" spans="2:2" ht="15.5" x14ac:dyDescent="0.35">
      <c r="B6967" s="171"/>
    </row>
    <row r="6968" spans="2:2" ht="15.5" x14ac:dyDescent="0.35">
      <c r="B6968" s="171"/>
    </row>
    <row r="6969" spans="2:2" ht="15.5" x14ac:dyDescent="0.35">
      <c r="B6969" s="171"/>
    </row>
    <row r="6970" spans="2:2" ht="15.5" x14ac:dyDescent="0.35">
      <c r="B6970" s="171"/>
    </row>
    <row r="6971" spans="2:2" ht="15.5" x14ac:dyDescent="0.35">
      <c r="B6971" s="171"/>
    </row>
    <row r="6972" spans="2:2" ht="15.5" x14ac:dyDescent="0.35">
      <c r="B6972" s="171"/>
    </row>
    <row r="6973" spans="2:2" ht="15.5" x14ac:dyDescent="0.35">
      <c r="B6973" s="171"/>
    </row>
    <row r="6974" spans="2:2" ht="15.5" x14ac:dyDescent="0.35">
      <c r="B6974" s="171"/>
    </row>
    <row r="6975" spans="2:2" ht="15.5" x14ac:dyDescent="0.35">
      <c r="B6975" s="171"/>
    </row>
    <row r="6976" spans="2:2" ht="15.5" x14ac:dyDescent="0.35">
      <c r="B6976" s="171"/>
    </row>
    <row r="6977" spans="2:2" ht="15.5" x14ac:dyDescent="0.35">
      <c r="B6977" s="171"/>
    </row>
    <row r="6978" spans="2:2" ht="15.5" x14ac:dyDescent="0.35">
      <c r="B6978" s="171"/>
    </row>
    <row r="6979" spans="2:2" ht="15.5" x14ac:dyDescent="0.35">
      <c r="B6979" s="171"/>
    </row>
    <row r="6980" spans="2:2" ht="15.5" x14ac:dyDescent="0.35">
      <c r="B6980" s="171"/>
    </row>
    <row r="6981" spans="2:2" ht="15.5" x14ac:dyDescent="0.35">
      <c r="B6981" s="171"/>
    </row>
    <row r="6982" spans="2:2" ht="15.5" x14ac:dyDescent="0.35">
      <c r="B6982" s="171"/>
    </row>
    <row r="6983" spans="2:2" ht="15.5" x14ac:dyDescent="0.35">
      <c r="B6983" s="171"/>
    </row>
    <row r="6984" spans="2:2" ht="15.5" x14ac:dyDescent="0.35">
      <c r="B6984" s="171"/>
    </row>
    <row r="6985" spans="2:2" ht="15.5" x14ac:dyDescent="0.35">
      <c r="B6985" s="171"/>
    </row>
    <row r="6986" spans="2:2" ht="15.5" x14ac:dyDescent="0.35">
      <c r="B6986" s="171"/>
    </row>
    <row r="6987" spans="2:2" ht="15.5" x14ac:dyDescent="0.35">
      <c r="B6987" s="171"/>
    </row>
    <row r="6988" spans="2:2" ht="15.5" x14ac:dyDescent="0.35">
      <c r="B6988" s="171"/>
    </row>
    <row r="6989" spans="2:2" ht="15.5" x14ac:dyDescent="0.35">
      <c r="B6989" s="171"/>
    </row>
    <row r="6990" spans="2:2" ht="15.5" x14ac:dyDescent="0.35">
      <c r="B6990" s="171"/>
    </row>
    <row r="6991" spans="2:2" ht="15.5" x14ac:dyDescent="0.35">
      <c r="B6991" s="171"/>
    </row>
    <row r="6992" spans="2:2" ht="15.5" x14ac:dyDescent="0.35">
      <c r="B6992" s="171"/>
    </row>
    <row r="6993" spans="2:2" ht="15.5" x14ac:dyDescent="0.35">
      <c r="B6993" s="171"/>
    </row>
    <row r="6994" spans="2:2" ht="15.5" x14ac:dyDescent="0.35">
      <c r="B6994" s="171"/>
    </row>
    <row r="6995" spans="2:2" ht="15.5" x14ac:dyDescent="0.35">
      <c r="B6995" s="171"/>
    </row>
    <row r="6996" spans="2:2" ht="15.5" x14ac:dyDescent="0.35">
      <c r="B6996" s="171"/>
    </row>
    <row r="6997" spans="2:2" ht="15.5" x14ac:dyDescent="0.35">
      <c r="B6997" s="171"/>
    </row>
    <row r="6998" spans="2:2" ht="15.5" x14ac:dyDescent="0.35">
      <c r="B6998" s="171"/>
    </row>
    <row r="6999" spans="2:2" ht="15.5" x14ac:dyDescent="0.35">
      <c r="B6999" s="171"/>
    </row>
    <row r="7000" spans="2:2" ht="15.5" x14ac:dyDescent="0.35">
      <c r="B7000" s="171"/>
    </row>
    <row r="7001" spans="2:2" ht="15.5" x14ac:dyDescent="0.35">
      <c r="B7001" s="171"/>
    </row>
    <row r="7002" spans="2:2" ht="15.5" x14ac:dyDescent="0.35">
      <c r="B7002" s="171"/>
    </row>
    <row r="7003" spans="2:2" ht="15.5" x14ac:dyDescent="0.35">
      <c r="B7003" s="171"/>
    </row>
    <row r="7004" spans="2:2" ht="15.5" x14ac:dyDescent="0.35">
      <c r="B7004" s="171"/>
    </row>
    <row r="7005" spans="2:2" ht="15.5" x14ac:dyDescent="0.35">
      <c r="B7005" s="171"/>
    </row>
    <row r="7006" spans="2:2" ht="15.5" x14ac:dyDescent="0.35">
      <c r="B7006" s="171"/>
    </row>
    <row r="7007" spans="2:2" ht="15.5" x14ac:dyDescent="0.35">
      <c r="B7007" s="171"/>
    </row>
    <row r="7008" spans="2:2" ht="15.5" x14ac:dyDescent="0.35">
      <c r="B7008" s="171"/>
    </row>
    <row r="7009" spans="2:2" ht="15.5" x14ac:dyDescent="0.35">
      <c r="B7009" s="171"/>
    </row>
    <row r="7010" spans="2:2" ht="15.5" x14ac:dyDescent="0.35">
      <c r="B7010" s="171"/>
    </row>
    <row r="7011" spans="2:2" ht="15.5" x14ac:dyDescent="0.35">
      <c r="B7011" s="171"/>
    </row>
    <row r="7012" spans="2:2" ht="15.5" x14ac:dyDescent="0.35">
      <c r="B7012" s="171"/>
    </row>
    <row r="7013" spans="2:2" ht="15.5" x14ac:dyDescent="0.35">
      <c r="B7013" s="171"/>
    </row>
    <row r="7014" spans="2:2" ht="15.5" x14ac:dyDescent="0.35">
      <c r="B7014" s="171"/>
    </row>
    <row r="7015" spans="2:2" ht="15.5" x14ac:dyDescent="0.35">
      <c r="B7015" s="171"/>
    </row>
    <row r="7016" spans="2:2" ht="15.5" x14ac:dyDescent="0.35">
      <c r="B7016" s="171"/>
    </row>
    <row r="7017" spans="2:2" ht="15.5" x14ac:dyDescent="0.35">
      <c r="B7017" s="171"/>
    </row>
    <row r="7018" spans="2:2" ht="15.5" x14ac:dyDescent="0.35">
      <c r="B7018" s="171"/>
    </row>
    <row r="7019" spans="2:2" ht="15.5" x14ac:dyDescent="0.35">
      <c r="B7019" s="171"/>
    </row>
    <row r="7020" spans="2:2" ht="15.5" x14ac:dyDescent="0.35">
      <c r="B7020" s="171"/>
    </row>
    <row r="7021" spans="2:2" ht="15.5" x14ac:dyDescent="0.35">
      <c r="B7021" s="171"/>
    </row>
    <row r="7022" spans="2:2" ht="15.5" x14ac:dyDescent="0.35">
      <c r="B7022" s="171"/>
    </row>
    <row r="7023" spans="2:2" ht="15.5" x14ac:dyDescent="0.35">
      <c r="B7023" s="171"/>
    </row>
    <row r="7024" spans="2:2" ht="15.5" x14ac:dyDescent="0.35">
      <c r="B7024" s="171"/>
    </row>
    <row r="7025" spans="2:2" ht="15.5" x14ac:dyDescent="0.35">
      <c r="B7025" s="171"/>
    </row>
    <row r="7026" spans="2:2" ht="15.5" x14ac:dyDescent="0.35">
      <c r="B7026" s="171"/>
    </row>
    <row r="7027" spans="2:2" ht="15.5" x14ac:dyDescent="0.35">
      <c r="B7027" s="171"/>
    </row>
    <row r="7028" spans="2:2" ht="15.5" x14ac:dyDescent="0.35">
      <c r="B7028" s="171"/>
    </row>
    <row r="7029" spans="2:2" ht="15.5" x14ac:dyDescent="0.35">
      <c r="B7029" s="171"/>
    </row>
    <row r="7030" spans="2:2" ht="15.5" x14ac:dyDescent="0.35">
      <c r="B7030" s="171"/>
    </row>
    <row r="7031" spans="2:2" ht="15.5" x14ac:dyDescent="0.35">
      <c r="B7031" s="171"/>
    </row>
    <row r="7032" spans="2:2" ht="15.5" x14ac:dyDescent="0.35">
      <c r="B7032" s="171"/>
    </row>
    <row r="7033" spans="2:2" ht="15.5" x14ac:dyDescent="0.35">
      <c r="B7033" s="171"/>
    </row>
    <row r="7034" spans="2:2" ht="15.5" x14ac:dyDescent="0.35">
      <c r="B7034" s="171"/>
    </row>
    <row r="7035" spans="2:2" ht="15.5" x14ac:dyDescent="0.35">
      <c r="B7035" s="171"/>
    </row>
    <row r="7036" spans="2:2" ht="15.5" x14ac:dyDescent="0.35">
      <c r="B7036" s="171"/>
    </row>
    <row r="7037" spans="2:2" ht="15.5" x14ac:dyDescent="0.35">
      <c r="B7037" s="171"/>
    </row>
    <row r="7038" spans="2:2" ht="15.5" x14ac:dyDescent="0.35">
      <c r="B7038" s="171"/>
    </row>
    <row r="7039" spans="2:2" ht="15.5" x14ac:dyDescent="0.35">
      <c r="B7039" s="171"/>
    </row>
    <row r="7040" spans="2:2" ht="15.5" x14ac:dyDescent="0.35">
      <c r="B7040" s="171"/>
    </row>
    <row r="7041" spans="2:2" ht="15.5" x14ac:dyDescent="0.35">
      <c r="B7041" s="171"/>
    </row>
    <row r="7042" spans="2:2" ht="15.5" x14ac:dyDescent="0.35">
      <c r="B7042" s="171"/>
    </row>
    <row r="7043" spans="2:2" ht="15.5" x14ac:dyDescent="0.35">
      <c r="B7043" s="171"/>
    </row>
    <row r="7044" spans="2:2" ht="15.5" x14ac:dyDescent="0.35">
      <c r="B7044" s="171"/>
    </row>
    <row r="7045" spans="2:2" ht="15.5" x14ac:dyDescent="0.35">
      <c r="B7045" s="171"/>
    </row>
    <row r="7046" spans="2:2" ht="15.5" x14ac:dyDescent="0.35">
      <c r="B7046" s="171"/>
    </row>
    <row r="7047" spans="2:2" ht="15.5" x14ac:dyDescent="0.35">
      <c r="B7047" s="171"/>
    </row>
    <row r="7048" spans="2:2" ht="15.5" x14ac:dyDescent="0.35">
      <c r="B7048" s="171"/>
    </row>
    <row r="7049" spans="2:2" ht="15.5" x14ac:dyDescent="0.35">
      <c r="B7049" s="171"/>
    </row>
    <row r="7050" spans="2:2" ht="15.5" x14ac:dyDescent="0.35">
      <c r="B7050" s="171"/>
    </row>
    <row r="7051" spans="2:2" ht="15.5" x14ac:dyDescent="0.35">
      <c r="B7051" s="171"/>
    </row>
    <row r="7052" spans="2:2" ht="15.5" x14ac:dyDescent="0.35">
      <c r="B7052" s="171"/>
    </row>
    <row r="7053" spans="2:2" ht="15.5" x14ac:dyDescent="0.35">
      <c r="B7053" s="171"/>
    </row>
    <row r="7054" spans="2:2" ht="15.5" x14ac:dyDescent="0.35">
      <c r="B7054" s="171"/>
    </row>
    <row r="7055" spans="2:2" ht="15.5" x14ac:dyDescent="0.35">
      <c r="B7055" s="171"/>
    </row>
    <row r="7056" spans="2:2" ht="15.5" x14ac:dyDescent="0.35">
      <c r="B7056" s="171"/>
    </row>
    <row r="7057" spans="2:2" ht="15.5" x14ac:dyDescent="0.35">
      <c r="B7057" s="171"/>
    </row>
    <row r="7058" spans="2:2" ht="15.5" x14ac:dyDescent="0.35">
      <c r="B7058" s="171"/>
    </row>
    <row r="7059" spans="2:2" ht="15.5" x14ac:dyDescent="0.35">
      <c r="B7059" s="171"/>
    </row>
    <row r="7060" spans="2:2" ht="15.5" x14ac:dyDescent="0.35">
      <c r="B7060" s="171"/>
    </row>
    <row r="7061" spans="2:2" ht="15.5" x14ac:dyDescent="0.35">
      <c r="B7061" s="171"/>
    </row>
    <row r="7062" spans="2:2" ht="15.5" x14ac:dyDescent="0.35">
      <c r="B7062" s="171"/>
    </row>
    <row r="7063" spans="2:2" ht="15.5" x14ac:dyDescent="0.35">
      <c r="B7063" s="171"/>
    </row>
    <row r="7064" spans="2:2" ht="15.5" x14ac:dyDescent="0.35">
      <c r="B7064" s="171"/>
    </row>
    <row r="7065" spans="2:2" ht="15.5" x14ac:dyDescent="0.35">
      <c r="B7065" s="171"/>
    </row>
    <row r="7066" spans="2:2" ht="15.5" x14ac:dyDescent="0.35">
      <c r="B7066" s="171"/>
    </row>
    <row r="7067" spans="2:2" ht="15.5" x14ac:dyDescent="0.35">
      <c r="B7067" s="171"/>
    </row>
    <row r="7068" spans="2:2" ht="15.5" x14ac:dyDescent="0.35">
      <c r="B7068" s="171"/>
    </row>
    <row r="7069" spans="2:2" ht="15.5" x14ac:dyDescent="0.35">
      <c r="B7069" s="171"/>
    </row>
    <row r="7070" spans="2:2" ht="15.5" x14ac:dyDescent="0.35">
      <c r="B7070" s="171"/>
    </row>
    <row r="7071" spans="2:2" ht="15.5" x14ac:dyDescent="0.35">
      <c r="B7071" s="171"/>
    </row>
    <row r="7072" spans="2:2" ht="15.5" x14ac:dyDescent="0.35">
      <c r="B7072" s="171"/>
    </row>
    <row r="7073" spans="2:2" ht="15.5" x14ac:dyDescent="0.35">
      <c r="B7073" s="171"/>
    </row>
    <row r="7074" spans="2:2" ht="15.5" x14ac:dyDescent="0.35">
      <c r="B7074" s="171"/>
    </row>
    <row r="7075" spans="2:2" ht="15.5" x14ac:dyDescent="0.35">
      <c r="B7075" s="171"/>
    </row>
    <row r="7076" spans="2:2" ht="15.5" x14ac:dyDescent="0.35">
      <c r="B7076" s="171"/>
    </row>
    <row r="7077" spans="2:2" ht="15.5" x14ac:dyDescent="0.35">
      <c r="B7077" s="171"/>
    </row>
    <row r="7078" spans="2:2" ht="15.5" x14ac:dyDescent="0.35">
      <c r="B7078" s="171"/>
    </row>
    <row r="7079" spans="2:2" ht="15.5" x14ac:dyDescent="0.35">
      <c r="B7079" s="171"/>
    </row>
    <row r="7080" spans="2:2" ht="15.5" x14ac:dyDescent="0.35">
      <c r="B7080" s="171"/>
    </row>
    <row r="7081" spans="2:2" ht="15.5" x14ac:dyDescent="0.35">
      <c r="B7081" s="171"/>
    </row>
    <row r="7082" spans="2:2" ht="15.5" x14ac:dyDescent="0.35">
      <c r="B7082" s="171"/>
    </row>
    <row r="7083" spans="2:2" ht="15.5" x14ac:dyDescent="0.35">
      <c r="B7083" s="171"/>
    </row>
    <row r="7084" spans="2:2" ht="15.5" x14ac:dyDescent="0.35">
      <c r="B7084" s="171"/>
    </row>
    <row r="7085" spans="2:2" ht="15.5" x14ac:dyDescent="0.35">
      <c r="B7085" s="171"/>
    </row>
    <row r="7086" spans="2:2" ht="15.5" x14ac:dyDescent="0.35">
      <c r="B7086" s="171"/>
    </row>
    <row r="7087" spans="2:2" ht="15.5" x14ac:dyDescent="0.35">
      <c r="B7087" s="171"/>
    </row>
    <row r="7088" spans="2:2" ht="15.5" x14ac:dyDescent="0.35">
      <c r="B7088" s="171"/>
    </row>
    <row r="7089" spans="2:2" ht="15.5" x14ac:dyDescent="0.35">
      <c r="B7089" s="171"/>
    </row>
    <row r="7090" spans="2:2" ht="15.5" x14ac:dyDescent="0.35">
      <c r="B7090" s="171"/>
    </row>
    <row r="7091" spans="2:2" ht="15.5" x14ac:dyDescent="0.35">
      <c r="B7091" s="171"/>
    </row>
    <row r="7092" spans="2:2" ht="15.5" x14ac:dyDescent="0.35">
      <c r="B7092" s="171"/>
    </row>
    <row r="7093" spans="2:2" ht="15.5" x14ac:dyDescent="0.35">
      <c r="B7093" s="171"/>
    </row>
    <row r="7094" spans="2:2" ht="15.5" x14ac:dyDescent="0.35">
      <c r="B7094" s="171"/>
    </row>
    <row r="7095" spans="2:2" ht="15.5" x14ac:dyDescent="0.35">
      <c r="B7095" s="171"/>
    </row>
    <row r="7096" spans="2:2" ht="15.5" x14ac:dyDescent="0.35">
      <c r="B7096" s="171"/>
    </row>
    <row r="7097" spans="2:2" ht="15.5" x14ac:dyDescent="0.35">
      <c r="B7097" s="171"/>
    </row>
    <row r="7098" spans="2:2" ht="15.5" x14ac:dyDescent="0.35">
      <c r="B7098" s="171"/>
    </row>
    <row r="7099" spans="2:2" ht="15.5" x14ac:dyDescent="0.35">
      <c r="B7099" s="171"/>
    </row>
    <row r="7100" spans="2:2" ht="15.5" x14ac:dyDescent="0.35">
      <c r="B7100" s="171"/>
    </row>
    <row r="7101" spans="2:2" ht="15.5" x14ac:dyDescent="0.35">
      <c r="B7101" s="171"/>
    </row>
    <row r="7102" spans="2:2" ht="15.5" x14ac:dyDescent="0.35">
      <c r="B7102" s="171"/>
    </row>
    <row r="7103" spans="2:2" ht="15.5" x14ac:dyDescent="0.35">
      <c r="B7103" s="171"/>
    </row>
    <row r="7104" spans="2:2" ht="15.5" x14ac:dyDescent="0.35">
      <c r="B7104" s="171"/>
    </row>
    <row r="7105" spans="2:2" ht="15.5" x14ac:dyDescent="0.35">
      <c r="B7105" s="171"/>
    </row>
    <row r="7106" spans="2:2" ht="15.5" x14ac:dyDescent="0.35">
      <c r="B7106" s="171"/>
    </row>
    <row r="7107" spans="2:2" ht="15.5" x14ac:dyDescent="0.35">
      <c r="B7107" s="171"/>
    </row>
    <row r="7108" spans="2:2" ht="15.5" x14ac:dyDescent="0.35">
      <c r="B7108" s="171"/>
    </row>
    <row r="7109" spans="2:2" ht="15.5" x14ac:dyDescent="0.35">
      <c r="B7109" s="171"/>
    </row>
    <row r="7110" spans="2:2" ht="15.5" x14ac:dyDescent="0.35">
      <c r="B7110" s="171"/>
    </row>
    <row r="7111" spans="2:2" ht="15.5" x14ac:dyDescent="0.35">
      <c r="B7111" s="171"/>
    </row>
    <row r="7112" spans="2:2" ht="15.5" x14ac:dyDescent="0.35">
      <c r="B7112" s="171"/>
    </row>
    <row r="7113" spans="2:2" ht="15.5" x14ac:dyDescent="0.35">
      <c r="B7113" s="171"/>
    </row>
    <row r="7114" spans="2:2" ht="15.5" x14ac:dyDescent="0.35">
      <c r="B7114" s="171"/>
    </row>
    <row r="7115" spans="2:2" ht="15.5" x14ac:dyDescent="0.35">
      <c r="B7115" s="171"/>
    </row>
    <row r="7116" spans="2:2" ht="15.5" x14ac:dyDescent="0.35">
      <c r="B7116" s="171"/>
    </row>
    <row r="7117" spans="2:2" ht="15.5" x14ac:dyDescent="0.35">
      <c r="B7117" s="171"/>
    </row>
    <row r="7118" spans="2:2" ht="15.5" x14ac:dyDescent="0.35">
      <c r="B7118" s="171"/>
    </row>
    <row r="7119" spans="2:2" ht="15.5" x14ac:dyDescent="0.35">
      <c r="B7119" s="171"/>
    </row>
    <row r="7120" spans="2:2" ht="15.5" x14ac:dyDescent="0.35">
      <c r="B7120" s="171"/>
    </row>
    <row r="7121" spans="2:2" ht="15.5" x14ac:dyDescent="0.35">
      <c r="B7121" s="171"/>
    </row>
    <row r="7122" spans="2:2" ht="15.5" x14ac:dyDescent="0.35">
      <c r="B7122" s="171"/>
    </row>
    <row r="7123" spans="2:2" ht="15.5" x14ac:dyDescent="0.35">
      <c r="B7123" s="171"/>
    </row>
    <row r="7124" spans="2:2" ht="15.5" x14ac:dyDescent="0.35">
      <c r="B7124" s="171"/>
    </row>
    <row r="7125" spans="2:2" ht="15.5" x14ac:dyDescent="0.35">
      <c r="B7125" s="171"/>
    </row>
    <row r="7126" spans="2:2" ht="15.5" x14ac:dyDescent="0.35">
      <c r="B7126" s="171"/>
    </row>
    <row r="7127" spans="2:2" ht="15.5" x14ac:dyDescent="0.35">
      <c r="B7127" s="171"/>
    </row>
    <row r="7128" spans="2:2" ht="15.5" x14ac:dyDescent="0.35">
      <c r="B7128" s="171"/>
    </row>
    <row r="7129" spans="2:2" ht="15.5" x14ac:dyDescent="0.35">
      <c r="B7129" s="171"/>
    </row>
    <row r="7130" spans="2:2" ht="15.5" x14ac:dyDescent="0.35">
      <c r="B7130" s="171"/>
    </row>
    <row r="7131" spans="2:2" ht="15.5" x14ac:dyDescent="0.35">
      <c r="B7131" s="171"/>
    </row>
    <row r="7132" spans="2:2" ht="15.5" x14ac:dyDescent="0.35">
      <c r="B7132" s="171"/>
    </row>
    <row r="7133" spans="2:2" ht="15.5" x14ac:dyDescent="0.35">
      <c r="B7133" s="171"/>
    </row>
    <row r="7134" spans="2:2" ht="15.5" x14ac:dyDescent="0.35">
      <c r="B7134" s="171"/>
    </row>
    <row r="7135" spans="2:2" ht="15.5" x14ac:dyDescent="0.35">
      <c r="B7135" s="171"/>
    </row>
    <row r="7136" spans="2:2" ht="15.5" x14ac:dyDescent="0.35">
      <c r="B7136" s="171"/>
    </row>
    <row r="7137" spans="2:2" ht="15.5" x14ac:dyDescent="0.35">
      <c r="B7137" s="171"/>
    </row>
    <row r="7138" spans="2:2" ht="15.5" x14ac:dyDescent="0.35">
      <c r="B7138" s="171"/>
    </row>
    <row r="7139" spans="2:2" ht="15.5" x14ac:dyDescent="0.35">
      <c r="B7139" s="171"/>
    </row>
    <row r="7140" spans="2:2" ht="15.5" x14ac:dyDescent="0.35">
      <c r="B7140" s="171"/>
    </row>
    <row r="7141" spans="2:2" ht="15.5" x14ac:dyDescent="0.35">
      <c r="B7141" s="171"/>
    </row>
    <row r="7142" spans="2:2" ht="15.5" x14ac:dyDescent="0.35">
      <c r="B7142" s="171"/>
    </row>
    <row r="7143" spans="2:2" ht="15.5" x14ac:dyDescent="0.35">
      <c r="B7143" s="171"/>
    </row>
    <row r="7144" spans="2:2" ht="15.5" x14ac:dyDescent="0.35">
      <c r="B7144" s="171"/>
    </row>
    <row r="7145" spans="2:2" ht="15.5" x14ac:dyDescent="0.35">
      <c r="B7145" s="171"/>
    </row>
    <row r="7146" spans="2:2" ht="15.5" x14ac:dyDescent="0.35">
      <c r="B7146" s="171"/>
    </row>
    <row r="7147" spans="2:2" ht="15.5" x14ac:dyDescent="0.35">
      <c r="B7147" s="171"/>
    </row>
    <row r="7148" spans="2:2" ht="15.5" x14ac:dyDescent="0.35">
      <c r="B7148" s="171"/>
    </row>
    <row r="7149" spans="2:2" ht="15.5" x14ac:dyDescent="0.35">
      <c r="B7149" s="171"/>
    </row>
    <row r="7150" spans="2:2" ht="15.5" x14ac:dyDescent="0.35">
      <c r="B7150" s="171"/>
    </row>
    <row r="7151" spans="2:2" ht="15.5" x14ac:dyDescent="0.35">
      <c r="B7151" s="171"/>
    </row>
    <row r="7152" spans="2:2" ht="15.5" x14ac:dyDescent="0.35">
      <c r="B7152" s="171"/>
    </row>
    <row r="7153" spans="2:2" ht="15.5" x14ac:dyDescent="0.35">
      <c r="B7153" s="171"/>
    </row>
    <row r="7154" spans="2:2" ht="15.5" x14ac:dyDescent="0.35">
      <c r="B7154" s="171"/>
    </row>
    <row r="7155" spans="2:2" ht="15.5" x14ac:dyDescent="0.35">
      <c r="B7155" s="171"/>
    </row>
    <row r="7156" spans="2:2" ht="15.5" x14ac:dyDescent="0.35">
      <c r="B7156" s="171"/>
    </row>
    <row r="7157" spans="2:2" ht="15.5" x14ac:dyDescent="0.35">
      <c r="B7157" s="171"/>
    </row>
    <row r="7158" spans="2:2" ht="15.5" x14ac:dyDescent="0.35">
      <c r="B7158" s="171"/>
    </row>
    <row r="7159" spans="2:2" ht="15.5" x14ac:dyDescent="0.35">
      <c r="B7159" s="171"/>
    </row>
    <row r="7160" spans="2:2" ht="15.5" x14ac:dyDescent="0.35">
      <c r="B7160" s="171"/>
    </row>
    <row r="7161" spans="2:2" ht="15.5" x14ac:dyDescent="0.35">
      <c r="B7161" s="171"/>
    </row>
    <row r="7162" spans="2:2" ht="15.5" x14ac:dyDescent="0.35">
      <c r="B7162" s="171"/>
    </row>
    <row r="7163" spans="2:2" ht="15.5" x14ac:dyDescent="0.35">
      <c r="B7163" s="171"/>
    </row>
    <row r="7164" spans="2:2" ht="15.5" x14ac:dyDescent="0.35">
      <c r="B7164" s="171"/>
    </row>
    <row r="7165" spans="2:2" ht="15.5" x14ac:dyDescent="0.35">
      <c r="B7165" s="171"/>
    </row>
    <row r="7166" spans="2:2" ht="15.5" x14ac:dyDescent="0.35">
      <c r="B7166" s="171"/>
    </row>
    <row r="7167" spans="2:2" ht="15.5" x14ac:dyDescent="0.35">
      <c r="B7167" s="171"/>
    </row>
    <row r="7168" spans="2:2" ht="15.5" x14ac:dyDescent="0.35">
      <c r="B7168" s="171"/>
    </row>
    <row r="7169" spans="2:2" ht="15.5" x14ac:dyDescent="0.35">
      <c r="B7169" s="171"/>
    </row>
    <row r="7170" spans="2:2" ht="15.5" x14ac:dyDescent="0.35">
      <c r="B7170" s="171"/>
    </row>
    <row r="7171" spans="2:2" ht="15.5" x14ac:dyDescent="0.35">
      <c r="B7171" s="171"/>
    </row>
    <row r="7172" spans="2:2" ht="15.5" x14ac:dyDescent="0.35">
      <c r="B7172" s="171"/>
    </row>
    <row r="7173" spans="2:2" ht="15.5" x14ac:dyDescent="0.35">
      <c r="B7173" s="171"/>
    </row>
    <row r="7174" spans="2:2" ht="15.5" x14ac:dyDescent="0.35">
      <c r="B7174" s="171"/>
    </row>
    <row r="7175" spans="2:2" ht="15.5" x14ac:dyDescent="0.35">
      <c r="B7175" s="171"/>
    </row>
    <row r="7176" spans="2:2" ht="15.5" x14ac:dyDescent="0.35">
      <c r="B7176" s="171"/>
    </row>
    <row r="7177" spans="2:2" ht="15.5" x14ac:dyDescent="0.35">
      <c r="B7177" s="171"/>
    </row>
    <row r="7178" spans="2:2" ht="15.5" x14ac:dyDescent="0.35">
      <c r="B7178" s="171"/>
    </row>
    <row r="7179" spans="2:2" ht="15.5" x14ac:dyDescent="0.35">
      <c r="B7179" s="171"/>
    </row>
    <row r="7180" spans="2:2" ht="15.5" x14ac:dyDescent="0.35">
      <c r="B7180" s="171"/>
    </row>
    <row r="7181" spans="2:2" ht="15.5" x14ac:dyDescent="0.35">
      <c r="B7181" s="171"/>
    </row>
    <row r="7182" spans="2:2" ht="15.5" x14ac:dyDescent="0.35">
      <c r="B7182" s="171"/>
    </row>
    <row r="7183" spans="2:2" ht="15.5" x14ac:dyDescent="0.35">
      <c r="B7183" s="171"/>
    </row>
    <row r="7184" spans="2:2" ht="15.5" x14ac:dyDescent="0.35">
      <c r="B7184" s="171"/>
    </row>
    <row r="7185" spans="2:2" ht="15.5" x14ac:dyDescent="0.35">
      <c r="B7185" s="171"/>
    </row>
    <row r="7186" spans="2:2" ht="15.5" x14ac:dyDescent="0.35">
      <c r="B7186" s="171"/>
    </row>
    <row r="7187" spans="2:2" ht="15.5" x14ac:dyDescent="0.35">
      <c r="B7187" s="171"/>
    </row>
    <row r="7188" spans="2:2" ht="15.5" x14ac:dyDescent="0.35">
      <c r="B7188" s="171"/>
    </row>
    <row r="7189" spans="2:2" ht="15.5" x14ac:dyDescent="0.35">
      <c r="B7189" s="171"/>
    </row>
    <row r="7190" spans="2:2" ht="15.5" x14ac:dyDescent="0.35">
      <c r="B7190" s="171"/>
    </row>
    <row r="7191" spans="2:2" ht="15.5" x14ac:dyDescent="0.35">
      <c r="B7191" s="171"/>
    </row>
    <row r="7192" spans="2:2" ht="15.5" x14ac:dyDescent="0.35">
      <c r="B7192" s="171"/>
    </row>
    <row r="7193" spans="2:2" ht="15.5" x14ac:dyDescent="0.35">
      <c r="B7193" s="171"/>
    </row>
    <row r="7194" spans="2:2" ht="15.5" x14ac:dyDescent="0.35">
      <c r="B7194" s="171"/>
    </row>
    <row r="7195" spans="2:2" ht="15.5" x14ac:dyDescent="0.35">
      <c r="B7195" s="171"/>
    </row>
    <row r="7196" spans="2:2" ht="15.5" x14ac:dyDescent="0.35">
      <c r="B7196" s="171"/>
    </row>
    <row r="7197" spans="2:2" ht="15.5" x14ac:dyDescent="0.35">
      <c r="B7197" s="171"/>
    </row>
    <row r="7198" spans="2:2" ht="15.5" x14ac:dyDescent="0.35">
      <c r="B7198" s="171"/>
    </row>
    <row r="7199" spans="2:2" ht="15.5" x14ac:dyDescent="0.35">
      <c r="B7199" s="171"/>
    </row>
    <row r="7200" spans="2:2" ht="15.5" x14ac:dyDescent="0.35">
      <c r="B7200" s="171"/>
    </row>
    <row r="7201" spans="2:2" ht="15.5" x14ac:dyDescent="0.35">
      <c r="B7201" s="171"/>
    </row>
    <row r="7202" spans="2:2" ht="15.5" x14ac:dyDescent="0.35">
      <c r="B7202" s="171"/>
    </row>
    <row r="7203" spans="2:2" ht="15.5" x14ac:dyDescent="0.35">
      <c r="B7203" s="171"/>
    </row>
    <row r="7204" spans="2:2" ht="15.5" x14ac:dyDescent="0.35">
      <c r="B7204" s="171"/>
    </row>
    <row r="7205" spans="2:2" ht="15.5" x14ac:dyDescent="0.35">
      <c r="B7205" s="171"/>
    </row>
    <row r="7206" spans="2:2" ht="15.5" x14ac:dyDescent="0.35">
      <c r="B7206" s="171"/>
    </row>
    <row r="7207" spans="2:2" ht="15.5" x14ac:dyDescent="0.35">
      <c r="B7207" s="171"/>
    </row>
    <row r="7208" spans="2:2" ht="15.5" x14ac:dyDescent="0.35">
      <c r="B7208" s="171"/>
    </row>
    <row r="7209" spans="2:2" ht="15.5" x14ac:dyDescent="0.35">
      <c r="B7209" s="171"/>
    </row>
    <row r="7210" spans="2:2" ht="15.5" x14ac:dyDescent="0.35">
      <c r="B7210" s="171"/>
    </row>
    <row r="7211" spans="2:2" ht="15.5" x14ac:dyDescent="0.35">
      <c r="B7211" s="171"/>
    </row>
    <row r="7212" spans="2:2" ht="15.5" x14ac:dyDescent="0.35">
      <c r="B7212" s="171"/>
    </row>
    <row r="7213" spans="2:2" ht="15.5" x14ac:dyDescent="0.35">
      <c r="B7213" s="171"/>
    </row>
    <row r="7214" spans="2:2" ht="15.5" x14ac:dyDescent="0.35">
      <c r="B7214" s="171"/>
    </row>
    <row r="7215" spans="2:2" ht="15.5" x14ac:dyDescent="0.35">
      <c r="B7215" s="171"/>
    </row>
    <row r="7216" spans="2:2" ht="15.5" x14ac:dyDescent="0.35">
      <c r="B7216" s="171"/>
    </row>
    <row r="7217" spans="2:2" ht="15.5" x14ac:dyDescent="0.35">
      <c r="B7217" s="171"/>
    </row>
    <row r="7218" spans="2:2" ht="15.5" x14ac:dyDescent="0.35">
      <c r="B7218" s="171"/>
    </row>
    <row r="7219" spans="2:2" ht="15.5" x14ac:dyDescent="0.35">
      <c r="B7219" s="171"/>
    </row>
    <row r="7220" spans="2:2" ht="15.5" x14ac:dyDescent="0.35">
      <c r="B7220" s="171"/>
    </row>
    <row r="7221" spans="2:2" ht="15.5" x14ac:dyDescent="0.35">
      <c r="B7221" s="171"/>
    </row>
    <row r="7222" spans="2:2" ht="15.5" x14ac:dyDescent="0.35">
      <c r="B7222" s="171"/>
    </row>
    <row r="7223" spans="2:2" ht="15.5" x14ac:dyDescent="0.35">
      <c r="B7223" s="171"/>
    </row>
    <row r="7224" spans="2:2" ht="15.5" x14ac:dyDescent="0.35">
      <c r="B7224" s="171"/>
    </row>
    <row r="7225" spans="2:2" ht="15.5" x14ac:dyDescent="0.35">
      <c r="B7225" s="171"/>
    </row>
    <row r="7226" spans="2:2" ht="15.5" x14ac:dyDescent="0.35">
      <c r="B7226" s="171"/>
    </row>
    <row r="7227" spans="2:2" ht="15.5" x14ac:dyDescent="0.35">
      <c r="B7227" s="171"/>
    </row>
    <row r="7228" spans="2:2" ht="15.5" x14ac:dyDescent="0.35">
      <c r="B7228" s="171"/>
    </row>
    <row r="7229" spans="2:2" ht="15.5" x14ac:dyDescent="0.35">
      <c r="B7229" s="171"/>
    </row>
    <row r="7230" spans="2:2" ht="15.5" x14ac:dyDescent="0.35">
      <c r="B7230" s="171"/>
    </row>
    <row r="7231" spans="2:2" ht="15.5" x14ac:dyDescent="0.35">
      <c r="B7231" s="171"/>
    </row>
    <row r="7232" spans="2:2" ht="15.5" x14ac:dyDescent="0.35">
      <c r="B7232" s="171"/>
    </row>
    <row r="7233" spans="2:2" ht="15.5" x14ac:dyDescent="0.35">
      <c r="B7233" s="171"/>
    </row>
    <row r="7234" spans="2:2" ht="15.5" x14ac:dyDescent="0.35">
      <c r="B7234" s="171"/>
    </row>
    <row r="7235" spans="2:2" ht="15.5" x14ac:dyDescent="0.35">
      <c r="B7235" s="171"/>
    </row>
    <row r="7236" spans="2:2" ht="15.5" x14ac:dyDescent="0.35">
      <c r="B7236" s="171"/>
    </row>
    <row r="7237" spans="2:2" ht="15.5" x14ac:dyDescent="0.35">
      <c r="B7237" s="171"/>
    </row>
    <row r="7238" spans="2:2" ht="15.5" x14ac:dyDescent="0.35">
      <c r="B7238" s="171"/>
    </row>
    <row r="7239" spans="2:2" ht="15.5" x14ac:dyDescent="0.35">
      <c r="B7239" s="171"/>
    </row>
    <row r="7240" spans="2:2" ht="15.5" x14ac:dyDescent="0.35">
      <c r="B7240" s="171"/>
    </row>
    <row r="7241" spans="2:2" ht="15.5" x14ac:dyDescent="0.35">
      <c r="B7241" s="171"/>
    </row>
    <row r="7242" spans="2:2" ht="15.5" x14ac:dyDescent="0.35">
      <c r="B7242" s="171"/>
    </row>
    <row r="7243" spans="2:2" ht="15.5" x14ac:dyDescent="0.35">
      <c r="B7243" s="171"/>
    </row>
    <row r="7244" spans="2:2" ht="15.5" x14ac:dyDescent="0.35">
      <c r="B7244" s="171"/>
    </row>
    <row r="7245" spans="2:2" ht="15.5" x14ac:dyDescent="0.35">
      <c r="B7245" s="171"/>
    </row>
    <row r="7246" spans="2:2" ht="15.5" x14ac:dyDescent="0.35">
      <c r="B7246" s="171"/>
    </row>
    <row r="7247" spans="2:2" ht="15.5" x14ac:dyDescent="0.35">
      <c r="B7247" s="171"/>
    </row>
    <row r="7248" spans="2:2" ht="15.5" x14ac:dyDescent="0.35">
      <c r="B7248" s="171"/>
    </row>
    <row r="7249" spans="2:2" ht="15.5" x14ac:dyDescent="0.35">
      <c r="B7249" s="171"/>
    </row>
    <row r="7250" spans="2:2" ht="15.5" x14ac:dyDescent="0.35">
      <c r="B7250" s="171"/>
    </row>
    <row r="7251" spans="2:2" ht="15.5" x14ac:dyDescent="0.35">
      <c r="B7251" s="171"/>
    </row>
    <row r="7252" spans="2:2" ht="15.5" x14ac:dyDescent="0.35">
      <c r="B7252" s="171"/>
    </row>
    <row r="7253" spans="2:2" ht="15.5" x14ac:dyDescent="0.35">
      <c r="B7253" s="171"/>
    </row>
    <row r="7254" spans="2:2" ht="15.5" x14ac:dyDescent="0.35">
      <c r="B7254" s="171"/>
    </row>
    <row r="7255" spans="2:2" ht="15.5" x14ac:dyDescent="0.35">
      <c r="B7255" s="171"/>
    </row>
    <row r="7256" spans="2:2" ht="15.5" x14ac:dyDescent="0.35">
      <c r="B7256" s="171"/>
    </row>
    <row r="7257" spans="2:2" ht="15.5" x14ac:dyDescent="0.35">
      <c r="B7257" s="171"/>
    </row>
    <row r="7258" spans="2:2" ht="15.5" x14ac:dyDescent="0.35">
      <c r="B7258" s="171"/>
    </row>
    <row r="7259" spans="2:2" ht="15.5" x14ac:dyDescent="0.35">
      <c r="B7259" s="171"/>
    </row>
    <row r="7260" spans="2:2" ht="15.5" x14ac:dyDescent="0.35">
      <c r="B7260" s="171"/>
    </row>
    <row r="7261" spans="2:2" ht="15.5" x14ac:dyDescent="0.35">
      <c r="B7261" s="171"/>
    </row>
    <row r="7262" spans="2:2" ht="15.5" x14ac:dyDescent="0.35">
      <c r="B7262" s="171"/>
    </row>
    <row r="7263" spans="2:2" ht="15.5" x14ac:dyDescent="0.35">
      <c r="B7263" s="171"/>
    </row>
    <row r="7264" spans="2:2" ht="15.5" x14ac:dyDescent="0.35">
      <c r="B7264" s="171"/>
    </row>
    <row r="7265" spans="2:2" ht="15.5" x14ac:dyDescent="0.35">
      <c r="B7265" s="171"/>
    </row>
    <row r="7266" spans="2:2" ht="15.5" x14ac:dyDescent="0.35">
      <c r="B7266" s="171"/>
    </row>
    <row r="7267" spans="2:2" ht="15.5" x14ac:dyDescent="0.35">
      <c r="B7267" s="171"/>
    </row>
    <row r="7268" spans="2:2" ht="15.5" x14ac:dyDescent="0.35">
      <c r="B7268" s="171"/>
    </row>
    <row r="7269" spans="2:2" ht="15.5" x14ac:dyDescent="0.35">
      <c r="B7269" s="171"/>
    </row>
    <row r="7270" spans="2:2" ht="15.5" x14ac:dyDescent="0.35">
      <c r="B7270" s="171"/>
    </row>
    <row r="7271" spans="2:2" ht="15.5" x14ac:dyDescent="0.35">
      <c r="B7271" s="171"/>
    </row>
    <row r="7272" spans="2:2" ht="15.5" x14ac:dyDescent="0.35">
      <c r="B7272" s="171"/>
    </row>
    <row r="7273" spans="2:2" ht="15.5" x14ac:dyDescent="0.35">
      <c r="B7273" s="171"/>
    </row>
    <row r="7274" spans="2:2" ht="15.5" x14ac:dyDescent="0.35">
      <c r="B7274" s="171"/>
    </row>
    <row r="7275" spans="2:2" ht="15.5" x14ac:dyDescent="0.35">
      <c r="B7275" s="171"/>
    </row>
    <row r="7276" spans="2:2" ht="15.5" x14ac:dyDescent="0.35">
      <c r="B7276" s="171"/>
    </row>
    <row r="7277" spans="2:2" ht="15.5" x14ac:dyDescent="0.35">
      <c r="B7277" s="171"/>
    </row>
    <row r="7278" spans="2:2" ht="15.5" x14ac:dyDescent="0.35">
      <c r="B7278" s="171"/>
    </row>
    <row r="7279" spans="2:2" ht="15.5" x14ac:dyDescent="0.35">
      <c r="B7279" s="171"/>
    </row>
    <row r="7280" spans="2:2" ht="15.5" x14ac:dyDescent="0.35">
      <c r="B7280" s="171"/>
    </row>
    <row r="7281" spans="2:2" ht="15.5" x14ac:dyDescent="0.35">
      <c r="B7281" s="171"/>
    </row>
    <row r="7282" spans="2:2" ht="15.5" x14ac:dyDescent="0.35">
      <c r="B7282" s="171"/>
    </row>
    <row r="7283" spans="2:2" ht="15.5" x14ac:dyDescent="0.35">
      <c r="B7283" s="171"/>
    </row>
    <row r="7284" spans="2:2" ht="15.5" x14ac:dyDescent="0.35">
      <c r="B7284" s="171"/>
    </row>
    <row r="7285" spans="2:2" ht="15.5" x14ac:dyDescent="0.35">
      <c r="B7285" s="171"/>
    </row>
    <row r="7286" spans="2:2" ht="15.5" x14ac:dyDescent="0.35">
      <c r="B7286" s="171"/>
    </row>
    <row r="7287" spans="2:2" ht="15.5" x14ac:dyDescent="0.35">
      <c r="B7287" s="171"/>
    </row>
    <row r="7288" spans="2:2" ht="15.5" x14ac:dyDescent="0.35">
      <c r="B7288" s="171"/>
    </row>
    <row r="7289" spans="2:2" ht="15.5" x14ac:dyDescent="0.35">
      <c r="B7289" s="171"/>
    </row>
    <row r="7290" spans="2:2" ht="15.5" x14ac:dyDescent="0.35">
      <c r="B7290" s="171"/>
    </row>
    <row r="7291" spans="2:2" ht="15.5" x14ac:dyDescent="0.35">
      <c r="B7291" s="171"/>
    </row>
    <row r="7292" spans="2:2" ht="15.5" x14ac:dyDescent="0.35">
      <c r="B7292" s="171"/>
    </row>
    <row r="7293" spans="2:2" ht="15.5" x14ac:dyDescent="0.35">
      <c r="B7293" s="171"/>
    </row>
    <row r="7294" spans="2:2" ht="15.5" x14ac:dyDescent="0.35">
      <c r="B7294" s="171"/>
    </row>
    <row r="7295" spans="2:2" ht="15.5" x14ac:dyDescent="0.35">
      <c r="B7295" s="171"/>
    </row>
    <row r="7296" spans="2:2" ht="15.5" x14ac:dyDescent="0.35">
      <c r="B7296" s="171"/>
    </row>
    <row r="7297" spans="2:2" ht="15.5" x14ac:dyDescent="0.35">
      <c r="B7297" s="171"/>
    </row>
    <row r="7298" spans="2:2" ht="15.5" x14ac:dyDescent="0.35">
      <c r="B7298" s="171"/>
    </row>
    <row r="7299" spans="2:2" ht="15.5" x14ac:dyDescent="0.35">
      <c r="B7299" s="171"/>
    </row>
    <row r="7300" spans="2:2" ht="15.5" x14ac:dyDescent="0.35">
      <c r="B7300" s="171"/>
    </row>
    <row r="7301" spans="2:2" ht="15.5" x14ac:dyDescent="0.35">
      <c r="B7301" s="171"/>
    </row>
    <row r="7302" spans="2:2" ht="15.5" x14ac:dyDescent="0.35">
      <c r="B7302" s="171"/>
    </row>
    <row r="7303" spans="2:2" ht="15.5" x14ac:dyDescent="0.35">
      <c r="B7303" s="171"/>
    </row>
    <row r="7304" spans="2:2" ht="15.5" x14ac:dyDescent="0.35">
      <c r="B7304" s="171"/>
    </row>
    <row r="7305" spans="2:2" ht="15.5" x14ac:dyDescent="0.35">
      <c r="B7305" s="171"/>
    </row>
    <row r="7306" spans="2:2" ht="15.5" x14ac:dyDescent="0.35">
      <c r="B7306" s="171"/>
    </row>
    <row r="7307" spans="2:2" ht="15.5" x14ac:dyDescent="0.35">
      <c r="B7307" s="171"/>
    </row>
    <row r="7308" spans="2:2" ht="15.5" x14ac:dyDescent="0.35">
      <c r="B7308" s="171"/>
    </row>
    <row r="7309" spans="2:2" ht="15.5" x14ac:dyDescent="0.35">
      <c r="B7309" s="171"/>
    </row>
    <row r="7310" spans="2:2" ht="15.5" x14ac:dyDescent="0.35">
      <c r="B7310" s="171"/>
    </row>
    <row r="7311" spans="2:2" ht="15.5" x14ac:dyDescent="0.35">
      <c r="B7311" s="171"/>
    </row>
    <row r="7312" spans="2:2" ht="15.5" x14ac:dyDescent="0.35">
      <c r="B7312" s="171"/>
    </row>
    <row r="7313" spans="2:2" ht="15.5" x14ac:dyDescent="0.35">
      <c r="B7313" s="171"/>
    </row>
    <row r="7314" spans="2:2" ht="15.5" x14ac:dyDescent="0.35">
      <c r="B7314" s="171"/>
    </row>
    <row r="7315" spans="2:2" ht="15.5" x14ac:dyDescent="0.35">
      <c r="B7315" s="171"/>
    </row>
    <row r="7316" spans="2:2" ht="15.5" x14ac:dyDescent="0.35">
      <c r="B7316" s="171"/>
    </row>
    <row r="7317" spans="2:2" ht="15.5" x14ac:dyDescent="0.35">
      <c r="B7317" s="171"/>
    </row>
    <row r="7318" spans="2:2" ht="15.5" x14ac:dyDescent="0.35">
      <c r="B7318" s="171"/>
    </row>
    <row r="7319" spans="2:2" ht="15.5" x14ac:dyDescent="0.35">
      <c r="B7319" s="171"/>
    </row>
    <row r="7320" spans="2:2" ht="15.5" x14ac:dyDescent="0.35">
      <c r="B7320" s="171"/>
    </row>
    <row r="7321" spans="2:2" ht="15.5" x14ac:dyDescent="0.35">
      <c r="B7321" s="171"/>
    </row>
    <row r="7322" spans="2:2" ht="15.5" x14ac:dyDescent="0.35">
      <c r="B7322" s="171"/>
    </row>
    <row r="7323" spans="2:2" ht="15.5" x14ac:dyDescent="0.35">
      <c r="B7323" s="171"/>
    </row>
    <row r="7324" spans="2:2" ht="15.5" x14ac:dyDescent="0.35">
      <c r="B7324" s="171"/>
    </row>
    <row r="7325" spans="2:2" ht="15.5" x14ac:dyDescent="0.35">
      <c r="B7325" s="171"/>
    </row>
    <row r="7326" spans="2:2" ht="15.5" x14ac:dyDescent="0.35">
      <c r="B7326" s="171"/>
    </row>
    <row r="7327" spans="2:2" ht="15.5" x14ac:dyDescent="0.35">
      <c r="B7327" s="171"/>
    </row>
    <row r="7328" spans="2:2" ht="15.5" x14ac:dyDescent="0.35">
      <c r="B7328" s="171"/>
    </row>
    <row r="7329" spans="2:2" ht="15.5" x14ac:dyDescent="0.35">
      <c r="B7329" s="171"/>
    </row>
    <row r="7330" spans="2:2" ht="15.5" x14ac:dyDescent="0.35">
      <c r="B7330" s="171"/>
    </row>
    <row r="7331" spans="2:2" ht="15.5" x14ac:dyDescent="0.35">
      <c r="B7331" s="171"/>
    </row>
    <row r="7332" spans="2:2" ht="15.5" x14ac:dyDescent="0.35">
      <c r="B7332" s="171"/>
    </row>
    <row r="7333" spans="2:2" ht="15.5" x14ac:dyDescent="0.35">
      <c r="B7333" s="171"/>
    </row>
    <row r="7334" spans="2:2" ht="15.5" x14ac:dyDescent="0.35">
      <c r="B7334" s="171"/>
    </row>
    <row r="7335" spans="2:2" ht="15.5" x14ac:dyDescent="0.35">
      <c r="B7335" s="171"/>
    </row>
    <row r="7336" spans="2:2" ht="15.5" x14ac:dyDescent="0.35">
      <c r="B7336" s="171"/>
    </row>
    <row r="7337" spans="2:2" ht="15.5" x14ac:dyDescent="0.35">
      <c r="B7337" s="171"/>
    </row>
    <row r="7338" spans="2:2" ht="15.5" x14ac:dyDescent="0.35">
      <c r="B7338" s="171"/>
    </row>
    <row r="7339" spans="2:2" ht="15.5" x14ac:dyDescent="0.35">
      <c r="B7339" s="171"/>
    </row>
    <row r="7340" spans="2:2" ht="15.5" x14ac:dyDescent="0.35">
      <c r="B7340" s="171"/>
    </row>
    <row r="7341" spans="2:2" ht="15.5" x14ac:dyDescent="0.35">
      <c r="B7341" s="171"/>
    </row>
    <row r="7342" spans="2:2" ht="15.5" x14ac:dyDescent="0.35">
      <c r="B7342" s="171"/>
    </row>
    <row r="7343" spans="2:2" ht="15.5" x14ac:dyDescent="0.35">
      <c r="B7343" s="171"/>
    </row>
    <row r="7344" spans="2:2" ht="15.5" x14ac:dyDescent="0.35">
      <c r="B7344" s="171"/>
    </row>
    <row r="7345" spans="2:2" ht="15.5" x14ac:dyDescent="0.35">
      <c r="B7345" s="171"/>
    </row>
    <row r="7346" spans="2:2" ht="15.5" x14ac:dyDescent="0.35">
      <c r="B7346" s="171"/>
    </row>
    <row r="7347" spans="2:2" ht="15.5" x14ac:dyDescent="0.35">
      <c r="B7347" s="171"/>
    </row>
    <row r="7348" spans="2:2" ht="15.5" x14ac:dyDescent="0.35">
      <c r="B7348" s="171"/>
    </row>
    <row r="7349" spans="2:2" ht="15.5" x14ac:dyDescent="0.35">
      <c r="B7349" s="171"/>
    </row>
    <row r="7350" spans="2:2" ht="15.5" x14ac:dyDescent="0.35">
      <c r="B7350" s="171"/>
    </row>
    <row r="7351" spans="2:2" ht="15.5" x14ac:dyDescent="0.35">
      <c r="B7351" s="171"/>
    </row>
    <row r="7352" spans="2:2" ht="15.5" x14ac:dyDescent="0.35">
      <c r="B7352" s="171"/>
    </row>
    <row r="7353" spans="2:2" ht="15.5" x14ac:dyDescent="0.35">
      <c r="B7353" s="171"/>
    </row>
    <row r="7354" spans="2:2" ht="15.5" x14ac:dyDescent="0.35">
      <c r="B7354" s="171"/>
    </row>
    <row r="7355" spans="2:2" ht="15.5" x14ac:dyDescent="0.35">
      <c r="B7355" s="171"/>
    </row>
    <row r="7356" spans="2:2" ht="15.5" x14ac:dyDescent="0.35">
      <c r="B7356" s="171"/>
    </row>
    <row r="7357" spans="2:2" ht="15.5" x14ac:dyDescent="0.35">
      <c r="B7357" s="171"/>
    </row>
    <row r="7358" spans="2:2" ht="15.5" x14ac:dyDescent="0.35">
      <c r="B7358" s="171"/>
    </row>
    <row r="7359" spans="2:2" ht="15.5" x14ac:dyDescent="0.35">
      <c r="B7359" s="171"/>
    </row>
    <row r="7360" spans="2:2" ht="15.5" x14ac:dyDescent="0.35">
      <c r="B7360" s="171"/>
    </row>
    <row r="7361" spans="2:2" ht="15.5" x14ac:dyDescent="0.35">
      <c r="B7361" s="171"/>
    </row>
    <row r="7362" spans="2:2" ht="15.5" x14ac:dyDescent="0.35">
      <c r="B7362" s="171"/>
    </row>
    <row r="7363" spans="2:2" ht="15.5" x14ac:dyDescent="0.35">
      <c r="B7363" s="171"/>
    </row>
    <row r="7364" spans="2:2" ht="15.5" x14ac:dyDescent="0.35">
      <c r="B7364" s="171"/>
    </row>
    <row r="7365" spans="2:2" ht="15.5" x14ac:dyDescent="0.35">
      <c r="B7365" s="171"/>
    </row>
    <row r="7366" spans="2:2" ht="15.5" x14ac:dyDescent="0.35">
      <c r="B7366" s="171"/>
    </row>
    <row r="7367" spans="2:2" ht="15.5" x14ac:dyDescent="0.35">
      <c r="B7367" s="171"/>
    </row>
    <row r="7368" spans="2:2" ht="15.5" x14ac:dyDescent="0.35">
      <c r="B7368" s="171"/>
    </row>
    <row r="7369" spans="2:2" ht="15.5" x14ac:dyDescent="0.35">
      <c r="B7369" s="171"/>
    </row>
    <row r="7370" spans="2:2" ht="15.5" x14ac:dyDescent="0.35">
      <c r="B7370" s="171"/>
    </row>
    <row r="7371" spans="2:2" ht="15.5" x14ac:dyDescent="0.35">
      <c r="B7371" s="171"/>
    </row>
    <row r="7372" spans="2:2" ht="15.5" x14ac:dyDescent="0.35">
      <c r="B7372" s="171"/>
    </row>
    <row r="7373" spans="2:2" ht="15.5" x14ac:dyDescent="0.35">
      <c r="B7373" s="171"/>
    </row>
    <row r="7374" spans="2:2" ht="15.5" x14ac:dyDescent="0.35">
      <c r="B7374" s="171"/>
    </row>
    <row r="7375" spans="2:2" ht="15.5" x14ac:dyDescent="0.35">
      <c r="B7375" s="171"/>
    </row>
    <row r="7376" spans="2:2" ht="15.5" x14ac:dyDescent="0.35">
      <c r="B7376" s="171"/>
    </row>
    <row r="7377" spans="2:2" ht="15.5" x14ac:dyDescent="0.35">
      <c r="B7377" s="171"/>
    </row>
    <row r="7378" spans="2:2" ht="15.5" x14ac:dyDescent="0.35">
      <c r="B7378" s="171"/>
    </row>
    <row r="7379" spans="2:2" ht="15.5" x14ac:dyDescent="0.35">
      <c r="B7379" s="171"/>
    </row>
    <row r="7380" spans="2:2" ht="15.5" x14ac:dyDescent="0.35">
      <c r="B7380" s="171"/>
    </row>
    <row r="7381" spans="2:2" ht="15.5" x14ac:dyDescent="0.35">
      <c r="B7381" s="171"/>
    </row>
    <row r="7382" spans="2:2" ht="15.5" x14ac:dyDescent="0.35">
      <c r="B7382" s="171"/>
    </row>
    <row r="7383" spans="2:2" ht="15.5" x14ac:dyDescent="0.35">
      <c r="B7383" s="171"/>
    </row>
    <row r="7384" spans="2:2" ht="15.5" x14ac:dyDescent="0.35">
      <c r="B7384" s="171"/>
    </row>
    <row r="7385" spans="2:2" ht="15.5" x14ac:dyDescent="0.35">
      <c r="B7385" s="171"/>
    </row>
    <row r="7386" spans="2:2" ht="15.5" x14ac:dyDescent="0.35">
      <c r="B7386" s="171"/>
    </row>
    <row r="7387" spans="2:2" ht="15.5" x14ac:dyDescent="0.35">
      <c r="B7387" s="171"/>
    </row>
    <row r="7388" spans="2:2" ht="15.5" x14ac:dyDescent="0.35">
      <c r="B7388" s="171"/>
    </row>
    <row r="7389" spans="2:2" ht="15.5" x14ac:dyDescent="0.35">
      <c r="B7389" s="171"/>
    </row>
    <row r="7390" spans="2:2" ht="15.5" x14ac:dyDescent="0.35">
      <c r="B7390" s="171"/>
    </row>
    <row r="7391" spans="2:2" ht="15.5" x14ac:dyDescent="0.35">
      <c r="B7391" s="171"/>
    </row>
    <row r="7392" spans="2:2" ht="15.5" x14ac:dyDescent="0.35">
      <c r="B7392" s="171"/>
    </row>
    <row r="7393" spans="2:2" ht="15.5" x14ac:dyDescent="0.35">
      <c r="B7393" s="171"/>
    </row>
    <row r="7394" spans="2:2" ht="15.5" x14ac:dyDescent="0.35">
      <c r="B7394" s="171"/>
    </row>
    <row r="7395" spans="2:2" ht="15.5" x14ac:dyDescent="0.35">
      <c r="B7395" s="171"/>
    </row>
    <row r="7396" spans="2:2" ht="15.5" x14ac:dyDescent="0.35">
      <c r="B7396" s="171"/>
    </row>
    <row r="7397" spans="2:2" ht="15.5" x14ac:dyDescent="0.35">
      <c r="B7397" s="171"/>
    </row>
    <row r="7398" spans="2:2" ht="15.5" x14ac:dyDescent="0.35">
      <c r="B7398" s="171"/>
    </row>
    <row r="7399" spans="2:2" ht="15.5" x14ac:dyDescent="0.35">
      <c r="B7399" s="171"/>
    </row>
    <row r="7400" spans="2:2" ht="15.5" x14ac:dyDescent="0.35">
      <c r="B7400" s="171"/>
    </row>
    <row r="7401" spans="2:2" ht="15.5" x14ac:dyDescent="0.35">
      <c r="B7401" s="171"/>
    </row>
    <row r="7402" spans="2:2" ht="15.5" x14ac:dyDescent="0.35">
      <c r="B7402" s="171"/>
    </row>
    <row r="7403" spans="2:2" ht="15.5" x14ac:dyDescent="0.35">
      <c r="B7403" s="171"/>
    </row>
    <row r="7404" spans="2:2" ht="15.5" x14ac:dyDescent="0.35">
      <c r="B7404" s="171"/>
    </row>
    <row r="7405" spans="2:2" ht="15.5" x14ac:dyDescent="0.35">
      <c r="B7405" s="171"/>
    </row>
    <row r="7406" spans="2:2" ht="15.5" x14ac:dyDescent="0.35">
      <c r="B7406" s="171"/>
    </row>
    <row r="7407" spans="2:2" ht="15.5" x14ac:dyDescent="0.35">
      <c r="B7407" s="171"/>
    </row>
    <row r="7408" spans="2:2" ht="15.5" x14ac:dyDescent="0.35">
      <c r="B7408" s="171"/>
    </row>
    <row r="7409" spans="2:2" ht="15.5" x14ac:dyDescent="0.35">
      <c r="B7409" s="171"/>
    </row>
    <row r="7410" spans="2:2" ht="15.5" x14ac:dyDescent="0.35">
      <c r="B7410" s="171"/>
    </row>
    <row r="7411" spans="2:2" ht="15.5" x14ac:dyDescent="0.35">
      <c r="B7411" s="171"/>
    </row>
    <row r="7412" spans="2:2" ht="15.5" x14ac:dyDescent="0.35">
      <c r="B7412" s="171"/>
    </row>
    <row r="7413" spans="2:2" ht="15.5" x14ac:dyDescent="0.35">
      <c r="B7413" s="171"/>
    </row>
    <row r="7414" spans="2:2" ht="15.5" x14ac:dyDescent="0.35">
      <c r="B7414" s="171"/>
    </row>
    <row r="7415" spans="2:2" ht="15.5" x14ac:dyDescent="0.35">
      <c r="B7415" s="171"/>
    </row>
    <row r="7416" spans="2:2" ht="15.5" x14ac:dyDescent="0.35">
      <c r="B7416" s="171"/>
    </row>
    <row r="7417" spans="2:2" ht="15.5" x14ac:dyDescent="0.35">
      <c r="B7417" s="171"/>
    </row>
    <row r="7418" spans="2:2" ht="15.5" x14ac:dyDescent="0.35">
      <c r="B7418" s="171"/>
    </row>
    <row r="7419" spans="2:2" ht="15.5" x14ac:dyDescent="0.35">
      <c r="B7419" s="171"/>
    </row>
    <row r="7420" spans="2:2" ht="15.5" x14ac:dyDescent="0.35">
      <c r="B7420" s="171"/>
    </row>
    <row r="7421" spans="2:2" ht="15.5" x14ac:dyDescent="0.35">
      <c r="B7421" s="171"/>
    </row>
    <row r="7422" spans="2:2" ht="15.5" x14ac:dyDescent="0.35">
      <c r="B7422" s="171"/>
    </row>
    <row r="7423" spans="2:2" ht="15.5" x14ac:dyDescent="0.35">
      <c r="B7423" s="171"/>
    </row>
    <row r="7424" spans="2:2" ht="15.5" x14ac:dyDescent="0.35">
      <c r="B7424" s="171"/>
    </row>
    <row r="7425" spans="2:2" ht="15.5" x14ac:dyDescent="0.35">
      <c r="B7425" s="171"/>
    </row>
    <row r="7426" spans="2:2" ht="15.5" x14ac:dyDescent="0.35">
      <c r="B7426" s="171"/>
    </row>
    <row r="7427" spans="2:2" ht="15.5" x14ac:dyDescent="0.35">
      <c r="B7427" s="171"/>
    </row>
    <row r="7428" spans="2:2" ht="15.5" x14ac:dyDescent="0.35">
      <c r="B7428" s="171"/>
    </row>
    <row r="7429" spans="2:2" ht="15.5" x14ac:dyDescent="0.35">
      <c r="B7429" s="171"/>
    </row>
    <row r="7430" spans="2:2" ht="15.5" x14ac:dyDescent="0.35">
      <c r="B7430" s="171"/>
    </row>
    <row r="7431" spans="2:2" ht="15.5" x14ac:dyDescent="0.35">
      <c r="B7431" s="171"/>
    </row>
    <row r="7432" spans="2:2" ht="15.5" x14ac:dyDescent="0.35">
      <c r="B7432" s="171"/>
    </row>
    <row r="7433" spans="2:2" ht="15.5" x14ac:dyDescent="0.35">
      <c r="B7433" s="171"/>
    </row>
    <row r="7434" spans="2:2" ht="15.5" x14ac:dyDescent="0.35">
      <c r="B7434" s="171"/>
    </row>
    <row r="7435" spans="2:2" ht="15.5" x14ac:dyDescent="0.35">
      <c r="B7435" s="171"/>
    </row>
    <row r="7436" spans="2:2" ht="15.5" x14ac:dyDescent="0.35">
      <c r="B7436" s="171"/>
    </row>
    <row r="7437" spans="2:2" ht="15.5" x14ac:dyDescent="0.35">
      <c r="B7437" s="171"/>
    </row>
    <row r="7438" spans="2:2" ht="15.5" x14ac:dyDescent="0.35">
      <c r="B7438" s="171"/>
    </row>
    <row r="7439" spans="2:2" ht="15.5" x14ac:dyDescent="0.35">
      <c r="B7439" s="171"/>
    </row>
    <row r="7440" spans="2:2" ht="15.5" x14ac:dyDescent="0.35">
      <c r="B7440" s="171"/>
    </row>
    <row r="7441" spans="2:2" ht="15.5" x14ac:dyDescent="0.35">
      <c r="B7441" s="171"/>
    </row>
    <row r="7442" spans="2:2" ht="15.5" x14ac:dyDescent="0.35">
      <c r="B7442" s="171"/>
    </row>
    <row r="7443" spans="2:2" ht="15.5" x14ac:dyDescent="0.35">
      <c r="B7443" s="171"/>
    </row>
    <row r="7444" spans="2:2" ht="15.5" x14ac:dyDescent="0.35">
      <c r="B7444" s="171"/>
    </row>
    <row r="7445" spans="2:2" ht="15.5" x14ac:dyDescent="0.35">
      <c r="B7445" s="171"/>
    </row>
    <row r="7446" spans="2:2" ht="15.5" x14ac:dyDescent="0.35">
      <c r="B7446" s="171"/>
    </row>
    <row r="7447" spans="2:2" ht="15.5" x14ac:dyDescent="0.35">
      <c r="B7447" s="171"/>
    </row>
    <row r="7448" spans="2:2" ht="15.5" x14ac:dyDescent="0.35">
      <c r="B7448" s="171"/>
    </row>
    <row r="7449" spans="2:2" ht="15.5" x14ac:dyDescent="0.35">
      <c r="B7449" s="171"/>
    </row>
    <row r="7450" spans="2:2" ht="15.5" x14ac:dyDescent="0.35">
      <c r="B7450" s="171"/>
    </row>
    <row r="7451" spans="2:2" ht="15.5" x14ac:dyDescent="0.35">
      <c r="B7451" s="171"/>
    </row>
    <row r="7452" spans="2:2" ht="15.5" x14ac:dyDescent="0.35">
      <c r="B7452" s="171"/>
    </row>
    <row r="7453" spans="2:2" ht="15.5" x14ac:dyDescent="0.35">
      <c r="B7453" s="171"/>
    </row>
    <row r="7454" spans="2:2" ht="15.5" x14ac:dyDescent="0.35">
      <c r="B7454" s="171"/>
    </row>
    <row r="7455" spans="2:2" ht="15.5" x14ac:dyDescent="0.35">
      <c r="B7455" s="171"/>
    </row>
    <row r="7456" spans="2:2" ht="15.5" x14ac:dyDescent="0.35">
      <c r="B7456" s="171"/>
    </row>
    <row r="7457" spans="2:2" ht="15.5" x14ac:dyDescent="0.35">
      <c r="B7457" s="171"/>
    </row>
    <row r="7458" spans="2:2" ht="15.5" x14ac:dyDescent="0.35">
      <c r="B7458" s="171"/>
    </row>
    <row r="7459" spans="2:2" ht="15.5" x14ac:dyDescent="0.35">
      <c r="B7459" s="171"/>
    </row>
    <row r="7460" spans="2:2" ht="15.5" x14ac:dyDescent="0.35">
      <c r="B7460" s="171"/>
    </row>
    <row r="7461" spans="2:2" ht="15.5" x14ac:dyDescent="0.35">
      <c r="B7461" s="171"/>
    </row>
    <row r="7462" spans="2:2" ht="15.5" x14ac:dyDescent="0.35">
      <c r="B7462" s="171"/>
    </row>
    <row r="7463" spans="2:2" ht="15.5" x14ac:dyDescent="0.35">
      <c r="B7463" s="171"/>
    </row>
    <row r="7464" spans="2:2" ht="15.5" x14ac:dyDescent="0.35">
      <c r="B7464" s="171"/>
    </row>
    <row r="7465" spans="2:2" ht="15.5" x14ac:dyDescent="0.35">
      <c r="B7465" s="171"/>
    </row>
    <row r="7466" spans="2:2" ht="15.5" x14ac:dyDescent="0.35">
      <c r="B7466" s="171"/>
    </row>
    <row r="7467" spans="2:2" ht="15.5" x14ac:dyDescent="0.35">
      <c r="B7467" s="171"/>
    </row>
    <row r="7468" spans="2:2" ht="15.5" x14ac:dyDescent="0.35">
      <c r="B7468" s="171"/>
    </row>
    <row r="7469" spans="2:2" ht="15.5" x14ac:dyDescent="0.35">
      <c r="B7469" s="171"/>
    </row>
    <row r="7470" spans="2:2" ht="15.5" x14ac:dyDescent="0.35">
      <c r="B7470" s="171"/>
    </row>
    <row r="7471" spans="2:2" ht="15.5" x14ac:dyDescent="0.35">
      <c r="B7471" s="171"/>
    </row>
    <row r="7472" spans="2:2" ht="15.5" x14ac:dyDescent="0.35">
      <c r="B7472" s="171"/>
    </row>
    <row r="7473" spans="2:2" ht="15.5" x14ac:dyDescent="0.35">
      <c r="B7473" s="171"/>
    </row>
    <row r="7474" spans="2:2" ht="15.5" x14ac:dyDescent="0.35">
      <c r="B7474" s="171"/>
    </row>
    <row r="7475" spans="2:2" ht="15.5" x14ac:dyDescent="0.35">
      <c r="B7475" s="171"/>
    </row>
    <row r="7476" spans="2:2" ht="15.5" x14ac:dyDescent="0.35">
      <c r="B7476" s="171"/>
    </row>
    <row r="7477" spans="2:2" ht="15.5" x14ac:dyDescent="0.35">
      <c r="B7477" s="171"/>
    </row>
    <row r="7478" spans="2:2" ht="15.5" x14ac:dyDescent="0.35">
      <c r="B7478" s="171"/>
    </row>
    <row r="7479" spans="2:2" ht="15.5" x14ac:dyDescent="0.35">
      <c r="B7479" s="171"/>
    </row>
    <row r="7480" spans="2:2" ht="15.5" x14ac:dyDescent="0.35">
      <c r="B7480" s="171"/>
    </row>
    <row r="7481" spans="2:2" ht="15.5" x14ac:dyDescent="0.35">
      <c r="B7481" s="171"/>
    </row>
    <row r="7482" spans="2:2" ht="15.5" x14ac:dyDescent="0.35">
      <c r="B7482" s="171"/>
    </row>
    <row r="7483" spans="2:2" ht="15.5" x14ac:dyDescent="0.35">
      <c r="B7483" s="171"/>
    </row>
    <row r="7484" spans="2:2" ht="15.5" x14ac:dyDescent="0.35">
      <c r="B7484" s="171"/>
    </row>
    <row r="7485" spans="2:2" ht="15.5" x14ac:dyDescent="0.35">
      <c r="B7485" s="171"/>
    </row>
    <row r="7486" spans="2:2" ht="15.5" x14ac:dyDescent="0.35">
      <c r="B7486" s="171"/>
    </row>
    <row r="7487" spans="2:2" ht="15.5" x14ac:dyDescent="0.35">
      <c r="B7487" s="171"/>
    </row>
    <row r="7488" spans="2:2" ht="15.5" x14ac:dyDescent="0.35">
      <c r="B7488" s="171"/>
    </row>
    <row r="7489" spans="2:2" ht="15.5" x14ac:dyDescent="0.35">
      <c r="B7489" s="171"/>
    </row>
    <row r="7490" spans="2:2" ht="15.5" x14ac:dyDescent="0.35">
      <c r="B7490" s="171"/>
    </row>
    <row r="7491" spans="2:2" ht="15.5" x14ac:dyDescent="0.35">
      <c r="B7491" s="171"/>
    </row>
    <row r="7492" spans="2:2" ht="15.5" x14ac:dyDescent="0.35">
      <c r="B7492" s="171"/>
    </row>
    <row r="7493" spans="2:2" ht="15.5" x14ac:dyDescent="0.35">
      <c r="B7493" s="171"/>
    </row>
    <row r="7494" spans="2:2" ht="15.5" x14ac:dyDescent="0.35">
      <c r="B7494" s="171"/>
    </row>
    <row r="7495" spans="2:2" ht="15.5" x14ac:dyDescent="0.35">
      <c r="B7495" s="171"/>
    </row>
    <row r="7496" spans="2:2" ht="15.5" x14ac:dyDescent="0.35">
      <c r="B7496" s="171"/>
    </row>
    <row r="7497" spans="2:2" ht="15.5" x14ac:dyDescent="0.35">
      <c r="B7497" s="171"/>
    </row>
    <row r="7498" spans="2:2" ht="15.5" x14ac:dyDescent="0.35">
      <c r="B7498" s="171"/>
    </row>
    <row r="7499" spans="2:2" ht="15.5" x14ac:dyDescent="0.35">
      <c r="B7499" s="171"/>
    </row>
    <row r="7500" spans="2:2" ht="15.5" x14ac:dyDescent="0.35">
      <c r="B7500" s="171"/>
    </row>
    <row r="7501" spans="2:2" ht="15.5" x14ac:dyDescent="0.35">
      <c r="B7501" s="171"/>
    </row>
    <row r="7502" spans="2:2" ht="15.5" x14ac:dyDescent="0.35">
      <c r="B7502" s="171"/>
    </row>
    <row r="7503" spans="2:2" ht="15.5" x14ac:dyDescent="0.35">
      <c r="B7503" s="171"/>
    </row>
    <row r="7504" spans="2:2" ht="15.5" x14ac:dyDescent="0.35">
      <c r="B7504" s="171"/>
    </row>
    <row r="7505" spans="2:2" ht="15.5" x14ac:dyDescent="0.35">
      <c r="B7505" s="171"/>
    </row>
    <row r="7506" spans="2:2" ht="15.5" x14ac:dyDescent="0.35">
      <c r="B7506" s="171"/>
    </row>
    <row r="7507" spans="2:2" ht="15.5" x14ac:dyDescent="0.35">
      <c r="B7507" s="171"/>
    </row>
    <row r="7508" spans="2:2" ht="15.5" x14ac:dyDescent="0.35">
      <c r="B7508" s="171"/>
    </row>
    <row r="7509" spans="2:2" ht="15.5" x14ac:dyDescent="0.35">
      <c r="B7509" s="171"/>
    </row>
    <row r="7510" spans="2:2" ht="15.5" x14ac:dyDescent="0.35">
      <c r="B7510" s="171"/>
    </row>
    <row r="7511" spans="2:2" ht="15.5" x14ac:dyDescent="0.35">
      <c r="B7511" s="171"/>
    </row>
    <row r="7512" spans="2:2" ht="15.5" x14ac:dyDescent="0.35">
      <c r="B7512" s="171"/>
    </row>
    <row r="7513" spans="2:2" ht="15.5" x14ac:dyDescent="0.35">
      <c r="B7513" s="171"/>
    </row>
    <row r="7514" spans="2:2" ht="15.5" x14ac:dyDescent="0.35">
      <c r="B7514" s="171"/>
    </row>
    <row r="7515" spans="2:2" ht="15.5" x14ac:dyDescent="0.35">
      <c r="B7515" s="171"/>
    </row>
    <row r="7516" spans="2:2" ht="15.5" x14ac:dyDescent="0.35">
      <c r="B7516" s="171"/>
    </row>
    <row r="7517" spans="2:2" ht="15.5" x14ac:dyDescent="0.35">
      <c r="B7517" s="171"/>
    </row>
    <row r="7518" spans="2:2" ht="15.5" x14ac:dyDescent="0.35">
      <c r="B7518" s="171"/>
    </row>
    <row r="7519" spans="2:2" ht="15.5" x14ac:dyDescent="0.35">
      <c r="B7519" s="171"/>
    </row>
    <row r="7520" spans="2:2" ht="15.5" x14ac:dyDescent="0.35">
      <c r="B7520" s="171"/>
    </row>
    <row r="7521" spans="2:2" ht="15.5" x14ac:dyDescent="0.35">
      <c r="B7521" s="171"/>
    </row>
    <row r="7522" spans="2:2" ht="15.5" x14ac:dyDescent="0.35">
      <c r="B7522" s="171"/>
    </row>
    <row r="7523" spans="2:2" ht="15.5" x14ac:dyDescent="0.35">
      <c r="B7523" s="171"/>
    </row>
    <row r="7524" spans="2:2" ht="15.5" x14ac:dyDescent="0.35">
      <c r="B7524" s="171"/>
    </row>
    <row r="7525" spans="2:2" ht="15.5" x14ac:dyDescent="0.35">
      <c r="B7525" s="171"/>
    </row>
    <row r="7526" spans="2:2" ht="15.5" x14ac:dyDescent="0.35">
      <c r="B7526" s="171"/>
    </row>
    <row r="7527" spans="2:2" ht="15.5" x14ac:dyDescent="0.35">
      <c r="B7527" s="171"/>
    </row>
    <row r="7528" spans="2:2" ht="15.5" x14ac:dyDescent="0.35">
      <c r="B7528" s="171"/>
    </row>
    <row r="7529" spans="2:2" ht="15.5" x14ac:dyDescent="0.35">
      <c r="B7529" s="171"/>
    </row>
    <row r="7530" spans="2:2" ht="15.5" x14ac:dyDescent="0.35">
      <c r="B7530" s="171"/>
    </row>
    <row r="7531" spans="2:2" ht="15.5" x14ac:dyDescent="0.35">
      <c r="B7531" s="171"/>
    </row>
    <row r="7532" spans="2:2" ht="15.5" x14ac:dyDescent="0.35">
      <c r="B7532" s="171"/>
    </row>
    <row r="7533" spans="2:2" ht="15.5" x14ac:dyDescent="0.35">
      <c r="B7533" s="171"/>
    </row>
    <row r="7534" spans="2:2" ht="15.5" x14ac:dyDescent="0.35">
      <c r="B7534" s="171"/>
    </row>
    <row r="7535" spans="2:2" ht="15.5" x14ac:dyDescent="0.35">
      <c r="B7535" s="171"/>
    </row>
    <row r="7536" spans="2:2" ht="15.5" x14ac:dyDescent="0.35">
      <c r="B7536" s="171"/>
    </row>
    <row r="7537" spans="2:2" ht="15.5" x14ac:dyDescent="0.35">
      <c r="B7537" s="171"/>
    </row>
    <row r="7538" spans="2:2" ht="15.5" x14ac:dyDescent="0.35">
      <c r="B7538" s="171"/>
    </row>
    <row r="7539" spans="2:2" ht="15.5" x14ac:dyDescent="0.35">
      <c r="B7539" s="171"/>
    </row>
    <row r="7540" spans="2:2" ht="15.5" x14ac:dyDescent="0.35">
      <c r="B7540" s="171"/>
    </row>
    <row r="7541" spans="2:2" ht="15.5" x14ac:dyDescent="0.35">
      <c r="B7541" s="171"/>
    </row>
    <row r="7542" spans="2:2" ht="15.5" x14ac:dyDescent="0.35">
      <c r="B7542" s="171"/>
    </row>
    <row r="7543" spans="2:2" ht="15.5" x14ac:dyDescent="0.35">
      <c r="B7543" s="171"/>
    </row>
    <row r="7544" spans="2:2" ht="15.5" x14ac:dyDescent="0.35">
      <c r="B7544" s="171"/>
    </row>
    <row r="7545" spans="2:2" ht="15.5" x14ac:dyDescent="0.35">
      <c r="B7545" s="171"/>
    </row>
    <row r="7546" spans="2:2" ht="15.5" x14ac:dyDescent="0.35">
      <c r="B7546" s="171"/>
    </row>
    <row r="7547" spans="2:2" ht="15.5" x14ac:dyDescent="0.35">
      <c r="B7547" s="171"/>
    </row>
    <row r="7548" spans="2:2" ht="15.5" x14ac:dyDescent="0.35">
      <c r="B7548" s="171"/>
    </row>
    <row r="7549" spans="2:2" ht="15.5" x14ac:dyDescent="0.35">
      <c r="B7549" s="171"/>
    </row>
    <row r="7550" spans="2:2" ht="15.5" x14ac:dyDescent="0.35">
      <c r="B7550" s="171"/>
    </row>
    <row r="7551" spans="2:2" ht="15.5" x14ac:dyDescent="0.35">
      <c r="B7551" s="171"/>
    </row>
    <row r="7552" spans="2:2" ht="15.5" x14ac:dyDescent="0.35">
      <c r="B7552" s="171"/>
    </row>
    <row r="7553" spans="2:2" ht="15.5" x14ac:dyDescent="0.35">
      <c r="B7553" s="171"/>
    </row>
    <row r="7554" spans="2:2" ht="15.5" x14ac:dyDescent="0.35">
      <c r="B7554" s="171"/>
    </row>
    <row r="7555" spans="2:2" ht="15.5" x14ac:dyDescent="0.35">
      <c r="B7555" s="171"/>
    </row>
    <row r="7556" spans="2:2" ht="15.5" x14ac:dyDescent="0.35">
      <c r="B7556" s="171"/>
    </row>
    <row r="7557" spans="2:2" ht="15.5" x14ac:dyDescent="0.35">
      <c r="B7557" s="171"/>
    </row>
    <row r="7558" spans="2:2" ht="15.5" x14ac:dyDescent="0.35">
      <c r="B7558" s="171"/>
    </row>
    <row r="7559" spans="2:2" ht="15.5" x14ac:dyDescent="0.35">
      <c r="B7559" s="171"/>
    </row>
    <row r="7560" spans="2:2" ht="15.5" x14ac:dyDescent="0.35">
      <c r="B7560" s="171"/>
    </row>
    <row r="7561" spans="2:2" ht="15.5" x14ac:dyDescent="0.35">
      <c r="B7561" s="171"/>
    </row>
    <row r="7562" spans="2:2" ht="15.5" x14ac:dyDescent="0.35">
      <c r="B7562" s="171"/>
    </row>
    <row r="7563" spans="2:2" ht="15.5" x14ac:dyDescent="0.35">
      <c r="B7563" s="171"/>
    </row>
    <row r="7564" spans="2:2" ht="15.5" x14ac:dyDescent="0.35">
      <c r="B7564" s="171"/>
    </row>
    <row r="7565" spans="2:2" ht="15.5" x14ac:dyDescent="0.35">
      <c r="B7565" s="171"/>
    </row>
    <row r="7566" spans="2:2" ht="15.5" x14ac:dyDescent="0.35">
      <c r="B7566" s="171"/>
    </row>
    <row r="7567" spans="2:2" ht="15.5" x14ac:dyDescent="0.35">
      <c r="B7567" s="171"/>
    </row>
    <row r="7568" spans="2:2" ht="15.5" x14ac:dyDescent="0.35">
      <c r="B7568" s="171"/>
    </row>
    <row r="7569" spans="2:2" ht="15.5" x14ac:dyDescent="0.35">
      <c r="B7569" s="171"/>
    </row>
    <row r="7570" spans="2:2" ht="15.5" x14ac:dyDescent="0.35">
      <c r="B7570" s="171"/>
    </row>
    <row r="7571" spans="2:2" ht="15.5" x14ac:dyDescent="0.35">
      <c r="B7571" s="171"/>
    </row>
    <row r="7572" spans="2:2" ht="15.5" x14ac:dyDescent="0.35">
      <c r="B7572" s="171"/>
    </row>
    <row r="7573" spans="2:2" ht="15.5" x14ac:dyDescent="0.35">
      <c r="B7573" s="171"/>
    </row>
    <row r="7574" spans="2:2" ht="15.5" x14ac:dyDescent="0.35">
      <c r="B7574" s="171"/>
    </row>
    <row r="7575" spans="2:2" ht="15.5" x14ac:dyDescent="0.35">
      <c r="B7575" s="171"/>
    </row>
    <row r="7576" spans="2:2" ht="15.5" x14ac:dyDescent="0.35">
      <c r="B7576" s="171"/>
    </row>
    <row r="7577" spans="2:2" ht="15.5" x14ac:dyDescent="0.35">
      <c r="B7577" s="171"/>
    </row>
    <row r="7578" spans="2:2" ht="15.5" x14ac:dyDescent="0.35">
      <c r="B7578" s="171"/>
    </row>
    <row r="7579" spans="2:2" ht="15.5" x14ac:dyDescent="0.35">
      <c r="B7579" s="171"/>
    </row>
    <row r="7580" spans="2:2" ht="15.5" x14ac:dyDescent="0.35">
      <c r="B7580" s="171"/>
    </row>
    <row r="7581" spans="2:2" ht="15.5" x14ac:dyDescent="0.35">
      <c r="B7581" s="171"/>
    </row>
    <row r="7582" spans="2:2" ht="15.5" x14ac:dyDescent="0.35">
      <c r="B7582" s="171"/>
    </row>
    <row r="7583" spans="2:2" ht="15.5" x14ac:dyDescent="0.35">
      <c r="B7583" s="171"/>
    </row>
    <row r="7584" spans="2:2" ht="15.5" x14ac:dyDescent="0.35">
      <c r="B7584" s="171"/>
    </row>
    <row r="7585" spans="2:2" ht="15.5" x14ac:dyDescent="0.35">
      <c r="B7585" s="171"/>
    </row>
    <row r="7586" spans="2:2" ht="15.5" x14ac:dyDescent="0.35">
      <c r="B7586" s="171"/>
    </row>
    <row r="7587" spans="2:2" ht="15.5" x14ac:dyDescent="0.35">
      <c r="B7587" s="171"/>
    </row>
    <row r="7588" spans="2:2" ht="15.5" x14ac:dyDescent="0.35">
      <c r="B7588" s="171"/>
    </row>
    <row r="7589" spans="2:2" ht="15.5" x14ac:dyDescent="0.35">
      <c r="B7589" s="171"/>
    </row>
    <row r="7590" spans="2:2" ht="15.5" x14ac:dyDescent="0.35">
      <c r="B7590" s="171"/>
    </row>
    <row r="7591" spans="2:2" ht="15.5" x14ac:dyDescent="0.35">
      <c r="B7591" s="171"/>
    </row>
    <row r="7592" spans="2:2" ht="15.5" x14ac:dyDescent="0.35">
      <c r="B7592" s="171"/>
    </row>
    <row r="7593" spans="2:2" ht="15.5" x14ac:dyDescent="0.35">
      <c r="B7593" s="171"/>
    </row>
    <row r="7594" spans="2:2" ht="15.5" x14ac:dyDescent="0.35">
      <c r="B7594" s="171"/>
    </row>
    <row r="7595" spans="2:2" ht="15.5" x14ac:dyDescent="0.35">
      <c r="B7595" s="171"/>
    </row>
    <row r="7596" spans="2:2" ht="15.5" x14ac:dyDescent="0.35">
      <c r="B7596" s="171"/>
    </row>
    <row r="7597" spans="2:2" ht="15.5" x14ac:dyDescent="0.35">
      <c r="B7597" s="171"/>
    </row>
    <row r="7598" spans="2:2" ht="15.5" x14ac:dyDescent="0.35">
      <c r="B7598" s="171"/>
    </row>
    <row r="7599" spans="2:2" ht="15.5" x14ac:dyDescent="0.35">
      <c r="B7599" s="171"/>
    </row>
    <row r="7600" spans="2:2" ht="15.5" x14ac:dyDescent="0.35">
      <c r="B7600" s="171"/>
    </row>
    <row r="7601" spans="2:2" ht="15.5" x14ac:dyDescent="0.35">
      <c r="B7601" s="171"/>
    </row>
    <row r="7602" spans="2:2" ht="15.5" x14ac:dyDescent="0.35">
      <c r="B7602" s="171"/>
    </row>
    <row r="7603" spans="2:2" ht="15.5" x14ac:dyDescent="0.35">
      <c r="B7603" s="171"/>
    </row>
    <row r="7604" spans="2:2" ht="15.5" x14ac:dyDescent="0.35">
      <c r="B7604" s="171"/>
    </row>
    <row r="7605" spans="2:2" ht="15.5" x14ac:dyDescent="0.35">
      <c r="B7605" s="171"/>
    </row>
    <row r="7606" spans="2:2" ht="15.5" x14ac:dyDescent="0.35">
      <c r="B7606" s="171"/>
    </row>
    <row r="7607" spans="2:2" ht="15.5" x14ac:dyDescent="0.35">
      <c r="B7607" s="171"/>
    </row>
    <row r="7608" spans="2:2" ht="15.5" x14ac:dyDescent="0.35">
      <c r="B7608" s="171"/>
    </row>
    <row r="7609" spans="2:2" ht="15.5" x14ac:dyDescent="0.35">
      <c r="B7609" s="171"/>
    </row>
    <row r="7610" spans="2:2" ht="15.5" x14ac:dyDescent="0.35">
      <c r="B7610" s="171"/>
    </row>
    <row r="7611" spans="2:2" ht="15.5" x14ac:dyDescent="0.35">
      <c r="B7611" s="171"/>
    </row>
    <row r="7612" spans="2:2" ht="15.5" x14ac:dyDescent="0.35">
      <c r="B7612" s="171"/>
    </row>
    <row r="7613" spans="2:2" ht="15.5" x14ac:dyDescent="0.35">
      <c r="B7613" s="171"/>
    </row>
    <row r="7614" spans="2:2" ht="15.5" x14ac:dyDescent="0.35">
      <c r="B7614" s="171"/>
    </row>
    <row r="7615" spans="2:2" ht="15.5" x14ac:dyDescent="0.35">
      <c r="B7615" s="171"/>
    </row>
    <row r="7616" spans="2:2" ht="15.5" x14ac:dyDescent="0.35">
      <c r="B7616" s="171"/>
    </row>
    <row r="7617" spans="2:2" ht="15.5" x14ac:dyDescent="0.35">
      <c r="B7617" s="171"/>
    </row>
    <row r="7618" spans="2:2" ht="15.5" x14ac:dyDescent="0.35">
      <c r="B7618" s="171"/>
    </row>
    <row r="7619" spans="2:2" ht="15.5" x14ac:dyDescent="0.35">
      <c r="B7619" s="171"/>
    </row>
    <row r="7620" spans="2:2" ht="15.5" x14ac:dyDescent="0.35">
      <c r="B7620" s="171"/>
    </row>
    <row r="7621" spans="2:2" ht="15.5" x14ac:dyDescent="0.35">
      <c r="B7621" s="171"/>
    </row>
    <row r="7622" spans="2:2" ht="15.5" x14ac:dyDescent="0.35">
      <c r="B7622" s="171"/>
    </row>
    <row r="7623" spans="2:2" ht="15.5" x14ac:dyDescent="0.35">
      <c r="B7623" s="171"/>
    </row>
    <row r="7624" spans="2:2" ht="15.5" x14ac:dyDescent="0.35">
      <c r="B7624" s="171"/>
    </row>
    <row r="7625" spans="2:2" ht="15.5" x14ac:dyDescent="0.35">
      <c r="B7625" s="171"/>
    </row>
    <row r="7626" spans="2:2" ht="15.5" x14ac:dyDescent="0.35">
      <c r="B7626" s="171"/>
    </row>
    <row r="7627" spans="2:2" ht="15.5" x14ac:dyDescent="0.35">
      <c r="B7627" s="171"/>
    </row>
    <row r="7628" spans="2:2" ht="15.5" x14ac:dyDescent="0.35">
      <c r="B7628" s="171"/>
    </row>
    <row r="7629" spans="2:2" ht="15.5" x14ac:dyDescent="0.35">
      <c r="B7629" s="171"/>
    </row>
    <row r="7630" spans="2:2" ht="15.5" x14ac:dyDescent="0.35">
      <c r="B7630" s="171"/>
    </row>
    <row r="7631" spans="2:2" ht="15.5" x14ac:dyDescent="0.35">
      <c r="B7631" s="171"/>
    </row>
    <row r="7632" spans="2:2" ht="15.5" x14ac:dyDescent="0.35">
      <c r="B7632" s="171"/>
    </row>
    <row r="7633" spans="2:2" ht="15.5" x14ac:dyDescent="0.35">
      <c r="B7633" s="171"/>
    </row>
    <row r="7634" spans="2:2" ht="15.5" x14ac:dyDescent="0.35">
      <c r="B7634" s="171"/>
    </row>
    <row r="7635" spans="2:2" ht="15.5" x14ac:dyDescent="0.35">
      <c r="B7635" s="171"/>
    </row>
    <row r="7636" spans="2:2" ht="15.5" x14ac:dyDescent="0.35">
      <c r="B7636" s="171"/>
    </row>
    <row r="7637" spans="2:2" ht="15.5" x14ac:dyDescent="0.35">
      <c r="B7637" s="171"/>
    </row>
    <row r="7638" spans="2:2" ht="15.5" x14ac:dyDescent="0.35">
      <c r="B7638" s="171"/>
    </row>
    <row r="7639" spans="2:2" ht="15.5" x14ac:dyDescent="0.35">
      <c r="B7639" s="171"/>
    </row>
    <row r="7640" spans="2:2" ht="15.5" x14ac:dyDescent="0.35">
      <c r="B7640" s="171"/>
    </row>
    <row r="7641" spans="2:2" ht="15.5" x14ac:dyDescent="0.35">
      <c r="B7641" s="171"/>
    </row>
    <row r="7642" spans="2:2" ht="15.5" x14ac:dyDescent="0.35">
      <c r="B7642" s="171"/>
    </row>
    <row r="7643" spans="2:2" ht="15.5" x14ac:dyDescent="0.35">
      <c r="B7643" s="171"/>
    </row>
    <row r="7644" spans="2:2" ht="15.5" x14ac:dyDescent="0.35">
      <c r="B7644" s="171"/>
    </row>
    <row r="7645" spans="2:2" ht="15.5" x14ac:dyDescent="0.35">
      <c r="B7645" s="171"/>
    </row>
    <row r="7646" spans="2:2" ht="15.5" x14ac:dyDescent="0.35">
      <c r="B7646" s="171"/>
    </row>
    <row r="7647" spans="2:2" ht="15.5" x14ac:dyDescent="0.35">
      <c r="B7647" s="171"/>
    </row>
    <row r="7648" spans="2:2" ht="15.5" x14ac:dyDescent="0.35">
      <c r="B7648" s="171"/>
    </row>
    <row r="7649" spans="2:2" ht="15.5" x14ac:dyDescent="0.35">
      <c r="B7649" s="171"/>
    </row>
    <row r="7650" spans="2:2" ht="15.5" x14ac:dyDescent="0.35">
      <c r="B7650" s="171"/>
    </row>
    <row r="7651" spans="2:2" ht="15.5" x14ac:dyDescent="0.35">
      <c r="B7651" s="171"/>
    </row>
    <row r="7652" spans="2:2" ht="15.5" x14ac:dyDescent="0.35">
      <c r="B7652" s="171"/>
    </row>
    <row r="7653" spans="2:2" ht="15.5" x14ac:dyDescent="0.35">
      <c r="B7653" s="171"/>
    </row>
    <row r="7654" spans="2:2" ht="15.5" x14ac:dyDescent="0.35">
      <c r="B7654" s="171"/>
    </row>
    <row r="7655" spans="2:2" ht="15.5" x14ac:dyDescent="0.35">
      <c r="B7655" s="171"/>
    </row>
    <row r="7656" spans="2:2" ht="15.5" x14ac:dyDescent="0.35">
      <c r="B7656" s="171"/>
    </row>
    <row r="7657" spans="2:2" ht="15.5" x14ac:dyDescent="0.35">
      <c r="B7657" s="171"/>
    </row>
    <row r="7658" spans="2:2" ht="15.5" x14ac:dyDescent="0.35">
      <c r="B7658" s="171"/>
    </row>
    <row r="7659" spans="2:2" ht="15.5" x14ac:dyDescent="0.35">
      <c r="B7659" s="171"/>
    </row>
    <row r="7660" spans="2:2" ht="15.5" x14ac:dyDescent="0.35">
      <c r="B7660" s="171"/>
    </row>
    <row r="7661" spans="2:2" ht="15.5" x14ac:dyDescent="0.35">
      <c r="B7661" s="171"/>
    </row>
    <row r="7662" spans="2:2" ht="15.5" x14ac:dyDescent="0.35">
      <c r="B7662" s="171"/>
    </row>
    <row r="7663" spans="2:2" ht="15.5" x14ac:dyDescent="0.35">
      <c r="B7663" s="171"/>
    </row>
    <row r="7664" spans="2:2" ht="15.5" x14ac:dyDescent="0.35">
      <c r="B7664" s="171"/>
    </row>
    <row r="7665" spans="2:2" ht="15.5" x14ac:dyDescent="0.35">
      <c r="B7665" s="171"/>
    </row>
    <row r="7666" spans="2:2" ht="15.5" x14ac:dyDescent="0.35">
      <c r="B7666" s="171"/>
    </row>
    <row r="7667" spans="2:2" ht="15.5" x14ac:dyDescent="0.35">
      <c r="B7667" s="171"/>
    </row>
    <row r="7668" spans="2:2" ht="15.5" x14ac:dyDescent="0.35">
      <c r="B7668" s="171"/>
    </row>
    <row r="7669" spans="2:2" ht="15.5" x14ac:dyDescent="0.35">
      <c r="B7669" s="171"/>
    </row>
    <row r="7670" spans="2:2" ht="15.5" x14ac:dyDescent="0.35">
      <c r="B7670" s="171"/>
    </row>
    <row r="7671" spans="2:2" ht="15.5" x14ac:dyDescent="0.35">
      <c r="B7671" s="171"/>
    </row>
    <row r="7672" spans="2:2" ht="15.5" x14ac:dyDescent="0.35">
      <c r="B7672" s="171"/>
    </row>
    <row r="7673" spans="2:2" ht="15.5" x14ac:dyDescent="0.35">
      <c r="B7673" s="171"/>
    </row>
    <row r="7674" spans="2:2" ht="15.5" x14ac:dyDescent="0.35">
      <c r="B7674" s="171"/>
    </row>
    <row r="7675" spans="2:2" ht="15.5" x14ac:dyDescent="0.35">
      <c r="B7675" s="171"/>
    </row>
    <row r="7676" spans="2:2" ht="15.5" x14ac:dyDescent="0.35">
      <c r="B7676" s="171"/>
    </row>
    <row r="7677" spans="2:2" ht="15.5" x14ac:dyDescent="0.35">
      <c r="B7677" s="171"/>
    </row>
    <row r="7678" spans="2:2" ht="15.5" x14ac:dyDescent="0.35">
      <c r="B7678" s="171"/>
    </row>
    <row r="7679" spans="2:2" ht="15.5" x14ac:dyDescent="0.35">
      <c r="B7679" s="171"/>
    </row>
    <row r="7680" spans="2:2" ht="15.5" x14ac:dyDescent="0.35">
      <c r="B7680" s="171"/>
    </row>
    <row r="7681" spans="2:2" ht="15.5" x14ac:dyDescent="0.35">
      <c r="B7681" s="171"/>
    </row>
    <row r="7682" spans="2:2" ht="15.5" x14ac:dyDescent="0.35">
      <c r="B7682" s="171"/>
    </row>
    <row r="7683" spans="2:2" ht="15.5" x14ac:dyDescent="0.35">
      <c r="B7683" s="171"/>
    </row>
    <row r="7684" spans="2:2" ht="15.5" x14ac:dyDescent="0.35">
      <c r="B7684" s="171"/>
    </row>
    <row r="7685" spans="2:2" ht="15.5" x14ac:dyDescent="0.35">
      <c r="B7685" s="171"/>
    </row>
    <row r="7686" spans="2:2" ht="15.5" x14ac:dyDescent="0.35">
      <c r="B7686" s="171"/>
    </row>
    <row r="7687" spans="2:2" ht="15.5" x14ac:dyDescent="0.35">
      <c r="B7687" s="171"/>
    </row>
    <row r="7688" spans="2:2" ht="15.5" x14ac:dyDescent="0.35">
      <c r="B7688" s="171"/>
    </row>
    <row r="7689" spans="2:2" ht="15.5" x14ac:dyDescent="0.35">
      <c r="B7689" s="171"/>
    </row>
    <row r="7690" spans="2:2" ht="15.5" x14ac:dyDescent="0.35">
      <c r="B7690" s="171"/>
    </row>
    <row r="7691" spans="2:2" ht="15.5" x14ac:dyDescent="0.35">
      <c r="B7691" s="171"/>
    </row>
    <row r="7692" spans="2:2" ht="15.5" x14ac:dyDescent="0.35">
      <c r="B7692" s="171"/>
    </row>
    <row r="7693" spans="2:2" ht="15.5" x14ac:dyDescent="0.35">
      <c r="B7693" s="171"/>
    </row>
    <row r="7694" spans="2:2" ht="15.5" x14ac:dyDescent="0.35">
      <c r="B7694" s="171"/>
    </row>
    <row r="7695" spans="2:2" ht="15.5" x14ac:dyDescent="0.35">
      <c r="B7695" s="171"/>
    </row>
    <row r="7696" spans="2:2" ht="15.5" x14ac:dyDescent="0.35">
      <c r="B7696" s="171"/>
    </row>
    <row r="7697" spans="2:2" ht="15.5" x14ac:dyDescent="0.35">
      <c r="B7697" s="171"/>
    </row>
    <row r="7698" spans="2:2" ht="15.5" x14ac:dyDescent="0.35">
      <c r="B7698" s="171"/>
    </row>
    <row r="7699" spans="2:2" ht="15.5" x14ac:dyDescent="0.35">
      <c r="B7699" s="171"/>
    </row>
    <row r="7700" spans="2:2" ht="15.5" x14ac:dyDescent="0.35">
      <c r="B7700" s="171"/>
    </row>
    <row r="7701" spans="2:2" ht="15.5" x14ac:dyDescent="0.35">
      <c r="B7701" s="171"/>
    </row>
    <row r="7702" spans="2:2" ht="15.5" x14ac:dyDescent="0.35">
      <c r="B7702" s="171"/>
    </row>
    <row r="7703" spans="2:2" ht="15.5" x14ac:dyDescent="0.35">
      <c r="B7703" s="171"/>
    </row>
    <row r="7704" spans="2:2" ht="15.5" x14ac:dyDescent="0.35">
      <c r="B7704" s="171"/>
    </row>
    <row r="7705" spans="2:2" ht="15.5" x14ac:dyDescent="0.35">
      <c r="B7705" s="171"/>
    </row>
    <row r="7706" spans="2:2" ht="15.5" x14ac:dyDescent="0.35">
      <c r="B7706" s="171"/>
    </row>
    <row r="7707" spans="2:2" ht="15.5" x14ac:dyDescent="0.35">
      <c r="B7707" s="171"/>
    </row>
    <row r="7708" spans="2:2" ht="15.5" x14ac:dyDescent="0.35">
      <c r="B7708" s="171"/>
    </row>
    <row r="7709" spans="2:2" ht="15.5" x14ac:dyDescent="0.35">
      <c r="B7709" s="171"/>
    </row>
    <row r="7710" spans="2:2" ht="15.5" x14ac:dyDescent="0.35">
      <c r="B7710" s="171"/>
    </row>
    <row r="7711" spans="2:2" ht="15.5" x14ac:dyDescent="0.35">
      <c r="B7711" s="171"/>
    </row>
    <row r="7712" spans="2:2" ht="15.5" x14ac:dyDescent="0.35">
      <c r="B7712" s="171"/>
    </row>
    <row r="7713" spans="2:2" ht="15.5" x14ac:dyDescent="0.35">
      <c r="B7713" s="171"/>
    </row>
    <row r="7714" spans="2:2" ht="15.5" x14ac:dyDescent="0.35">
      <c r="B7714" s="171"/>
    </row>
    <row r="7715" spans="2:2" ht="15.5" x14ac:dyDescent="0.35">
      <c r="B7715" s="171"/>
    </row>
    <row r="7716" spans="2:2" ht="15.5" x14ac:dyDescent="0.35">
      <c r="B7716" s="171"/>
    </row>
    <row r="7717" spans="2:2" ht="15.5" x14ac:dyDescent="0.35">
      <c r="B7717" s="171"/>
    </row>
    <row r="7718" spans="2:2" ht="15.5" x14ac:dyDescent="0.35">
      <c r="B7718" s="171"/>
    </row>
    <row r="7719" spans="2:2" ht="15.5" x14ac:dyDescent="0.35">
      <c r="B7719" s="171"/>
    </row>
    <row r="7720" spans="2:2" ht="15.5" x14ac:dyDescent="0.35">
      <c r="B7720" s="171"/>
    </row>
    <row r="7721" spans="2:2" ht="15.5" x14ac:dyDescent="0.35">
      <c r="B7721" s="171"/>
    </row>
    <row r="7722" spans="2:2" ht="15.5" x14ac:dyDescent="0.35">
      <c r="B7722" s="171"/>
    </row>
    <row r="7723" spans="2:2" ht="15.5" x14ac:dyDescent="0.35">
      <c r="B7723" s="171"/>
    </row>
    <row r="7724" spans="2:2" ht="15.5" x14ac:dyDescent="0.35">
      <c r="B7724" s="171"/>
    </row>
    <row r="7725" spans="2:2" ht="15.5" x14ac:dyDescent="0.35">
      <c r="B7725" s="171"/>
    </row>
    <row r="7726" spans="2:2" ht="15.5" x14ac:dyDescent="0.35">
      <c r="B7726" s="171"/>
    </row>
    <row r="7727" spans="2:2" ht="15.5" x14ac:dyDescent="0.35">
      <c r="B7727" s="171"/>
    </row>
    <row r="7728" spans="2:2" ht="15.5" x14ac:dyDescent="0.35">
      <c r="B7728" s="171"/>
    </row>
    <row r="7729" spans="2:2" ht="15.5" x14ac:dyDescent="0.35">
      <c r="B7729" s="171"/>
    </row>
    <row r="7730" spans="2:2" ht="15.5" x14ac:dyDescent="0.35">
      <c r="B7730" s="171"/>
    </row>
    <row r="7731" spans="2:2" ht="15.5" x14ac:dyDescent="0.35">
      <c r="B7731" s="171"/>
    </row>
    <row r="7732" spans="2:2" ht="15.5" x14ac:dyDescent="0.35">
      <c r="B7732" s="171"/>
    </row>
    <row r="7733" spans="2:2" ht="15.5" x14ac:dyDescent="0.35">
      <c r="B7733" s="171"/>
    </row>
    <row r="7734" spans="2:2" ht="15.5" x14ac:dyDescent="0.35">
      <c r="B7734" s="171"/>
    </row>
    <row r="7735" spans="2:2" ht="15.5" x14ac:dyDescent="0.35">
      <c r="B7735" s="171"/>
    </row>
    <row r="7736" spans="2:2" ht="15.5" x14ac:dyDescent="0.35">
      <c r="B7736" s="171"/>
    </row>
    <row r="7737" spans="2:2" ht="15.5" x14ac:dyDescent="0.35">
      <c r="B7737" s="171"/>
    </row>
    <row r="7738" spans="2:2" ht="15.5" x14ac:dyDescent="0.35">
      <c r="B7738" s="171"/>
    </row>
    <row r="7739" spans="2:2" ht="15.5" x14ac:dyDescent="0.35">
      <c r="B7739" s="171"/>
    </row>
    <row r="7740" spans="2:2" ht="15.5" x14ac:dyDescent="0.35">
      <c r="B7740" s="171"/>
    </row>
    <row r="7741" spans="2:2" ht="15.5" x14ac:dyDescent="0.35">
      <c r="B7741" s="171"/>
    </row>
    <row r="7742" spans="2:2" ht="15.5" x14ac:dyDescent="0.35">
      <c r="B7742" s="171"/>
    </row>
    <row r="7743" spans="2:2" ht="15.5" x14ac:dyDescent="0.35">
      <c r="B7743" s="171"/>
    </row>
    <row r="7744" spans="2:2" ht="15.5" x14ac:dyDescent="0.35">
      <c r="B7744" s="171"/>
    </row>
    <row r="7745" spans="2:2" ht="15.5" x14ac:dyDescent="0.35">
      <c r="B7745" s="171"/>
    </row>
    <row r="7746" spans="2:2" ht="15.5" x14ac:dyDescent="0.35">
      <c r="B7746" s="171"/>
    </row>
    <row r="7747" spans="2:2" ht="15.5" x14ac:dyDescent="0.35">
      <c r="B7747" s="171"/>
    </row>
    <row r="7748" spans="2:2" ht="15.5" x14ac:dyDescent="0.35">
      <c r="B7748" s="171"/>
    </row>
    <row r="7749" spans="2:2" ht="15.5" x14ac:dyDescent="0.35">
      <c r="B7749" s="171"/>
    </row>
    <row r="7750" spans="2:2" ht="15.5" x14ac:dyDescent="0.35">
      <c r="B7750" s="171"/>
    </row>
    <row r="7751" spans="2:2" ht="15.5" x14ac:dyDescent="0.35">
      <c r="B7751" s="171"/>
    </row>
    <row r="7752" spans="2:2" ht="15.5" x14ac:dyDescent="0.35">
      <c r="B7752" s="171"/>
    </row>
    <row r="7753" spans="2:2" ht="15.5" x14ac:dyDescent="0.35">
      <c r="B7753" s="171"/>
    </row>
    <row r="7754" spans="2:2" ht="15.5" x14ac:dyDescent="0.35">
      <c r="B7754" s="171"/>
    </row>
    <row r="7755" spans="2:2" ht="15.5" x14ac:dyDescent="0.35">
      <c r="B7755" s="171"/>
    </row>
    <row r="7756" spans="2:2" ht="15.5" x14ac:dyDescent="0.35">
      <c r="B7756" s="171"/>
    </row>
    <row r="7757" spans="2:2" ht="15.5" x14ac:dyDescent="0.35">
      <c r="B7757" s="171"/>
    </row>
    <row r="7758" spans="2:2" ht="15.5" x14ac:dyDescent="0.35">
      <c r="B7758" s="171"/>
    </row>
    <row r="7759" spans="2:2" ht="15.5" x14ac:dyDescent="0.35">
      <c r="B7759" s="171"/>
    </row>
    <row r="7760" spans="2:2" ht="15.5" x14ac:dyDescent="0.35">
      <c r="B7760" s="171"/>
    </row>
    <row r="7761" spans="2:2" ht="15.5" x14ac:dyDescent="0.35">
      <c r="B7761" s="171"/>
    </row>
    <row r="7762" spans="2:2" ht="15.5" x14ac:dyDescent="0.35">
      <c r="B7762" s="171"/>
    </row>
    <row r="7763" spans="2:2" ht="15.5" x14ac:dyDescent="0.35">
      <c r="B7763" s="171"/>
    </row>
    <row r="7764" spans="2:2" ht="15.5" x14ac:dyDescent="0.35">
      <c r="B7764" s="171"/>
    </row>
    <row r="7765" spans="2:2" ht="15.5" x14ac:dyDescent="0.35">
      <c r="B7765" s="171"/>
    </row>
    <row r="7766" spans="2:2" ht="15.5" x14ac:dyDescent="0.35">
      <c r="B7766" s="171"/>
    </row>
    <row r="7767" spans="2:2" ht="15.5" x14ac:dyDescent="0.35">
      <c r="B7767" s="171"/>
    </row>
    <row r="7768" spans="2:2" ht="15.5" x14ac:dyDescent="0.35">
      <c r="B7768" s="171"/>
    </row>
    <row r="7769" spans="2:2" ht="15.5" x14ac:dyDescent="0.35">
      <c r="B7769" s="171"/>
    </row>
    <row r="7770" spans="2:2" ht="15.5" x14ac:dyDescent="0.35">
      <c r="B7770" s="171"/>
    </row>
    <row r="7771" spans="2:2" ht="15.5" x14ac:dyDescent="0.35">
      <c r="B7771" s="171"/>
    </row>
    <row r="7772" spans="2:2" ht="15.5" x14ac:dyDescent="0.35">
      <c r="B7772" s="171"/>
    </row>
    <row r="7773" spans="2:2" ht="15.5" x14ac:dyDescent="0.35">
      <c r="B7773" s="171"/>
    </row>
    <row r="7774" spans="2:2" ht="15.5" x14ac:dyDescent="0.35">
      <c r="B7774" s="171"/>
    </row>
    <row r="7775" spans="2:2" ht="15.5" x14ac:dyDescent="0.35">
      <c r="B7775" s="171"/>
    </row>
    <row r="7776" spans="2:2" ht="15.5" x14ac:dyDescent="0.35">
      <c r="B7776" s="171"/>
    </row>
    <row r="7777" spans="2:2" ht="15.5" x14ac:dyDescent="0.35">
      <c r="B7777" s="171"/>
    </row>
    <row r="7778" spans="2:2" ht="15.5" x14ac:dyDescent="0.35">
      <c r="B7778" s="171"/>
    </row>
    <row r="7779" spans="2:2" ht="15.5" x14ac:dyDescent="0.35">
      <c r="B7779" s="171"/>
    </row>
    <row r="7780" spans="2:2" ht="15.5" x14ac:dyDescent="0.35">
      <c r="B7780" s="171"/>
    </row>
    <row r="7781" spans="2:2" ht="15.5" x14ac:dyDescent="0.35">
      <c r="B7781" s="171"/>
    </row>
    <row r="7782" spans="2:2" ht="15.5" x14ac:dyDescent="0.35">
      <c r="B7782" s="171"/>
    </row>
    <row r="7783" spans="2:2" ht="15.5" x14ac:dyDescent="0.35">
      <c r="B7783" s="171"/>
    </row>
    <row r="7784" spans="2:2" ht="15.5" x14ac:dyDescent="0.35">
      <c r="B7784" s="171"/>
    </row>
    <row r="7785" spans="2:2" ht="15.5" x14ac:dyDescent="0.35">
      <c r="B7785" s="171"/>
    </row>
    <row r="7786" spans="2:2" ht="15.5" x14ac:dyDescent="0.35">
      <c r="B7786" s="171"/>
    </row>
    <row r="7787" spans="2:2" ht="15.5" x14ac:dyDescent="0.35">
      <c r="B7787" s="171"/>
    </row>
    <row r="7788" spans="2:2" ht="15.5" x14ac:dyDescent="0.35">
      <c r="B7788" s="171"/>
    </row>
    <row r="7789" spans="2:2" ht="15.5" x14ac:dyDescent="0.35">
      <c r="B7789" s="171"/>
    </row>
    <row r="7790" spans="2:2" ht="15.5" x14ac:dyDescent="0.35">
      <c r="B7790" s="171"/>
    </row>
    <row r="7791" spans="2:2" ht="15.5" x14ac:dyDescent="0.35">
      <c r="B7791" s="171"/>
    </row>
    <row r="7792" spans="2:2" ht="15.5" x14ac:dyDescent="0.35">
      <c r="B7792" s="171"/>
    </row>
    <row r="7793" spans="2:2" ht="15.5" x14ac:dyDescent="0.35">
      <c r="B7793" s="171"/>
    </row>
    <row r="7794" spans="2:2" ht="15.5" x14ac:dyDescent="0.35">
      <c r="B7794" s="171"/>
    </row>
    <row r="7795" spans="2:2" ht="15.5" x14ac:dyDescent="0.35">
      <c r="B7795" s="171"/>
    </row>
    <row r="7796" spans="2:2" ht="15.5" x14ac:dyDescent="0.35">
      <c r="B7796" s="171"/>
    </row>
    <row r="7797" spans="2:2" ht="15.5" x14ac:dyDescent="0.35">
      <c r="B7797" s="171"/>
    </row>
    <row r="7798" spans="2:2" ht="15.5" x14ac:dyDescent="0.35">
      <c r="B7798" s="171"/>
    </row>
    <row r="7799" spans="2:2" ht="15.5" x14ac:dyDescent="0.35">
      <c r="B7799" s="171"/>
    </row>
    <row r="7800" spans="2:2" ht="15.5" x14ac:dyDescent="0.35">
      <c r="B7800" s="171"/>
    </row>
    <row r="7801" spans="2:2" ht="15.5" x14ac:dyDescent="0.35">
      <c r="B7801" s="171"/>
    </row>
    <row r="7802" spans="2:2" ht="15.5" x14ac:dyDescent="0.35">
      <c r="B7802" s="171"/>
    </row>
    <row r="7803" spans="2:2" ht="15.5" x14ac:dyDescent="0.35">
      <c r="B7803" s="171"/>
    </row>
    <row r="7804" spans="2:2" ht="15.5" x14ac:dyDescent="0.35">
      <c r="B7804" s="171"/>
    </row>
    <row r="7805" spans="2:2" ht="15.5" x14ac:dyDescent="0.35">
      <c r="B7805" s="171"/>
    </row>
    <row r="7806" spans="2:2" ht="15.5" x14ac:dyDescent="0.35">
      <c r="B7806" s="171"/>
    </row>
    <row r="7807" spans="2:2" ht="15.5" x14ac:dyDescent="0.35">
      <c r="B7807" s="171"/>
    </row>
    <row r="7808" spans="2:2" ht="15.5" x14ac:dyDescent="0.35">
      <c r="B7808" s="171"/>
    </row>
    <row r="7809" spans="2:2" ht="15.5" x14ac:dyDescent="0.35">
      <c r="B7809" s="171"/>
    </row>
    <row r="7810" spans="2:2" ht="15.5" x14ac:dyDescent="0.35">
      <c r="B7810" s="171"/>
    </row>
    <row r="7811" spans="2:2" ht="15.5" x14ac:dyDescent="0.35">
      <c r="B7811" s="171"/>
    </row>
    <row r="7812" spans="2:2" ht="15.5" x14ac:dyDescent="0.35">
      <c r="B7812" s="171"/>
    </row>
    <row r="7813" spans="2:2" ht="15.5" x14ac:dyDescent="0.35">
      <c r="B7813" s="171"/>
    </row>
    <row r="7814" spans="2:2" ht="15.5" x14ac:dyDescent="0.35">
      <c r="B7814" s="171"/>
    </row>
    <row r="7815" spans="2:2" ht="15.5" x14ac:dyDescent="0.35">
      <c r="B7815" s="171"/>
    </row>
    <row r="7816" spans="2:2" ht="15.5" x14ac:dyDescent="0.35">
      <c r="B7816" s="171"/>
    </row>
    <row r="7817" spans="2:2" ht="15.5" x14ac:dyDescent="0.35">
      <c r="B7817" s="171"/>
    </row>
    <row r="7818" spans="2:2" ht="15.5" x14ac:dyDescent="0.35">
      <c r="B7818" s="171"/>
    </row>
    <row r="7819" spans="2:2" ht="15.5" x14ac:dyDescent="0.35">
      <c r="B7819" s="171"/>
    </row>
    <row r="7820" spans="2:2" ht="15.5" x14ac:dyDescent="0.35">
      <c r="B7820" s="171"/>
    </row>
    <row r="7821" spans="2:2" ht="15.5" x14ac:dyDescent="0.35">
      <c r="B7821" s="171"/>
    </row>
    <row r="7822" spans="2:2" ht="15.5" x14ac:dyDescent="0.35">
      <c r="B7822" s="171"/>
    </row>
    <row r="7823" spans="2:2" ht="15.5" x14ac:dyDescent="0.35">
      <c r="B7823" s="171"/>
    </row>
    <row r="7824" spans="2:2" ht="15.5" x14ac:dyDescent="0.35">
      <c r="B7824" s="171"/>
    </row>
    <row r="7825" spans="2:2" ht="15.5" x14ac:dyDescent="0.35">
      <c r="B7825" s="171"/>
    </row>
    <row r="7826" spans="2:2" ht="15.5" x14ac:dyDescent="0.35">
      <c r="B7826" s="171"/>
    </row>
    <row r="7827" spans="2:2" ht="15.5" x14ac:dyDescent="0.35">
      <c r="B7827" s="171"/>
    </row>
    <row r="7828" spans="2:2" ht="15.5" x14ac:dyDescent="0.35">
      <c r="B7828" s="171"/>
    </row>
    <row r="7829" spans="2:2" ht="15.5" x14ac:dyDescent="0.35">
      <c r="B7829" s="171"/>
    </row>
    <row r="7830" spans="2:2" ht="15.5" x14ac:dyDescent="0.35">
      <c r="B7830" s="171"/>
    </row>
    <row r="7831" spans="2:2" ht="15.5" x14ac:dyDescent="0.35">
      <c r="B7831" s="171"/>
    </row>
    <row r="7832" spans="2:2" ht="15.5" x14ac:dyDescent="0.35">
      <c r="B7832" s="171"/>
    </row>
    <row r="7833" spans="2:2" ht="15.5" x14ac:dyDescent="0.35">
      <c r="B7833" s="171"/>
    </row>
    <row r="7834" spans="2:2" ht="15.5" x14ac:dyDescent="0.35">
      <c r="B7834" s="171"/>
    </row>
    <row r="7835" spans="2:2" ht="15.5" x14ac:dyDescent="0.35">
      <c r="B7835" s="171"/>
    </row>
    <row r="7836" spans="2:2" ht="15.5" x14ac:dyDescent="0.35">
      <c r="B7836" s="171"/>
    </row>
    <row r="7837" spans="2:2" ht="15.5" x14ac:dyDescent="0.35">
      <c r="B7837" s="171"/>
    </row>
    <row r="7838" spans="2:2" ht="15.5" x14ac:dyDescent="0.35">
      <c r="B7838" s="171"/>
    </row>
    <row r="7839" spans="2:2" ht="15.5" x14ac:dyDescent="0.35">
      <c r="B7839" s="171"/>
    </row>
    <row r="7840" spans="2:2" ht="15.5" x14ac:dyDescent="0.35">
      <c r="B7840" s="171"/>
    </row>
    <row r="7841" spans="2:2" ht="15.5" x14ac:dyDescent="0.35">
      <c r="B7841" s="171"/>
    </row>
    <row r="7842" spans="2:2" ht="15.5" x14ac:dyDescent="0.35">
      <c r="B7842" s="171"/>
    </row>
    <row r="7843" spans="2:2" ht="15.5" x14ac:dyDescent="0.35">
      <c r="B7843" s="171"/>
    </row>
    <row r="7844" spans="2:2" ht="15.5" x14ac:dyDescent="0.35">
      <c r="B7844" s="171"/>
    </row>
    <row r="7845" spans="2:2" ht="15.5" x14ac:dyDescent="0.35">
      <c r="B7845" s="171"/>
    </row>
    <row r="7846" spans="2:2" ht="15.5" x14ac:dyDescent="0.35">
      <c r="B7846" s="171"/>
    </row>
    <row r="7847" spans="2:2" ht="15.5" x14ac:dyDescent="0.35">
      <c r="B7847" s="171"/>
    </row>
    <row r="7848" spans="2:2" ht="15.5" x14ac:dyDescent="0.35">
      <c r="B7848" s="171"/>
    </row>
    <row r="7849" spans="2:2" ht="15.5" x14ac:dyDescent="0.35">
      <c r="B7849" s="171"/>
    </row>
    <row r="7850" spans="2:2" ht="15.5" x14ac:dyDescent="0.35">
      <c r="B7850" s="171"/>
    </row>
    <row r="7851" spans="2:2" ht="15.5" x14ac:dyDescent="0.35">
      <c r="B7851" s="171"/>
    </row>
    <row r="7852" spans="2:2" ht="15.5" x14ac:dyDescent="0.35">
      <c r="B7852" s="171"/>
    </row>
    <row r="7853" spans="2:2" ht="15.5" x14ac:dyDescent="0.35">
      <c r="B7853" s="171"/>
    </row>
    <row r="7854" spans="2:2" ht="15.5" x14ac:dyDescent="0.35">
      <c r="B7854" s="171"/>
    </row>
    <row r="7855" spans="2:2" ht="15.5" x14ac:dyDescent="0.35">
      <c r="B7855" s="171"/>
    </row>
    <row r="7856" spans="2:2" ht="15.5" x14ac:dyDescent="0.35">
      <c r="B7856" s="171"/>
    </row>
    <row r="7857" spans="2:2" ht="15.5" x14ac:dyDescent="0.35">
      <c r="B7857" s="171"/>
    </row>
    <row r="7858" spans="2:2" ht="15.5" x14ac:dyDescent="0.35">
      <c r="B7858" s="171"/>
    </row>
    <row r="7859" spans="2:2" ht="15.5" x14ac:dyDescent="0.35">
      <c r="B7859" s="171"/>
    </row>
    <row r="7860" spans="2:2" ht="15.5" x14ac:dyDescent="0.35">
      <c r="B7860" s="171"/>
    </row>
    <row r="7861" spans="2:2" ht="15.5" x14ac:dyDescent="0.35">
      <c r="B7861" s="171"/>
    </row>
    <row r="7862" spans="2:2" ht="15.5" x14ac:dyDescent="0.35">
      <c r="B7862" s="171"/>
    </row>
    <row r="7863" spans="2:2" ht="15.5" x14ac:dyDescent="0.35">
      <c r="B7863" s="171"/>
    </row>
    <row r="7864" spans="2:2" ht="15.5" x14ac:dyDescent="0.35">
      <c r="B7864" s="171"/>
    </row>
    <row r="7865" spans="2:2" ht="15.5" x14ac:dyDescent="0.35">
      <c r="B7865" s="171"/>
    </row>
    <row r="7866" spans="2:2" ht="15.5" x14ac:dyDescent="0.35">
      <c r="B7866" s="171"/>
    </row>
    <row r="7867" spans="2:2" ht="15.5" x14ac:dyDescent="0.35">
      <c r="B7867" s="171"/>
    </row>
    <row r="7868" spans="2:2" ht="15.5" x14ac:dyDescent="0.35">
      <c r="B7868" s="171"/>
    </row>
    <row r="7869" spans="2:2" ht="15.5" x14ac:dyDescent="0.35">
      <c r="B7869" s="171"/>
    </row>
    <row r="7870" spans="2:2" ht="15.5" x14ac:dyDescent="0.35">
      <c r="B7870" s="171"/>
    </row>
    <row r="7871" spans="2:2" ht="15.5" x14ac:dyDescent="0.35">
      <c r="B7871" s="171"/>
    </row>
    <row r="7872" spans="2:2" ht="15.5" x14ac:dyDescent="0.35">
      <c r="B7872" s="171"/>
    </row>
    <row r="7873" spans="2:2" ht="15.5" x14ac:dyDescent="0.35">
      <c r="B7873" s="171"/>
    </row>
    <row r="7874" spans="2:2" ht="15.5" x14ac:dyDescent="0.35">
      <c r="B7874" s="171"/>
    </row>
    <row r="7875" spans="2:2" ht="15.5" x14ac:dyDescent="0.35">
      <c r="B7875" s="171"/>
    </row>
    <row r="7876" spans="2:2" ht="15.5" x14ac:dyDescent="0.35">
      <c r="B7876" s="171"/>
    </row>
    <row r="7877" spans="2:2" ht="15.5" x14ac:dyDescent="0.35">
      <c r="B7877" s="171"/>
    </row>
    <row r="7878" spans="2:2" ht="15.5" x14ac:dyDescent="0.35">
      <c r="B7878" s="171"/>
    </row>
    <row r="7879" spans="2:2" ht="15.5" x14ac:dyDescent="0.35">
      <c r="B7879" s="171"/>
    </row>
    <row r="7880" spans="2:2" ht="15.5" x14ac:dyDescent="0.35">
      <c r="B7880" s="171"/>
    </row>
    <row r="7881" spans="2:2" ht="15.5" x14ac:dyDescent="0.35">
      <c r="B7881" s="171"/>
    </row>
    <row r="7882" spans="2:2" ht="15.5" x14ac:dyDescent="0.35">
      <c r="B7882" s="171"/>
    </row>
    <row r="7883" spans="2:2" ht="15.5" x14ac:dyDescent="0.35">
      <c r="B7883" s="171"/>
    </row>
    <row r="7884" spans="2:2" ht="15.5" x14ac:dyDescent="0.35">
      <c r="B7884" s="171"/>
    </row>
    <row r="7885" spans="2:2" ht="15.5" x14ac:dyDescent="0.35">
      <c r="B7885" s="171"/>
    </row>
    <row r="7886" spans="2:2" ht="15.5" x14ac:dyDescent="0.35">
      <c r="B7886" s="171"/>
    </row>
    <row r="7887" spans="2:2" ht="15.5" x14ac:dyDescent="0.35">
      <c r="B7887" s="171"/>
    </row>
    <row r="7888" spans="2:2" ht="15.5" x14ac:dyDescent="0.35">
      <c r="B7888" s="171"/>
    </row>
    <row r="7889" spans="2:2" ht="15.5" x14ac:dyDescent="0.35">
      <c r="B7889" s="171"/>
    </row>
    <row r="7890" spans="2:2" ht="15.5" x14ac:dyDescent="0.35">
      <c r="B7890" s="171"/>
    </row>
    <row r="7891" spans="2:2" ht="15.5" x14ac:dyDescent="0.35">
      <c r="B7891" s="171"/>
    </row>
    <row r="7892" spans="2:2" ht="15.5" x14ac:dyDescent="0.35">
      <c r="B7892" s="171"/>
    </row>
    <row r="7893" spans="2:2" ht="15.5" x14ac:dyDescent="0.35">
      <c r="B7893" s="171"/>
    </row>
    <row r="7894" spans="2:2" ht="15.5" x14ac:dyDescent="0.35">
      <c r="B7894" s="171"/>
    </row>
    <row r="7895" spans="2:2" ht="15.5" x14ac:dyDescent="0.35">
      <c r="B7895" s="171"/>
    </row>
    <row r="7896" spans="2:2" ht="15.5" x14ac:dyDescent="0.35">
      <c r="B7896" s="171"/>
    </row>
    <row r="7897" spans="2:2" ht="15.5" x14ac:dyDescent="0.35">
      <c r="B7897" s="171"/>
    </row>
    <row r="7898" spans="2:2" ht="15.5" x14ac:dyDescent="0.35">
      <c r="B7898" s="171"/>
    </row>
    <row r="7899" spans="2:2" ht="15.5" x14ac:dyDescent="0.35">
      <c r="B7899" s="171"/>
    </row>
    <row r="7900" spans="2:2" ht="15.5" x14ac:dyDescent="0.35">
      <c r="B7900" s="171"/>
    </row>
    <row r="7901" spans="2:2" ht="15.5" x14ac:dyDescent="0.35">
      <c r="B7901" s="171"/>
    </row>
    <row r="7902" spans="2:2" ht="15.5" x14ac:dyDescent="0.35">
      <c r="B7902" s="171"/>
    </row>
    <row r="7903" spans="2:2" ht="15.5" x14ac:dyDescent="0.35">
      <c r="B7903" s="171"/>
    </row>
    <row r="7904" spans="2:2" ht="15.5" x14ac:dyDescent="0.35">
      <c r="B7904" s="171"/>
    </row>
    <row r="7905" spans="2:2" ht="15.5" x14ac:dyDescent="0.35">
      <c r="B7905" s="171"/>
    </row>
    <row r="7906" spans="2:2" ht="15.5" x14ac:dyDescent="0.35">
      <c r="B7906" s="171"/>
    </row>
    <row r="7907" spans="2:2" ht="15.5" x14ac:dyDescent="0.35">
      <c r="B7907" s="171"/>
    </row>
    <row r="7908" spans="2:2" ht="15.5" x14ac:dyDescent="0.35">
      <c r="B7908" s="171"/>
    </row>
    <row r="7909" spans="2:2" ht="15.5" x14ac:dyDescent="0.35">
      <c r="B7909" s="171"/>
    </row>
    <row r="7910" spans="2:2" ht="15.5" x14ac:dyDescent="0.35">
      <c r="B7910" s="171"/>
    </row>
    <row r="7911" spans="2:2" ht="15.5" x14ac:dyDescent="0.35">
      <c r="B7911" s="171"/>
    </row>
    <row r="7912" spans="2:2" ht="15.5" x14ac:dyDescent="0.35">
      <c r="B7912" s="171"/>
    </row>
    <row r="7913" spans="2:2" ht="15.5" x14ac:dyDescent="0.35">
      <c r="B7913" s="171"/>
    </row>
    <row r="7914" spans="2:2" ht="15.5" x14ac:dyDescent="0.35">
      <c r="B7914" s="171"/>
    </row>
    <row r="7915" spans="2:2" ht="15.5" x14ac:dyDescent="0.35">
      <c r="B7915" s="171"/>
    </row>
    <row r="7916" spans="2:2" ht="15.5" x14ac:dyDescent="0.35">
      <c r="B7916" s="171"/>
    </row>
    <row r="7917" spans="2:2" ht="15.5" x14ac:dyDescent="0.35">
      <c r="B7917" s="171"/>
    </row>
    <row r="7918" spans="2:2" ht="15.5" x14ac:dyDescent="0.35">
      <c r="B7918" s="171"/>
    </row>
    <row r="7919" spans="2:2" ht="15.5" x14ac:dyDescent="0.35">
      <c r="B7919" s="171"/>
    </row>
    <row r="7920" spans="2:2" ht="15.5" x14ac:dyDescent="0.35">
      <c r="B7920" s="171"/>
    </row>
    <row r="7921" spans="2:2" ht="15.5" x14ac:dyDescent="0.35">
      <c r="B7921" s="171"/>
    </row>
    <row r="7922" spans="2:2" ht="15.5" x14ac:dyDescent="0.35">
      <c r="B7922" s="171"/>
    </row>
    <row r="7923" spans="2:2" ht="15.5" x14ac:dyDescent="0.35">
      <c r="B7923" s="171"/>
    </row>
    <row r="7924" spans="2:2" ht="15.5" x14ac:dyDescent="0.35">
      <c r="B7924" s="171"/>
    </row>
    <row r="7925" spans="2:2" ht="15.5" x14ac:dyDescent="0.35">
      <c r="B7925" s="171"/>
    </row>
    <row r="7926" spans="2:2" ht="15.5" x14ac:dyDescent="0.35">
      <c r="B7926" s="171"/>
    </row>
    <row r="7927" spans="2:2" ht="15.5" x14ac:dyDescent="0.35">
      <c r="B7927" s="171"/>
    </row>
    <row r="7928" spans="2:2" ht="15.5" x14ac:dyDescent="0.35">
      <c r="B7928" s="171"/>
    </row>
    <row r="7929" spans="2:2" ht="15.5" x14ac:dyDescent="0.35">
      <c r="B7929" s="171"/>
    </row>
    <row r="7930" spans="2:2" ht="15.5" x14ac:dyDescent="0.35">
      <c r="B7930" s="171"/>
    </row>
    <row r="7931" spans="2:2" ht="15.5" x14ac:dyDescent="0.35">
      <c r="B7931" s="171"/>
    </row>
    <row r="7932" spans="2:2" ht="15.5" x14ac:dyDescent="0.35">
      <c r="B7932" s="171"/>
    </row>
    <row r="7933" spans="2:2" ht="15.5" x14ac:dyDescent="0.35">
      <c r="B7933" s="171"/>
    </row>
    <row r="7934" spans="2:2" ht="15.5" x14ac:dyDescent="0.35">
      <c r="B7934" s="171"/>
    </row>
    <row r="7935" spans="2:2" ht="15.5" x14ac:dyDescent="0.35">
      <c r="B7935" s="171"/>
    </row>
    <row r="7936" spans="2:2" ht="15.5" x14ac:dyDescent="0.35">
      <c r="B7936" s="171"/>
    </row>
    <row r="7937" spans="2:2" ht="15.5" x14ac:dyDescent="0.35">
      <c r="B7937" s="171"/>
    </row>
    <row r="7938" spans="2:2" ht="15.5" x14ac:dyDescent="0.35">
      <c r="B7938" s="171"/>
    </row>
    <row r="7939" spans="2:2" ht="15.5" x14ac:dyDescent="0.35">
      <c r="B7939" s="171"/>
    </row>
    <row r="7940" spans="2:2" ht="15.5" x14ac:dyDescent="0.35">
      <c r="B7940" s="171"/>
    </row>
    <row r="7941" spans="2:2" ht="15.5" x14ac:dyDescent="0.35">
      <c r="B7941" s="171"/>
    </row>
    <row r="7942" spans="2:2" ht="15.5" x14ac:dyDescent="0.35">
      <c r="B7942" s="171"/>
    </row>
    <row r="7943" spans="2:2" ht="15.5" x14ac:dyDescent="0.35">
      <c r="B7943" s="171"/>
    </row>
    <row r="7944" spans="2:2" ht="15.5" x14ac:dyDescent="0.35">
      <c r="B7944" s="171"/>
    </row>
    <row r="7945" spans="2:2" ht="15.5" x14ac:dyDescent="0.35">
      <c r="B7945" s="171"/>
    </row>
    <row r="7946" spans="2:2" ht="15.5" x14ac:dyDescent="0.35">
      <c r="B7946" s="171"/>
    </row>
    <row r="7947" spans="2:2" ht="15.5" x14ac:dyDescent="0.35">
      <c r="B7947" s="171"/>
    </row>
    <row r="7948" spans="2:2" ht="15.5" x14ac:dyDescent="0.35">
      <c r="B7948" s="171"/>
    </row>
    <row r="7949" spans="2:2" ht="15.5" x14ac:dyDescent="0.35">
      <c r="B7949" s="171"/>
    </row>
    <row r="7950" spans="2:2" ht="15.5" x14ac:dyDescent="0.35">
      <c r="B7950" s="171"/>
    </row>
    <row r="7951" spans="2:2" ht="15.5" x14ac:dyDescent="0.35">
      <c r="B7951" s="171"/>
    </row>
    <row r="7952" spans="2:2" ht="15.5" x14ac:dyDescent="0.35">
      <c r="B7952" s="171"/>
    </row>
    <row r="7953" spans="2:2" ht="15.5" x14ac:dyDescent="0.35">
      <c r="B7953" s="171"/>
    </row>
    <row r="7954" spans="2:2" ht="15.5" x14ac:dyDescent="0.35">
      <c r="B7954" s="171"/>
    </row>
    <row r="7955" spans="2:2" ht="15.5" x14ac:dyDescent="0.35">
      <c r="B7955" s="171"/>
    </row>
    <row r="7956" spans="2:2" ht="15.5" x14ac:dyDescent="0.35">
      <c r="B7956" s="171"/>
    </row>
    <row r="7957" spans="2:2" ht="15.5" x14ac:dyDescent="0.35">
      <c r="B7957" s="171"/>
    </row>
    <row r="7958" spans="2:2" ht="15.5" x14ac:dyDescent="0.35">
      <c r="B7958" s="171"/>
    </row>
    <row r="7959" spans="2:2" ht="15.5" x14ac:dyDescent="0.35">
      <c r="B7959" s="171"/>
    </row>
    <row r="7960" spans="2:2" ht="15.5" x14ac:dyDescent="0.35">
      <c r="B7960" s="171"/>
    </row>
    <row r="7961" spans="2:2" ht="15.5" x14ac:dyDescent="0.35">
      <c r="B7961" s="171"/>
    </row>
    <row r="7962" spans="2:2" ht="15.5" x14ac:dyDescent="0.35">
      <c r="B7962" s="171"/>
    </row>
    <row r="7963" spans="2:2" ht="15.5" x14ac:dyDescent="0.35">
      <c r="B7963" s="171"/>
    </row>
    <row r="7964" spans="2:2" ht="15.5" x14ac:dyDescent="0.35">
      <c r="B7964" s="171"/>
    </row>
    <row r="7965" spans="2:2" ht="15.5" x14ac:dyDescent="0.35">
      <c r="B7965" s="171"/>
    </row>
    <row r="7966" spans="2:2" ht="15.5" x14ac:dyDescent="0.35">
      <c r="B7966" s="171"/>
    </row>
    <row r="7967" spans="2:2" ht="15.5" x14ac:dyDescent="0.35">
      <c r="B7967" s="171"/>
    </row>
    <row r="7968" spans="2:2" ht="15.5" x14ac:dyDescent="0.35">
      <c r="B7968" s="171"/>
    </row>
    <row r="7969" spans="2:2" ht="15.5" x14ac:dyDescent="0.35">
      <c r="B7969" s="171"/>
    </row>
    <row r="7970" spans="2:2" ht="15.5" x14ac:dyDescent="0.35">
      <c r="B7970" s="171"/>
    </row>
    <row r="7971" spans="2:2" ht="15.5" x14ac:dyDescent="0.35">
      <c r="B7971" s="171"/>
    </row>
    <row r="7972" spans="2:2" ht="15.5" x14ac:dyDescent="0.35">
      <c r="B7972" s="171"/>
    </row>
    <row r="7973" spans="2:2" ht="15.5" x14ac:dyDescent="0.35">
      <c r="B7973" s="171"/>
    </row>
    <row r="7974" spans="2:2" ht="15.5" x14ac:dyDescent="0.35">
      <c r="B7974" s="171"/>
    </row>
    <row r="7975" spans="2:2" ht="15.5" x14ac:dyDescent="0.35">
      <c r="B7975" s="171"/>
    </row>
    <row r="7976" spans="2:2" ht="15.5" x14ac:dyDescent="0.35">
      <c r="B7976" s="171"/>
    </row>
    <row r="7977" spans="2:2" ht="15.5" x14ac:dyDescent="0.35">
      <c r="B7977" s="171"/>
    </row>
    <row r="7978" spans="2:2" ht="15.5" x14ac:dyDescent="0.35">
      <c r="B7978" s="171"/>
    </row>
    <row r="7979" spans="2:2" ht="15.5" x14ac:dyDescent="0.35">
      <c r="B7979" s="171"/>
    </row>
    <row r="7980" spans="2:2" ht="15.5" x14ac:dyDescent="0.35">
      <c r="B7980" s="171"/>
    </row>
    <row r="7981" spans="2:2" ht="15.5" x14ac:dyDescent="0.35">
      <c r="B7981" s="171"/>
    </row>
    <row r="7982" spans="2:2" ht="15.5" x14ac:dyDescent="0.35">
      <c r="B7982" s="171"/>
    </row>
    <row r="7983" spans="2:2" ht="15.5" x14ac:dyDescent="0.35">
      <c r="B7983" s="171"/>
    </row>
    <row r="7984" spans="2:2" ht="15.5" x14ac:dyDescent="0.35">
      <c r="B7984" s="171"/>
    </row>
    <row r="7985" spans="2:2" ht="15.5" x14ac:dyDescent="0.35">
      <c r="B7985" s="171"/>
    </row>
    <row r="7986" spans="2:2" ht="15.5" x14ac:dyDescent="0.35">
      <c r="B7986" s="171"/>
    </row>
    <row r="7987" spans="2:2" ht="15.5" x14ac:dyDescent="0.35">
      <c r="B7987" s="171"/>
    </row>
    <row r="7988" spans="2:2" ht="15.5" x14ac:dyDescent="0.35">
      <c r="B7988" s="171"/>
    </row>
    <row r="7989" spans="2:2" ht="15.5" x14ac:dyDescent="0.35">
      <c r="B7989" s="171"/>
    </row>
    <row r="7990" spans="2:2" ht="15.5" x14ac:dyDescent="0.35">
      <c r="B7990" s="171"/>
    </row>
    <row r="7991" spans="2:2" ht="15.5" x14ac:dyDescent="0.35">
      <c r="B7991" s="171"/>
    </row>
    <row r="7992" spans="2:2" ht="15.5" x14ac:dyDescent="0.35">
      <c r="B7992" s="171"/>
    </row>
    <row r="7993" spans="2:2" ht="15.5" x14ac:dyDescent="0.35">
      <c r="B7993" s="171"/>
    </row>
    <row r="7994" spans="2:2" ht="15.5" x14ac:dyDescent="0.35">
      <c r="B7994" s="171"/>
    </row>
    <row r="7995" spans="2:2" ht="15.5" x14ac:dyDescent="0.35">
      <c r="B7995" s="171"/>
    </row>
    <row r="7996" spans="2:2" ht="15.5" x14ac:dyDescent="0.35">
      <c r="B7996" s="171"/>
    </row>
    <row r="7997" spans="2:2" ht="15.5" x14ac:dyDescent="0.35">
      <c r="B7997" s="171"/>
    </row>
    <row r="7998" spans="2:2" ht="15.5" x14ac:dyDescent="0.35">
      <c r="B7998" s="171"/>
    </row>
    <row r="7999" spans="2:2" ht="15.5" x14ac:dyDescent="0.35">
      <c r="B7999" s="171"/>
    </row>
    <row r="8000" spans="2:2" ht="15.5" x14ac:dyDescent="0.35">
      <c r="B8000" s="171"/>
    </row>
    <row r="8001" spans="2:2" ht="15.5" x14ac:dyDescent="0.35">
      <c r="B8001" s="171"/>
    </row>
    <row r="8002" spans="2:2" ht="15.5" x14ac:dyDescent="0.35">
      <c r="B8002" s="171"/>
    </row>
    <row r="8003" spans="2:2" ht="15.5" x14ac:dyDescent="0.35">
      <c r="B8003" s="171"/>
    </row>
    <row r="8004" spans="2:2" ht="15.5" x14ac:dyDescent="0.35">
      <c r="B8004" s="171"/>
    </row>
    <row r="8005" spans="2:2" ht="15.5" x14ac:dyDescent="0.35">
      <c r="B8005" s="171"/>
    </row>
    <row r="8006" spans="2:2" ht="15.5" x14ac:dyDescent="0.35">
      <c r="B8006" s="171"/>
    </row>
    <row r="8007" spans="2:2" ht="15.5" x14ac:dyDescent="0.35">
      <c r="B8007" s="171"/>
    </row>
    <row r="8008" spans="2:2" ht="15.5" x14ac:dyDescent="0.35">
      <c r="B8008" s="171"/>
    </row>
    <row r="8009" spans="2:2" ht="15.5" x14ac:dyDescent="0.35">
      <c r="B8009" s="171"/>
    </row>
    <row r="8010" spans="2:2" ht="15.5" x14ac:dyDescent="0.35">
      <c r="B8010" s="171"/>
    </row>
    <row r="8011" spans="2:2" ht="15.5" x14ac:dyDescent="0.35">
      <c r="B8011" s="171"/>
    </row>
    <row r="8012" spans="2:2" ht="15.5" x14ac:dyDescent="0.35">
      <c r="B8012" s="171"/>
    </row>
    <row r="8013" spans="2:2" ht="15.5" x14ac:dyDescent="0.35">
      <c r="B8013" s="171"/>
    </row>
    <row r="8014" spans="2:2" ht="15.5" x14ac:dyDescent="0.35">
      <c r="B8014" s="171"/>
    </row>
    <row r="8015" spans="2:2" ht="15.5" x14ac:dyDescent="0.35">
      <c r="B8015" s="171"/>
    </row>
    <row r="8016" spans="2:2" ht="15.5" x14ac:dyDescent="0.35">
      <c r="B8016" s="171"/>
    </row>
    <row r="8017" spans="2:2" ht="15.5" x14ac:dyDescent="0.35">
      <c r="B8017" s="171"/>
    </row>
    <row r="8018" spans="2:2" ht="15.5" x14ac:dyDescent="0.35">
      <c r="B8018" s="171"/>
    </row>
    <row r="8019" spans="2:2" ht="15.5" x14ac:dyDescent="0.35">
      <c r="B8019" s="171"/>
    </row>
    <row r="8020" spans="2:2" ht="15.5" x14ac:dyDescent="0.35">
      <c r="B8020" s="171"/>
    </row>
    <row r="8021" spans="2:2" ht="15.5" x14ac:dyDescent="0.35">
      <c r="B8021" s="171"/>
    </row>
    <row r="8022" spans="2:2" ht="15.5" x14ac:dyDescent="0.35">
      <c r="B8022" s="171"/>
    </row>
    <row r="8023" spans="2:2" ht="15.5" x14ac:dyDescent="0.35">
      <c r="B8023" s="171"/>
    </row>
    <row r="8024" spans="2:2" ht="15.5" x14ac:dyDescent="0.35">
      <c r="B8024" s="171"/>
    </row>
    <row r="8025" spans="2:2" ht="15.5" x14ac:dyDescent="0.35">
      <c r="B8025" s="171"/>
    </row>
    <row r="8026" spans="2:2" ht="15.5" x14ac:dyDescent="0.35">
      <c r="B8026" s="171"/>
    </row>
    <row r="8027" spans="2:2" ht="15.5" x14ac:dyDescent="0.35">
      <c r="B8027" s="171"/>
    </row>
    <row r="8028" spans="2:2" ht="15.5" x14ac:dyDescent="0.35">
      <c r="B8028" s="171"/>
    </row>
    <row r="8029" spans="2:2" ht="15.5" x14ac:dyDescent="0.35">
      <c r="B8029" s="171"/>
    </row>
    <row r="8030" spans="2:2" ht="15.5" x14ac:dyDescent="0.35">
      <c r="B8030" s="171"/>
    </row>
    <row r="8031" spans="2:2" ht="15.5" x14ac:dyDescent="0.35">
      <c r="B8031" s="171"/>
    </row>
    <row r="8032" spans="2:2" ht="15.5" x14ac:dyDescent="0.35">
      <c r="B8032" s="171"/>
    </row>
    <row r="8033" spans="2:2" ht="15.5" x14ac:dyDescent="0.35">
      <c r="B8033" s="171"/>
    </row>
    <row r="8034" spans="2:2" ht="15.5" x14ac:dyDescent="0.35">
      <c r="B8034" s="171"/>
    </row>
    <row r="8035" spans="2:2" ht="15.5" x14ac:dyDescent="0.35">
      <c r="B8035" s="171"/>
    </row>
    <row r="8036" spans="2:2" ht="15.5" x14ac:dyDescent="0.35">
      <c r="B8036" s="171"/>
    </row>
    <row r="8037" spans="2:2" ht="15.5" x14ac:dyDescent="0.35">
      <c r="B8037" s="171"/>
    </row>
    <row r="8038" spans="2:2" ht="15.5" x14ac:dyDescent="0.35">
      <c r="B8038" s="171"/>
    </row>
    <row r="8039" spans="2:2" ht="15.5" x14ac:dyDescent="0.35">
      <c r="B8039" s="171"/>
    </row>
    <row r="8040" spans="2:2" ht="15.5" x14ac:dyDescent="0.35">
      <c r="B8040" s="171"/>
    </row>
    <row r="8041" spans="2:2" ht="15.5" x14ac:dyDescent="0.35">
      <c r="B8041" s="171"/>
    </row>
    <row r="8042" spans="2:2" ht="15.5" x14ac:dyDescent="0.35">
      <c r="B8042" s="171"/>
    </row>
    <row r="8043" spans="2:2" ht="15.5" x14ac:dyDescent="0.35">
      <c r="B8043" s="171"/>
    </row>
    <row r="8044" spans="2:2" ht="15.5" x14ac:dyDescent="0.35">
      <c r="B8044" s="171"/>
    </row>
    <row r="8045" spans="2:2" ht="15.5" x14ac:dyDescent="0.35">
      <c r="B8045" s="171"/>
    </row>
    <row r="8046" spans="2:2" ht="15.5" x14ac:dyDescent="0.35">
      <c r="B8046" s="171"/>
    </row>
    <row r="8047" spans="2:2" ht="15.5" x14ac:dyDescent="0.35">
      <c r="B8047" s="171"/>
    </row>
    <row r="8048" spans="2:2" ht="15.5" x14ac:dyDescent="0.35">
      <c r="B8048" s="171"/>
    </row>
    <row r="8049" spans="2:2" ht="15.5" x14ac:dyDescent="0.35">
      <c r="B8049" s="171"/>
    </row>
    <row r="8050" spans="2:2" ht="15.5" x14ac:dyDescent="0.35">
      <c r="B8050" s="171"/>
    </row>
    <row r="8051" spans="2:2" ht="15.5" x14ac:dyDescent="0.35">
      <c r="B8051" s="171"/>
    </row>
    <row r="8052" spans="2:2" ht="15.5" x14ac:dyDescent="0.35">
      <c r="B8052" s="171"/>
    </row>
    <row r="8053" spans="2:2" ht="15.5" x14ac:dyDescent="0.35">
      <c r="B8053" s="171"/>
    </row>
    <row r="8054" spans="2:2" ht="15.5" x14ac:dyDescent="0.35">
      <c r="B8054" s="171"/>
    </row>
    <row r="8055" spans="2:2" ht="15.5" x14ac:dyDescent="0.35">
      <c r="B8055" s="171"/>
    </row>
    <row r="8056" spans="2:2" ht="15.5" x14ac:dyDescent="0.35">
      <c r="B8056" s="171"/>
    </row>
    <row r="8057" spans="2:2" ht="15.5" x14ac:dyDescent="0.35">
      <c r="B8057" s="171"/>
    </row>
    <row r="8058" spans="2:2" ht="15.5" x14ac:dyDescent="0.35">
      <c r="B8058" s="171"/>
    </row>
    <row r="8059" spans="2:2" ht="15.5" x14ac:dyDescent="0.35">
      <c r="B8059" s="171"/>
    </row>
    <row r="8060" spans="2:2" ht="15.5" x14ac:dyDescent="0.35">
      <c r="B8060" s="171"/>
    </row>
    <row r="8061" spans="2:2" ht="15.5" x14ac:dyDescent="0.35">
      <c r="B8061" s="171"/>
    </row>
    <row r="8062" spans="2:2" ht="15.5" x14ac:dyDescent="0.35">
      <c r="B8062" s="171"/>
    </row>
    <row r="8063" spans="2:2" ht="15.5" x14ac:dyDescent="0.35">
      <c r="B8063" s="171"/>
    </row>
    <row r="8064" spans="2:2" ht="15.5" x14ac:dyDescent="0.35">
      <c r="B8064" s="171"/>
    </row>
    <row r="8065" spans="2:2" ht="15.5" x14ac:dyDescent="0.35">
      <c r="B8065" s="171"/>
    </row>
    <row r="8066" spans="2:2" ht="15.5" x14ac:dyDescent="0.35">
      <c r="B8066" s="171"/>
    </row>
    <row r="8067" spans="2:2" ht="15.5" x14ac:dyDescent="0.35">
      <c r="B8067" s="171"/>
    </row>
    <row r="8068" spans="2:2" ht="15.5" x14ac:dyDescent="0.35">
      <c r="B8068" s="171"/>
    </row>
    <row r="8069" spans="2:2" ht="15.5" x14ac:dyDescent="0.35">
      <c r="B8069" s="171"/>
    </row>
    <row r="8070" spans="2:2" ht="15.5" x14ac:dyDescent="0.35">
      <c r="B8070" s="171"/>
    </row>
    <row r="8071" spans="2:2" ht="15.5" x14ac:dyDescent="0.35">
      <c r="B8071" s="171"/>
    </row>
    <row r="8072" spans="2:2" ht="15.5" x14ac:dyDescent="0.35">
      <c r="B8072" s="171"/>
    </row>
    <row r="8073" spans="2:2" ht="15.5" x14ac:dyDescent="0.35">
      <c r="B8073" s="171"/>
    </row>
    <row r="8074" spans="2:2" ht="15.5" x14ac:dyDescent="0.35">
      <c r="B8074" s="171"/>
    </row>
    <row r="8075" spans="2:2" ht="15.5" x14ac:dyDescent="0.35">
      <c r="B8075" s="171"/>
    </row>
    <row r="8076" spans="2:2" ht="15.5" x14ac:dyDescent="0.35">
      <c r="B8076" s="171"/>
    </row>
    <row r="8077" spans="2:2" ht="15.5" x14ac:dyDescent="0.35">
      <c r="B8077" s="171"/>
    </row>
    <row r="8078" spans="2:2" ht="15.5" x14ac:dyDescent="0.35">
      <c r="B8078" s="171"/>
    </row>
    <row r="8079" spans="2:2" ht="15.5" x14ac:dyDescent="0.35">
      <c r="B8079" s="171"/>
    </row>
    <row r="8080" spans="2:2" ht="15.5" x14ac:dyDescent="0.35">
      <c r="B8080" s="171"/>
    </row>
    <row r="8081" spans="2:2" ht="15.5" x14ac:dyDescent="0.35">
      <c r="B8081" s="171"/>
    </row>
    <row r="8082" spans="2:2" ht="15.5" x14ac:dyDescent="0.35">
      <c r="B8082" s="171"/>
    </row>
    <row r="8083" spans="2:2" ht="15.5" x14ac:dyDescent="0.35">
      <c r="B8083" s="171"/>
    </row>
    <row r="8084" spans="2:2" ht="15.5" x14ac:dyDescent="0.35">
      <c r="B8084" s="171"/>
    </row>
    <row r="8085" spans="2:2" ht="15.5" x14ac:dyDescent="0.35">
      <c r="B8085" s="171"/>
    </row>
    <row r="8086" spans="2:2" ht="15.5" x14ac:dyDescent="0.35">
      <c r="B8086" s="171"/>
    </row>
    <row r="8087" spans="2:2" ht="15.5" x14ac:dyDescent="0.35">
      <c r="B8087" s="171"/>
    </row>
    <row r="8088" spans="2:2" ht="15.5" x14ac:dyDescent="0.35">
      <c r="B8088" s="171"/>
    </row>
    <row r="8089" spans="2:2" ht="15.5" x14ac:dyDescent="0.35">
      <c r="B8089" s="171"/>
    </row>
    <row r="8090" spans="2:2" ht="15.5" x14ac:dyDescent="0.35">
      <c r="B8090" s="171"/>
    </row>
    <row r="8091" spans="2:2" ht="15.5" x14ac:dyDescent="0.35">
      <c r="B8091" s="171"/>
    </row>
    <row r="8092" spans="2:2" ht="15.5" x14ac:dyDescent="0.35">
      <c r="B8092" s="171"/>
    </row>
    <row r="8093" spans="2:2" ht="15.5" x14ac:dyDescent="0.35">
      <c r="B8093" s="171"/>
    </row>
    <row r="8094" spans="2:2" ht="15.5" x14ac:dyDescent="0.35">
      <c r="B8094" s="171"/>
    </row>
    <row r="8095" spans="2:2" ht="15.5" x14ac:dyDescent="0.35">
      <c r="B8095" s="171"/>
    </row>
    <row r="8096" spans="2:2" ht="15.5" x14ac:dyDescent="0.35">
      <c r="B8096" s="171"/>
    </row>
    <row r="8097" spans="2:2" ht="15.5" x14ac:dyDescent="0.35">
      <c r="B8097" s="171"/>
    </row>
    <row r="8098" spans="2:2" ht="15.5" x14ac:dyDescent="0.35">
      <c r="B8098" s="171"/>
    </row>
    <row r="8099" spans="2:2" ht="15.5" x14ac:dyDescent="0.35">
      <c r="B8099" s="171"/>
    </row>
    <row r="8100" spans="2:2" ht="15.5" x14ac:dyDescent="0.35">
      <c r="B8100" s="171"/>
    </row>
    <row r="8101" spans="2:2" ht="15.5" x14ac:dyDescent="0.35">
      <c r="B8101" s="171"/>
    </row>
    <row r="8102" spans="2:2" ht="15.5" x14ac:dyDescent="0.35">
      <c r="B8102" s="171"/>
    </row>
    <row r="8103" spans="2:2" ht="15.5" x14ac:dyDescent="0.35">
      <c r="B8103" s="171"/>
    </row>
    <row r="8104" spans="2:2" ht="15.5" x14ac:dyDescent="0.35">
      <c r="B8104" s="171"/>
    </row>
    <row r="8105" spans="2:2" ht="15.5" x14ac:dyDescent="0.35">
      <c r="B8105" s="171"/>
    </row>
    <row r="8106" spans="2:2" ht="15.5" x14ac:dyDescent="0.35">
      <c r="B8106" s="171"/>
    </row>
    <row r="8107" spans="2:2" ht="15.5" x14ac:dyDescent="0.35">
      <c r="B8107" s="171"/>
    </row>
    <row r="8108" spans="2:2" ht="15.5" x14ac:dyDescent="0.35">
      <c r="B8108" s="171"/>
    </row>
    <row r="8109" spans="2:2" ht="15.5" x14ac:dyDescent="0.35">
      <c r="B8109" s="171"/>
    </row>
    <row r="8110" spans="2:2" ht="15.5" x14ac:dyDescent="0.35">
      <c r="B8110" s="171"/>
    </row>
    <row r="8111" spans="2:2" ht="15.5" x14ac:dyDescent="0.35">
      <c r="B8111" s="171"/>
    </row>
    <row r="8112" spans="2:2" ht="15.5" x14ac:dyDescent="0.35">
      <c r="B8112" s="171"/>
    </row>
    <row r="8113" spans="2:2" ht="15.5" x14ac:dyDescent="0.35">
      <c r="B8113" s="171"/>
    </row>
    <row r="8114" spans="2:2" ht="15.5" x14ac:dyDescent="0.35">
      <c r="B8114" s="171"/>
    </row>
    <row r="8115" spans="2:2" ht="15.5" x14ac:dyDescent="0.35">
      <c r="B8115" s="171"/>
    </row>
    <row r="8116" spans="2:2" ht="15.5" x14ac:dyDescent="0.35">
      <c r="B8116" s="171"/>
    </row>
    <row r="8117" spans="2:2" ht="15.5" x14ac:dyDescent="0.35">
      <c r="B8117" s="171"/>
    </row>
    <row r="8118" spans="2:2" ht="15.5" x14ac:dyDescent="0.35">
      <c r="B8118" s="171"/>
    </row>
    <row r="8119" spans="2:2" ht="15.5" x14ac:dyDescent="0.35">
      <c r="B8119" s="171"/>
    </row>
    <row r="8120" spans="2:2" ht="15.5" x14ac:dyDescent="0.35">
      <c r="B8120" s="171"/>
    </row>
    <row r="8121" spans="2:2" ht="15.5" x14ac:dyDescent="0.35">
      <c r="B8121" s="171"/>
    </row>
    <row r="8122" spans="2:2" ht="15.5" x14ac:dyDescent="0.35">
      <c r="B8122" s="171"/>
    </row>
    <row r="8123" spans="2:2" ht="15.5" x14ac:dyDescent="0.35">
      <c r="B8123" s="171"/>
    </row>
    <row r="8124" spans="2:2" ht="15.5" x14ac:dyDescent="0.35">
      <c r="B8124" s="171"/>
    </row>
    <row r="8125" spans="2:2" ht="15.5" x14ac:dyDescent="0.35">
      <c r="B8125" s="171"/>
    </row>
    <row r="8126" spans="2:2" ht="15.5" x14ac:dyDescent="0.35">
      <c r="B8126" s="171"/>
    </row>
    <row r="8127" spans="2:2" ht="15.5" x14ac:dyDescent="0.35">
      <c r="B8127" s="171"/>
    </row>
    <row r="8128" spans="2:2" ht="15.5" x14ac:dyDescent="0.35">
      <c r="B8128" s="171"/>
    </row>
    <row r="8129" spans="2:2" ht="15.5" x14ac:dyDescent="0.35">
      <c r="B8129" s="171"/>
    </row>
    <row r="8130" spans="2:2" ht="15.5" x14ac:dyDescent="0.35">
      <c r="B8130" s="171"/>
    </row>
    <row r="8131" spans="2:2" ht="15.5" x14ac:dyDescent="0.35">
      <c r="B8131" s="171"/>
    </row>
    <row r="8132" spans="2:2" ht="15.5" x14ac:dyDescent="0.35">
      <c r="B8132" s="171"/>
    </row>
    <row r="8133" spans="2:2" ht="15.5" x14ac:dyDescent="0.35">
      <c r="B8133" s="171"/>
    </row>
    <row r="8134" spans="2:2" ht="15.5" x14ac:dyDescent="0.35">
      <c r="B8134" s="171"/>
    </row>
    <row r="8135" spans="2:2" ht="15.5" x14ac:dyDescent="0.35">
      <c r="B8135" s="171"/>
    </row>
    <row r="8136" spans="2:2" ht="15.5" x14ac:dyDescent="0.35">
      <c r="B8136" s="171"/>
    </row>
    <row r="8137" spans="2:2" ht="15.5" x14ac:dyDescent="0.35">
      <c r="B8137" s="171"/>
    </row>
    <row r="8138" spans="2:2" ht="15.5" x14ac:dyDescent="0.35">
      <c r="B8138" s="171"/>
    </row>
    <row r="8139" spans="2:2" ht="15.5" x14ac:dyDescent="0.35">
      <c r="B8139" s="171"/>
    </row>
    <row r="8140" spans="2:2" ht="15.5" x14ac:dyDescent="0.35">
      <c r="B8140" s="171"/>
    </row>
    <row r="8141" spans="2:2" ht="15.5" x14ac:dyDescent="0.35">
      <c r="B8141" s="171"/>
    </row>
    <row r="8142" spans="2:2" ht="15.5" x14ac:dyDescent="0.35">
      <c r="B8142" s="171"/>
    </row>
    <row r="8143" spans="2:2" ht="15.5" x14ac:dyDescent="0.35">
      <c r="B8143" s="171"/>
    </row>
    <row r="8144" spans="2:2" ht="15.5" x14ac:dyDescent="0.35">
      <c r="B8144" s="171"/>
    </row>
    <row r="8145" spans="2:2" ht="15.5" x14ac:dyDescent="0.35">
      <c r="B8145" s="171"/>
    </row>
    <row r="8146" spans="2:2" ht="15.5" x14ac:dyDescent="0.35">
      <c r="B8146" s="171"/>
    </row>
    <row r="8147" spans="2:2" ht="15.5" x14ac:dyDescent="0.35">
      <c r="B8147" s="171"/>
    </row>
    <row r="8148" spans="2:2" ht="15.5" x14ac:dyDescent="0.35">
      <c r="B8148" s="171"/>
    </row>
    <row r="8149" spans="2:2" ht="15.5" x14ac:dyDescent="0.35">
      <c r="B8149" s="171"/>
    </row>
    <row r="8150" spans="2:2" ht="15.5" x14ac:dyDescent="0.35">
      <c r="B8150" s="171"/>
    </row>
    <row r="8151" spans="2:2" ht="15.5" x14ac:dyDescent="0.35">
      <c r="B8151" s="171"/>
    </row>
    <row r="8152" spans="2:2" ht="15.5" x14ac:dyDescent="0.35">
      <c r="B8152" s="171"/>
    </row>
    <row r="8153" spans="2:2" ht="15.5" x14ac:dyDescent="0.35">
      <c r="B8153" s="171"/>
    </row>
    <row r="8154" spans="2:2" ht="15.5" x14ac:dyDescent="0.35">
      <c r="B8154" s="171"/>
    </row>
    <row r="8155" spans="2:2" ht="15.5" x14ac:dyDescent="0.35">
      <c r="B8155" s="171"/>
    </row>
    <row r="8156" spans="2:2" ht="15.5" x14ac:dyDescent="0.35">
      <c r="B8156" s="171"/>
    </row>
    <row r="8157" spans="2:2" ht="15.5" x14ac:dyDescent="0.35">
      <c r="B8157" s="171"/>
    </row>
    <row r="8158" spans="2:2" ht="15.5" x14ac:dyDescent="0.35">
      <c r="B8158" s="171"/>
    </row>
    <row r="8159" spans="2:2" ht="15.5" x14ac:dyDescent="0.35">
      <c r="B8159" s="171"/>
    </row>
    <row r="8160" spans="2:2" ht="15.5" x14ac:dyDescent="0.35">
      <c r="B8160" s="171"/>
    </row>
    <row r="8161" spans="2:2" ht="15.5" x14ac:dyDescent="0.35">
      <c r="B8161" s="171"/>
    </row>
    <row r="8162" spans="2:2" ht="15.5" x14ac:dyDescent="0.35">
      <c r="B8162" s="171"/>
    </row>
    <row r="8163" spans="2:2" ht="15.5" x14ac:dyDescent="0.35">
      <c r="B8163" s="171"/>
    </row>
    <row r="8164" spans="2:2" ht="15.5" x14ac:dyDescent="0.35">
      <c r="B8164" s="171"/>
    </row>
    <row r="8165" spans="2:2" ht="15.5" x14ac:dyDescent="0.35">
      <c r="B8165" s="171"/>
    </row>
    <row r="8166" spans="2:2" ht="15.5" x14ac:dyDescent="0.35">
      <c r="B8166" s="171"/>
    </row>
    <row r="8167" spans="2:2" ht="15.5" x14ac:dyDescent="0.35">
      <c r="B8167" s="171"/>
    </row>
    <row r="8168" spans="2:2" ht="15.5" x14ac:dyDescent="0.35">
      <c r="B8168" s="171"/>
    </row>
    <row r="8169" spans="2:2" ht="15.5" x14ac:dyDescent="0.35">
      <c r="B8169" s="171"/>
    </row>
    <row r="8170" spans="2:2" ht="15.5" x14ac:dyDescent="0.35">
      <c r="B8170" s="171"/>
    </row>
    <row r="8171" spans="2:2" ht="15.5" x14ac:dyDescent="0.35">
      <c r="B8171" s="171"/>
    </row>
    <row r="8172" spans="2:2" ht="15.5" x14ac:dyDescent="0.35">
      <c r="B8172" s="171"/>
    </row>
    <row r="8173" spans="2:2" ht="15.5" x14ac:dyDescent="0.35">
      <c r="B8173" s="171"/>
    </row>
    <row r="8174" spans="2:2" ht="15.5" x14ac:dyDescent="0.35">
      <c r="B8174" s="171"/>
    </row>
    <row r="8175" spans="2:2" ht="15.5" x14ac:dyDescent="0.35">
      <c r="B8175" s="171"/>
    </row>
    <row r="8176" spans="2:2" ht="15.5" x14ac:dyDescent="0.35">
      <c r="B8176" s="171"/>
    </row>
    <row r="8177" spans="2:2" ht="15.5" x14ac:dyDescent="0.35">
      <c r="B8177" s="171"/>
    </row>
    <row r="8178" spans="2:2" ht="15.5" x14ac:dyDescent="0.35">
      <c r="B8178" s="171"/>
    </row>
    <row r="8179" spans="2:2" ht="15.5" x14ac:dyDescent="0.35">
      <c r="B8179" s="171"/>
    </row>
    <row r="8180" spans="2:2" ht="15.5" x14ac:dyDescent="0.35">
      <c r="B8180" s="171"/>
    </row>
    <row r="8181" spans="2:2" ht="15.5" x14ac:dyDescent="0.35">
      <c r="B8181" s="171"/>
    </row>
    <row r="8182" spans="2:2" ht="15.5" x14ac:dyDescent="0.35">
      <c r="B8182" s="171"/>
    </row>
    <row r="8183" spans="2:2" ht="15.5" x14ac:dyDescent="0.35">
      <c r="B8183" s="171"/>
    </row>
    <row r="8184" spans="2:2" ht="15.5" x14ac:dyDescent="0.35">
      <c r="B8184" s="171"/>
    </row>
    <row r="8185" spans="2:2" ht="15.5" x14ac:dyDescent="0.35">
      <c r="B8185" s="171"/>
    </row>
    <row r="8186" spans="2:2" ht="15.5" x14ac:dyDescent="0.35">
      <c r="B8186" s="171"/>
    </row>
    <row r="8187" spans="2:2" ht="15.5" x14ac:dyDescent="0.35">
      <c r="B8187" s="171"/>
    </row>
    <row r="8188" spans="2:2" ht="15.5" x14ac:dyDescent="0.35">
      <c r="B8188" s="171"/>
    </row>
    <row r="8189" spans="2:2" ht="15.5" x14ac:dyDescent="0.35">
      <c r="B8189" s="171"/>
    </row>
    <row r="8190" spans="2:2" ht="15.5" x14ac:dyDescent="0.35">
      <c r="B8190" s="171"/>
    </row>
    <row r="8191" spans="2:2" ht="15.5" x14ac:dyDescent="0.35">
      <c r="B8191" s="171"/>
    </row>
    <row r="8192" spans="2:2" ht="15.5" x14ac:dyDescent="0.35">
      <c r="B8192" s="171"/>
    </row>
    <row r="8193" spans="2:2" ht="15.5" x14ac:dyDescent="0.35">
      <c r="B8193" s="171"/>
    </row>
    <row r="8194" spans="2:2" ht="15.5" x14ac:dyDescent="0.35">
      <c r="B8194" s="171"/>
    </row>
    <row r="8195" spans="2:2" ht="15.5" x14ac:dyDescent="0.35">
      <c r="B8195" s="171"/>
    </row>
    <row r="8196" spans="2:2" ht="15.5" x14ac:dyDescent="0.35">
      <c r="B8196" s="171"/>
    </row>
    <row r="8197" spans="2:2" ht="15.5" x14ac:dyDescent="0.35">
      <c r="B8197" s="171"/>
    </row>
    <row r="8198" spans="2:2" ht="15.5" x14ac:dyDescent="0.35">
      <c r="B8198" s="171"/>
    </row>
    <row r="8199" spans="2:2" ht="15.5" x14ac:dyDescent="0.35">
      <c r="B8199" s="171"/>
    </row>
    <row r="8200" spans="2:2" ht="15.5" x14ac:dyDescent="0.35">
      <c r="B8200" s="171"/>
    </row>
    <row r="8201" spans="2:2" ht="15.5" x14ac:dyDescent="0.35">
      <c r="B8201" s="171"/>
    </row>
    <row r="8202" spans="2:2" ht="15.5" x14ac:dyDescent="0.35">
      <c r="B8202" s="171"/>
    </row>
    <row r="8203" spans="2:2" ht="15.5" x14ac:dyDescent="0.35">
      <c r="B8203" s="171"/>
    </row>
    <row r="8204" spans="2:2" ht="15.5" x14ac:dyDescent="0.35">
      <c r="B8204" s="171"/>
    </row>
    <row r="8205" spans="2:2" ht="15.5" x14ac:dyDescent="0.35">
      <c r="B8205" s="171"/>
    </row>
    <row r="8206" spans="2:2" ht="15.5" x14ac:dyDescent="0.35">
      <c r="B8206" s="171"/>
    </row>
    <row r="8207" spans="2:2" ht="15.5" x14ac:dyDescent="0.35">
      <c r="B8207" s="171"/>
    </row>
    <row r="8208" spans="2:2" ht="15.5" x14ac:dyDescent="0.35">
      <c r="B8208" s="171"/>
    </row>
    <row r="8209" spans="2:2" ht="15.5" x14ac:dyDescent="0.35">
      <c r="B8209" s="171"/>
    </row>
    <row r="8210" spans="2:2" ht="15.5" x14ac:dyDescent="0.35">
      <c r="B8210" s="171"/>
    </row>
    <row r="8211" spans="2:2" ht="15.5" x14ac:dyDescent="0.35">
      <c r="B8211" s="171"/>
    </row>
    <row r="8212" spans="2:2" ht="15.5" x14ac:dyDescent="0.35">
      <c r="B8212" s="171"/>
    </row>
    <row r="8213" spans="2:2" ht="15.5" x14ac:dyDescent="0.35">
      <c r="B8213" s="171"/>
    </row>
    <row r="8214" spans="2:2" ht="15.5" x14ac:dyDescent="0.35">
      <c r="B8214" s="171"/>
    </row>
    <row r="8215" spans="2:2" ht="15.5" x14ac:dyDescent="0.35">
      <c r="B8215" s="171"/>
    </row>
    <row r="8216" spans="2:2" ht="15.5" x14ac:dyDescent="0.35">
      <c r="B8216" s="171"/>
    </row>
    <row r="8217" spans="2:2" ht="15.5" x14ac:dyDescent="0.35">
      <c r="B8217" s="171"/>
    </row>
    <row r="8218" spans="2:2" ht="15.5" x14ac:dyDescent="0.35">
      <c r="B8218" s="171"/>
    </row>
    <row r="8219" spans="2:2" ht="15.5" x14ac:dyDescent="0.35">
      <c r="B8219" s="171"/>
    </row>
    <row r="8220" spans="2:2" ht="15.5" x14ac:dyDescent="0.35">
      <c r="B8220" s="171"/>
    </row>
    <row r="8221" spans="2:2" ht="15.5" x14ac:dyDescent="0.35">
      <c r="B8221" s="171"/>
    </row>
    <row r="8222" spans="2:2" ht="15.5" x14ac:dyDescent="0.35">
      <c r="B8222" s="171"/>
    </row>
    <row r="8223" spans="2:2" ht="15.5" x14ac:dyDescent="0.35">
      <c r="B8223" s="171"/>
    </row>
    <row r="8224" spans="2:2" ht="15.5" x14ac:dyDescent="0.35">
      <c r="B8224" s="171"/>
    </row>
    <row r="8225" spans="2:2" ht="15.5" x14ac:dyDescent="0.35">
      <c r="B8225" s="171"/>
    </row>
    <row r="8226" spans="2:2" ht="15.5" x14ac:dyDescent="0.35">
      <c r="B8226" s="171"/>
    </row>
    <row r="8227" spans="2:2" ht="15.5" x14ac:dyDescent="0.35">
      <c r="B8227" s="171"/>
    </row>
    <row r="8228" spans="2:2" ht="15.5" x14ac:dyDescent="0.35">
      <c r="B8228" s="171"/>
    </row>
    <row r="8229" spans="2:2" ht="15.5" x14ac:dyDescent="0.35">
      <c r="B8229" s="171"/>
    </row>
    <row r="8230" spans="2:2" ht="15.5" x14ac:dyDescent="0.35">
      <c r="B8230" s="171"/>
    </row>
    <row r="8231" spans="2:2" ht="15.5" x14ac:dyDescent="0.35">
      <c r="B8231" s="171"/>
    </row>
    <row r="8232" spans="2:2" ht="15.5" x14ac:dyDescent="0.35">
      <c r="B8232" s="171"/>
    </row>
    <row r="8233" spans="2:2" ht="15.5" x14ac:dyDescent="0.35">
      <c r="B8233" s="171"/>
    </row>
    <row r="8234" spans="2:2" ht="15.5" x14ac:dyDescent="0.35">
      <c r="B8234" s="171"/>
    </row>
    <row r="8235" spans="2:2" ht="15.5" x14ac:dyDescent="0.35">
      <c r="B8235" s="171"/>
    </row>
    <row r="8236" spans="2:2" ht="15.5" x14ac:dyDescent="0.35">
      <c r="B8236" s="171"/>
    </row>
    <row r="8237" spans="2:2" ht="15.5" x14ac:dyDescent="0.35">
      <c r="B8237" s="171"/>
    </row>
    <row r="8238" spans="2:2" ht="15.5" x14ac:dyDescent="0.35">
      <c r="B8238" s="171"/>
    </row>
    <row r="8239" spans="2:2" ht="15.5" x14ac:dyDescent="0.35">
      <c r="B8239" s="171"/>
    </row>
    <row r="8240" spans="2:2" ht="15.5" x14ac:dyDescent="0.35">
      <c r="B8240" s="171"/>
    </row>
    <row r="8241" spans="2:2" ht="15.5" x14ac:dyDescent="0.35">
      <c r="B8241" s="171"/>
    </row>
    <row r="8242" spans="2:2" ht="15.5" x14ac:dyDescent="0.35">
      <c r="B8242" s="171"/>
    </row>
    <row r="8243" spans="2:2" ht="15.5" x14ac:dyDescent="0.35">
      <c r="B8243" s="171"/>
    </row>
    <row r="8244" spans="2:2" ht="15.5" x14ac:dyDescent="0.35">
      <c r="B8244" s="171"/>
    </row>
    <row r="8245" spans="2:2" ht="15.5" x14ac:dyDescent="0.35">
      <c r="B8245" s="171"/>
    </row>
    <row r="8246" spans="2:2" ht="15.5" x14ac:dyDescent="0.35">
      <c r="B8246" s="171"/>
    </row>
    <row r="8247" spans="2:2" ht="15.5" x14ac:dyDescent="0.35">
      <c r="B8247" s="171"/>
    </row>
    <row r="8248" spans="2:2" ht="15.5" x14ac:dyDescent="0.35">
      <c r="B8248" s="171"/>
    </row>
    <row r="8249" spans="2:2" ht="15.5" x14ac:dyDescent="0.35">
      <c r="B8249" s="171"/>
    </row>
    <row r="8250" spans="2:2" ht="15.5" x14ac:dyDescent="0.35">
      <c r="B8250" s="171"/>
    </row>
    <row r="8251" spans="2:2" ht="15.5" x14ac:dyDescent="0.35">
      <c r="B8251" s="171"/>
    </row>
    <row r="8252" spans="2:2" ht="15.5" x14ac:dyDescent="0.35">
      <c r="B8252" s="171"/>
    </row>
    <row r="8253" spans="2:2" ht="15.5" x14ac:dyDescent="0.35">
      <c r="B8253" s="171"/>
    </row>
    <row r="8254" spans="2:2" ht="15.5" x14ac:dyDescent="0.35">
      <c r="B8254" s="171"/>
    </row>
    <row r="8255" spans="2:2" ht="15.5" x14ac:dyDescent="0.35">
      <c r="B8255" s="171"/>
    </row>
    <row r="8256" spans="2:2" ht="15.5" x14ac:dyDescent="0.35">
      <c r="B8256" s="171"/>
    </row>
    <row r="8257" spans="2:2" ht="15.5" x14ac:dyDescent="0.35">
      <c r="B8257" s="171"/>
    </row>
    <row r="8258" spans="2:2" ht="15.5" x14ac:dyDescent="0.35">
      <c r="B8258" s="171"/>
    </row>
    <row r="8259" spans="2:2" ht="15.5" x14ac:dyDescent="0.35">
      <c r="B8259" s="171"/>
    </row>
    <row r="8260" spans="2:2" ht="15.5" x14ac:dyDescent="0.35">
      <c r="B8260" s="171"/>
    </row>
    <row r="8261" spans="2:2" ht="15.5" x14ac:dyDescent="0.35">
      <c r="B8261" s="171"/>
    </row>
    <row r="8262" spans="2:2" ht="15.5" x14ac:dyDescent="0.35">
      <c r="B8262" s="171"/>
    </row>
    <row r="8263" spans="2:2" ht="15.5" x14ac:dyDescent="0.35">
      <c r="B8263" s="171"/>
    </row>
    <row r="8264" spans="2:2" ht="15.5" x14ac:dyDescent="0.35">
      <c r="B8264" s="171"/>
    </row>
    <row r="8265" spans="2:2" ht="15.5" x14ac:dyDescent="0.35">
      <c r="B8265" s="171"/>
    </row>
    <row r="8266" spans="2:2" ht="15.5" x14ac:dyDescent="0.35">
      <c r="B8266" s="171"/>
    </row>
    <row r="8267" spans="2:2" ht="15.5" x14ac:dyDescent="0.35">
      <c r="B8267" s="171"/>
    </row>
    <row r="8268" spans="2:2" ht="15.5" x14ac:dyDescent="0.35">
      <c r="B8268" s="171"/>
    </row>
    <row r="8269" spans="2:2" ht="15.5" x14ac:dyDescent="0.35">
      <c r="B8269" s="171"/>
    </row>
    <row r="8270" spans="2:2" ht="15.5" x14ac:dyDescent="0.35">
      <c r="B8270" s="171"/>
    </row>
    <row r="8271" spans="2:2" ht="15.5" x14ac:dyDescent="0.35">
      <c r="B8271" s="171"/>
    </row>
    <row r="8272" spans="2:2" ht="15.5" x14ac:dyDescent="0.35">
      <c r="B8272" s="171"/>
    </row>
    <row r="8273" spans="2:2" ht="15.5" x14ac:dyDescent="0.35">
      <c r="B8273" s="171"/>
    </row>
    <row r="8274" spans="2:2" ht="15.5" x14ac:dyDescent="0.35">
      <c r="B8274" s="171"/>
    </row>
    <row r="8275" spans="2:2" ht="15.5" x14ac:dyDescent="0.35">
      <c r="B8275" s="171"/>
    </row>
    <row r="8276" spans="2:2" ht="15.5" x14ac:dyDescent="0.35">
      <c r="B8276" s="171"/>
    </row>
    <row r="8277" spans="2:2" ht="15.5" x14ac:dyDescent="0.35">
      <c r="B8277" s="171"/>
    </row>
    <row r="8278" spans="2:2" ht="15.5" x14ac:dyDescent="0.35">
      <c r="B8278" s="171"/>
    </row>
    <row r="8279" spans="2:2" ht="15.5" x14ac:dyDescent="0.35">
      <c r="B8279" s="171"/>
    </row>
    <row r="8280" spans="2:2" ht="15.5" x14ac:dyDescent="0.35">
      <c r="B8280" s="171"/>
    </row>
    <row r="8281" spans="2:2" ht="15.5" x14ac:dyDescent="0.35">
      <c r="B8281" s="171"/>
    </row>
    <row r="8282" spans="2:2" ht="15.5" x14ac:dyDescent="0.35">
      <c r="B8282" s="171"/>
    </row>
    <row r="8283" spans="2:2" ht="15.5" x14ac:dyDescent="0.35">
      <c r="B8283" s="171"/>
    </row>
    <row r="8284" spans="2:2" ht="15.5" x14ac:dyDescent="0.35">
      <c r="B8284" s="171"/>
    </row>
    <row r="8285" spans="2:2" ht="15.5" x14ac:dyDescent="0.35">
      <c r="B8285" s="171"/>
    </row>
    <row r="8286" spans="2:2" ht="15.5" x14ac:dyDescent="0.35">
      <c r="B8286" s="171"/>
    </row>
    <row r="8287" spans="2:2" ht="15.5" x14ac:dyDescent="0.35">
      <c r="B8287" s="171"/>
    </row>
    <row r="8288" spans="2:2" ht="15.5" x14ac:dyDescent="0.35">
      <c r="B8288" s="171"/>
    </row>
    <row r="8289" spans="2:2" ht="15.5" x14ac:dyDescent="0.35">
      <c r="B8289" s="171"/>
    </row>
    <row r="8290" spans="2:2" ht="15.5" x14ac:dyDescent="0.35">
      <c r="B8290" s="171"/>
    </row>
    <row r="8291" spans="2:2" ht="15.5" x14ac:dyDescent="0.35">
      <c r="B8291" s="171"/>
    </row>
    <row r="8292" spans="2:2" ht="15.5" x14ac:dyDescent="0.35">
      <c r="B8292" s="171"/>
    </row>
    <row r="8293" spans="2:2" ht="15.5" x14ac:dyDescent="0.35">
      <c r="B8293" s="171"/>
    </row>
    <row r="8294" spans="2:2" ht="15.5" x14ac:dyDescent="0.35">
      <c r="B8294" s="171"/>
    </row>
    <row r="8295" spans="2:2" ht="15.5" x14ac:dyDescent="0.35">
      <c r="B8295" s="171"/>
    </row>
    <row r="8296" spans="2:2" ht="15.5" x14ac:dyDescent="0.35">
      <c r="B8296" s="171"/>
    </row>
    <row r="8297" spans="2:2" ht="15.5" x14ac:dyDescent="0.35">
      <c r="B8297" s="171"/>
    </row>
    <row r="8298" spans="2:2" ht="15.5" x14ac:dyDescent="0.35">
      <c r="B8298" s="171"/>
    </row>
    <row r="8299" spans="2:2" ht="15.5" x14ac:dyDescent="0.35">
      <c r="B8299" s="171"/>
    </row>
    <row r="8300" spans="2:2" ht="15.5" x14ac:dyDescent="0.35">
      <c r="B8300" s="171"/>
    </row>
    <row r="8301" spans="2:2" ht="15.5" x14ac:dyDescent="0.35">
      <c r="B8301" s="171"/>
    </row>
    <row r="8302" spans="2:2" ht="15.5" x14ac:dyDescent="0.35">
      <c r="B8302" s="171"/>
    </row>
    <row r="8303" spans="2:2" ht="15.5" x14ac:dyDescent="0.35">
      <c r="B8303" s="171"/>
    </row>
    <row r="8304" spans="2:2" ht="15.5" x14ac:dyDescent="0.35">
      <c r="B8304" s="171"/>
    </row>
    <row r="8305" spans="2:2" ht="15.5" x14ac:dyDescent="0.35">
      <c r="B8305" s="171"/>
    </row>
    <row r="8306" spans="2:2" ht="15.5" x14ac:dyDescent="0.35">
      <c r="B8306" s="171"/>
    </row>
    <row r="8307" spans="2:2" ht="15.5" x14ac:dyDescent="0.35">
      <c r="B8307" s="171"/>
    </row>
    <row r="8308" spans="2:2" ht="15.5" x14ac:dyDescent="0.35">
      <c r="B8308" s="171"/>
    </row>
    <row r="8309" spans="2:2" ht="15.5" x14ac:dyDescent="0.35">
      <c r="B8309" s="171"/>
    </row>
    <row r="8310" spans="2:2" ht="15.5" x14ac:dyDescent="0.35">
      <c r="B8310" s="171"/>
    </row>
    <row r="8311" spans="2:2" ht="15.5" x14ac:dyDescent="0.35">
      <c r="B8311" s="171"/>
    </row>
    <row r="8312" spans="2:2" ht="15.5" x14ac:dyDescent="0.35">
      <c r="B8312" s="171"/>
    </row>
    <row r="8313" spans="2:2" ht="15.5" x14ac:dyDescent="0.35">
      <c r="B8313" s="171"/>
    </row>
    <row r="8314" spans="2:2" ht="15.5" x14ac:dyDescent="0.35">
      <c r="B8314" s="171"/>
    </row>
    <row r="8315" spans="2:2" ht="15.5" x14ac:dyDescent="0.35">
      <c r="B8315" s="171"/>
    </row>
    <row r="8316" spans="2:2" ht="15.5" x14ac:dyDescent="0.35">
      <c r="B8316" s="171"/>
    </row>
    <row r="8317" spans="2:2" ht="15.5" x14ac:dyDescent="0.35">
      <c r="B8317" s="171"/>
    </row>
    <row r="8318" spans="2:2" ht="15.5" x14ac:dyDescent="0.35">
      <c r="B8318" s="171"/>
    </row>
    <row r="8319" spans="2:2" ht="15.5" x14ac:dyDescent="0.35">
      <c r="B8319" s="171"/>
    </row>
    <row r="8320" spans="2:2" ht="15.5" x14ac:dyDescent="0.35">
      <c r="B8320" s="171"/>
    </row>
    <row r="8321" spans="2:2" ht="15.5" x14ac:dyDescent="0.35">
      <c r="B8321" s="171"/>
    </row>
    <row r="8322" spans="2:2" ht="15.5" x14ac:dyDescent="0.35">
      <c r="B8322" s="171"/>
    </row>
    <row r="8323" spans="2:2" ht="15.5" x14ac:dyDescent="0.35">
      <c r="B8323" s="171"/>
    </row>
    <row r="8324" spans="2:2" ht="15.5" x14ac:dyDescent="0.35">
      <c r="B8324" s="171"/>
    </row>
    <row r="8325" spans="2:2" ht="15.5" x14ac:dyDescent="0.35">
      <c r="B8325" s="171"/>
    </row>
    <row r="8326" spans="2:2" ht="15.5" x14ac:dyDescent="0.35">
      <c r="B8326" s="171"/>
    </row>
    <row r="8327" spans="2:2" ht="15.5" x14ac:dyDescent="0.35">
      <c r="B8327" s="171"/>
    </row>
    <row r="8328" spans="2:2" ht="15.5" x14ac:dyDescent="0.35">
      <c r="B8328" s="171"/>
    </row>
    <row r="8329" spans="2:2" ht="15.5" x14ac:dyDescent="0.35">
      <c r="B8329" s="171"/>
    </row>
    <row r="8330" spans="2:2" ht="15.5" x14ac:dyDescent="0.35">
      <c r="B8330" s="171"/>
    </row>
    <row r="8331" spans="2:2" ht="15.5" x14ac:dyDescent="0.35">
      <c r="B8331" s="171"/>
    </row>
    <row r="8332" spans="2:2" ht="15.5" x14ac:dyDescent="0.35">
      <c r="B8332" s="171"/>
    </row>
    <row r="8333" spans="2:2" ht="15.5" x14ac:dyDescent="0.35">
      <c r="B8333" s="171"/>
    </row>
    <row r="8334" spans="2:2" ht="15.5" x14ac:dyDescent="0.35">
      <c r="B8334" s="171"/>
    </row>
    <row r="8335" spans="2:2" ht="15.5" x14ac:dyDescent="0.35">
      <c r="B8335" s="171"/>
    </row>
    <row r="8336" spans="2:2" ht="15.5" x14ac:dyDescent="0.35">
      <c r="B8336" s="171"/>
    </row>
    <row r="8337" spans="2:2" ht="15.5" x14ac:dyDescent="0.35">
      <c r="B8337" s="171"/>
    </row>
    <row r="8338" spans="2:2" ht="15.5" x14ac:dyDescent="0.35">
      <c r="B8338" s="171"/>
    </row>
    <row r="8339" spans="2:2" ht="15.5" x14ac:dyDescent="0.35">
      <c r="B8339" s="171"/>
    </row>
    <row r="8340" spans="2:2" ht="15.5" x14ac:dyDescent="0.35">
      <c r="B8340" s="171"/>
    </row>
    <row r="8341" spans="2:2" ht="15.5" x14ac:dyDescent="0.35">
      <c r="B8341" s="171"/>
    </row>
    <row r="8342" spans="2:2" ht="15.5" x14ac:dyDescent="0.35">
      <c r="B8342" s="171"/>
    </row>
    <row r="8343" spans="2:2" ht="15.5" x14ac:dyDescent="0.35">
      <c r="B8343" s="171"/>
    </row>
    <row r="8344" spans="2:2" ht="15.5" x14ac:dyDescent="0.35">
      <c r="B8344" s="171"/>
    </row>
    <row r="8345" spans="2:2" ht="15.5" x14ac:dyDescent="0.35">
      <c r="B8345" s="171"/>
    </row>
    <row r="8346" spans="2:2" ht="15.5" x14ac:dyDescent="0.35">
      <c r="B8346" s="171"/>
    </row>
    <row r="8347" spans="2:2" ht="15.5" x14ac:dyDescent="0.35">
      <c r="B8347" s="171"/>
    </row>
    <row r="8348" spans="2:2" ht="15.5" x14ac:dyDescent="0.35">
      <c r="B8348" s="171"/>
    </row>
    <row r="8349" spans="2:2" ht="15.5" x14ac:dyDescent="0.35">
      <c r="B8349" s="171"/>
    </row>
    <row r="8350" spans="2:2" ht="15.5" x14ac:dyDescent="0.35">
      <c r="B8350" s="171"/>
    </row>
    <row r="8351" spans="2:2" ht="15.5" x14ac:dyDescent="0.35">
      <c r="B8351" s="171"/>
    </row>
    <row r="8352" spans="2:2" ht="15.5" x14ac:dyDescent="0.35">
      <c r="B8352" s="171"/>
    </row>
    <row r="8353" spans="2:2" ht="15.5" x14ac:dyDescent="0.35">
      <c r="B8353" s="171"/>
    </row>
    <row r="8354" spans="2:2" ht="15.5" x14ac:dyDescent="0.35">
      <c r="B8354" s="171"/>
    </row>
    <row r="8355" spans="2:2" ht="15.5" x14ac:dyDescent="0.35">
      <c r="B8355" s="171"/>
    </row>
    <row r="8356" spans="2:2" ht="15.5" x14ac:dyDescent="0.35">
      <c r="B8356" s="171"/>
    </row>
    <row r="8357" spans="2:2" ht="15.5" x14ac:dyDescent="0.35">
      <c r="B8357" s="171"/>
    </row>
    <row r="8358" spans="2:2" ht="15.5" x14ac:dyDescent="0.35">
      <c r="B8358" s="171"/>
    </row>
    <row r="8359" spans="2:2" ht="15.5" x14ac:dyDescent="0.35">
      <c r="B8359" s="171"/>
    </row>
    <row r="8360" spans="2:2" ht="15.5" x14ac:dyDescent="0.35">
      <c r="B8360" s="171"/>
    </row>
    <row r="8361" spans="2:2" ht="15.5" x14ac:dyDescent="0.35">
      <c r="B8361" s="171"/>
    </row>
    <row r="8362" spans="2:2" ht="15.5" x14ac:dyDescent="0.35">
      <c r="B8362" s="171"/>
    </row>
    <row r="8363" spans="2:2" ht="15.5" x14ac:dyDescent="0.35">
      <c r="B8363" s="171"/>
    </row>
    <row r="8364" spans="2:2" ht="15.5" x14ac:dyDescent="0.35">
      <c r="B8364" s="171"/>
    </row>
    <row r="8365" spans="2:2" ht="15.5" x14ac:dyDescent="0.35">
      <c r="B8365" s="171"/>
    </row>
    <row r="8366" spans="2:2" ht="15.5" x14ac:dyDescent="0.35">
      <c r="B8366" s="171"/>
    </row>
    <row r="8367" spans="2:2" ht="15.5" x14ac:dyDescent="0.35">
      <c r="B8367" s="171"/>
    </row>
    <row r="8368" spans="2:2" ht="15.5" x14ac:dyDescent="0.35">
      <c r="B8368" s="171"/>
    </row>
    <row r="8369" spans="2:2" ht="15.5" x14ac:dyDescent="0.35">
      <c r="B8369" s="171"/>
    </row>
    <row r="8370" spans="2:2" ht="15.5" x14ac:dyDescent="0.35">
      <c r="B8370" s="171"/>
    </row>
    <row r="8371" spans="2:2" ht="15.5" x14ac:dyDescent="0.35">
      <c r="B8371" s="171"/>
    </row>
    <row r="8372" spans="2:2" ht="15.5" x14ac:dyDescent="0.35">
      <c r="B8372" s="171"/>
    </row>
    <row r="8373" spans="2:2" ht="15.5" x14ac:dyDescent="0.35">
      <c r="B8373" s="171"/>
    </row>
    <row r="8374" spans="2:2" ht="15.5" x14ac:dyDescent="0.35">
      <c r="B8374" s="171"/>
    </row>
    <row r="8375" spans="2:2" ht="15.5" x14ac:dyDescent="0.35">
      <c r="B8375" s="171"/>
    </row>
    <row r="8376" spans="2:2" ht="15.5" x14ac:dyDescent="0.35">
      <c r="B8376" s="171"/>
    </row>
    <row r="8377" spans="2:2" ht="15.5" x14ac:dyDescent="0.35">
      <c r="B8377" s="171"/>
    </row>
    <row r="8378" spans="2:2" ht="15.5" x14ac:dyDescent="0.35">
      <c r="B8378" s="171"/>
    </row>
    <row r="8379" spans="2:2" ht="15.5" x14ac:dyDescent="0.35">
      <c r="B8379" s="171"/>
    </row>
    <row r="8380" spans="2:2" ht="15.5" x14ac:dyDescent="0.35">
      <c r="B8380" s="171"/>
    </row>
    <row r="8381" spans="2:2" ht="15.5" x14ac:dyDescent="0.35">
      <c r="B8381" s="171"/>
    </row>
    <row r="8382" spans="2:2" ht="15.5" x14ac:dyDescent="0.35">
      <c r="B8382" s="171"/>
    </row>
    <row r="8383" spans="2:2" ht="15.5" x14ac:dyDescent="0.35">
      <c r="B8383" s="171"/>
    </row>
    <row r="8384" spans="2:2" ht="15.5" x14ac:dyDescent="0.35">
      <c r="B8384" s="171"/>
    </row>
    <row r="8385" spans="2:2" ht="15.5" x14ac:dyDescent="0.35">
      <c r="B8385" s="171"/>
    </row>
    <row r="8386" spans="2:2" ht="15.5" x14ac:dyDescent="0.35">
      <c r="B8386" s="171"/>
    </row>
    <row r="8387" spans="2:2" ht="15.5" x14ac:dyDescent="0.35">
      <c r="B8387" s="171"/>
    </row>
    <row r="8388" spans="2:2" ht="15.5" x14ac:dyDescent="0.35">
      <c r="B8388" s="171"/>
    </row>
    <row r="8389" spans="2:2" ht="15.5" x14ac:dyDescent="0.35">
      <c r="B8389" s="171"/>
    </row>
    <row r="8390" spans="2:2" ht="15.5" x14ac:dyDescent="0.35">
      <c r="B8390" s="171"/>
    </row>
    <row r="8391" spans="2:2" ht="15.5" x14ac:dyDescent="0.35">
      <c r="B8391" s="171"/>
    </row>
    <row r="8392" spans="2:2" ht="15.5" x14ac:dyDescent="0.35">
      <c r="B8392" s="171"/>
    </row>
    <row r="8393" spans="2:2" ht="15.5" x14ac:dyDescent="0.35">
      <c r="B8393" s="171"/>
    </row>
    <row r="8394" spans="2:2" ht="15.5" x14ac:dyDescent="0.35">
      <c r="B8394" s="171"/>
    </row>
    <row r="8395" spans="2:2" ht="15.5" x14ac:dyDescent="0.35">
      <c r="B8395" s="171"/>
    </row>
    <row r="8396" spans="2:2" ht="15.5" x14ac:dyDescent="0.35">
      <c r="B8396" s="171"/>
    </row>
    <row r="8397" spans="2:2" ht="15.5" x14ac:dyDescent="0.35">
      <c r="B8397" s="171"/>
    </row>
    <row r="8398" spans="2:2" ht="15.5" x14ac:dyDescent="0.35">
      <c r="B8398" s="171"/>
    </row>
    <row r="8399" spans="2:2" ht="15.5" x14ac:dyDescent="0.35">
      <c r="B8399" s="171"/>
    </row>
    <row r="8400" spans="2:2" ht="15.5" x14ac:dyDescent="0.35">
      <c r="B8400" s="171"/>
    </row>
    <row r="8401" spans="2:2" ht="15.5" x14ac:dyDescent="0.35">
      <c r="B8401" s="171"/>
    </row>
    <row r="8402" spans="2:2" ht="15.5" x14ac:dyDescent="0.35">
      <c r="B8402" s="171"/>
    </row>
    <row r="8403" spans="2:2" ht="15.5" x14ac:dyDescent="0.35">
      <c r="B8403" s="171"/>
    </row>
    <row r="8404" spans="2:2" ht="15.5" x14ac:dyDescent="0.35">
      <c r="B8404" s="171"/>
    </row>
    <row r="8405" spans="2:2" ht="15.5" x14ac:dyDescent="0.35">
      <c r="B8405" s="171"/>
    </row>
    <row r="8406" spans="2:2" ht="15.5" x14ac:dyDescent="0.35">
      <c r="B8406" s="171"/>
    </row>
    <row r="8407" spans="2:2" ht="15.5" x14ac:dyDescent="0.35">
      <c r="B8407" s="171"/>
    </row>
    <row r="8408" spans="2:2" ht="15.5" x14ac:dyDescent="0.35">
      <c r="B8408" s="171"/>
    </row>
    <row r="8409" spans="2:2" ht="15.5" x14ac:dyDescent="0.35">
      <c r="B8409" s="171"/>
    </row>
    <row r="8410" spans="2:2" ht="15.5" x14ac:dyDescent="0.35">
      <c r="B8410" s="171"/>
    </row>
    <row r="8411" spans="2:2" ht="15.5" x14ac:dyDescent="0.35">
      <c r="B8411" s="171"/>
    </row>
    <row r="8412" spans="2:2" ht="15.5" x14ac:dyDescent="0.35">
      <c r="B8412" s="171"/>
    </row>
    <row r="8413" spans="2:2" ht="15.5" x14ac:dyDescent="0.35">
      <c r="B8413" s="171"/>
    </row>
    <row r="8414" spans="2:2" ht="15.5" x14ac:dyDescent="0.35">
      <c r="B8414" s="171"/>
    </row>
    <row r="8415" spans="2:2" ht="15.5" x14ac:dyDescent="0.35">
      <c r="B8415" s="171"/>
    </row>
    <row r="8416" spans="2:2" ht="15.5" x14ac:dyDescent="0.35">
      <c r="B8416" s="171"/>
    </row>
    <row r="8417" spans="2:2" ht="15.5" x14ac:dyDescent="0.35">
      <c r="B8417" s="171"/>
    </row>
    <row r="8418" spans="2:2" ht="15.5" x14ac:dyDescent="0.35">
      <c r="B8418" s="171"/>
    </row>
    <row r="8419" spans="2:2" ht="15.5" x14ac:dyDescent="0.35">
      <c r="B8419" s="171"/>
    </row>
    <row r="8420" spans="2:2" ht="15.5" x14ac:dyDescent="0.35">
      <c r="B8420" s="171"/>
    </row>
    <row r="8421" spans="2:2" ht="15.5" x14ac:dyDescent="0.35">
      <c r="B8421" s="171"/>
    </row>
    <row r="8422" spans="2:2" ht="15.5" x14ac:dyDescent="0.35">
      <c r="B8422" s="171"/>
    </row>
    <row r="8423" spans="2:2" ht="15.5" x14ac:dyDescent="0.35">
      <c r="B8423" s="171"/>
    </row>
    <row r="8424" spans="2:2" ht="15.5" x14ac:dyDescent="0.35">
      <c r="B8424" s="171"/>
    </row>
    <row r="8425" spans="2:2" ht="15.5" x14ac:dyDescent="0.35">
      <c r="B8425" s="171"/>
    </row>
    <row r="8426" spans="2:2" ht="15.5" x14ac:dyDescent="0.35">
      <c r="B8426" s="171"/>
    </row>
    <row r="8427" spans="2:2" ht="15.5" x14ac:dyDescent="0.35">
      <c r="B8427" s="171"/>
    </row>
    <row r="8428" spans="2:2" ht="15.5" x14ac:dyDescent="0.35">
      <c r="B8428" s="171"/>
    </row>
    <row r="8429" spans="2:2" ht="15.5" x14ac:dyDescent="0.35">
      <c r="B8429" s="171"/>
    </row>
    <row r="8430" spans="2:2" ht="15.5" x14ac:dyDescent="0.35">
      <c r="B8430" s="171"/>
    </row>
    <row r="8431" spans="2:2" ht="15.5" x14ac:dyDescent="0.35">
      <c r="B8431" s="171"/>
    </row>
    <row r="8432" spans="2:2" ht="15.5" x14ac:dyDescent="0.35">
      <c r="B8432" s="171"/>
    </row>
    <row r="8433" spans="2:2" ht="15.5" x14ac:dyDescent="0.35">
      <c r="B8433" s="171"/>
    </row>
    <row r="8434" spans="2:2" ht="15.5" x14ac:dyDescent="0.35">
      <c r="B8434" s="171"/>
    </row>
    <row r="8435" spans="2:2" ht="15.5" x14ac:dyDescent="0.35">
      <c r="B8435" s="171"/>
    </row>
    <row r="8436" spans="2:2" ht="15.5" x14ac:dyDescent="0.35">
      <c r="B8436" s="171"/>
    </row>
    <row r="8437" spans="2:2" ht="15.5" x14ac:dyDescent="0.35">
      <c r="B8437" s="171"/>
    </row>
    <row r="8438" spans="2:2" ht="15.5" x14ac:dyDescent="0.35">
      <c r="B8438" s="171"/>
    </row>
    <row r="8439" spans="2:2" ht="15.5" x14ac:dyDescent="0.35">
      <c r="B8439" s="171"/>
    </row>
    <row r="8440" spans="2:2" ht="15.5" x14ac:dyDescent="0.35">
      <c r="B8440" s="171"/>
    </row>
    <row r="8441" spans="2:2" ht="15.5" x14ac:dyDescent="0.35">
      <c r="B8441" s="171"/>
    </row>
    <row r="8442" spans="2:2" ht="15.5" x14ac:dyDescent="0.35">
      <c r="B8442" s="171"/>
    </row>
    <row r="8443" spans="2:2" ht="15.5" x14ac:dyDescent="0.35">
      <c r="B8443" s="171"/>
    </row>
    <row r="8444" spans="2:2" ht="15.5" x14ac:dyDescent="0.35">
      <c r="B8444" s="171"/>
    </row>
    <row r="8445" spans="2:2" ht="15.5" x14ac:dyDescent="0.35">
      <c r="B8445" s="171"/>
    </row>
    <row r="8446" spans="2:2" ht="15.5" x14ac:dyDescent="0.35">
      <c r="B8446" s="171"/>
    </row>
    <row r="8447" spans="2:2" ht="15.5" x14ac:dyDescent="0.35">
      <c r="B8447" s="171"/>
    </row>
    <row r="8448" spans="2:2" ht="15.5" x14ac:dyDescent="0.35">
      <c r="B8448" s="171"/>
    </row>
    <row r="8449" spans="2:2" ht="15.5" x14ac:dyDescent="0.35">
      <c r="B8449" s="171"/>
    </row>
    <row r="8450" spans="2:2" ht="15.5" x14ac:dyDescent="0.35">
      <c r="B8450" s="171"/>
    </row>
    <row r="8451" spans="2:2" ht="15.5" x14ac:dyDescent="0.35">
      <c r="B8451" s="171"/>
    </row>
    <row r="8452" spans="2:2" ht="15.5" x14ac:dyDescent="0.35">
      <c r="B8452" s="171"/>
    </row>
    <row r="8453" spans="2:2" ht="15.5" x14ac:dyDescent="0.35">
      <c r="B8453" s="171"/>
    </row>
    <row r="8454" spans="2:2" ht="15.5" x14ac:dyDescent="0.35">
      <c r="B8454" s="171"/>
    </row>
    <row r="8455" spans="2:2" ht="15.5" x14ac:dyDescent="0.35">
      <c r="B8455" s="171"/>
    </row>
    <row r="8456" spans="2:2" ht="15.5" x14ac:dyDescent="0.35">
      <c r="B8456" s="171"/>
    </row>
    <row r="8457" spans="2:2" ht="15.5" x14ac:dyDescent="0.35">
      <c r="B8457" s="171"/>
    </row>
    <row r="8458" spans="2:2" ht="15.5" x14ac:dyDescent="0.35">
      <c r="B8458" s="171"/>
    </row>
    <row r="8459" spans="2:2" ht="15.5" x14ac:dyDescent="0.35">
      <c r="B8459" s="171"/>
    </row>
    <row r="8460" spans="2:2" ht="15.5" x14ac:dyDescent="0.35">
      <c r="B8460" s="171"/>
    </row>
    <row r="8461" spans="2:2" ht="15.5" x14ac:dyDescent="0.35">
      <c r="B8461" s="171"/>
    </row>
    <row r="8462" spans="2:2" ht="15.5" x14ac:dyDescent="0.35">
      <c r="B8462" s="171"/>
    </row>
    <row r="8463" spans="2:2" ht="15.5" x14ac:dyDescent="0.35">
      <c r="B8463" s="171"/>
    </row>
    <row r="8464" spans="2:2" ht="15.5" x14ac:dyDescent="0.35">
      <c r="B8464" s="171"/>
    </row>
    <row r="8465" spans="2:2" ht="15.5" x14ac:dyDescent="0.35">
      <c r="B8465" s="171"/>
    </row>
    <row r="8466" spans="2:2" ht="15.5" x14ac:dyDescent="0.35">
      <c r="B8466" s="171"/>
    </row>
    <row r="8467" spans="2:2" ht="15.5" x14ac:dyDescent="0.35">
      <c r="B8467" s="171"/>
    </row>
    <row r="8468" spans="2:2" ht="15.5" x14ac:dyDescent="0.35">
      <c r="B8468" s="171"/>
    </row>
    <row r="8469" spans="2:2" ht="15.5" x14ac:dyDescent="0.35">
      <c r="B8469" s="171"/>
    </row>
    <row r="8470" spans="2:2" ht="15.5" x14ac:dyDescent="0.35">
      <c r="B8470" s="171"/>
    </row>
    <row r="8471" spans="2:2" ht="15.5" x14ac:dyDescent="0.35">
      <c r="B8471" s="171"/>
    </row>
    <row r="8472" spans="2:2" ht="15.5" x14ac:dyDescent="0.35">
      <c r="B8472" s="171"/>
    </row>
    <row r="8473" spans="2:2" ht="15.5" x14ac:dyDescent="0.35">
      <c r="B8473" s="171"/>
    </row>
    <row r="8474" spans="2:2" ht="15.5" x14ac:dyDescent="0.35">
      <c r="B8474" s="171"/>
    </row>
    <row r="8475" spans="2:2" ht="15.5" x14ac:dyDescent="0.35">
      <c r="B8475" s="171"/>
    </row>
    <row r="8476" spans="2:2" ht="15.5" x14ac:dyDescent="0.35">
      <c r="B8476" s="171"/>
    </row>
    <row r="8477" spans="2:2" ht="15.5" x14ac:dyDescent="0.35">
      <c r="B8477" s="171"/>
    </row>
    <row r="8478" spans="2:2" ht="15.5" x14ac:dyDescent="0.35">
      <c r="B8478" s="171"/>
    </row>
    <row r="8479" spans="2:2" ht="15.5" x14ac:dyDescent="0.35">
      <c r="B8479" s="171"/>
    </row>
    <row r="8480" spans="2:2" ht="15.5" x14ac:dyDescent="0.35">
      <c r="B8480" s="171"/>
    </row>
    <row r="8481" spans="2:2" ht="15.5" x14ac:dyDescent="0.35">
      <c r="B8481" s="171"/>
    </row>
    <row r="8482" spans="2:2" ht="15.5" x14ac:dyDescent="0.35">
      <c r="B8482" s="171"/>
    </row>
    <row r="8483" spans="2:2" ht="15.5" x14ac:dyDescent="0.35">
      <c r="B8483" s="171"/>
    </row>
    <row r="8484" spans="2:2" ht="15.5" x14ac:dyDescent="0.35">
      <c r="B8484" s="171"/>
    </row>
    <row r="8485" spans="2:2" ht="15.5" x14ac:dyDescent="0.35">
      <c r="B8485" s="171"/>
    </row>
    <row r="8486" spans="2:2" ht="15.5" x14ac:dyDescent="0.35">
      <c r="B8486" s="171"/>
    </row>
    <row r="8487" spans="2:2" ht="15.5" x14ac:dyDescent="0.35">
      <c r="B8487" s="171"/>
    </row>
    <row r="8488" spans="2:2" ht="15.5" x14ac:dyDescent="0.35">
      <c r="B8488" s="171"/>
    </row>
    <row r="8489" spans="2:2" ht="15.5" x14ac:dyDescent="0.35">
      <c r="B8489" s="171"/>
    </row>
    <row r="8490" spans="2:2" ht="15.5" x14ac:dyDescent="0.35">
      <c r="B8490" s="171"/>
    </row>
    <row r="8491" spans="2:2" ht="15.5" x14ac:dyDescent="0.35">
      <c r="B8491" s="171"/>
    </row>
    <row r="8492" spans="2:2" ht="15.5" x14ac:dyDescent="0.35">
      <c r="B8492" s="171"/>
    </row>
    <row r="8493" spans="2:2" ht="15.5" x14ac:dyDescent="0.35">
      <c r="B8493" s="171"/>
    </row>
    <row r="8494" spans="2:2" ht="15.5" x14ac:dyDescent="0.35">
      <c r="B8494" s="171"/>
    </row>
    <row r="8495" spans="2:2" ht="15.5" x14ac:dyDescent="0.35">
      <c r="B8495" s="171"/>
    </row>
    <row r="8496" spans="2:2" ht="15.5" x14ac:dyDescent="0.35">
      <c r="B8496" s="171"/>
    </row>
    <row r="8497" spans="2:2" ht="15.5" x14ac:dyDescent="0.35">
      <c r="B8497" s="171"/>
    </row>
    <row r="8498" spans="2:2" ht="15.5" x14ac:dyDescent="0.35">
      <c r="B8498" s="171"/>
    </row>
    <row r="8499" spans="2:2" ht="15.5" x14ac:dyDescent="0.35">
      <c r="B8499" s="171"/>
    </row>
    <row r="8500" spans="2:2" ht="15.5" x14ac:dyDescent="0.35">
      <c r="B8500" s="171"/>
    </row>
    <row r="8501" spans="2:2" ht="15.5" x14ac:dyDescent="0.35">
      <c r="B8501" s="171"/>
    </row>
    <row r="8502" spans="2:2" ht="15.5" x14ac:dyDescent="0.35">
      <c r="B8502" s="171"/>
    </row>
    <row r="8503" spans="2:2" ht="15.5" x14ac:dyDescent="0.35">
      <c r="B8503" s="171"/>
    </row>
    <row r="8504" spans="2:2" ht="15.5" x14ac:dyDescent="0.35">
      <c r="B8504" s="171"/>
    </row>
    <row r="8505" spans="2:2" ht="15.5" x14ac:dyDescent="0.35">
      <c r="B8505" s="171"/>
    </row>
    <row r="8506" spans="2:2" ht="15.5" x14ac:dyDescent="0.35">
      <c r="B8506" s="171"/>
    </row>
    <row r="8507" spans="2:2" ht="15.5" x14ac:dyDescent="0.35">
      <c r="B8507" s="171"/>
    </row>
    <row r="8508" spans="2:2" ht="15.5" x14ac:dyDescent="0.35">
      <c r="B8508" s="171"/>
    </row>
    <row r="8509" spans="2:2" ht="15.5" x14ac:dyDescent="0.35">
      <c r="B8509" s="171"/>
    </row>
    <row r="8510" spans="2:2" ht="15.5" x14ac:dyDescent="0.35">
      <c r="B8510" s="171"/>
    </row>
    <row r="8511" spans="2:2" ht="15.5" x14ac:dyDescent="0.35">
      <c r="B8511" s="171"/>
    </row>
    <row r="8512" spans="2:2" ht="15.5" x14ac:dyDescent="0.35">
      <c r="B8512" s="171"/>
    </row>
    <row r="8513" spans="2:2" ht="15.5" x14ac:dyDescent="0.35">
      <c r="B8513" s="171"/>
    </row>
    <row r="8514" spans="2:2" ht="15.5" x14ac:dyDescent="0.35">
      <c r="B8514" s="171"/>
    </row>
    <row r="8515" spans="2:2" ht="15.5" x14ac:dyDescent="0.35">
      <c r="B8515" s="171"/>
    </row>
    <row r="8516" spans="2:2" ht="15.5" x14ac:dyDescent="0.35">
      <c r="B8516" s="171"/>
    </row>
    <row r="8517" spans="2:2" ht="15.5" x14ac:dyDescent="0.35">
      <c r="B8517" s="171"/>
    </row>
    <row r="8518" spans="2:2" ht="15.5" x14ac:dyDescent="0.35">
      <c r="B8518" s="171"/>
    </row>
    <row r="8519" spans="2:2" ht="15.5" x14ac:dyDescent="0.35">
      <c r="B8519" s="171"/>
    </row>
    <row r="8520" spans="2:2" ht="15.5" x14ac:dyDescent="0.35">
      <c r="B8520" s="171"/>
    </row>
    <row r="8521" spans="2:2" ht="15.5" x14ac:dyDescent="0.35">
      <c r="B8521" s="171"/>
    </row>
    <row r="8522" spans="2:2" ht="15.5" x14ac:dyDescent="0.35">
      <c r="B8522" s="171"/>
    </row>
    <row r="8523" spans="2:2" ht="15.5" x14ac:dyDescent="0.35">
      <c r="B8523" s="171"/>
    </row>
    <row r="8524" spans="2:2" ht="15.5" x14ac:dyDescent="0.35">
      <c r="B8524" s="171"/>
    </row>
    <row r="8525" spans="2:2" ht="15.5" x14ac:dyDescent="0.35">
      <c r="B8525" s="171"/>
    </row>
    <row r="8526" spans="2:2" ht="15.5" x14ac:dyDescent="0.35">
      <c r="B8526" s="171"/>
    </row>
    <row r="8527" spans="2:2" ht="15.5" x14ac:dyDescent="0.35">
      <c r="B8527" s="171"/>
    </row>
    <row r="8528" spans="2:2" ht="15.5" x14ac:dyDescent="0.35">
      <c r="B8528" s="171"/>
    </row>
    <row r="8529" spans="2:2" ht="15.5" x14ac:dyDescent="0.35">
      <c r="B8529" s="171"/>
    </row>
    <row r="8530" spans="2:2" ht="15.5" x14ac:dyDescent="0.35">
      <c r="B8530" s="171"/>
    </row>
    <row r="8531" spans="2:2" ht="15.5" x14ac:dyDescent="0.35">
      <c r="B8531" s="171"/>
    </row>
    <row r="8532" spans="2:2" ht="15.5" x14ac:dyDescent="0.35">
      <c r="B8532" s="171"/>
    </row>
    <row r="8533" spans="2:2" ht="15.5" x14ac:dyDescent="0.35">
      <c r="B8533" s="171"/>
    </row>
    <row r="8534" spans="2:2" ht="15.5" x14ac:dyDescent="0.35">
      <c r="B8534" s="171"/>
    </row>
    <row r="8535" spans="2:2" ht="15.5" x14ac:dyDescent="0.35">
      <c r="B8535" s="171"/>
    </row>
    <row r="8536" spans="2:2" ht="15.5" x14ac:dyDescent="0.35">
      <c r="B8536" s="171"/>
    </row>
    <row r="8537" spans="2:2" ht="15.5" x14ac:dyDescent="0.35">
      <c r="B8537" s="171"/>
    </row>
    <row r="8538" spans="2:2" ht="15.5" x14ac:dyDescent="0.35">
      <c r="B8538" s="171"/>
    </row>
    <row r="8539" spans="2:2" ht="15.5" x14ac:dyDescent="0.35">
      <c r="B8539" s="171"/>
    </row>
    <row r="8540" spans="2:2" ht="15.5" x14ac:dyDescent="0.35">
      <c r="B8540" s="171"/>
    </row>
    <row r="8541" spans="2:2" ht="15.5" x14ac:dyDescent="0.35">
      <c r="B8541" s="171"/>
    </row>
    <row r="8542" spans="2:2" ht="15.5" x14ac:dyDescent="0.35">
      <c r="B8542" s="171"/>
    </row>
    <row r="8543" spans="2:2" ht="15.5" x14ac:dyDescent="0.35">
      <c r="B8543" s="171"/>
    </row>
    <row r="8544" spans="2:2" ht="15.5" x14ac:dyDescent="0.35">
      <c r="B8544" s="171"/>
    </row>
    <row r="8545" spans="2:2" ht="15.5" x14ac:dyDescent="0.35">
      <c r="B8545" s="171"/>
    </row>
    <row r="8546" spans="2:2" ht="15.5" x14ac:dyDescent="0.35">
      <c r="B8546" s="171"/>
    </row>
    <row r="8547" spans="2:2" ht="15.5" x14ac:dyDescent="0.35">
      <c r="B8547" s="171"/>
    </row>
    <row r="8548" spans="2:2" ht="15.5" x14ac:dyDescent="0.35">
      <c r="B8548" s="171"/>
    </row>
    <row r="8549" spans="2:2" ht="15.5" x14ac:dyDescent="0.35">
      <c r="B8549" s="171"/>
    </row>
    <row r="8550" spans="2:2" ht="15.5" x14ac:dyDescent="0.35">
      <c r="B8550" s="171"/>
    </row>
    <row r="8551" spans="2:2" ht="15.5" x14ac:dyDescent="0.35">
      <c r="B8551" s="171"/>
    </row>
    <row r="8552" spans="2:2" ht="15.5" x14ac:dyDescent="0.35">
      <c r="B8552" s="171"/>
    </row>
    <row r="8553" spans="2:2" ht="15.5" x14ac:dyDescent="0.35">
      <c r="B8553" s="171"/>
    </row>
    <row r="8554" spans="2:2" ht="15.5" x14ac:dyDescent="0.35">
      <c r="B8554" s="171"/>
    </row>
    <row r="8555" spans="2:2" ht="15.5" x14ac:dyDescent="0.35">
      <c r="B8555" s="171"/>
    </row>
    <row r="8556" spans="2:2" ht="15.5" x14ac:dyDescent="0.35">
      <c r="B8556" s="171"/>
    </row>
    <row r="8557" spans="2:2" ht="15.5" x14ac:dyDescent="0.35">
      <c r="B8557" s="171"/>
    </row>
    <row r="8558" spans="2:2" ht="15.5" x14ac:dyDescent="0.35">
      <c r="B8558" s="171"/>
    </row>
    <row r="8559" spans="2:2" ht="15.5" x14ac:dyDescent="0.35">
      <c r="B8559" s="171"/>
    </row>
    <row r="8560" spans="2:2" ht="15.5" x14ac:dyDescent="0.35">
      <c r="B8560" s="171"/>
    </row>
    <row r="8561" spans="2:2" ht="15.5" x14ac:dyDescent="0.35">
      <c r="B8561" s="171"/>
    </row>
    <row r="8562" spans="2:2" ht="15.5" x14ac:dyDescent="0.35">
      <c r="B8562" s="171"/>
    </row>
    <row r="8563" spans="2:2" ht="15.5" x14ac:dyDescent="0.35">
      <c r="B8563" s="171"/>
    </row>
    <row r="8564" spans="2:2" ht="15.5" x14ac:dyDescent="0.35">
      <c r="B8564" s="171"/>
    </row>
    <row r="8565" spans="2:2" ht="15.5" x14ac:dyDescent="0.35">
      <c r="B8565" s="171"/>
    </row>
    <row r="8566" spans="2:2" ht="15.5" x14ac:dyDescent="0.35">
      <c r="B8566" s="171"/>
    </row>
    <row r="8567" spans="2:2" ht="15.5" x14ac:dyDescent="0.35">
      <c r="B8567" s="171"/>
    </row>
    <row r="8568" spans="2:2" ht="15.5" x14ac:dyDescent="0.35">
      <c r="B8568" s="171"/>
    </row>
    <row r="8569" spans="2:2" ht="15.5" x14ac:dyDescent="0.35">
      <c r="B8569" s="171"/>
    </row>
    <row r="8570" spans="2:2" ht="15.5" x14ac:dyDescent="0.35">
      <c r="B8570" s="171"/>
    </row>
    <row r="8571" spans="2:2" ht="15.5" x14ac:dyDescent="0.35">
      <c r="B8571" s="171"/>
    </row>
    <row r="8572" spans="2:2" ht="15.5" x14ac:dyDescent="0.35">
      <c r="B8572" s="171"/>
    </row>
    <row r="8573" spans="2:2" ht="15.5" x14ac:dyDescent="0.35">
      <c r="B8573" s="171"/>
    </row>
    <row r="8574" spans="2:2" ht="15.5" x14ac:dyDescent="0.35">
      <c r="B8574" s="171"/>
    </row>
    <row r="8575" spans="2:2" ht="15.5" x14ac:dyDescent="0.35">
      <c r="B8575" s="171"/>
    </row>
    <row r="8576" spans="2:2" ht="15.5" x14ac:dyDescent="0.35">
      <c r="B8576" s="171"/>
    </row>
    <row r="8577" spans="2:2" ht="15.5" x14ac:dyDescent="0.35">
      <c r="B8577" s="171"/>
    </row>
    <row r="8578" spans="2:2" ht="15.5" x14ac:dyDescent="0.35">
      <c r="B8578" s="171"/>
    </row>
    <row r="8579" spans="2:2" ht="15.5" x14ac:dyDescent="0.35">
      <c r="B8579" s="171"/>
    </row>
    <row r="8580" spans="2:2" ht="15.5" x14ac:dyDescent="0.35">
      <c r="B8580" s="171"/>
    </row>
    <row r="8581" spans="2:2" ht="15.5" x14ac:dyDescent="0.35">
      <c r="B8581" s="171"/>
    </row>
    <row r="8582" spans="2:2" ht="15.5" x14ac:dyDescent="0.35">
      <c r="B8582" s="171"/>
    </row>
    <row r="8583" spans="2:2" ht="15.5" x14ac:dyDescent="0.35">
      <c r="B8583" s="171"/>
    </row>
    <row r="8584" spans="2:2" ht="15.5" x14ac:dyDescent="0.35">
      <c r="B8584" s="171"/>
    </row>
    <row r="8585" spans="2:2" ht="15.5" x14ac:dyDescent="0.35">
      <c r="B8585" s="171"/>
    </row>
    <row r="8586" spans="2:2" ht="15.5" x14ac:dyDescent="0.35">
      <c r="B8586" s="171"/>
    </row>
    <row r="8587" spans="2:2" ht="15.5" x14ac:dyDescent="0.35">
      <c r="B8587" s="171"/>
    </row>
    <row r="8588" spans="2:2" ht="15.5" x14ac:dyDescent="0.35">
      <c r="B8588" s="171"/>
    </row>
    <row r="8589" spans="2:2" ht="15.5" x14ac:dyDescent="0.35">
      <c r="B8589" s="171"/>
    </row>
    <row r="8590" spans="2:2" ht="15.5" x14ac:dyDescent="0.35">
      <c r="B8590" s="171"/>
    </row>
    <row r="8591" spans="2:2" ht="15.5" x14ac:dyDescent="0.35">
      <c r="B8591" s="171"/>
    </row>
    <row r="8592" spans="2:2" ht="15.5" x14ac:dyDescent="0.35">
      <c r="B8592" s="171"/>
    </row>
    <row r="8593" spans="2:2" ht="15.5" x14ac:dyDescent="0.35">
      <c r="B8593" s="171"/>
    </row>
    <row r="8594" spans="2:2" ht="15.5" x14ac:dyDescent="0.35">
      <c r="B8594" s="171"/>
    </row>
    <row r="8595" spans="2:2" ht="15.5" x14ac:dyDescent="0.35">
      <c r="B8595" s="171"/>
    </row>
    <row r="8596" spans="2:2" ht="15.5" x14ac:dyDescent="0.35">
      <c r="B8596" s="171"/>
    </row>
    <row r="8597" spans="2:2" ht="15.5" x14ac:dyDescent="0.35">
      <c r="B8597" s="171"/>
    </row>
    <row r="8598" spans="2:2" ht="15.5" x14ac:dyDescent="0.35">
      <c r="B8598" s="171"/>
    </row>
    <row r="8599" spans="2:2" ht="15.5" x14ac:dyDescent="0.35">
      <c r="B8599" s="171"/>
    </row>
    <row r="8600" spans="2:2" ht="15.5" x14ac:dyDescent="0.35">
      <c r="B8600" s="171"/>
    </row>
    <row r="8601" spans="2:2" ht="15.5" x14ac:dyDescent="0.35">
      <c r="B8601" s="171"/>
    </row>
    <row r="8602" spans="2:2" ht="15.5" x14ac:dyDescent="0.35">
      <c r="B8602" s="171"/>
    </row>
    <row r="8603" spans="2:2" ht="15.5" x14ac:dyDescent="0.35">
      <c r="B8603" s="171"/>
    </row>
    <row r="8604" spans="2:2" ht="15.5" x14ac:dyDescent="0.35">
      <c r="B8604" s="171"/>
    </row>
    <row r="8605" spans="2:2" ht="15.5" x14ac:dyDescent="0.35">
      <c r="B8605" s="171"/>
    </row>
    <row r="8606" spans="2:2" ht="15.5" x14ac:dyDescent="0.35">
      <c r="B8606" s="171"/>
    </row>
    <row r="8607" spans="2:2" ht="15.5" x14ac:dyDescent="0.35">
      <c r="B8607" s="171"/>
    </row>
    <row r="8608" spans="2:2" ht="15.5" x14ac:dyDescent="0.35">
      <c r="B8608" s="171"/>
    </row>
    <row r="8609" spans="2:2" ht="15.5" x14ac:dyDescent="0.35">
      <c r="B8609" s="171"/>
    </row>
    <row r="8610" spans="2:2" ht="15.5" x14ac:dyDescent="0.35">
      <c r="B8610" s="171"/>
    </row>
    <row r="8611" spans="2:2" ht="15.5" x14ac:dyDescent="0.35">
      <c r="B8611" s="171"/>
    </row>
    <row r="8612" spans="2:2" ht="15.5" x14ac:dyDescent="0.35">
      <c r="B8612" s="171"/>
    </row>
    <row r="8613" spans="2:2" ht="15.5" x14ac:dyDescent="0.35">
      <c r="B8613" s="171"/>
    </row>
    <row r="8614" spans="2:2" ht="15.5" x14ac:dyDescent="0.35">
      <c r="B8614" s="171"/>
    </row>
    <row r="8615" spans="2:2" ht="15.5" x14ac:dyDescent="0.35">
      <c r="B8615" s="171"/>
    </row>
    <row r="8616" spans="2:2" ht="15.5" x14ac:dyDescent="0.35">
      <c r="B8616" s="171"/>
    </row>
    <row r="8617" spans="2:2" ht="15.5" x14ac:dyDescent="0.35">
      <c r="B8617" s="171"/>
    </row>
    <row r="8618" spans="2:2" ht="15.5" x14ac:dyDescent="0.35">
      <c r="B8618" s="171"/>
    </row>
    <row r="8619" spans="2:2" ht="15.5" x14ac:dyDescent="0.35">
      <c r="B8619" s="171"/>
    </row>
    <row r="8620" spans="2:2" ht="15.5" x14ac:dyDescent="0.35">
      <c r="B8620" s="171"/>
    </row>
    <row r="8621" spans="2:2" ht="15.5" x14ac:dyDescent="0.35">
      <c r="B8621" s="171"/>
    </row>
    <row r="8622" spans="2:2" ht="15.5" x14ac:dyDescent="0.35">
      <c r="B8622" s="171"/>
    </row>
    <row r="8623" spans="2:2" ht="15.5" x14ac:dyDescent="0.35">
      <c r="B8623" s="171"/>
    </row>
    <row r="8624" spans="2:2" ht="15.5" x14ac:dyDescent="0.35">
      <c r="B8624" s="171"/>
    </row>
    <row r="8625" spans="2:2" ht="15.5" x14ac:dyDescent="0.35">
      <c r="B8625" s="171"/>
    </row>
    <row r="8626" spans="2:2" ht="15.5" x14ac:dyDescent="0.35">
      <c r="B8626" s="171"/>
    </row>
    <row r="8627" spans="2:2" ht="15.5" x14ac:dyDescent="0.35">
      <c r="B8627" s="171"/>
    </row>
    <row r="8628" spans="2:2" ht="15.5" x14ac:dyDescent="0.35">
      <c r="B8628" s="171"/>
    </row>
    <row r="8629" spans="2:2" ht="15.5" x14ac:dyDescent="0.35">
      <c r="B8629" s="171"/>
    </row>
    <row r="8630" spans="2:2" ht="15.5" x14ac:dyDescent="0.35">
      <c r="B8630" s="171"/>
    </row>
    <row r="8631" spans="2:2" ht="15.5" x14ac:dyDescent="0.35">
      <c r="B8631" s="171"/>
    </row>
    <row r="8632" spans="2:2" ht="15.5" x14ac:dyDescent="0.35">
      <c r="B8632" s="171"/>
    </row>
    <row r="8633" spans="2:2" ht="15.5" x14ac:dyDescent="0.35">
      <c r="B8633" s="171"/>
    </row>
    <row r="8634" spans="2:2" ht="15.5" x14ac:dyDescent="0.35">
      <c r="B8634" s="171"/>
    </row>
    <row r="8635" spans="2:2" ht="15.5" x14ac:dyDescent="0.35">
      <c r="B8635" s="171"/>
    </row>
    <row r="8636" spans="2:2" ht="15.5" x14ac:dyDescent="0.35">
      <c r="B8636" s="171"/>
    </row>
    <row r="8637" spans="2:2" ht="15.5" x14ac:dyDescent="0.35">
      <c r="B8637" s="171"/>
    </row>
    <row r="8638" spans="2:2" ht="15.5" x14ac:dyDescent="0.35">
      <c r="B8638" s="171"/>
    </row>
    <row r="8639" spans="2:2" ht="15.5" x14ac:dyDescent="0.35">
      <c r="B8639" s="171"/>
    </row>
    <row r="8640" spans="2:2" ht="15.5" x14ac:dyDescent="0.35">
      <c r="B8640" s="171"/>
    </row>
    <row r="8641" spans="2:2" ht="15.5" x14ac:dyDescent="0.35">
      <c r="B8641" s="171"/>
    </row>
    <row r="8642" spans="2:2" ht="15.5" x14ac:dyDescent="0.35">
      <c r="B8642" s="171"/>
    </row>
    <row r="8643" spans="2:2" ht="15.5" x14ac:dyDescent="0.35">
      <c r="B8643" s="171"/>
    </row>
    <row r="8644" spans="2:2" ht="15.5" x14ac:dyDescent="0.35">
      <c r="B8644" s="171"/>
    </row>
    <row r="8645" spans="2:2" ht="15.5" x14ac:dyDescent="0.35">
      <c r="B8645" s="171"/>
    </row>
    <row r="8646" spans="2:2" ht="15.5" x14ac:dyDescent="0.35">
      <c r="B8646" s="171"/>
    </row>
    <row r="8647" spans="2:2" ht="15.5" x14ac:dyDescent="0.35">
      <c r="B8647" s="171"/>
    </row>
    <row r="8648" spans="2:2" ht="15.5" x14ac:dyDescent="0.35">
      <c r="B8648" s="171"/>
    </row>
    <row r="8649" spans="2:2" ht="15.5" x14ac:dyDescent="0.35">
      <c r="B8649" s="171"/>
    </row>
    <row r="8650" spans="2:2" ht="15.5" x14ac:dyDescent="0.35">
      <c r="B8650" s="171"/>
    </row>
    <row r="8651" spans="2:2" ht="15.5" x14ac:dyDescent="0.35">
      <c r="B8651" s="171"/>
    </row>
    <row r="8652" spans="2:2" ht="15.5" x14ac:dyDescent="0.35">
      <c r="B8652" s="171"/>
    </row>
    <row r="8653" spans="2:2" ht="15.5" x14ac:dyDescent="0.35">
      <c r="B8653" s="171"/>
    </row>
    <row r="8654" spans="2:2" ht="15.5" x14ac:dyDescent="0.35">
      <c r="B8654" s="171"/>
    </row>
    <row r="8655" spans="2:2" ht="15.5" x14ac:dyDescent="0.35">
      <c r="B8655" s="171"/>
    </row>
    <row r="8656" spans="2:2" ht="15.5" x14ac:dyDescent="0.35">
      <c r="B8656" s="171"/>
    </row>
    <row r="8657" spans="2:2" ht="15.5" x14ac:dyDescent="0.35">
      <c r="B8657" s="171"/>
    </row>
    <row r="8658" spans="2:2" ht="15.5" x14ac:dyDescent="0.35">
      <c r="B8658" s="171"/>
    </row>
    <row r="8659" spans="2:2" ht="15.5" x14ac:dyDescent="0.35">
      <c r="B8659" s="171"/>
    </row>
    <row r="8660" spans="2:2" ht="15.5" x14ac:dyDescent="0.35">
      <c r="B8660" s="171"/>
    </row>
    <row r="8661" spans="2:2" ht="15.5" x14ac:dyDescent="0.35">
      <c r="B8661" s="171"/>
    </row>
    <row r="8662" spans="2:2" ht="15.5" x14ac:dyDescent="0.35">
      <c r="B8662" s="171"/>
    </row>
    <row r="8663" spans="2:2" ht="15.5" x14ac:dyDescent="0.35">
      <c r="B8663" s="171"/>
    </row>
    <row r="8664" spans="2:2" ht="15.5" x14ac:dyDescent="0.35">
      <c r="B8664" s="171"/>
    </row>
    <row r="8665" spans="2:2" ht="15.5" x14ac:dyDescent="0.35">
      <c r="B8665" s="171"/>
    </row>
    <row r="8666" spans="2:2" ht="15.5" x14ac:dyDescent="0.35">
      <c r="B8666" s="171"/>
    </row>
    <row r="8667" spans="2:2" ht="15.5" x14ac:dyDescent="0.35">
      <c r="B8667" s="171"/>
    </row>
    <row r="8668" spans="2:2" ht="15.5" x14ac:dyDescent="0.35">
      <c r="B8668" s="171"/>
    </row>
    <row r="8669" spans="2:2" ht="15.5" x14ac:dyDescent="0.35">
      <c r="B8669" s="171"/>
    </row>
    <row r="8670" spans="2:2" ht="15.5" x14ac:dyDescent="0.35">
      <c r="B8670" s="171"/>
    </row>
    <row r="8671" spans="2:2" ht="15.5" x14ac:dyDescent="0.35">
      <c r="B8671" s="171"/>
    </row>
    <row r="8672" spans="2:2" ht="15.5" x14ac:dyDescent="0.35">
      <c r="B8672" s="171"/>
    </row>
    <row r="8673" spans="2:2" ht="15.5" x14ac:dyDescent="0.35">
      <c r="B8673" s="171"/>
    </row>
    <row r="8674" spans="2:2" ht="15.5" x14ac:dyDescent="0.35">
      <c r="B8674" s="171"/>
    </row>
    <row r="8675" spans="2:2" ht="15.5" x14ac:dyDescent="0.35">
      <c r="B8675" s="171"/>
    </row>
    <row r="8676" spans="2:2" ht="15.5" x14ac:dyDescent="0.35">
      <c r="B8676" s="171"/>
    </row>
    <row r="8677" spans="2:2" ht="15.5" x14ac:dyDescent="0.35">
      <c r="B8677" s="171"/>
    </row>
    <row r="8678" spans="2:2" ht="15.5" x14ac:dyDescent="0.35">
      <c r="B8678" s="171"/>
    </row>
    <row r="8679" spans="2:2" ht="15.5" x14ac:dyDescent="0.35">
      <c r="B8679" s="171"/>
    </row>
    <row r="8680" spans="2:2" ht="15.5" x14ac:dyDescent="0.35">
      <c r="B8680" s="171"/>
    </row>
    <row r="8681" spans="2:2" ht="15.5" x14ac:dyDescent="0.35">
      <c r="B8681" s="171"/>
    </row>
    <row r="8682" spans="2:2" ht="15.5" x14ac:dyDescent="0.35">
      <c r="B8682" s="171"/>
    </row>
    <row r="8683" spans="2:2" ht="15.5" x14ac:dyDescent="0.35">
      <c r="B8683" s="171"/>
    </row>
    <row r="8684" spans="2:2" ht="15.5" x14ac:dyDescent="0.35">
      <c r="B8684" s="171"/>
    </row>
    <row r="8685" spans="2:2" ht="15.5" x14ac:dyDescent="0.35">
      <c r="B8685" s="171"/>
    </row>
    <row r="8686" spans="2:2" ht="15.5" x14ac:dyDescent="0.35">
      <c r="B8686" s="171"/>
    </row>
    <row r="8687" spans="2:2" ht="15.5" x14ac:dyDescent="0.35">
      <c r="B8687" s="171"/>
    </row>
    <row r="8688" spans="2:2" ht="15.5" x14ac:dyDescent="0.35">
      <c r="B8688" s="171"/>
    </row>
    <row r="8689" spans="2:2" ht="15.5" x14ac:dyDescent="0.35">
      <c r="B8689" s="171"/>
    </row>
    <row r="8690" spans="2:2" ht="15.5" x14ac:dyDescent="0.35">
      <c r="B8690" s="171"/>
    </row>
    <row r="8691" spans="2:2" ht="15.5" x14ac:dyDescent="0.35">
      <c r="B8691" s="171"/>
    </row>
    <row r="8692" spans="2:2" ht="15.5" x14ac:dyDescent="0.35">
      <c r="B8692" s="171"/>
    </row>
    <row r="8693" spans="2:2" ht="15.5" x14ac:dyDescent="0.35">
      <c r="B8693" s="171"/>
    </row>
    <row r="8694" spans="2:2" ht="15.5" x14ac:dyDescent="0.35">
      <c r="B8694" s="171"/>
    </row>
    <row r="8695" spans="2:2" ht="15.5" x14ac:dyDescent="0.35">
      <c r="B8695" s="171"/>
    </row>
    <row r="8696" spans="2:2" ht="15.5" x14ac:dyDescent="0.35">
      <c r="B8696" s="171"/>
    </row>
    <row r="8697" spans="2:2" ht="15.5" x14ac:dyDescent="0.35">
      <c r="B8697" s="171"/>
    </row>
    <row r="8698" spans="2:2" ht="15.5" x14ac:dyDescent="0.35">
      <c r="B8698" s="171"/>
    </row>
    <row r="8699" spans="2:2" ht="15.5" x14ac:dyDescent="0.35">
      <c r="B8699" s="171"/>
    </row>
    <row r="8700" spans="2:2" ht="15.5" x14ac:dyDescent="0.35">
      <c r="B8700" s="171"/>
    </row>
    <row r="8701" spans="2:2" ht="15.5" x14ac:dyDescent="0.35">
      <c r="B8701" s="171"/>
    </row>
    <row r="8702" spans="2:2" ht="15.5" x14ac:dyDescent="0.35">
      <c r="B8702" s="171"/>
    </row>
    <row r="8703" spans="2:2" ht="15.5" x14ac:dyDescent="0.35">
      <c r="B8703" s="171"/>
    </row>
    <row r="8704" spans="2:2" ht="15.5" x14ac:dyDescent="0.35">
      <c r="B8704" s="171"/>
    </row>
    <row r="8705" spans="2:2" ht="15.5" x14ac:dyDescent="0.35">
      <c r="B8705" s="171"/>
    </row>
    <row r="8706" spans="2:2" ht="15.5" x14ac:dyDescent="0.35">
      <c r="B8706" s="171"/>
    </row>
    <row r="8707" spans="2:2" ht="15.5" x14ac:dyDescent="0.35">
      <c r="B8707" s="171"/>
    </row>
    <row r="8708" spans="2:2" ht="15.5" x14ac:dyDescent="0.35">
      <c r="B8708" s="171"/>
    </row>
    <row r="8709" spans="2:2" ht="15.5" x14ac:dyDescent="0.35">
      <c r="B8709" s="171"/>
    </row>
    <row r="8710" spans="2:2" ht="15.5" x14ac:dyDescent="0.35">
      <c r="B8710" s="171"/>
    </row>
    <row r="8711" spans="2:2" ht="15.5" x14ac:dyDescent="0.35">
      <c r="B8711" s="171"/>
    </row>
    <row r="8712" spans="2:2" ht="15.5" x14ac:dyDescent="0.35">
      <c r="B8712" s="171"/>
    </row>
    <row r="8713" spans="2:2" ht="15.5" x14ac:dyDescent="0.35">
      <c r="B8713" s="171"/>
    </row>
    <row r="8714" spans="2:2" ht="15.5" x14ac:dyDescent="0.35">
      <c r="B8714" s="171"/>
    </row>
    <row r="8715" spans="2:2" ht="15.5" x14ac:dyDescent="0.35">
      <c r="B8715" s="171"/>
    </row>
    <row r="8716" spans="2:2" ht="15.5" x14ac:dyDescent="0.35">
      <c r="B8716" s="171"/>
    </row>
    <row r="8717" spans="2:2" ht="15.5" x14ac:dyDescent="0.35">
      <c r="B8717" s="171"/>
    </row>
    <row r="8718" spans="2:2" ht="15.5" x14ac:dyDescent="0.35">
      <c r="B8718" s="171"/>
    </row>
    <row r="8719" spans="2:2" ht="15.5" x14ac:dyDescent="0.35">
      <c r="B8719" s="171"/>
    </row>
    <row r="8720" spans="2:2" ht="15.5" x14ac:dyDescent="0.35">
      <c r="B8720" s="171"/>
    </row>
    <row r="8721" spans="2:2" ht="15.5" x14ac:dyDescent="0.35">
      <c r="B8721" s="171"/>
    </row>
    <row r="8722" spans="2:2" ht="15.5" x14ac:dyDescent="0.35">
      <c r="B8722" s="171"/>
    </row>
    <row r="8723" spans="2:2" ht="15.5" x14ac:dyDescent="0.35">
      <c r="B8723" s="171"/>
    </row>
    <row r="8724" spans="2:2" ht="15.5" x14ac:dyDescent="0.35">
      <c r="B8724" s="171"/>
    </row>
    <row r="8725" spans="2:2" ht="15.5" x14ac:dyDescent="0.35">
      <c r="B8725" s="171"/>
    </row>
    <row r="8726" spans="2:2" ht="15.5" x14ac:dyDescent="0.35">
      <c r="B8726" s="171"/>
    </row>
    <row r="8727" spans="2:2" ht="15.5" x14ac:dyDescent="0.35">
      <c r="B8727" s="171"/>
    </row>
    <row r="8728" spans="2:2" ht="15.5" x14ac:dyDescent="0.35">
      <c r="B8728" s="171"/>
    </row>
    <row r="8729" spans="2:2" ht="15.5" x14ac:dyDescent="0.35">
      <c r="B8729" s="171"/>
    </row>
    <row r="8730" spans="2:2" ht="15.5" x14ac:dyDescent="0.35">
      <c r="B8730" s="171"/>
    </row>
    <row r="8731" spans="2:2" ht="15.5" x14ac:dyDescent="0.35">
      <c r="B8731" s="171"/>
    </row>
    <row r="8732" spans="2:2" ht="15.5" x14ac:dyDescent="0.35">
      <c r="B8732" s="171"/>
    </row>
    <row r="8733" spans="2:2" ht="15.5" x14ac:dyDescent="0.35">
      <c r="B8733" s="171"/>
    </row>
    <row r="8734" spans="2:2" ht="15.5" x14ac:dyDescent="0.35">
      <c r="B8734" s="171"/>
    </row>
    <row r="8735" spans="2:2" ht="15.5" x14ac:dyDescent="0.35">
      <c r="B8735" s="171"/>
    </row>
    <row r="8736" spans="2:2" ht="15.5" x14ac:dyDescent="0.35">
      <c r="B8736" s="171"/>
    </row>
    <row r="8737" spans="2:2" ht="15.5" x14ac:dyDescent="0.35">
      <c r="B8737" s="171"/>
    </row>
    <row r="8738" spans="2:2" ht="15.5" x14ac:dyDescent="0.35">
      <c r="B8738" s="171"/>
    </row>
    <row r="8739" spans="2:2" ht="15.5" x14ac:dyDescent="0.35">
      <c r="B8739" s="171"/>
    </row>
    <row r="8740" spans="2:2" ht="15.5" x14ac:dyDescent="0.35">
      <c r="B8740" s="171"/>
    </row>
    <row r="8741" spans="2:2" ht="15.5" x14ac:dyDescent="0.35">
      <c r="B8741" s="171"/>
    </row>
    <row r="8742" spans="2:2" ht="15.5" x14ac:dyDescent="0.35">
      <c r="B8742" s="171"/>
    </row>
    <row r="8743" spans="2:2" ht="15.5" x14ac:dyDescent="0.35">
      <c r="B8743" s="171"/>
    </row>
    <row r="8744" spans="2:2" ht="15.5" x14ac:dyDescent="0.35">
      <c r="B8744" s="171"/>
    </row>
    <row r="8745" spans="2:2" ht="15.5" x14ac:dyDescent="0.35">
      <c r="B8745" s="171"/>
    </row>
    <row r="8746" spans="2:2" ht="15.5" x14ac:dyDescent="0.35">
      <c r="B8746" s="171"/>
    </row>
    <row r="8747" spans="2:2" ht="15.5" x14ac:dyDescent="0.35">
      <c r="B8747" s="171"/>
    </row>
    <row r="8748" spans="2:2" ht="15.5" x14ac:dyDescent="0.35">
      <c r="B8748" s="171"/>
    </row>
    <row r="8749" spans="2:2" ht="15.5" x14ac:dyDescent="0.35">
      <c r="B8749" s="171"/>
    </row>
    <row r="8750" spans="2:2" ht="15.5" x14ac:dyDescent="0.35">
      <c r="B8750" s="171"/>
    </row>
    <row r="8751" spans="2:2" ht="15.5" x14ac:dyDescent="0.35">
      <c r="B8751" s="171"/>
    </row>
    <row r="8752" spans="2:2" ht="15.5" x14ac:dyDescent="0.35">
      <c r="B8752" s="171"/>
    </row>
    <row r="8753" spans="2:2" ht="15.5" x14ac:dyDescent="0.35">
      <c r="B8753" s="171"/>
    </row>
    <row r="8754" spans="2:2" ht="15.5" x14ac:dyDescent="0.35">
      <c r="B8754" s="171"/>
    </row>
    <row r="8755" spans="2:2" ht="15.5" x14ac:dyDescent="0.35">
      <c r="B8755" s="171"/>
    </row>
    <row r="8756" spans="2:2" ht="15.5" x14ac:dyDescent="0.35">
      <c r="B8756" s="171"/>
    </row>
    <row r="8757" spans="2:2" ht="15.5" x14ac:dyDescent="0.35">
      <c r="B8757" s="171"/>
    </row>
    <row r="8758" spans="2:2" ht="15.5" x14ac:dyDescent="0.35">
      <c r="B8758" s="171"/>
    </row>
    <row r="8759" spans="2:2" ht="15.5" x14ac:dyDescent="0.35">
      <c r="B8759" s="171"/>
    </row>
    <row r="8760" spans="2:2" ht="15.5" x14ac:dyDescent="0.35">
      <c r="B8760" s="171"/>
    </row>
    <row r="8761" spans="2:2" ht="15.5" x14ac:dyDescent="0.35">
      <c r="B8761" s="171"/>
    </row>
    <row r="8762" spans="2:2" ht="15.5" x14ac:dyDescent="0.35">
      <c r="B8762" s="171"/>
    </row>
    <row r="8763" spans="2:2" ht="15.5" x14ac:dyDescent="0.35">
      <c r="B8763" s="171"/>
    </row>
    <row r="8764" spans="2:2" ht="15.5" x14ac:dyDescent="0.35">
      <c r="B8764" s="171"/>
    </row>
    <row r="8765" spans="2:2" ht="15.5" x14ac:dyDescent="0.35">
      <c r="B8765" s="171"/>
    </row>
    <row r="8766" spans="2:2" ht="15.5" x14ac:dyDescent="0.35">
      <c r="B8766" s="171"/>
    </row>
    <row r="8767" spans="2:2" ht="15.5" x14ac:dyDescent="0.35">
      <c r="B8767" s="171"/>
    </row>
    <row r="8768" spans="2:2" ht="15.5" x14ac:dyDescent="0.35">
      <c r="B8768" s="171"/>
    </row>
    <row r="8769" spans="2:2" ht="15.5" x14ac:dyDescent="0.35">
      <c r="B8769" s="171"/>
    </row>
    <row r="8770" spans="2:2" ht="15.5" x14ac:dyDescent="0.35">
      <c r="B8770" s="171"/>
    </row>
    <row r="8771" spans="2:2" ht="15.5" x14ac:dyDescent="0.35">
      <c r="B8771" s="171"/>
    </row>
    <row r="8772" spans="2:2" ht="15.5" x14ac:dyDescent="0.35">
      <c r="B8772" s="171"/>
    </row>
    <row r="8773" spans="2:2" ht="15.5" x14ac:dyDescent="0.35">
      <c r="B8773" s="171"/>
    </row>
    <row r="8774" spans="2:2" ht="15.5" x14ac:dyDescent="0.35">
      <c r="B8774" s="171"/>
    </row>
    <row r="8775" spans="2:2" ht="15.5" x14ac:dyDescent="0.35">
      <c r="B8775" s="171"/>
    </row>
    <row r="8776" spans="2:2" ht="15.5" x14ac:dyDescent="0.35">
      <c r="B8776" s="171"/>
    </row>
    <row r="8777" spans="2:2" ht="15.5" x14ac:dyDescent="0.35">
      <c r="B8777" s="171"/>
    </row>
    <row r="8778" spans="2:2" ht="15.5" x14ac:dyDescent="0.35">
      <c r="B8778" s="171"/>
    </row>
    <row r="8779" spans="2:2" ht="15.5" x14ac:dyDescent="0.35">
      <c r="B8779" s="171"/>
    </row>
    <row r="8780" spans="2:2" ht="15.5" x14ac:dyDescent="0.35">
      <c r="B8780" s="171"/>
    </row>
    <row r="8781" spans="2:2" ht="15.5" x14ac:dyDescent="0.35">
      <c r="B8781" s="171"/>
    </row>
    <row r="8782" spans="2:2" ht="15.5" x14ac:dyDescent="0.35">
      <c r="B8782" s="171"/>
    </row>
    <row r="8783" spans="2:2" ht="15.5" x14ac:dyDescent="0.35">
      <c r="B8783" s="171"/>
    </row>
    <row r="8784" spans="2:2" ht="15.5" x14ac:dyDescent="0.35">
      <c r="B8784" s="171"/>
    </row>
    <row r="8785" spans="2:2" ht="15.5" x14ac:dyDescent="0.35">
      <c r="B8785" s="171"/>
    </row>
    <row r="8786" spans="2:2" ht="15.5" x14ac:dyDescent="0.35">
      <c r="B8786" s="171"/>
    </row>
    <row r="8787" spans="2:2" ht="15.5" x14ac:dyDescent="0.35">
      <c r="B8787" s="171"/>
    </row>
    <row r="8788" spans="2:2" ht="15.5" x14ac:dyDescent="0.35">
      <c r="B8788" s="171"/>
    </row>
    <row r="8789" spans="2:2" ht="15.5" x14ac:dyDescent="0.35">
      <c r="B8789" s="171"/>
    </row>
    <row r="8790" spans="2:2" ht="15.5" x14ac:dyDescent="0.35">
      <c r="B8790" s="171"/>
    </row>
    <row r="8791" spans="2:2" ht="15.5" x14ac:dyDescent="0.35">
      <c r="B8791" s="171"/>
    </row>
    <row r="8792" spans="2:2" ht="15.5" x14ac:dyDescent="0.35">
      <c r="B8792" s="171"/>
    </row>
    <row r="8793" spans="2:2" ht="15.5" x14ac:dyDescent="0.35">
      <c r="B8793" s="171"/>
    </row>
    <row r="8794" spans="2:2" ht="15.5" x14ac:dyDescent="0.35">
      <c r="B8794" s="171"/>
    </row>
    <row r="8795" spans="2:2" ht="15.5" x14ac:dyDescent="0.35">
      <c r="B8795" s="171"/>
    </row>
    <row r="8796" spans="2:2" ht="15.5" x14ac:dyDescent="0.35">
      <c r="B8796" s="171"/>
    </row>
    <row r="8797" spans="2:2" ht="15.5" x14ac:dyDescent="0.35">
      <c r="B8797" s="171"/>
    </row>
    <row r="8798" spans="2:2" ht="15.5" x14ac:dyDescent="0.35">
      <c r="B8798" s="171"/>
    </row>
    <row r="8799" spans="2:2" ht="15.5" x14ac:dyDescent="0.35">
      <c r="B8799" s="171"/>
    </row>
    <row r="8800" spans="2:2" ht="15.5" x14ac:dyDescent="0.35">
      <c r="B8800" s="171"/>
    </row>
    <row r="8801" spans="2:2" ht="15.5" x14ac:dyDescent="0.35">
      <c r="B8801" s="171"/>
    </row>
    <row r="8802" spans="2:2" ht="15.5" x14ac:dyDescent="0.35">
      <c r="B8802" s="171"/>
    </row>
    <row r="8803" spans="2:2" ht="15.5" x14ac:dyDescent="0.35">
      <c r="B8803" s="171"/>
    </row>
    <row r="8804" spans="2:2" ht="15.5" x14ac:dyDescent="0.35">
      <c r="B8804" s="171"/>
    </row>
    <row r="8805" spans="2:2" ht="15.5" x14ac:dyDescent="0.35">
      <c r="B8805" s="171"/>
    </row>
    <row r="8806" spans="2:2" ht="15.5" x14ac:dyDescent="0.35">
      <c r="B8806" s="171"/>
    </row>
    <row r="8807" spans="2:2" ht="15.5" x14ac:dyDescent="0.35">
      <c r="B8807" s="171"/>
    </row>
    <row r="8808" spans="2:2" ht="15.5" x14ac:dyDescent="0.35">
      <c r="B8808" s="171"/>
    </row>
    <row r="8809" spans="2:2" ht="15.5" x14ac:dyDescent="0.35">
      <c r="B8809" s="171"/>
    </row>
    <row r="8810" spans="2:2" ht="15.5" x14ac:dyDescent="0.35">
      <c r="B8810" s="171"/>
    </row>
    <row r="8811" spans="2:2" ht="15.5" x14ac:dyDescent="0.35">
      <c r="B8811" s="171"/>
    </row>
    <row r="8812" spans="2:2" ht="15.5" x14ac:dyDescent="0.35">
      <c r="B8812" s="171"/>
    </row>
    <row r="8813" spans="2:2" ht="15.5" x14ac:dyDescent="0.35">
      <c r="B8813" s="171"/>
    </row>
    <row r="8814" spans="2:2" ht="15.5" x14ac:dyDescent="0.35">
      <c r="B8814" s="171"/>
    </row>
    <row r="8815" spans="2:2" ht="15.5" x14ac:dyDescent="0.35">
      <c r="B8815" s="171"/>
    </row>
    <row r="8816" spans="2:2" ht="15.5" x14ac:dyDescent="0.35">
      <c r="B8816" s="171"/>
    </row>
    <row r="8817" spans="2:2" ht="15.5" x14ac:dyDescent="0.35">
      <c r="B8817" s="171"/>
    </row>
    <row r="8818" spans="2:2" ht="15.5" x14ac:dyDescent="0.35">
      <c r="B8818" s="171"/>
    </row>
    <row r="8819" spans="2:2" ht="15.5" x14ac:dyDescent="0.35">
      <c r="B8819" s="171"/>
    </row>
    <row r="8820" spans="2:2" ht="15.5" x14ac:dyDescent="0.35">
      <c r="B8820" s="171"/>
    </row>
    <row r="8821" spans="2:2" ht="15.5" x14ac:dyDescent="0.35">
      <c r="B8821" s="171"/>
    </row>
    <row r="8822" spans="2:2" ht="15.5" x14ac:dyDescent="0.35">
      <c r="B8822" s="171"/>
    </row>
    <row r="8823" spans="2:2" ht="15.5" x14ac:dyDescent="0.35">
      <c r="B8823" s="171"/>
    </row>
    <row r="8824" spans="2:2" ht="15.5" x14ac:dyDescent="0.35">
      <c r="B8824" s="171"/>
    </row>
    <row r="8825" spans="2:2" ht="15.5" x14ac:dyDescent="0.35">
      <c r="B8825" s="171"/>
    </row>
    <row r="8826" spans="2:2" ht="15.5" x14ac:dyDescent="0.35">
      <c r="B8826" s="171"/>
    </row>
    <row r="8827" spans="2:2" ht="15.5" x14ac:dyDescent="0.35">
      <c r="B8827" s="171"/>
    </row>
    <row r="8828" spans="2:2" ht="15.5" x14ac:dyDescent="0.35">
      <c r="B8828" s="171"/>
    </row>
    <row r="8829" spans="2:2" ht="15.5" x14ac:dyDescent="0.35">
      <c r="B8829" s="171"/>
    </row>
    <row r="8830" spans="2:2" ht="15.5" x14ac:dyDescent="0.35">
      <c r="B8830" s="171"/>
    </row>
    <row r="8831" spans="2:2" ht="15.5" x14ac:dyDescent="0.35">
      <c r="B8831" s="171"/>
    </row>
    <row r="8832" spans="2:2" ht="15.5" x14ac:dyDescent="0.35">
      <c r="B8832" s="171"/>
    </row>
    <row r="8833" spans="2:2" ht="15.5" x14ac:dyDescent="0.35">
      <c r="B8833" s="171"/>
    </row>
    <row r="8834" spans="2:2" ht="15.5" x14ac:dyDescent="0.35">
      <c r="B8834" s="171"/>
    </row>
    <row r="8835" spans="2:2" ht="15.5" x14ac:dyDescent="0.35">
      <c r="B8835" s="171"/>
    </row>
    <row r="8836" spans="2:2" ht="15.5" x14ac:dyDescent="0.35">
      <c r="B8836" s="171"/>
    </row>
    <row r="8837" spans="2:2" ht="15.5" x14ac:dyDescent="0.35">
      <c r="B8837" s="171"/>
    </row>
    <row r="8838" spans="2:2" ht="15.5" x14ac:dyDescent="0.35">
      <c r="B8838" s="171"/>
    </row>
    <row r="8839" spans="2:2" ht="15.5" x14ac:dyDescent="0.35">
      <c r="B8839" s="171"/>
    </row>
    <row r="8840" spans="2:2" ht="15.5" x14ac:dyDescent="0.35">
      <c r="B8840" s="171"/>
    </row>
    <row r="8841" spans="2:2" ht="15.5" x14ac:dyDescent="0.35">
      <c r="B8841" s="171"/>
    </row>
    <row r="8842" spans="2:2" ht="15.5" x14ac:dyDescent="0.35">
      <c r="B8842" s="171"/>
    </row>
    <row r="8843" spans="2:2" ht="15.5" x14ac:dyDescent="0.35">
      <c r="B8843" s="171"/>
    </row>
    <row r="8844" spans="2:2" ht="15.5" x14ac:dyDescent="0.35">
      <c r="B8844" s="171"/>
    </row>
    <row r="8845" spans="2:2" ht="15.5" x14ac:dyDescent="0.35">
      <c r="B8845" s="171"/>
    </row>
    <row r="8846" spans="2:2" ht="15.5" x14ac:dyDescent="0.35">
      <c r="B8846" s="171"/>
    </row>
    <row r="8847" spans="2:2" ht="15.5" x14ac:dyDescent="0.35">
      <c r="B8847" s="171"/>
    </row>
    <row r="8848" spans="2:2" ht="15.5" x14ac:dyDescent="0.35">
      <c r="B8848" s="171"/>
    </row>
    <row r="8849" spans="2:2" ht="15.5" x14ac:dyDescent="0.35">
      <c r="B8849" s="171"/>
    </row>
    <row r="8850" spans="2:2" ht="15.5" x14ac:dyDescent="0.35">
      <c r="B8850" s="171"/>
    </row>
    <row r="8851" spans="2:2" ht="15.5" x14ac:dyDescent="0.35">
      <c r="B8851" s="171"/>
    </row>
    <row r="8852" spans="2:2" ht="15.5" x14ac:dyDescent="0.35">
      <c r="B8852" s="171"/>
    </row>
    <row r="8853" spans="2:2" ht="15.5" x14ac:dyDescent="0.35">
      <c r="B8853" s="171"/>
    </row>
    <row r="8854" spans="2:2" ht="15.5" x14ac:dyDescent="0.35">
      <c r="B8854" s="171"/>
    </row>
    <row r="8855" spans="2:2" ht="15.5" x14ac:dyDescent="0.35">
      <c r="B8855" s="171"/>
    </row>
    <row r="8856" spans="2:2" ht="15.5" x14ac:dyDescent="0.35">
      <c r="B8856" s="171"/>
    </row>
    <row r="8857" spans="2:2" ht="15.5" x14ac:dyDescent="0.35">
      <c r="B8857" s="171"/>
    </row>
    <row r="8858" spans="2:2" ht="15.5" x14ac:dyDescent="0.35">
      <c r="B8858" s="171"/>
    </row>
    <row r="8859" spans="2:2" ht="15.5" x14ac:dyDescent="0.35">
      <c r="B8859" s="171"/>
    </row>
    <row r="8860" spans="2:2" ht="15.5" x14ac:dyDescent="0.35">
      <c r="B8860" s="171"/>
    </row>
    <row r="8861" spans="2:2" ht="15.5" x14ac:dyDescent="0.35">
      <c r="B8861" s="171"/>
    </row>
    <row r="8862" spans="2:2" ht="15.5" x14ac:dyDescent="0.35">
      <c r="B8862" s="171"/>
    </row>
    <row r="8863" spans="2:2" ht="15.5" x14ac:dyDescent="0.35">
      <c r="B8863" s="171"/>
    </row>
    <row r="8864" spans="2:2" ht="15.5" x14ac:dyDescent="0.35">
      <c r="B8864" s="171"/>
    </row>
    <row r="8865" spans="2:2" ht="15.5" x14ac:dyDescent="0.35">
      <c r="B8865" s="171"/>
    </row>
    <row r="8866" spans="2:2" ht="15.5" x14ac:dyDescent="0.35">
      <c r="B8866" s="171"/>
    </row>
    <row r="8867" spans="2:2" ht="15.5" x14ac:dyDescent="0.35">
      <c r="B8867" s="171"/>
    </row>
    <row r="8868" spans="2:2" ht="15.5" x14ac:dyDescent="0.35">
      <c r="B8868" s="171"/>
    </row>
    <row r="8869" spans="2:2" ht="15.5" x14ac:dyDescent="0.35">
      <c r="B8869" s="171"/>
    </row>
    <row r="8870" spans="2:2" ht="15.5" x14ac:dyDescent="0.35">
      <c r="B8870" s="171"/>
    </row>
    <row r="8871" spans="2:2" ht="15.5" x14ac:dyDescent="0.35">
      <c r="B8871" s="171"/>
    </row>
    <row r="8872" spans="2:2" ht="15.5" x14ac:dyDescent="0.35">
      <c r="B8872" s="171"/>
    </row>
    <row r="8873" spans="2:2" ht="15.5" x14ac:dyDescent="0.35">
      <c r="B8873" s="171"/>
    </row>
    <row r="8874" spans="2:2" ht="15.5" x14ac:dyDescent="0.35">
      <c r="B8874" s="171"/>
    </row>
    <row r="8875" spans="2:2" ht="15.5" x14ac:dyDescent="0.35">
      <c r="B8875" s="171"/>
    </row>
    <row r="8876" spans="2:2" ht="15.5" x14ac:dyDescent="0.35">
      <c r="B8876" s="171"/>
    </row>
    <row r="8877" spans="2:2" ht="15.5" x14ac:dyDescent="0.35">
      <c r="B8877" s="171"/>
    </row>
    <row r="8878" spans="2:2" ht="15.5" x14ac:dyDescent="0.35">
      <c r="B8878" s="171"/>
    </row>
    <row r="8879" spans="2:2" ht="15.5" x14ac:dyDescent="0.35">
      <c r="B8879" s="171"/>
    </row>
    <row r="8880" spans="2:2" ht="15.5" x14ac:dyDescent="0.35">
      <c r="B8880" s="171"/>
    </row>
    <row r="8881" spans="2:2" ht="15.5" x14ac:dyDescent="0.35">
      <c r="B8881" s="171"/>
    </row>
    <row r="8882" spans="2:2" ht="15.5" x14ac:dyDescent="0.35">
      <c r="B8882" s="171"/>
    </row>
    <row r="8883" spans="2:2" ht="15.5" x14ac:dyDescent="0.35">
      <c r="B8883" s="171"/>
    </row>
    <row r="8884" spans="2:2" ht="15.5" x14ac:dyDescent="0.35">
      <c r="B8884" s="171"/>
    </row>
    <row r="8885" spans="2:2" ht="15.5" x14ac:dyDescent="0.35">
      <c r="B8885" s="171"/>
    </row>
    <row r="8886" spans="2:2" ht="15.5" x14ac:dyDescent="0.35">
      <c r="B8886" s="171"/>
    </row>
    <row r="8887" spans="2:2" ht="15.5" x14ac:dyDescent="0.35">
      <c r="B8887" s="171"/>
    </row>
    <row r="8888" spans="2:2" ht="15.5" x14ac:dyDescent="0.35">
      <c r="B8888" s="171"/>
    </row>
    <row r="8889" spans="2:2" ht="15.5" x14ac:dyDescent="0.35">
      <c r="B8889" s="171"/>
    </row>
    <row r="8890" spans="2:2" ht="15.5" x14ac:dyDescent="0.35">
      <c r="B8890" s="171"/>
    </row>
    <row r="8891" spans="2:2" ht="15.5" x14ac:dyDescent="0.35">
      <c r="B8891" s="171"/>
    </row>
    <row r="8892" spans="2:2" ht="15.5" x14ac:dyDescent="0.35">
      <c r="B8892" s="171"/>
    </row>
    <row r="8893" spans="2:2" ht="15.5" x14ac:dyDescent="0.35">
      <c r="B8893" s="171"/>
    </row>
    <row r="8894" spans="2:2" ht="15.5" x14ac:dyDescent="0.35">
      <c r="B8894" s="171"/>
    </row>
    <row r="8895" spans="2:2" ht="15.5" x14ac:dyDescent="0.35">
      <c r="B8895" s="171"/>
    </row>
    <row r="8896" spans="2:2" ht="15.5" x14ac:dyDescent="0.35">
      <c r="B8896" s="171"/>
    </row>
    <row r="8897" spans="2:2" ht="15.5" x14ac:dyDescent="0.35">
      <c r="B8897" s="171"/>
    </row>
    <row r="8898" spans="2:2" ht="15.5" x14ac:dyDescent="0.35">
      <c r="B8898" s="171"/>
    </row>
    <row r="8899" spans="2:2" ht="15.5" x14ac:dyDescent="0.35">
      <c r="B8899" s="171"/>
    </row>
    <row r="8900" spans="2:2" ht="15.5" x14ac:dyDescent="0.35">
      <c r="B8900" s="171"/>
    </row>
    <row r="8901" spans="2:2" ht="15.5" x14ac:dyDescent="0.35">
      <c r="B8901" s="171"/>
    </row>
    <row r="8902" spans="2:2" ht="15.5" x14ac:dyDescent="0.35">
      <c r="B8902" s="171"/>
    </row>
    <row r="8903" spans="2:2" ht="15.5" x14ac:dyDescent="0.35">
      <c r="B8903" s="171"/>
    </row>
    <row r="8904" spans="2:2" ht="15.5" x14ac:dyDescent="0.35">
      <c r="B8904" s="171"/>
    </row>
    <row r="8905" spans="2:2" ht="15.5" x14ac:dyDescent="0.35">
      <c r="B8905" s="171"/>
    </row>
    <row r="8906" spans="2:2" ht="15.5" x14ac:dyDescent="0.35">
      <c r="B8906" s="171"/>
    </row>
    <row r="8907" spans="2:2" ht="15.5" x14ac:dyDescent="0.35">
      <c r="B8907" s="171"/>
    </row>
    <row r="8908" spans="2:2" ht="15.5" x14ac:dyDescent="0.35">
      <c r="B8908" s="171"/>
    </row>
    <row r="8909" spans="2:2" ht="15.5" x14ac:dyDescent="0.35">
      <c r="B8909" s="171"/>
    </row>
    <row r="8910" spans="2:2" ht="15.5" x14ac:dyDescent="0.35">
      <c r="B8910" s="171"/>
    </row>
    <row r="8911" spans="2:2" ht="15.5" x14ac:dyDescent="0.35">
      <c r="B8911" s="171"/>
    </row>
    <row r="8912" spans="2:2" ht="15.5" x14ac:dyDescent="0.35">
      <c r="B8912" s="171"/>
    </row>
    <row r="8913" spans="2:2" ht="15.5" x14ac:dyDescent="0.35">
      <c r="B8913" s="171"/>
    </row>
    <row r="8914" spans="2:2" ht="15.5" x14ac:dyDescent="0.35">
      <c r="B8914" s="171"/>
    </row>
    <row r="8915" spans="2:2" ht="15.5" x14ac:dyDescent="0.35">
      <c r="B8915" s="171"/>
    </row>
    <row r="8916" spans="2:2" ht="15.5" x14ac:dyDescent="0.35">
      <c r="B8916" s="171"/>
    </row>
    <row r="8917" spans="2:2" ht="15.5" x14ac:dyDescent="0.35">
      <c r="B8917" s="171"/>
    </row>
    <row r="8918" spans="2:2" ht="15.5" x14ac:dyDescent="0.35">
      <c r="B8918" s="171"/>
    </row>
    <row r="8919" spans="2:2" ht="15.5" x14ac:dyDescent="0.35">
      <c r="B8919" s="171"/>
    </row>
    <row r="8920" spans="2:2" ht="15.5" x14ac:dyDescent="0.35">
      <c r="B8920" s="171"/>
    </row>
    <row r="8921" spans="2:2" ht="15.5" x14ac:dyDescent="0.35">
      <c r="B8921" s="171"/>
    </row>
    <row r="8922" spans="2:2" ht="15.5" x14ac:dyDescent="0.35">
      <c r="B8922" s="171"/>
    </row>
    <row r="8923" spans="2:2" ht="15.5" x14ac:dyDescent="0.35">
      <c r="B8923" s="171"/>
    </row>
    <row r="8924" spans="2:2" ht="15.5" x14ac:dyDescent="0.35">
      <c r="B8924" s="171"/>
    </row>
    <row r="8925" spans="2:2" ht="15.5" x14ac:dyDescent="0.35">
      <c r="B8925" s="171"/>
    </row>
    <row r="8926" spans="2:2" ht="15.5" x14ac:dyDescent="0.35">
      <c r="B8926" s="171"/>
    </row>
    <row r="8927" spans="2:2" ht="15.5" x14ac:dyDescent="0.35">
      <c r="B8927" s="171"/>
    </row>
    <row r="8928" spans="2:2" ht="15.5" x14ac:dyDescent="0.35">
      <c r="B8928" s="171"/>
    </row>
    <row r="8929" spans="2:2" ht="15.5" x14ac:dyDescent="0.35">
      <c r="B8929" s="171"/>
    </row>
    <row r="8930" spans="2:2" ht="15.5" x14ac:dyDescent="0.35">
      <c r="B8930" s="171"/>
    </row>
    <row r="8931" spans="2:2" ht="15.5" x14ac:dyDescent="0.35">
      <c r="B8931" s="171"/>
    </row>
    <row r="8932" spans="2:2" ht="15.5" x14ac:dyDescent="0.35">
      <c r="B8932" s="171"/>
    </row>
    <row r="8933" spans="2:2" ht="15.5" x14ac:dyDescent="0.35">
      <c r="B8933" s="171"/>
    </row>
    <row r="8934" spans="2:2" ht="15.5" x14ac:dyDescent="0.35">
      <c r="B8934" s="171"/>
    </row>
    <row r="8935" spans="2:2" ht="15.5" x14ac:dyDescent="0.35">
      <c r="B8935" s="171"/>
    </row>
    <row r="8936" spans="2:2" ht="15.5" x14ac:dyDescent="0.35">
      <c r="B8936" s="171"/>
    </row>
    <row r="8937" spans="2:2" ht="15.5" x14ac:dyDescent="0.35">
      <c r="B8937" s="171"/>
    </row>
    <row r="8938" spans="2:2" ht="15.5" x14ac:dyDescent="0.35">
      <c r="B8938" s="171"/>
    </row>
    <row r="8939" spans="2:2" ht="15.5" x14ac:dyDescent="0.35">
      <c r="B8939" s="171"/>
    </row>
    <row r="8940" spans="2:2" ht="15.5" x14ac:dyDescent="0.35">
      <c r="B8940" s="171"/>
    </row>
    <row r="8941" spans="2:2" ht="15.5" x14ac:dyDescent="0.35">
      <c r="B8941" s="171"/>
    </row>
    <row r="8942" spans="2:2" ht="15.5" x14ac:dyDescent="0.35">
      <c r="B8942" s="171"/>
    </row>
    <row r="8943" spans="2:2" ht="15.5" x14ac:dyDescent="0.35">
      <c r="B8943" s="171"/>
    </row>
    <row r="8944" spans="2:2" ht="15.5" x14ac:dyDescent="0.35">
      <c r="B8944" s="171"/>
    </row>
    <row r="8945" spans="2:2" ht="15.5" x14ac:dyDescent="0.35">
      <c r="B8945" s="171"/>
    </row>
    <row r="8946" spans="2:2" ht="15.5" x14ac:dyDescent="0.35">
      <c r="B8946" s="171"/>
    </row>
    <row r="8947" spans="2:2" ht="15.5" x14ac:dyDescent="0.35">
      <c r="B8947" s="171"/>
    </row>
    <row r="8948" spans="2:2" ht="15.5" x14ac:dyDescent="0.35">
      <c r="B8948" s="171"/>
    </row>
    <row r="8949" spans="2:2" ht="15.5" x14ac:dyDescent="0.35">
      <c r="B8949" s="171"/>
    </row>
    <row r="8950" spans="2:2" ht="15.5" x14ac:dyDescent="0.35">
      <c r="B8950" s="171"/>
    </row>
    <row r="8951" spans="2:2" ht="15.5" x14ac:dyDescent="0.35">
      <c r="B8951" s="171"/>
    </row>
    <row r="8952" spans="2:2" ht="15.5" x14ac:dyDescent="0.35">
      <c r="B8952" s="171"/>
    </row>
    <row r="8953" spans="2:2" ht="15.5" x14ac:dyDescent="0.35">
      <c r="B8953" s="171"/>
    </row>
    <row r="8954" spans="2:2" ht="15.5" x14ac:dyDescent="0.35">
      <c r="B8954" s="171"/>
    </row>
    <row r="8955" spans="2:2" ht="15.5" x14ac:dyDescent="0.35">
      <c r="B8955" s="171"/>
    </row>
    <row r="8956" spans="2:2" ht="15.5" x14ac:dyDescent="0.35">
      <c r="B8956" s="171"/>
    </row>
    <row r="8957" spans="2:2" ht="15.5" x14ac:dyDescent="0.35">
      <c r="B8957" s="171"/>
    </row>
    <row r="8958" spans="2:2" ht="15.5" x14ac:dyDescent="0.35">
      <c r="B8958" s="171"/>
    </row>
    <row r="8959" spans="2:2" ht="15.5" x14ac:dyDescent="0.35">
      <c r="B8959" s="171"/>
    </row>
    <row r="8960" spans="2:2" ht="15.5" x14ac:dyDescent="0.35">
      <c r="B8960" s="171"/>
    </row>
    <row r="8961" spans="2:2" ht="15.5" x14ac:dyDescent="0.35">
      <c r="B8961" s="171"/>
    </row>
    <row r="8962" spans="2:2" ht="15.5" x14ac:dyDescent="0.35">
      <c r="B8962" s="171"/>
    </row>
    <row r="8963" spans="2:2" ht="15.5" x14ac:dyDescent="0.35">
      <c r="B8963" s="171"/>
    </row>
    <row r="8964" spans="2:2" ht="15.5" x14ac:dyDescent="0.35">
      <c r="B8964" s="171"/>
    </row>
    <row r="8965" spans="2:2" ht="15.5" x14ac:dyDescent="0.35">
      <c r="B8965" s="171"/>
    </row>
    <row r="8966" spans="2:2" ht="15.5" x14ac:dyDescent="0.35">
      <c r="B8966" s="171"/>
    </row>
    <row r="8967" spans="2:2" ht="15.5" x14ac:dyDescent="0.35">
      <c r="B8967" s="171"/>
    </row>
    <row r="8968" spans="2:2" ht="15.5" x14ac:dyDescent="0.35">
      <c r="B8968" s="171"/>
    </row>
    <row r="8969" spans="2:2" ht="15.5" x14ac:dyDescent="0.35">
      <c r="B8969" s="171"/>
    </row>
    <row r="8970" spans="2:2" ht="15.5" x14ac:dyDescent="0.35">
      <c r="B8970" s="171"/>
    </row>
    <row r="8971" spans="2:2" ht="15.5" x14ac:dyDescent="0.35">
      <c r="B8971" s="171"/>
    </row>
    <row r="8972" spans="2:2" ht="15.5" x14ac:dyDescent="0.35">
      <c r="B8972" s="171"/>
    </row>
    <row r="8973" spans="2:2" ht="15.5" x14ac:dyDescent="0.35">
      <c r="B8973" s="171"/>
    </row>
    <row r="8974" spans="2:2" ht="15.5" x14ac:dyDescent="0.35">
      <c r="B8974" s="171"/>
    </row>
    <row r="8975" spans="2:2" ht="15.5" x14ac:dyDescent="0.35">
      <c r="B8975" s="171"/>
    </row>
    <row r="8976" spans="2:2" ht="15.5" x14ac:dyDescent="0.35">
      <c r="B8976" s="171"/>
    </row>
    <row r="8977" spans="2:2" ht="15.5" x14ac:dyDescent="0.35">
      <c r="B8977" s="171"/>
    </row>
    <row r="8978" spans="2:2" ht="15.5" x14ac:dyDescent="0.35">
      <c r="B8978" s="171"/>
    </row>
    <row r="8979" spans="2:2" ht="15.5" x14ac:dyDescent="0.35">
      <c r="B8979" s="171"/>
    </row>
    <row r="8980" spans="2:2" ht="15.5" x14ac:dyDescent="0.35">
      <c r="B8980" s="171"/>
    </row>
    <row r="8981" spans="2:2" ht="15.5" x14ac:dyDescent="0.35">
      <c r="B8981" s="171"/>
    </row>
    <row r="8982" spans="2:2" ht="15.5" x14ac:dyDescent="0.35">
      <c r="B8982" s="171"/>
    </row>
    <row r="8983" spans="2:2" ht="15.5" x14ac:dyDescent="0.35">
      <c r="B8983" s="171"/>
    </row>
    <row r="8984" spans="2:2" ht="15.5" x14ac:dyDescent="0.35">
      <c r="B8984" s="171"/>
    </row>
    <row r="8985" spans="2:2" ht="15.5" x14ac:dyDescent="0.35">
      <c r="B8985" s="171"/>
    </row>
    <row r="8986" spans="2:2" ht="15.5" x14ac:dyDescent="0.35">
      <c r="B8986" s="171"/>
    </row>
    <row r="8987" spans="2:2" ht="15.5" x14ac:dyDescent="0.35">
      <c r="B8987" s="171"/>
    </row>
    <row r="8988" spans="2:2" ht="15.5" x14ac:dyDescent="0.35">
      <c r="B8988" s="171"/>
    </row>
    <row r="8989" spans="2:2" ht="15.5" x14ac:dyDescent="0.35">
      <c r="B8989" s="171"/>
    </row>
    <row r="8990" spans="2:2" ht="15.5" x14ac:dyDescent="0.35">
      <c r="B8990" s="171"/>
    </row>
    <row r="8991" spans="2:2" ht="15.5" x14ac:dyDescent="0.35">
      <c r="B8991" s="171"/>
    </row>
    <row r="8992" spans="2:2" ht="15.5" x14ac:dyDescent="0.35">
      <c r="B8992" s="171"/>
    </row>
    <row r="8993" spans="2:2" ht="15.5" x14ac:dyDescent="0.35">
      <c r="B8993" s="171"/>
    </row>
    <row r="8994" spans="2:2" ht="15.5" x14ac:dyDescent="0.35">
      <c r="B8994" s="171"/>
    </row>
    <row r="8995" spans="2:2" ht="15.5" x14ac:dyDescent="0.35">
      <c r="B8995" s="171"/>
    </row>
    <row r="8996" spans="2:2" ht="15.5" x14ac:dyDescent="0.35">
      <c r="B8996" s="171"/>
    </row>
    <row r="8997" spans="2:2" ht="15.5" x14ac:dyDescent="0.35">
      <c r="B8997" s="171"/>
    </row>
    <row r="8998" spans="2:2" ht="15.5" x14ac:dyDescent="0.35">
      <c r="B8998" s="171"/>
    </row>
    <row r="8999" spans="2:2" ht="15.5" x14ac:dyDescent="0.35">
      <c r="B8999" s="171"/>
    </row>
    <row r="9000" spans="2:2" ht="15.5" x14ac:dyDescent="0.35">
      <c r="B9000" s="171"/>
    </row>
    <row r="9001" spans="2:2" ht="15.5" x14ac:dyDescent="0.35">
      <c r="B9001" s="171"/>
    </row>
    <row r="9002" spans="2:2" ht="15.5" x14ac:dyDescent="0.35">
      <c r="B9002" s="171"/>
    </row>
    <row r="9003" spans="2:2" ht="15.5" x14ac:dyDescent="0.35">
      <c r="B9003" s="171"/>
    </row>
    <row r="9004" spans="2:2" ht="15.5" x14ac:dyDescent="0.35">
      <c r="B9004" s="171"/>
    </row>
    <row r="9005" spans="2:2" ht="15.5" x14ac:dyDescent="0.35">
      <c r="B9005" s="171"/>
    </row>
    <row r="9006" spans="2:2" ht="15.5" x14ac:dyDescent="0.35">
      <c r="B9006" s="171"/>
    </row>
    <row r="9007" spans="2:2" ht="15.5" x14ac:dyDescent="0.35">
      <c r="B9007" s="171"/>
    </row>
    <row r="9008" spans="2:2" ht="15.5" x14ac:dyDescent="0.35">
      <c r="B9008" s="171"/>
    </row>
    <row r="9009" spans="2:2" ht="15.5" x14ac:dyDescent="0.35">
      <c r="B9009" s="171"/>
    </row>
    <row r="9010" spans="2:2" ht="15.5" x14ac:dyDescent="0.35">
      <c r="B9010" s="171"/>
    </row>
    <row r="9011" spans="2:2" ht="15.5" x14ac:dyDescent="0.35">
      <c r="B9011" s="171"/>
    </row>
    <row r="9012" spans="2:2" ht="15.5" x14ac:dyDescent="0.35">
      <c r="B9012" s="171"/>
    </row>
    <row r="9013" spans="2:2" ht="15.5" x14ac:dyDescent="0.35">
      <c r="B9013" s="171"/>
    </row>
    <row r="9014" spans="2:2" ht="15.5" x14ac:dyDescent="0.35">
      <c r="B9014" s="171"/>
    </row>
    <row r="9015" spans="2:2" ht="15.5" x14ac:dyDescent="0.35">
      <c r="B9015" s="171"/>
    </row>
    <row r="9016" spans="2:2" ht="15.5" x14ac:dyDescent="0.35">
      <c r="B9016" s="171"/>
    </row>
    <row r="9017" spans="2:2" ht="15.5" x14ac:dyDescent="0.35">
      <c r="B9017" s="171"/>
    </row>
    <row r="9018" spans="2:2" ht="15.5" x14ac:dyDescent="0.35">
      <c r="B9018" s="171"/>
    </row>
    <row r="9019" spans="2:2" ht="15.5" x14ac:dyDescent="0.35">
      <c r="B9019" s="171"/>
    </row>
    <row r="9020" spans="2:2" ht="15.5" x14ac:dyDescent="0.35">
      <c r="B9020" s="171"/>
    </row>
    <row r="9021" spans="2:2" ht="15.5" x14ac:dyDescent="0.35">
      <c r="B9021" s="171"/>
    </row>
    <row r="9022" spans="2:2" ht="15.5" x14ac:dyDescent="0.35">
      <c r="B9022" s="171"/>
    </row>
    <row r="9023" spans="2:2" ht="15.5" x14ac:dyDescent="0.35">
      <c r="B9023" s="171"/>
    </row>
    <row r="9024" spans="2:2" ht="15.5" x14ac:dyDescent="0.35">
      <c r="B9024" s="171"/>
    </row>
    <row r="9025" spans="2:2" ht="15.5" x14ac:dyDescent="0.35">
      <c r="B9025" s="171"/>
    </row>
    <row r="9026" spans="2:2" ht="15.5" x14ac:dyDescent="0.35">
      <c r="B9026" s="171"/>
    </row>
    <row r="9027" spans="2:2" ht="15.5" x14ac:dyDescent="0.35">
      <c r="B9027" s="171"/>
    </row>
    <row r="9028" spans="2:2" ht="15.5" x14ac:dyDescent="0.35">
      <c r="B9028" s="171"/>
    </row>
    <row r="9029" spans="2:2" ht="15.5" x14ac:dyDescent="0.35">
      <c r="B9029" s="171"/>
    </row>
    <row r="9030" spans="2:2" ht="15.5" x14ac:dyDescent="0.35">
      <c r="B9030" s="171"/>
    </row>
    <row r="9031" spans="2:2" ht="15.5" x14ac:dyDescent="0.35">
      <c r="B9031" s="171"/>
    </row>
    <row r="9032" spans="2:2" ht="15.5" x14ac:dyDescent="0.35">
      <c r="B9032" s="171"/>
    </row>
    <row r="9033" spans="2:2" ht="15.5" x14ac:dyDescent="0.35">
      <c r="B9033" s="171"/>
    </row>
    <row r="9034" spans="2:2" ht="15.5" x14ac:dyDescent="0.35">
      <c r="B9034" s="171"/>
    </row>
    <row r="9035" spans="2:2" ht="15.5" x14ac:dyDescent="0.35">
      <c r="B9035" s="171"/>
    </row>
    <row r="9036" spans="2:2" ht="15.5" x14ac:dyDescent="0.35">
      <c r="B9036" s="171"/>
    </row>
    <row r="9037" spans="2:2" ht="15.5" x14ac:dyDescent="0.35">
      <c r="B9037" s="171"/>
    </row>
    <row r="9038" spans="2:2" ht="15.5" x14ac:dyDescent="0.35">
      <c r="B9038" s="171"/>
    </row>
    <row r="9039" spans="2:2" ht="15.5" x14ac:dyDescent="0.35">
      <c r="B9039" s="171"/>
    </row>
    <row r="9040" spans="2:2" ht="15.5" x14ac:dyDescent="0.35">
      <c r="B9040" s="171"/>
    </row>
    <row r="9041" spans="2:2" ht="15.5" x14ac:dyDescent="0.35">
      <c r="B9041" s="171"/>
    </row>
    <row r="9042" spans="2:2" ht="15.5" x14ac:dyDescent="0.35">
      <c r="B9042" s="171"/>
    </row>
    <row r="9043" spans="2:2" ht="15.5" x14ac:dyDescent="0.35">
      <c r="B9043" s="171"/>
    </row>
    <row r="9044" spans="2:2" ht="15.5" x14ac:dyDescent="0.35">
      <c r="B9044" s="171"/>
    </row>
    <row r="9045" spans="2:2" ht="15.5" x14ac:dyDescent="0.35">
      <c r="B9045" s="171"/>
    </row>
    <row r="9046" spans="2:2" ht="15.5" x14ac:dyDescent="0.35">
      <c r="B9046" s="171"/>
    </row>
    <row r="9047" spans="2:2" ht="15.5" x14ac:dyDescent="0.35">
      <c r="B9047" s="171"/>
    </row>
    <row r="9048" spans="2:2" ht="15.5" x14ac:dyDescent="0.35">
      <c r="B9048" s="171"/>
    </row>
    <row r="9049" spans="2:2" ht="15.5" x14ac:dyDescent="0.35">
      <c r="B9049" s="171"/>
    </row>
    <row r="9050" spans="2:2" ht="15.5" x14ac:dyDescent="0.35">
      <c r="B9050" s="171"/>
    </row>
    <row r="9051" spans="2:2" ht="15.5" x14ac:dyDescent="0.35">
      <c r="B9051" s="171"/>
    </row>
    <row r="9052" spans="2:2" ht="15.5" x14ac:dyDescent="0.35">
      <c r="B9052" s="171"/>
    </row>
    <row r="9053" spans="2:2" ht="15.5" x14ac:dyDescent="0.35">
      <c r="B9053" s="171"/>
    </row>
    <row r="9054" spans="2:2" ht="15.5" x14ac:dyDescent="0.35">
      <c r="B9054" s="171"/>
    </row>
    <row r="9055" spans="2:2" ht="15.5" x14ac:dyDescent="0.35">
      <c r="B9055" s="171"/>
    </row>
    <row r="9056" spans="2:2" ht="15.5" x14ac:dyDescent="0.35">
      <c r="B9056" s="171"/>
    </row>
    <row r="9057" spans="2:2" ht="15.5" x14ac:dyDescent="0.35">
      <c r="B9057" s="171"/>
    </row>
    <row r="9058" spans="2:2" ht="15.5" x14ac:dyDescent="0.35">
      <c r="B9058" s="171"/>
    </row>
    <row r="9059" spans="2:2" ht="15.5" x14ac:dyDescent="0.35">
      <c r="B9059" s="171"/>
    </row>
    <row r="9060" spans="2:2" ht="15.5" x14ac:dyDescent="0.35">
      <c r="B9060" s="171"/>
    </row>
    <row r="9061" spans="2:2" ht="15.5" x14ac:dyDescent="0.35">
      <c r="B9061" s="171"/>
    </row>
    <row r="9062" spans="2:2" ht="15.5" x14ac:dyDescent="0.35">
      <c r="B9062" s="171"/>
    </row>
    <row r="9063" spans="2:2" ht="15.5" x14ac:dyDescent="0.35">
      <c r="B9063" s="171"/>
    </row>
    <row r="9064" spans="2:2" ht="15.5" x14ac:dyDescent="0.35">
      <c r="B9064" s="171"/>
    </row>
    <row r="9065" spans="2:2" ht="15.5" x14ac:dyDescent="0.35">
      <c r="B9065" s="171"/>
    </row>
    <row r="9066" spans="2:2" ht="15.5" x14ac:dyDescent="0.35">
      <c r="B9066" s="171"/>
    </row>
    <row r="9067" spans="2:2" ht="15.5" x14ac:dyDescent="0.35">
      <c r="B9067" s="171"/>
    </row>
    <row r="9068" spans="2:2" ht="15.5" x14ac:dyDescent="0.35">
      <c r="B9068" s="171"/>
    </row>
    <row r="9069" spans="2:2" ht="15.5" x14ac:dyDescent="0.35">
      <c r="B9069" s="171"/>
    </row>
    <row r="9070" spans="2:2" ht="15.5" x14ac:dyDescent="0.35">
      <c r="B9070" s="171"/>
    </row>
    <row r="9071" spans="2:2" ht="15.5" x14ac:dyDescent="0.35">
      <c r="B9071" s="171"/>
    </row>
    <row r="9072" spans="2:2" ht="15.5" x14ac:dyDescent="0.35">
      <c r="B9072" s="171"/>
    </row>
    <row r="9073" spans="2:2" ht="15.5" x14ac:dyDescent="0.35">
      <c r="B9073" s="171"/>
    </row>
    <row r="9074" spans="2:2" ht="15.5" x14ac:dyDescent="0.35">
      <c r="B9074" s="171"/>
    </row>
    <row r="9075" spans="2:2" ht="15.5" x14ac:dyDescent="0.35">
      <c r="B9075" s="171"/>
    </row>
    <row r="9076" spans="2:2" ht="15.5" x14ac:dyDescent="0.35">
      <c r="B9076" s="171"/>
    </row>
    <row r="9077" spans="2:2" ht="15.5" x14ac:dyDescent="0.35">
      <c r="B9077" s="171"/>
    </row>
    <row r="9078" spans="2:2" ht="15.5" x14ac:dyDescent="0.35">
      <c r="B9078" s="171"/>
    </row>
    <row r="9079" spans="2:2" ht="15.5" x14ac:dyDescent="0.35">
      <c r="B9079" s="171"/>
    </row>
    <row r="9080" spans="2:2" ht="15.5" x14ac:dyDescent="0.35">
      <c r="B9080" s="171"/>
    </row>
    <row r="9081" spans="2:2" ht="15.5" x14ac:dyDescent="0.35">
      <c r="B9081" s="171"/>
    </row>
    <row r="9082" spans="2:2" ht="15.5" x14ac:dyDescent="0.35">
      <c r="B9082" s="171"/>
    </row>
    <row r="9083" spans="2:2" ht="15.5" x14ac:dyDescent="0.35">
      <c r="B9083" s="171"/>
    </row>
    <row r="9084" spans="2:2" ht="15.5" x14ac:dyDescent="0.35">
      <c r="B9084" s="171"/>
    </row>
    <row r="9085" spans="2:2" ht="15.5" x14ac:dyDescent="0.35">
      <c r="B9085" s="171"/>
    </row>
    <row r="9086" spans="2:2" ht="15.5" x14ac:dyDescent="0.35">
      <c r="B9086" s="171"/>
    </row>
    <row r="9087" spans="2:2" ht="15.5" x14ac:dyDescent="0.35">
      <c r="B9087" s="171"/>
    </row>
    <row r="9088" spans="2:2" ht="15.5" x14ac:dyDescent="0.35">
      <c r="B9088" s="171"/>
    </row>
    <row r="9089" spans="2:2" ht="15.5" x14ac:dyDescent="0.35">
      <c r="B9089" s="171"/>
    </row>
    <row r="9090" spans="2:2" ht="15.5" x14ac:dyDescent="0.35">
      <c r="B9090" s="171"/>
    </row>
    <row r="9091" spans="2:2" ht="15.5" x14ac:dyDescent="0.35">
      <c r="B9091" s="171"/>
    </row>
    <row r="9092" spans="2:2" ht="15.5" x14ac:dyDescent="0.35">
      <c r="B9092" s="171"/>
    </row>
    <row r="9093" spans="2:2" ht="15.5" x14ac:dyDescent="0.35">
      <c r="B9093" s="171"/>
    </row>
    <row r="9094" spans="2:2" ht="15.5" x14ac:dyDescent="0.35">
      <c r="B9094" s="171"/>
    </row>
    <row r="9095" spans="2:2" ht="15.5" x14ac:dyDescent="0.35">
      <c r="B9095" s="171"/>
    </row>
    <row r="9096" spans="2:2" ht="15.5" x14ac:dyDescent="0.35">
      <c r="B9096" s="171"/>
    </row>
    <row r="9097" spans="2:2" ht="15.5" x14ac:dyDescent="0.35">
      <c r="B9097" s="171"/>
    </row>
    <row r="9098" spans="2:2" ht="15.5" x14ac:dyDescent="0.35">
      <c r="B9098" s="171"/>
    </row>
    <row r="9099" spans="2:2" ht="15.5" x14ac:dyDescent="0.35">
      <c r="B9099" s="171"/>
    </row>
    <row r="9100" spans="2:2" ht="15.5" x14ac:dyDescent="0.35">
      <c r="B9100" s="171"/>
    </row>
    <row r="9101" spans="2:2" ht="15.5" x14ac:dyDescent="0.35">
      <c r="B9101" s="171"/>
    </row>
    <row r="9102" spans="2:2" ht="15.5" x14ac:dyDescent="0.35">
      <c r="B9102" s="171"/>
    </row>
    <row r="9103" spans="2:2" ht="15.5" x14ac:dyDescent="0.35">
      <c r="B9103" s="171"/>
    </row>
    <row r="9104" spans="2:2" ht="15.5" x14ac:dyDescent="0.35">
      <c r="B9104" s="171"/>
    </row>
    <row r="9105" spans="2:2" ht="15.5" x14ac:dyDescent="0.35">
      <c r="B9105" s="171"/>
    </row>
    <row r="9106" spans="2:2" ht="15.5" x14ac:dyDescent="0.35">
      <c r="B9106" s="171"/>
    </row>
    <row r="9107" spans="2:2" ht="15.5" x14ac:dyDescent="0.35">
      <c r="B9107" s="171"/>
    </row>
    <row r="9108" spans="2:2" ht="15.5" x14ac:dyDescent="0.35">
      <c r="B9108" s="171"/>
    </row>
    <row r="9109" spans="2:2" ht="15.5" x14ac:dyDescent="0.35">
      <c r="B9109" s="171"/>
    </row>
    <row r="9110" spans="2:2" ht="15.5" x14ac:dyDescent="0.35">
      <c r="B9110" s="171"/>
    </row>
    <row r="9111" spans="2:2" ht="15.5" x14ac:dyDescent="0.35">
      <c r="B9111" s="171"/>
    </row>
    <row r="9112" spans="2:2" ht="15.5" x14ac:dyDescent="0.35">
      <c r="B9112" s="171"/>
    </row>
    <row r="9113" spans="2:2" ht="15.5" x14ac:dyDescent="0.35">
      <c r="B9113" s="171"/>
    </row>
    <row r="9114" spans="2:2" ht="15.5" x14ac:dyDescent="0.35">
      <c r="B9114" s="171"/>
    </row>
    <row r="9115" spans="2:2" ht="15.5" x14ac:dyDescent="0.35">
      <c r="B9115" s="171"/>
    </row>
    <row r="9116" spans="2:2" ht="15.5" x14ac:dyDescent="0.35">
      <c r="B9116" s="171"/>
    </row>
    <row r="9117" spans="2:2" ht="15.5" x14ac:dyDescent="0.35">
      <c r="B9117" s="171"/>
    </row>
    <row r="9118" spans="2:2" ht="15.5" x14ac:dyDescent="0.35">
      <c r="B9118" s="171"/>
    </row>
    <row r="9119" spans="2:2" ht="15.5" x14ac:dyDescent="0.35">
      <c r="B9119" s="171"/>
    </row>
    <row r="9120" spans="2:2" ht="15.5" x14ac:dyDescent="0.35">
      <c r="B9120" s="171"/>
    </row>
    <row r="9121" spans="2:2" ht="15.5" x14ac:dyDescent="0.35">
      <c r="B9121" s="171"/>
    </row>
    <row r="9122" spans="2:2" ht="15.5" x14ac:dyDescent="0.35">
      <c r="B9122" s="171"/>
    </row>
    <row r="9123" spans="2:2" ht="15.5" x14ac:dyDescent="0.35">
      <c r="B9123" s="171"/>
    </row>
    <row r="9124" spans="2:2" ht="15.5" x14ac:dyDescent="0.35">
      <c r="B9124" s="171"/>
    </row>
    <row r="9125" spans="2:2" ht="15.5" x14ac:dyDescent="0.35">
      <c r="B9125" s="171"/>
    </row>
    <row r="9126" spans="2:2" ht="15.5" x14ac:dyDescent="0.35">
      <c r="B9126" s="171"/>
    </row>
    <row r="9127" spans="2:2" ht="15.5" x14ac:dyDescent="0.35">
      <c r="B9127" s="171"/>
    </row>
    <row r="9128" spans="2:2" ht="15.5" x14ac:dyDescent="0.35">
      <c r="B9128" s="171"/>
    </row>
    <row r="9129" spans="2:2" ht="15.5" x14ac:dyDescent="0.35">
      <c r="B9129" s="171"/>
    </row>
    <row r="9130" spans="2:2" ht="15.5" x14ac:dyDescent="0.35">
      <c r="B9130" s="171"/>
    </row>
    <row r="9131" spans="2:2" ht="15.5" x14ac:dyDescent="0.35">
      <c r="B9131" s="171"/>
    </row>
    <row r="9132" spans="2:2" ht="15.5" x14ac:dyDescent="0.35">
      <c r="B9132" s="171"/>
    </row>
    <row r="9133" spans="2:2" ht="15.5" x14ac:dyDescent="0.35">
      <c r="B9133" s="171"/>
    </row>
    <row r="9134" spans="2:2" ht="15.5" x14ac:dyDescent="0.35">
      <c r="B9134" s="171"/>
    </row>
    <row r="9135" spans="2:2" ht="15.5" x14ac:dyDescent="0.35">
      <c r="B9135" s="171"/>
    </row>
    <row r="9136" spans="2:2" ht="15.5" x14ac:dyDescent="0.35">
      <c r="B9136" s="171"/>
    </row>
    <row r="9137" spans="2:2" ht="15.5" x14ac:dyDescent="0.35">
      <c r="B9137" s="171"/>
    </row>
    <row r="9138" spans="2:2" ht="15.5" x14ac:dyDescent="0.35">
      <c r="B9138" s="171"/>
    </row>
    <row r="9139" spans="2:2" ht="15.5" x14ac:dyDescent="0.35">
      <c r="B9139" s="171"/>
    </row>
    <row r="9140" spans="2:2" ht="15.5" x14ac:dyDescent="0.35">
      <c r="B9140" s="171"/>
    </row>
    <row r="9141" spans="2:2" ht="15.5" x14ac:dyDescent="0.35">
      <c r="B9141" s="171"/>
    </row>
    <row r="9142" spans="2:2" ht="15.5" x14ac:dyDescent="0.35">
      <c r="B9142" s="171"/>
    </row>
    <row r="9143" spans="2:2" ht="15.5" x14ac:dyDescent="0.35">
      <c r="B9143" s="171"/>
    </row>
    <row r="9144" spans="2:2" ht="15.5" x14ac:dyDescent="0.35">
      <c r="B9144" s="171"/>
    </row>
    <row r="9145" spans="2:2" ht="15.5" x14ac:dyDescent="0.35">
      <c r="B9145" s="171"/>
    </row>
    <row r="9146" spans="2:2" ht="15.5" x14ac:dyDescent="0.35">
      <c r="B9146" s="171"/>
    </row>
    <row r="9147" spans="2:2" ht="15.5" x14ac:dyDescent="0.35">
      <c r="B9147" s="171"/>
    </row>
    <row r="9148" spans="2:2" ht="15.5" x14ac:dyDescent="0.35">
      <c r="B9148" s="171"/>
    </row>
    <row r="9149" spans="2:2" ht="15.5" x14ac:dyDescent="0.35">
      <c r="B9149" s="171"/>
    </row>
    <row r="9150" spans="2:2" ht="15.5" x14ac:dyDescent="0.35">
      <c r="B9150" s="171"/>
    </row>
    <row r="9151" spans="2:2" ht="15.5" x14ac:dyDescent="0.35">
      <c r="B9151" s="171"/>
    </row>
    <row r="9152" spans="2:2" ht="15.5" x14ac:dyDescent="0.35">
      <c r="B9152" s="171"/>
    </row>
    <row r="9153" spans="2:2" ht="15.5" x14ac:dyDescent="0.35">
      <c r="B9153" s="171"/>
    </row>
    <row r="9154" spans="2:2" ht="15.5" x14ac:dyDescent="0.35">
      <c r="B9154" s="171"/>
    </row>
    <row r="9155" spans="2:2" ht="15.5" x14ac:dyDescent="0.35">
      <c r="B9155" s="171"/>
    </row>
    <row r="9156" spans="2:2" ht="15.5" x14ac:dyDescent="0.35">
      <c r="B9156" s="171"/>
    </row>
    <row r="9157" spans="2:2" ht="15.5" x14ac:dyDescent="0.35">
      <c r="B9157" s="171"/>
    </row>
    <row r="9158" spans="2:2" ht="15.5" x14ac:dyDescent="0.35">
      <c r="B9158" s="171"/>
    </row>
    <row r="9159" spans="2:2" ht="15.5" x14ac:dyDescent="0.35">
      <c r="B9159" s="171"/>
    </row>
    <row r="9160" spans="2:2" ht="15.5" x14ac:dyDescent="0.35">
      <c r="B9160" s="171"/>
    </row>
    <row r="9161" spans="2:2" ht="15.5" x14ac:dyDescent="0.35">
      <c r="B9161" s="171"/>
    </row>
    <row r="9162" spans="2:2" ht="15.5" x14ac:dyDescent="0.35">
      <c r="B9162" s="171"/>
    </row>
    <row r="9163" spans="2:2" ht="15.5" x14ac:dyDescent="0.35">
      <c r="B9163" s="171"/>
    </row>
    <row r="9164" spans="2:2" ht="15.5" x14ac:dyDescent="0.35">
      <c r="B9164" s="171"/>
    </row>
    <row r="9165" spans="2:2" ht="15.5" x14ac:dyDescent="0.35">
      <c r="B9165" s="171"/>
    </row>
    <row r="9166" spans="2:2" ht="15.5" x14ac:dyDescent="0.35">
      <c r="B9166" s="171"/>
    </row>
    <row r="9167" spans="2:2" ht="15.5" x14ac:dyDescent="0.35">
      <c r="B9167" s="171"/>
    </row>
    <row r="9168" spans="2:2" ht="15.5" x14ac:dyDescent="0.35">
      <c r="B9168" s="171"/>
    </row>
    <row r="9169" spans="2:2" ht="15.5" x14ac:dyDescent="0.35">
      <c r="B9169" s="171"/>
    </row>
    <row r="9170" spans="2:2" ht="15.5" x14ac:dyDescent="0.35">
      <c r="B9170" s="171"/>
    </row>
    <row r="9171" spans="2:2" ht="15.5" x14ac:dyDescent="0.35">
      <c r="B9171" s="171"/>
    </row>
    <row r="9172" spans="2:2" ht="15.5" x14ac:dyDescent="0.35">
      <c r="B9172" s="171"/>
    </row>
    <row r="9173" spans="2:2" ht="15.5" x14ac:dyDescent="0.35">
      <c r="B9173" s="171"/>
    </row>
    <row r="9174" spans="2:2" ht="15.5" x14ac:dyDescent="0.35">
      <c r="B9174" s="171"/>
    </row>
    <row r="9175" spans="2:2" ht="15.5" x14ac:dyDescent="0.35">
      <c r="B9175" s="171"/>
    </row>
    <row r="9176" spans="2:2" ht="15.5" x14ac:dyDescent="0.35">
      <c r="B9176" s="171"/>
    </row>
    <row r="9177" spans="2:2" ht="15.5" x14ac:dyDescent="0.35">
      <c r="B9177" s="171"/>
    </row>
    <row r="9178" spans="2:2" ht="15.5" x14ac:dyDescent="0.35">
      <c r="B9178" s="171"/>
    </row>
    <row r="9179" spans="2:2" ht="15.5" x14ac:dyDescent="0.35">
      <c r="B9179" s="171"/>
    </row>
    <row r="9180" spans="2:2" ht="15.5" x14ac:dyDescent="0.35">
      <c r="B9180" s="171"/>
    </row>
    <row r="9181" spans="2:2" ht="15.5" x14ac:dyDescent="0.35">
      <c r="B9181" s="171"/>
    </row>
    <row r="9182" spans="2:2" ht="15.5" x14ac:dyDescent="0.35">
      <c r="B9182" s="171"/>
    </row>
    <row r="9183" spans="2:2" ht="15.5" x14ac:dyDescent="0.35">
      <c r="B9183" s="171"/>
    </row>
    <row r="9184" spans="2:2" ht="15.5" x14ac:dyDescent="0.35">
      <c r="B9184" s="171"/>
    </row>
    <row r="9185" spans="2:2" ht="15.5" x14ac:dyDescent="0.35">
      <c r="B9185" s="171"/>
    </row>
    <row r="9186" spans="2:2" ht="15.5" x14ac:dyDescent="0.35">
      <c r="B9186" s="171"/>
    </row>
    <row r="9187" spans="2:2" ht="15.5" x14ac:dyDescent="0.35">
      <c r="B9187" s="171"/>
    </row>
    <row r="9188" spans="2:2" ht="15.5" x14ac:dyDescent="0.35">
      <c r="B9188" s="171"/>
    </row>
    <row r="9189" spans="2:2" ht="15.5" x14ac:dyDescent="0.35">
      <c r="B9189" s="171"/>
    </row>
    <row r="9190" spans="2:2" ht="15.5" x14ac:dyDescent="0.35">
      <c r="B9190" s="171"/>
    </row>
    <row r="9191" spans="2:2" ht="15.5" x14ac:dyDescent="0.35">
      <c r="B9191" s="171"/>
    </row>
    <row r="9192" spans="2:2" ht="15.5" x14ac:dyDescent="0.35">
      <c r="B9192" s="171"/>
    </row>
    <row r="9193" spans="2:2" ht="15.5" x14ac:dyDescent="0.35">
      <c r="B9193" s="171"/>
    </row>
    <row r="9194" spans="2:2" ht="15.5" x14ac:dyDescent="0.35">
      <c r="B9194" s="171"/>
    </row>
    <row r="9195" spans="2:2" ht="15.5" x14ac:dyDescent="0.35">
      <c r="B9195" s="171"/>
    </row>
    <row r="9196" spans="2:2" ht="15.5" x14ac:dyDescent="0.35">
      <c r="B9196" s="171"/>
    </row>
    <row r="9197" spans="2:2" ht="15.5" x14ac:dyDescent="0.35">
      <c r="B9197" s="171"/>
    </row>
    <row r="9198" spans="2:2" ht="15.5" x14ac:dyDescent="0.35">
      <c r="B9198" s="171"/>
    </row>
    <row r="9199" spans="2:2" ht="15.5" x14ac:dyDescent="0.35">
      <c r="B9199" s="171"/>
    </row>
    <row r="9200" spans="2:2" ht="15.5" x14ac:dyDescent="0.35">
      <c r="B9200" s="171"/>
    </row>
    <row r="9201" spans="2:2" ht="15.5" x14ac:dyDescent="0.35">
      <c r="B9201" s="171"/>
    </row>
    <row r="9202" spans="2:2" ht="15.5" x14ac:dyDescent="0.35">
      <c r="B9202" s="171"/>
    </row>
    <row r="9203" spans="2:2" ht="15.5" x14ac:dyDescent="0.35">
      <c r="B9203" s="171"/>
    </row>
    <row r="9204" spans="2:2" ht="15.5" x14ac:dyDescent="0.35">
      <c r="B9204" s="171"/>
    </row>
    <row r="9205" spans="2:2" ht="15.5" x14ac:dyDescent="0.35">
      <c r="B9205" s="171"/>
    </row>
    <row r="9206" spans="2:2" ht="15.5" x14ac:dyDescent="0.35">
      <c r="B9206" s="171"/>
    </row>
    <row r="9207" spans="2:2" ht="15.5" x14ac:dyDescent="0.35">
      <c r="B9207" s="171"/>
    </row>
    <row r="9208" spans="2:2" ht="15.5" x14ac:dyDescent="0.35">
      <c r="B9208" s="171"/>
    </row>
    <row r="9209" spans="2:2" ht="15.5" x14ac:dyDescent="0.35">
      <c r="B9209" s="171"/>
    </row>
    <row r="9210" spans="2:2" ht="15.5" x14ac:dyDescent="0.35">
      <c r="B9210" s="171"/>
    </row>
    <row r="9211" spans="2:2" ht="15.5" x14ac:dyDescent="0.35">
      <c r="B9211" s="171"/>
    </row>
    <row r="9212" spans="2:2" ht="15.5" x14ac:dyDescent="0.35">
      <c r="B9212" s="171"/>
    </row>
    <row r="9213" spans="2:2" ht="15.5" x14ac:dyDescent="0.35">
      <c r="B9213" s="171"/>
    </row>
    <row r="9214" spans="2:2" ht="15.5" x14ac:dyDescent="0.35">
      <c r="B9214" s="171"/>
    </row>
    <row r="9215" spans="2:2" ht="15.5" x14ac:dyDescent="0.35">
      <c r="B9215" s="171"/>
    </row>
    <row r="9216" spans="2:2" ht="15.5" x14ac:dyDescent="0.35">
      <c r="B9216" s="171"/>
    </row>
    <row r="9217" spans="2:2" ht="15.5" x14ac:dyDescent="0.35">
      <c r="B9217" s="171"/>
    </row>
    <row r="9218" spans="2:2" ht="15.5" x14ac:dyDescent="0.35">
      <c r="B9218" s="171"/>
    </row>
    <row r="9219" spans="2:2" ht="15.5" x14ac:dyDescent="0.35">
      <c r="B9219" s="171"/>
    </row>
    <row r="9220" spans="2:2" ht="15.5" x14ac:dyDescent="0.35">
      <c r="B9220" s="171"/>
    </row>
    <row r="9221" spans="2:2" ht="15.5" x14ac:dyDescent="0.35">
      <c r="B9221" s="171"/>
    </row>
    <row r="9222" spans="2:2" ht="15.5" x14ac:dyDescent="0.35">
      <c r="B9222" s="171"/>
    </row>
    <row r="9223" spans="2:2" ht="15.5" x14ac:dyDescent="0.35">
      <c r="B9223" s="171"/>
    </row>
    <row r="9224" spans="2:2" ht="15.5" x14ac:dyDescent="0.35">
      <c r="B9224" s="171"/>
    </row>
    <row r="9225" spans="2:2" ht="15.5" x14ac:dyDescent="0.35">
      <c r="B9225" s="171"/>
    </row>
    <row r="9226" spans="2:2" ht="15.5" x14ac:dyDescent="0.35">
      <c r="B9226" s="171"/>
    </row>
    <row r="9227" spans="2:2" ht="15.5" x14ac:dyDescent="0.35">
      <c r="B9227" s="171"/>
    </row>
    <row r="9228" spans="2:2" ht="15.5" x14ac:dyDescent="0.35">
      <c r="B9228" s="171"/>
    </row>
    <row r="9229" spans="2:2" ht="15.5" x14ac:dyDescent="0.35">
      <c r="B9229" s="171"/>
    </row>
    <row r="9230" spans="2:2" ht="15.5" x14ac:dyDescent="0.35">
      <c r="B9230" s="171"/>
    </row>
    <row r="9231" spans="2:2" ht="15.5" x14ac:dyDescent="0.35">
      <c r="B9231" s="171"/>
    </row>
    <row r="9232" spans="2:2" ht="15.5" x14ac:dyDescent="0.35">
      <c r="B9232" s="171"/>
    </row>
    <row r="9233" spans="2:2" ht="15.5" x14ac:dyDescent="0.35">
      <c r="B9233" s="171"/>
    </row>
    <row r="9234" spans="2:2" ht="15.5" x14ac:dyDescent="0.35">
      <c r="B9234" s="171"/>
    </row>
    <row r="9235" spans="2:2" ht="15.5" x14ac:dyDescent="0.35">
      <c r="B9235" s="171"/>
    </row>
    <row r="9236" spans="2:2" ht="15.5" x14ac:dyDescent="0.35">
      <c r="B9236" s="171"/>
    </row>
    <row r="9237" spans="2:2" ht="15.5" x14ac:dyDescent="0.35">
      <c r="B9237" s="171"/>
    </row>
    <row r="9238" spans="2:2" ht="15.5" x14ac:dyDescent="0.35">
      <c r="B9238" s="171"/>
    </row>
    <row r="9239" spans="2:2" ht="15.5" x14ac:dyDescent="0.35">
      <c r="B9239" s="171"/>
    </row>
    <row r="9240" spans="2:2" ht="15.5" x14ac:dyDescent="0.35">
      <c r="B9240" s="171"/>
    </row>
    <row r="9241" spans="2:2" ht="15.5" x14ac:dyDescent="0.35">
      <c r="B9241" s="171"/>
    </row>
    <row r="9242" spans="2:2" ht="15.5" x14ac:dyDescent="0.35">
      <c r="B9242" s="171"/>
    </row>
    <row r="9243" spans="2:2" ht="15.5" x14ac:dyDescent="0.35">
      <c r="B9243" s="171"/>
    </row>
    <row r="9244" spans="2:2" ht="15.5" x14ac:dyDescent="0.35">
      <c r="B9244" s="171"/>
    </row>
    <row r="9245" spans="2:2" ht="15.5" x14ac:dyDescent="0.35">
      <c r="B9245" s="171"/>
    </row>
    <row r="9246" spans="2:2" ht="15.5" x14ac:dyDescent="0.35">
      <c r="B9246" s="171"/>
    </row>
    <row r="9247" spans="2:2" ht="15.5" x14ac:dyDescent="0.35">
      <c r="B9247" s="171"/>
    </row>
    <row r="9248" spans="2:2" ht="15.5" x14ac:dyDescent="0.35">
      <c r="B9248" s="171"/>
    </row>
    <row r="9249" spans="2:2" ht="15.5" x14ac:dyDescent="0.35">
      <c r="B9249" s="171"/>
    </row>
    <row r="9250" spans="2:2" ht="15.5" x14ac:dyDescent="0.35">
      <c r="B9250" s="171"/>
    </row>
    <row r="9251" spans="2:2" ht="15.5" x14ac:dyDescent="0.35">
      <c r="B9251" s="171"/>
    </row>
    <row r="9252" spans="2:2" ht="15.5" x14ac:dyDescent="0.35">
      <c r="B9252" s="171"/>
    </row>
    <row r="9253" spans="2:2" ht="15.5" x14ac:dyDescent="0.35">
      <c r="B9253" s="171"/>
    </row>
    <row r="9254" spans="2:2" ht="15.5" x14ac:dyDescent="0.35">
      <c r="B9254" s="171"/>
    </row>
    <row r="9255" spans="2:2" ht="15.5" x14ac:dyDescent="0.35">
      <c r="B9255" s="171"/>
    </row>
    <row r="9256" spans="2:2" ht="15.5" x14ac:dyDescent="0.35">
      <c r="B9256" s="171"/>
    </row>
    <row r="9257" spans="2:2" ht="15.5" x14ac:dyDescent="0.35">
      <c r="B9257" s="171"/>
    </row>
    <row r="9258" spans="2:2" ht="15.5" x14ac:dyDescent="0.35">
      <c r="B9258" s="171"/>
    </row>
    <row r="9259" spans="2:2" ht="15.5" x14ac:dyDescent="0.35">
      <c r="B9259" s="171"/>
    </row>
    <row r="9260" spans="2:2" ht="15.5" x14ac:dyDescent="0.35">
      <c r="B9260" s="171"/>
    </row>
    <row r="9261" spans="2:2" ht="15.5" x14ac:dyDescent="0.35">
      <c r="B9261" s="171"/>
    </row>
    <row r="9262" spans="2:2" ht="15.5" x14ac:dyDescent="0.35">
      <c r="B9262" s="171"/>
    </row>
    <row r="9263" spans="2:2" ht="15.5" x14ac:dyDescent="0.35">
      <c r="B9263" s="171"/>
    </row>
    <row r="9264" spans="2:2" ht="15.5" x14ac:dyDescent="0.35">
      <c r="B9264" s="171"/>
    </row>
    <row r="9265" spans="2:2" ht="15.5" x14ac:dyDescent="0.35">
      <c r="B9265" s="171"/>
    </row>
    <row r="9266" spans="2:2" ht="15.5" x14ac:dyDescent="0.35">
      <c r="B9266" s="171"/>
    </row>
    <row r="9267" spans="2:2" ht="15.5" x14ac:dyDescent="0.35">
      <c r="B9267" s="171"/>
    </row>
    <row r="9268" spans="2:2" ht="15.5" x14ac:dyDescent="0.35">
      <c r="B9268" s="171"/>
    </row>
    <row r="9269" spans="2:2" ht="15.5" x14ac:dyDescent="0.35">
      <c r="B9269" s="171"/>
    </row>
    <row r="9270" spans="2:2" ht="15.5" x14ac:dyDescent="0.35">
      <c r="B9270" s="171"/>
    </row>
    <row r="9271" spans="2:2" ht="15.5" x14ac:dyDescent="0.35">
      <c r="B9271" s="171"/>
    </row>
    <row r="9272" spans="2:2" ht="15.5" x14ac:dyDescent="0.35">
      <c r="B9272" s="171"/>
    </row>
    <row r="9273" spans="2:2" ht="15.5" x14ac:dyDescent="0.35">
      <c r="B9273" s="171"/>
    </row>
    <row r="9274" spans="2:2" ht="15.5" x14ac:dyDescent="0.35">
      <c r="B9274" s="171"/>
    </row>
    <row r="9275" spans="2:2" ht="15.5" x14ac:dyDescent="0.35">
      <c r="B9275" s="171"/>
    </row>
    <row r="9276" spans="2:2" ht="15.5" x14ac:dyDescent="0.35">
      <c r="B9276" s="171"/>
    </row>
    <row r="9277" spans="2:2" ht="15.5" x14ac:dyDescent="0.35">
      <c r="B9277" s="171"/>
    </row>
    <row r="9278" spans="2:2" ht="15.5" x14ac:dyDescent="0.35">
      <c r="B9278" s="171"/>
    </row>
    <row r="9279" spans="2:2" ht="15.5" x14ac:dyDescent="0.35">
      <c r="B9279" s="171"/>
    </row>
    <row r="9280" spans="2:2" ht="15.5" x14ac:dyDescent="0.35">
      <c r="B9280" s="171"/>
    </row>
    <row r="9281" spans="2:2" ht="15.5" x14ac:dyDescent="0.35">
      <c r="B9281" s="171"/>
    </row>
    <row r="9282" spans="2:2" ht="15.5" x14ac:dyDescent="0.35">
      <c r="B9282" s="171"/>
    </row>
    <row r="9283" spans="2:2" ht="15.5" x14ac:dyDescent="0.35">
      <c r="B9283" s="171"/>
    </row>
    <row r="9284" spans="2:2" ht="15.5" x14ac:dyDescent="0.35">
      <c r="B9284" s="171"/>
    </row>
    <row r="9285" spans="2:2" ht="15.5" x14ac:dyDescent="0.35">
      <c r="B9285" s="171"/>
    </row>
    <row r="9286" spans="2:2" ht="15.5" x14ac:dyDescent="0.35">
      <c r="B9286" s="171"/>
    </row>
    <row r="9287" spans="2:2" ht="15.5" x14ac:dyDescent="0.35">
      <c r="B9287" s="171"/>
    </row>
    <row r="9288" spans="2:2" ht="15.5" x14ac:dyDescent="0.35">
      <c r="B9288" s="171"/>
    </row>
    <row r="9289" spans="2:2" ht="15.5" x14ac:dyDescent="0.35">
      <c r="B9289" s="171"/>
    </row>
    <row r="9290" spans="2:2" ht="15.5" x14ac:dyDescent="0.35">
      <c r="B9290" s="171"/>
    </row>
    <row r="9291" spans="2:2" ht="15.5" x14ac:dyDescent="0.35">
      <c r="B9291" s="171"/>
    </row>
    <row r="9292" spans="2:2" ht="15.5" x14ac:dyDescent="0.35">
      <c r="B9292" s="171"/>
    </row>
    <row r="9293" spans="2:2" ht="15.5" x14ac:dyDescent="0.35">
      <c r="B9293" s="171"/>
    </row>
    <row r="9294" spans="2:2" ht="15.5" x14ac:dyDescent="0.35">
      <c r="B9294" s="171"/>
    </row>
    <row r="9295" spans="2:2" ht="15.5" x14ac:dyDescent="0.35">
      <c r="B9295" s="171"/>
    </row>
    <row r="9296" spans="2:2" ht="15.5" x14ac:dyDescent="0.35">
      <c r="B9296" s="171"/>
    </row>
    <row r="9297" spans="2:2" ht="15.5" x14ac:dyDescent="0.35">
      <c r="B9297" s="171"/>
    </row>
    <row r="9298" spans="2:2" ht="15.5" x14ac:dyDescent="0.35">
      <c r="B9298" s="171"/>
    </row>
    <row r="9299" spans="2:2" ht="15.5" x14ac:dyDescent="0.35">
      <c r="B9299" s="171"/>
    </row>
    <row r="9300" spans="2:2" ht="15.5" x14ac:dyDescent="0.35">
      <c r="B9300" s="171"/>
    </row>
    <row r="9301" spans="2:2" ht="15.5" x14ac:dyDescent="0.35">
      <c r="B9301" s="171"/>
    </row>
    <row r="9302" spans="2:2" ht="15.5" x14ac:dyDescent="0.35">
      <c r="B9302" s="171"/>
    </row>
    <row r="9303" spans="2:2" ht="15.5" x14ac:dyDescent="0.35">
      <c r="B9303" s="171"/>
    </row>
    <row r="9304" spans="2:2" ht="15.5" x14ac:dyDescent="0.35">
      <c r="B9304" s="171"/>
    </row>
    <row r="9305" spans="2:2" ht="15.5" x14ac:dyDescent="0.35">
      <c r="B9305" s="171"/>
    </row>
    <row r="9306" spans="2:2" ht="15.5" x14ac:dyDescent="0.35">
      <c r="B9306" s="171"/>
    </row>
    <row r="9307" spans="2:2" ht="15.5" x14ac:dyDescent="0.35">
      <c r="B9307" s="171"/>
    </row>
    <row r="9308" spans="2:2" ht="15.5" x14ac:dyDescent="0.35">
      <c r="B9308" s="171"/>
    </row>
    <row r="9309" spans="2:2" ht="15.5" x14ac:dyDescent="0.35">
      <c r="B9309" s="171"/>
    </row>
    <row r="9310" spans="2:2" ht="15.5" x14ac:dyDescent="0.35">
      <c r="B9310" s="171"/>
    </row>
    <row r="9311" spans="2:2" ht="15.5" x14ac:dyDescent="0.35">
      <c r="B9311" s="171"/>
    </row>
    <row r="9312" spans="2:2" ht="15.5" x14ac:dyDescent="0.35">
      <c r="B9312" s="171"/>
    </row>
    <row r="9313" spans="2:2" ht="15.5" x14ac:dyDescent="0.35">
      <c r="B9313" s="171"/>
    </row>
    <row r="9314" spans="2:2" ht="15.5" x14ac:dyDescent="0.35">
      <c r="B9314" s="171"/>
    </row>
    <row r="9315" spans="2:2" ht="15.5" x14ac:dyDescent="0.35">
      <c r="B9315" s="171"/>
    </row>
    <row r="9316" spans="2:2" ht="15.5" x14ac:dyDescent="0.35">
      <c r="B9316" s="171"/>
    </row>
    <row r="9317" spans="2:2" ht="15.5" x14ac:dyDescent="0.35">
      <c r="B9317" s="171"/>
    </row>
    <row r="9318" spans="2:2" ht="15.5" x14ac:dyDescent="0.35">
      <c r="B9318" s="171"/>
    </row>
    <row r="9319" spans="2:2" ht="15.5" x14ac:dyDescent="0.35">
      <c r="B9319" s="171"/>
    </row>
    <row r="9320" spans="2:2" ht="15.5" x14ac:dyDescent="0.35">
      <c r="B9320" s="171"/>
    </row>
    <row r="9321" spans="2:2" ht="15.5" x14ac:dyDescent="0.35">
      <c r="B9321" s="171"/>
    </row>
    <row r="9322" spans="2:2" ht="15.5" x14ac:dyDescent="0.35">
      <c r="B9322" s="171"/>
    </row>
    <row r="9323" spans="2:2" ht="15.5" x14ac:dyDescent="0.35">
      <c r="B9323" s="171"/>
    </row>
    <row r="9324" spans="2:2" ht="15.5" x14ac:dyDescent="0.35">
      <c r="B9324" s="171"/>
    </row>
    <row r="9325" spans="2:2" ht="15.5" x14ac:dyDescent="0.35">
      <c r="B9325" s="171"/>
    </row>
    <row r="9326" spans="2:2" ht="15.5" x14ac:dyDescent="0.35">
      <c r="B9326" s="171"/>
    </row>
    <row r="9327" spans="2:2" ht="15.5" x14ac:dyDescent="0.35">
      <c r="B9327" s="171"/>
    </row>
    <row r="9328" spans="2:2" ht="15.5" x14ac:dyDescent="0.35">
      <c r="B9328" s="171"/>
    </row>
    <row r="9329" spans="2:2" ht="15.5" x14ac:dyDescent="0.35">
      <c r="B9329" s="171"/>
    </row>
    <row r="9330" spans="2:2" ht="15.5" x14ac:dyDescent="0.35">
      <c r="B9330" s="171"/>
    </row>
    <row r="9331" spans="2:2" ht="15.5" x14ac:dyDescent="0.35">
      <c r="B9331" s="171"/>
    </row>
    <row r="9332" spans="2:2" ht="15.5" x14ac:dyDescent="0.35">
      <c r="B9332" s="171"/>
    </row>
    <row r="9333" spans="2:2" ht="15.5" x14ac:dyDescent="0.35">
      <c r="B9333" s="171"/>
    </row>
    <row r="9334" spans="2:2" ht="15.5" x14ac:dyDescent="0.35">
      <c r="B9334" s="171"/>
    </row>
    <row r="9335" spans="2:2" ht="15.5" x14ac:dyDescent="0.35">
      <c r="B9335" s="171"/>
    </row>
    <row r="9336" spans="2:2" ht="15.5" x14ac:dyDescent="0.35">
      <c r="B9336" s="171"/>
    </row>
    <row r="9337" spans="2:2" ht="15.5" x14ac:dyDescent="0.35">
      <c r="B9337" s="171"/>
    </row>
    <row r="9338" spans="2:2" ht="15.5" x14ac:dyDescent="0.35">
      <c r="B9338" s="171"/>
    </row>
    <row r="9339" spans="2:2" ht="15.5" x14ac:dyDescent="0.35">
      <c r="B9339" s="171"/>
    </row>
    <row r="9340" spans="2:2" ht="15.5" x14ac:dyDescent="0.35">
      <c r="B9340" s="171"/>
    </row>
    <row r="9341" spans="2:2" ht="15.5" x14ac:dyDescent="0.35">
      <c r="B9341" s="171"/>
    </row>
    <row r="9342" spans="2:2" ht="15.5" x14ac:dyDescent="0.35">
      <c r="B9342" s="171"/>
    </row>
    <row r="9343" spans="2:2" ht="15.5" x14ac:dyDescent="0.35">
      <c r="B9343" s="171"/>
    </row>
    <row r="9344" spans="2:2" ht="15.5" x14ac:dyDescent="0.35">
      <c r="B9344" s="171"/>
    </row>
    <row r="9345" spans="2:2" ht="15.5" x14ac:dyDescent="0.35">
      <c r="B9345" s="171"/>
    </row>
    <row r="9346" spans="2:2" ht="15.5" x14ac:dyDescent="0.35">
      <c r="B9346" s="171"/>
    </row>
    <row r="9347" spans="2:2" ht="15.5" x14ac:dyDescent="0.35">
      <c r="B9347" s="171"/>
    </row>
    <row r="9348" spans="2:2" ht="15.5" x14ac:dyDescent="0.35">
      <c r="B9348" s="171"/>
    </row>
    <row r="9349" spans="2:2" ht="15.5" x14ac:dyDescent="0.35">
      <c r="B9349" s="171"/>
    </row>
    <row r="9350" spans="2:2" ht="15.5" x14ac:dyDescent="0.35">
      <c r="B9350" s="171"/>
    </row>
    <row r="9351" spans="2:2" ht="15.5" x14ac:dyDescent="0.35">
      <c r="B9351" s="171"/>
    </row>
    <row r="9352" spans="2:2" ht="15.5" x14ac:dyDescent="0.35">
      <c r="B9352" s="171"/>
    </row>
    <row r="9353" spans="2:2" ht="15.5" x14ac:dyDescent="0.35">
      <c r="B9353" s="171"/>
    </row>
    <row r="9354" spans="2:2" ht="15.5" x14ac:dyDescent="0.35">
      <c r="B9354" s="171"/>
    </row>
    <row r="9355" spans="2:2" ht="15.5" x14ac:dyDescent="0.35">
      <c r="B9355" s="171"/>
    </row>
    <row r="9356" spans="2:2" ht="15.5" x14ac:dyDescent="0.35">
      <c r="B9356" s="171"/>
    </row>
    <row r="9357" spans="2:2" ht="15.5" x14ac:dyDescent="0.35">
      <c r="B9357" s="171"/>
    </row>
    <row r="9358" spans="2:2" ht="15.5" x14ac:dyDescent="0.35">
      <c r="B9358" s="171"/>
    </row>
    <row r="9359" spans="2:2" ht="15.5" x14ac:dyDescent="0.35">
      <c r="B9359" s="171"/>
    </row>
    <row r="9360" spans="2:2" ht="15.5" x14ac:dyDescent="0.35">
      <c r="B9360" s="171"/>
    </row>
    <row r="9361" spans="2:2" ht="15.5" x14ac:dyDescent="0.35">
      <c r="B9361" s="171"/>
    </row>
    <row r="9362" spans="2:2" ht="15.5" x14ac:dyDescent="0.35">
      <c r="B9362" s="171"/>
    </row>
    <row r="9363" spans="2:2" ht="15.5" x14ac:dyDescent="0.35">
      <c r="B9363" s="171"/>
    </row>
    <row r="9364" spans="2:2" ht="15.5" x14ac:dyDescent="0.35">
      <c r="B9364" s="171"/>
    </row>
    <row r="9365" spans="2:2" ht="15.5" x14ac:dyDescent="0.35">
      <c r="B9365" s="171"/>
    </row>
    <row r="9366" spans="2:2" ht="15.5" x14ac:dyDescent="0.35">
      <c r="B9366" s="171"/>
    </row>
    <row r="9367" spans="2:2" ht="15.5" x14ac:dyDescent="0.35">
      <c r="B9367" s="171"/>
    </row>
    <row r="9368" spans="2:2" ht="15.5" x14ac:dyDescent="0.35">
      <c r="B9368" s="171"/>
    </row>
    <row r="9369" spans="2:2" ht="15.5" x14ac:dyDescent="0.35">
      <c r="B9369" s="171"/>
    </row>
    <row r="9370" spans="2:2" ht="15.5" x14ac:dyDescent="0.35">
      <c r="B9370" s="171"/>
    </row>
    <row r="9371" spans="2:2" ht="15.5" x14ac:dyDescent="0.35">
      <c r="B9371" s="171"/>
    </row>
    <row r="9372" spans="2:2" ht="15.5" x14ac:dyDescent="0.35">
      <c r="B9372" s="171"/>
    </row>
    <row r="9373" spans="2:2" ht="15.5" x14ac:dyDescent="0.35">
      <c r="B9373" s="171"/>
    </row>
    <row r="9374" spans="2:2" ht="15.5" x14ac:dyDescent="0.35">
      <c r="B9374" s="171"/>
    </row>
    <row r="9375" spans="2:2" ht="15.5" x14ac:dyDescent="0.35">
      <c r="B9375" s="171"/>
    </row>
    <row r="9376" spans="2:2" ht="15.5" x14ac:dyDescent="0.35">
      <c r="B9376" s="171"/>
    </row>
    <row r="9377" spans="2:2" ht="15.5" x14ac:dyDescent="0.35">
      <c r="B9377" s="171"/>
    </row>
    <row r="9378" spans="2:2" ht="15.5" x14ac:dyDescent="0.35">
      <c r="B9378" s="171"/>
    </row>
    <row r="9379" spans="2:2" ht="15.5" x14ac:dyDescent="0.35">
      <c r="B9379" s="171"/>
    </row>
    <row r="9380" spans="2:2" ht="15.5" x14ac:dyDescent="0.35">
      <c r="B9380" s="171"/>
    </row>
    <row r="9381" spans="2:2" ht="15.5" x14ac:dyDescent="0.35">
      <c r="B9381" s="171"/>
    </row>
    <row r="9382" spans="2:2" ht="15.5" x14ac:dyDescent="0.35">
      <c r="B9382" s="171"/>
    </row>
    <row r="9383" spans="2:2" ht="15.5" x14ac:dyDescent="0.35">
      <c r="B9383" s="171"/>
    </row>
    <row r="9384" spans="2:2" ht="15.5" x14ac:dyDescent="0.35">
      <c r="B9384" s="171"/>
    </row>
    <row r="9385" spans="2:2" ht="15.5" x14ac:dyDescent="0.35">
      <c r="B9385" s="171"/>
    </row>
    <row r="9386" spans="2:2" ht="15.5" x14ac:dyDescent="0.35">
      <c r="B9386" s="171"/>
    </row>
    <row r="9387" spans="2:2" ht="15.5" x14ac:dyDescent="0.35">
      <c r="B9387" s="171"/>
    </row>
    <row r="9388" spans="2:2" ht="15.5" x14ac:dyDescent="0.35">
      <c r="B9388" s="171"/>
    </row>
    <row r="9389" spans="2:2" ht="15.5" x14ac:dyDescent="0.35">
      <c r="B9389" s="171"/>
    </row>
    <row r="9390" spans="2:2" ht="15.5" x14ac:dyDescent="0.35">
      <c r="B9390" s="171"/>
    </row>
    <row r="9391" spans="2:2" ht="15.5" x14ac:dyDescent="0.35">
      <c r="B9391" s="171"/>
    </row>
    <row r="9392" spans="2:2" ht="15.5" x14ac:dyDescent="0.35">
      <c r="B9392" s="171"/>
    </row>
    <row r="9393" spans="2:2" ht="15.5" x14ac:dyDescent="0.35">
      <c r="B9393" s="171"/>
    </row>
    <row r="9394" spans="2:2" ht="15.5" x14ac:dyDescent="0.35">
      <c r="B9394" s="171"/>
    </row>
    <row r="9395" spans="2:2" ht="15.5" x14ac:dyDescent="0.35">
      <c r="B9395" s="171"/>
    </row>
    <row r="9396" spans="2:2" ht="15.5" x14ac:dyDescent="0.35">
      <c r="B9396" s="171"/>
    </row>
    <row r="9397" spans="2:2" ht="15.5" x14ac:dyDescent="0.35">
      <c r="B9397" s="171"/>
    </row>
    <row r="9398" spans="2:2" ht="15.5" x14ac:dyDescent="0.35">
      <c r="B9398" s="171"/>
    </row>
    <row r="9399" spans="2:2" ht="15.5" x14ac:dyDescent="0.35">
      <c r="B9399" s="171"/>
    </row>
    <row r="9400" spans="2:2" ht="15.5" x14ac:dyDescent="0.35">
      <c r="B9400" s="171"/>
    </row>
    <row r="9401" spans="2:2" ht="15.5" x14ac:dyDescent="0.35">
      <c r="B9401" s="171"/>
    </row>
    <row r="9402" spans="2:2" ht="15.5" x14ac:dyDescent="0.35">
      <c r="B9402" s="171"/>
    </row>
    <row r="9403" spans="2:2" ht="15.5" x14ac:dyDescent="0.35">
      <c r="B9403" s="171"/>
    </row>
    <row r="9404" spans="2:2" ht="15.5" x14ac:dyDescent="0.35">
      <c r="B9404" s="171"/>
    </row>
    <row r="9405" spans="2:2" ht="15.5" x14ac:dyDescent="0.35">
      <c r="B9405" s="171"/>
    </row>
    <row r="9406" spans="2:2" ht="15.5" x14ac:dyDescent="0.35">
      <c r="B9406" s="171"/>
    </row>
    <row r="9407" spans="2:2" ht="15.5" x14ac:dyDescent="0.35">
      <c r="B9407" s="171"/>
    </row>
    <row r="9408" spans="2:2" ht="15.5" x14ac:dyDescent="0.35">
      <c r="B9408" s="171"/>
    </row>
    <row r="9409" spans="2:2" ht="15.5" x14ac:dyDescent="0.35">
      <c r="B9409" s="171"/>
    </row>
    <row r="9410" spans="2:2" ht="15.5" x14ac:dyDescent="0.35">
      <c r="B9410" s="171"/>
    </row>
    <row r="9411" spans="2:2" ht="15.5" x14ac:dyDescent="0.35">
      <c r="B9411" s="171"/>
    </row>
    <row r="9412" spans="2:2" ht="15.5" x14ac:dyDescent="0.35">
      <c r="B9412" s="171"/>
    </row>
    <row r="9413" spans="2:2" ht="15.5" x14ac:dyDescent="0.35">
      <c r="B9413" s="171"/>
    </row>
    <row r="9414" spans="2:2" ht="15.5" x14ac:dyDescent="0.35">
      <c r="B9414" s="171"/>
    </row>
    <row r="9415" spans="2:2" ht="15.5" x14ac:dyDescent="0.35">
      <c r="B9415" s="171"/>
    </row>
    <row r="9416" spans="2:2" ht="15.5" x14ac:dyDescent="0.35">
      <c r="B9416" s="171"/>
    </row>
    <row r="9417" spans="2:2" ht="15.5" x14ac:dyDescent="0.35">
      <c r="B9417" s="171"/>
    </row>
    <row r="9418" spans="2:2" ht="15.5" x14ac:dyDescent="0.35">
      <c r="B9418" s="171"/>
    </row>
    <row r="9419" spans="2:2" ht="15.5" x14ac:dyDescent="0.35">
      <c r="B9419" s="171"/>
    </row>
    <row r="9420" spans="2:2" ht="15.5" x14ac:dyDescent="0.35">
      <c r="B9420" s="171"/>
    </row>
    <row r="9421" spans="2:2" ht="15.5" x14ac:dyDescent="0.35">
      <c r="B9421" s="171"/>
    </row>
    <row r="9422" spans="2:2" ht="15.5" x14ac:dyDescent="0.35">
      <c r="B9422" s="171"/>
    </row>
    <row r="9423" spans="2:2" ht="15.5" x14ac:dyDescent="0.35">
      <c r="B9423" s="171"/>
    </row>
    <row r="9424" spans="2:2" ht="15.5" x14ac:dyDescent="0.35">
      <c r="B9424" s="171"/>
    </row>
    <row r="9425" spans="2:2" ht="15.5" x14ac:dyDescent="0.35">
      <c r="B9425" s="171"/>
    </row>
    <row r="9426" spans="2:2" ht="15.5" x14ac:dyDescent="0.35">
      <c r="B9426" s="171"/>
    </row>
    <row r="9427" spans="2:2" ht="15.5" x14ac:dyDescent="0.35">
      <c r="B9427" s="171"/>
    </row>
    <row r="9428" spans="2:2" ht="15.5" x14ac:dyDescent="0.35">
      <c r="B9428" s="171"/>
    </row>
    <row r="9429" spans="2:2" ht="15.5" x14ac:dyDescent="0.35">
      <c r="B9429" s="171"/>
    </row>
    <row r="9430" spans="2:2" ht="15.5" x14ac:dyDescent="0.35">
      <c r="B9430" s="171"/>
    </row>
    <row r="9431" spans="2:2" ht="15.5" x14ac:dyDescent="0.35">
      <c r="B9431" s="171"/>
    </row>
    <row r="9432" spans="2:2" ht="15.5" x14ac:dyDescent="0.35">
      <c r="B9432" s="171"/>
    </row>
    <row r="9433" spans="2:2" ht="15.5" x14ac:dyDescent="0.35">
      <c r="B9433" s="171"/>
    </row>
    <row r="9434" spans="2:2" ht="15.5" x14ac:dyDescent="0.35">
      <c r="B9434" s="171"/>
    </row>
    <row r="9435" spans="2:2" ht="15.5" x14ac:dyDescent="0.35">
      <c r="B9435" s="171"/>
    </row>
    <row r="9436" spans="2:2" ht="15.5" x14ac:dyDescent="0.35">
      <c r="B9436" s="171"/>
    </row>
    <row r="9437" spans="2:2" ht="15.5" x14ac:dyDescent="0.35">
      <c r="B9437" s="171"/>
    </row>
    <row r="9438" spans="2:2" ht="15.5" x14ac:dyDescent="0.35">
      <c r="B9438" s="171"/>
    </row>
    <row r="9439" spans="2:2" ht="15.5" x14ac:dyDescent="0.35">
      <c r="B9439" s="171"/>
    </row>
    <row r="9440" spans="2:2" ht="15.5" x14ac:dyDescent="0.35">
      <c r="B9440" s="171"/>
    </row>
    <row r="9441" spans="2:2" ht="15.5" x14ac:dyDescent="0.35">
      <c r="B9441" s="171"/>
    </row>
    <row r="9442" spans="2:2" ht="15.5" x14ac:dyDescent="0.35">
      <c r="B9442" s="171"/>
    </row>
    <row r="9443" spans="2:2" ht="15.5" x14ac:dyDescent="0.35">
      <c r="B9443" s="171"/>
    </row>
    <row r="9444" spans="2:2" ht="15.5" x14ac:dyDescent="0.35">
      <c r="B9444" s="171"/>
    </row>
    <row r="9445" spans="2:2" ht="15.5" x14ac:dyDescent="0.35">
      <c r="B9445" s="171"/>
    </row>
    <row r="9446" spans="2:2" ht="15.5" x14ac:dyDescent="0.35">
      <c r="B9446" s="171"/>
    </row>
    <row r="9447" spans="2:2" ht="15.5" x14ac:dyDescent="0.35">
      <c r="B9447" s="171"/>
    </row>
    <row r="9448" spans="2:2" ht="15.5" x14ac:dyDescent="0.35">
      <c r="B9448" s="171"/>
    </row>
    <row r="9449" spans="2:2" ht="15.5" x14ac:dyDescent="0.35">
      <c r="B9449" s="171"/>
    </row>
    <row r="9450" spans="2:2" ht="15.5" x14ac:dyDescent="0.35">
      <c r="B9450" s="171"/>
    </row>
    <row r="9451" spans="2:2" ht="15.5" x14ac:dyDescent="0.35">
      <c r="B9451" s="171"/>
    </row>
    <row r="9452" spans="2:2" ht="15.5" x14ac:dyDescent="0.35">
      <c r="B9452" s="171"/>
    </row>
    <row r="9453" spans="2:2" ht="15.5" x14ac:dyDescent="0.35">
      <c r="B9453" s="171"/>
    </row>
    <row r="9454" spans="2:2" ht="15.5" x14ac:dyDescent="0.35">
      <c r="B9454" s="171"/>
    </row>
    <row r="9455" spans="2:2" ht="15.5" x14ac:dyDescent="0.35">
      <c r="B9455" s="171"/>
    </row>
    <row r="9456" spans="2:2" ht="15.5" x14ac:dyDescent="0.35">
      <c r="B9456" s="171"/>
    </row>
    <row r="9457" spans="2:2" ht="15.5" x14ac:dyDescent="0.35">
      <c r="B9457" s="171"/>
    </row>
    <row r="9458" spans="2:2" ht="15.5" x14ac:dyDescent="0.35">
      <c r="B9458" s="171"/>
    </row>
    <row r="9459" spans="2:2" ht="15.5" x14ac:dyDescent="0.35">
      <c r="B9459" s="171"/>
    </row>
    <row r="9460" spans="2:2" ht="15.5" x14ac:dyDescent="0.35">
      <c r="B9460" s="171"/>
    </row>
    <row r="9461" spans="2:2" ht="15.5" x14ac:dyDescent="0.35">
      <c r="B9461" s="171"/>
    </row>
    <row r="9462" spans="2:2" ht="15.5" x14ac:dyDescent="0.35">
      <c r="B9462" s="171"/>
    </row>
    <row r="9463" spans="2:2" ht="15.5" x14ac:dyDescent="0.35">
      <c r="B9463" s="171"/>
    </row>
    <row r="9464" spans="2:2" ht="15.5" x14ac:dyDescent="0.35">
      <c r="B9464" s="171"/>
    </row>
    <row r="9465" spans="2:2" ht="15.5" x14ac:dyDescent="0.35">
      <c r="B9465" s="171"/>
    </row>
    <row r="9466" spans="2:2" ht="15.5" x14ac:dyDescent="0.35">
      <c r="B9466" s="171"/>
    </row>
    <row r="9467" spans="2:2" ht="15.5" x14ac:dyDescent="0.35">
      <c r="B9467" s="171"/>
    </row>
    <row r="9468" spans="2:2" ht="15.5" x14ac:dyDescent="0.35">
      <c r="B9468" s="171"/>
    </row>
    <row r="9469" spans="2:2" ht="15.5" x14ac:dyDescent="0.35">
      <c r="B9469" s="171"/>
    </row>
    <row r="9470" spans="2:2" ht="15.5" x14ac:dyDescent="0.35">
      <c r="B9470" s="171"/>
    </row>
    <row r="9471" spans="2:2" ht="15.5" x14ac:dyDescent="0.35">
      <c r="B9471" s="171"/>
    </row>
    <row r="9472" spans="2:2" ht="15.5" x14ac:dyDescent="0.35">
      <c r="B9472" s="171"/>
    </row>
    <row r="9473" spans="2:2" ht="15.5" x14ac:dyDescent="0.35">
      <c r="B9473" s="171"/>
    </row>
    <row r="9474" spans="2:2" ht="15.5" x14ac:dyDescent="0.35">
      <c r="B9474" s="171"/>
    </row>
    <row r="9475" spans="2:2" ht="15.5" x14ac:dyDescent="0.35">
      <c r="B9475" s="171"/>
    </row>
    <row r="9476" spans="2:2" ht="15.5" x14ac:dyDescent="0.35">
      <c r="B9476" s="171"/>
    </row>
    <row r="9477" spans="2:2" ht="15.5" x14ac:dyDescent="0.35">
      <c r="B9477" s="171"/>
    </row>
    <row r="9478" spans="2:2" ht="15.5" x14ac:dyDescent="0.35">
      <c r="B9478" s="171"/>
    </row>
    <row r="9479" spans="2:2" ht="15.5" x14ac:dyDescent="0.35">
      <c r="B9479" s="171"/>
    </row>
    <row r="9480" spans="2:2" ht="15.5" x14ac:dyDescent="0.35">
      <c r="B9480" s="171"/>
    </row>
    <row r="9481" spans="2:2" ht="15.5" x14ac:dyDescent="0.35">
      <c r="B9481" s="171"/>
    </row>
    <row r="9482" spans="2:2" ht="15.5" x14ac:dyDescent="0.35">
      <c r="B9482" s="171"/>
    </row>
    <row r="9483" spans="2:2" ht="15.5" x14ac:dyDescent="0.35">
      <c r="B9483" s="171"/>
    </row>
    <row r="9484" spans="2:2" ht="15.5" x14ac:dyDescent="0.35">
      <c r="B9484" s="171"/>
    </row>
    <row r="9485" spans="2:2" ht="15.5" x14ac:dyDescent="0.35">
      <c r="B9485" s="171"/>
    </row>
    <row r="9486" spans="2:2" ht="15.5" x14ac:dyDescent="0.35">
      <c r="B9486" s="171"/>
    </row>
    <row r="9487" spans="2:2" ht="15.5" x14ac:dyDescent="0.35">
      <c r="B9487" s="171"/>
    </row>
    <row r="9488" spans="2:2" ht="15.5" x14ac:dyDescent="0.35">
      <c r="B9488" s="171"/>
    </row>
    <row r="9489" spans="2:2" ht="15.5" x14ac:dyDescent="0.35">
      <c r="B9489" s="171"/>
    </row>
    <row r="9490" spans="2:2" ht="15.5" x14ac:dyDescent="0.35">
      <c r="B9490" s="171"/>
    </row>
    <row r="9491" spans="2:2" ht="15.5" x14ac:dyDescent="0.35">
      <c r="B9491" s="171"/>
    </row>
    <row r="9492" spans="2:2" ht="15.5" x14ac:dyDescent="0.35">
      <c r="B9492" s="171"/>
    </row>
    <row r="9493" spans="2:2" ht="15.5" x14ac:dyDescent="0.35">
      <c r="B9493" s="171"/>
    </row>
    <row r="9494" spans="2:2" ht="15.5" x14ac:dyDescent="0.35">
      <c r="B9494" s="171"/>
    </row>
    <row r="9495" spans="2:2" ht="15.5" x14ac:dyDescent="0.35">
      <c r="B9495" s="171"/>
    </row>
    <row r="9496" spans="2:2" ht="15.5" x14ac:dyDescent="0.35">
      <c r="B9496" s="171"/>
    </row>
    <row r="9497" spans="2:2" ht="15.5" x14ac:dyDescent="0.35">
      <c r="B9497" s="171"/>
    </row>
    <row r="9498" spans="2:2" ht="15.5" x14ac:dyDescent="0.35">
      <c r="B9498" s="171"/>
    </row>
    <row r="9499" spans="2:2" ht="15.5" x14ac:dyDescent="0.35">
      <c r="B9499" s="171"/>
    </row>
    <row r="9500" spans="2:2" ht="15.5" x14ac:dyDescent="0.35">
      <c r="B9500" s="171"/>
    </row>
    <row r="9501" spans="2:2" ht="15.5" x14ac:dyDescent="0.35">
      <c r="B9501" s="171"/>
    </row>
    <row r="9502" spans="2:2" ht="15.5" x14ac:dyDescent="0.35">
      <c r="B9502" s="171"/>
    </row>
    <row r="9503" spans="2:2" ht="15.5" x14ac:dyDescent="0.35">
      <c r="B9503" s="171"/>
    </row>
    <row r="9504" spans="2:2" ht="15.5" x14ac:dyDescent="0.35">
      <c r="B9504" s="171"/>
    </row>
    <row r="9505" spans="2:2" ht="15.5" x14ac:dyDescent="0.35">
      <c r="B9505" s="171"/>
    </row>
    <row r="9506" spans="2:2" ht="15.5" x14ac:dyDescent="0.35">
      <c r="B9506" s="171"/>
    </row>
    <row r="9507" spans="2:2" ht="15.5" x14ac:dyDescent="0.35">
      <c r="B9507" s="171"/>
    </row>
    <row r="9508" spans="2:2" ht="15.5" x14ac:dyDescent="0.35">
      <c r="B9508" s="171"/>
    </row>
    <row r="9509" spans="2:2" ht="15.5" x14ac:dyDescent="0.35">
      <c r="B9509" s="171"/>
    </row>
    <row r="9510" spans="2:2" ht="15.5" x14ac:dyDescent="0.35">
      <c r="B9510" s="171"/>
    </row>
    <row r="9511" spans="2:2" ht="15.5" x14ac:dyDescent="0.35">
      <c r="B9511" s="171"/>
    </row>
    <row r="9512" spans="2:2" ht="15.5" x14ac:dyDescent="0.35">
      <c r="B9512" s="171"/>
    </row>
    <row r="9513" spans="2:2" ht="15.5" x14ac:dyDescent="0.35">
      <c r="B9513" s="171"/>
    </row>
    <row r="9514" spans="2:2" ht="15.5" x14ac:dyDescent="0.35">
      <c r="B9514" s="171"/>
    </row>
    <row r="9515" spans="2:2" ht="15.5" x14ac:dyDescent="0.35">
      <c r="B9515" s="171"/>
    </row>
    <row r="9516" spans="2:2" ht="15.5" x14ac:dyDescent="0.35">
      <c r="B9516" s="171"/>
    </row>
    <row r="9517" spans="2:2" ht="15.5" x14ac:dyDescent="0.35">
      <c r="B9517" s="171"/>
    </row>
    <row r="9518" spans="2:2" ht="15.5" x14ac:dyDescent="0.35">
      <c r="B9518" s="171"/>
    </row>
    <row r="9519" spans="2:2" ht="15.5" x14ac:dyDescent="0.35">
      <c r="B9519" s="171"/>
    </row>
    <row r="9520" spans="2:2" ht="15.5" x14ac:dyDescent="0.35">
      <c r="B9520" s="171"/>
    </row>
    <row r="9521" spans="2:2" ht="15.5" x14ac:dyDescent="0.35">
      <c r="B9521" s="171"/>
    </row>
    <row r="9522" spans="2:2" ht="15.5" x14ac:dyDescent="0.35">
      <c r="B9522" s="171"/>
    </row>
    <row r="9523" spans="2:2" ht="15.5" x14ac:dyDescent="0.35">
      <c r="B9523" s="171"/>
    </row>
    <row r="9524" spans="2:2" ht="15.5" x14ac:dyDescent="0.35">
      <c r="B9524" s="171"/>
    </row>
    <row r="9525" spans="2:2" ht="15.5" x14ac:dyDescent="0.35">
      <c r="B9525" s="171"/>
    </row>
    <row r="9526" spans="2:2" ht="15.5" x14ac:dyDescent="0.35">
      <c r="B9526" s="171"/>
    </row>
    <row r="9527" spans="2:2" ht="15.5" x14ac:dyDescent="0.35">
      <c r="B9527" s="171"/>
    </row>
    <row r="9528" spans="2:2" ht="15.5" x14ac:dyDescent="0.35">
      <c r="B9528" s="171"/>
    </row>
    <row r="9529" spans="2:2" ht="15.5" x14ac:dyDescent="0.35">
      <c r="B9529" s="171"/>
    </row>
    <row r="9530" spans="2:2" ht="15.5" x14ac:dyDescent="0.35">
      <c r="B9530" s="171"/>
    </row>
    <row r="9531" spans="2:2" ht="15.5" x14ac:dyDescent="0.35">
      <c r="B9531" s="171"/>
    </row>
    <row r="9532" spans="2:2" ht="15.5" x14ac:dyDescent="0.35">
      <c r="B9532" s="171"/>
    </row>
    <row r="9533" spans="2:2" ht="15.5" x14ac:dyDescent="0.35">
      <c r="B9533" s="171"/>
    </row>
    <row r="9534" spans="2:2" ht="15.5" x14ac:dyDescent="0.35">
      <c r="B9534" s="171"/>
    </row>
    <row r="9535" spans="2:2" ht="15.5" x14ac:dyDescent="0.35">
      <c r="B9535" s="171"/>
    </row>
    <row r="9536" spans="2:2" ht="15.5" x14ac:dyDescent="0.35">
      <c r="B9536" s="171"/>
    </row>
    <row r="9537" spans="2:2" ht="15.5" x14ac:dyDescent="0.35">
      <c r="B9537" s="171"/>
    </row>
    <row r="9538" spans="2:2" ht="15.5" x14ac:dyDescent="0.35">
      <c r="B9538" s="171"/>
    </row>
    <row r="9539" spans="2:2" ht="15.5" x14ac:dyDescent="0.35">
      <c r="B9539" s="171"/>
    </row>
    <row r="9540" spans="2:2" ht="15.5" x14ac:dyDescent="0.35">
      <c r="B9540" s="171"/>
    </row>
    <row r="9541" spans="2:2" ht="15.5" x14ac:dyDescent="0.35">
      <c r="B9541" s="171"/>
    </row>
    <row r="9542" spans="2:2" ht="15.5" x14ac:dyDescent="0.35">
      <c r="B9542" s="171"/>
    </row>
    <row r="9543" spans="2:2" ht="15.5" x14ac:dyDescent="0.35">
      <c r="B9543" s="171"/>
    </row>
    <row r="9544" spans="2:2" ht="15.5" x14ac:dyDescent="0.35">
      <c r="B9544" s="171"/>
    </row>
    <row r="9545" spans="2:2" ht="15.5" x14ac:dyDescent="0.35">
      <c r="B9545" s="171"/>
    </row>
    <row r="9546" spans="2:2" ht="15.5" x14ac:dyDescent="0.35">
      <c r="B9546" s="171"/>
    </row>
    <row r="9547" spans="2:2" ht="15.5" x14ac:dyDescent="0.35">
      <c r="B9547" s="171"/>
    </row>
    <row r="9548" spans="2:2" ht="15.5" x14ac:dyDescent="0.35">
      <c r="B9548" s="171"/>
    </row>
    <row r="9549" spans="2:2" ht="15.5" x14ac:dyDescent="0.35">
      <c r="B9549" s="171"/>
    </row>
    <row r="9550" spans="2:2" ht="15.5" x14ac:dyDescent="0.35">
      <c r="B9550" s="171"/>
    </row>
    <row r="9551" spans="2:2" ht="15.5" x14ac:dyDescent="0.35">
      <c r="B9551" s="171"/>
    </row>
    <row r="9552" spans="2:2" ht="15.5" x14ac:dyDescent="0.35">
      <c r="B9552" s="171"/>
    </row>
    <row r="9553" spans="2:2" ht="15.5" x14ac:dyDescent="0.35">
      <c r="B9553" s="171"/>
    </row>
    <row r="9554" spans="2:2" ht="15.5" x14ac:dyDescent="0.35">
      <c r="B9554" s="171"/>
    </row>
    <row r="9555" spans="2:2" ht="15.5" x14ac:dyDescent="0.35">
      <c r="B9555" s="171"/>
    </row>
    <row r="9556" spans="2:2" ht="15.5" x14ac:dyDescent="0.35">
      <c r="B9556" s="171"/>
    </row>
    <row r="9557" spans="2:2" ht="15.5" x14ac:dyDescent="0.35">
      <c r="B9557" s="171"/>
    </row>
    <row r="9558" spans="2:2" ht="15.5" x14ac:dyDescent="0.35">
      <c r="B9558" s="171"/>
    </row>
    <row r="9559" spans="2:2" ht="15.5" x14ac:dyDescent="0.35">
      <c r="B9559" s="171"/>
    </row>
    <row r="9560" spans="2:2" ht="15.5" x14ac:dyDescent="0.35">
      <c r="B9560" s="171"/>
    </row>
    <row r="9561" spans="2:2" ht="15.5" x14ac:dyDescent="0.35">
      <c r="B9561" s="171"/>
    </row>
    <row r="9562" spans="2:2" ht="15.5" x14ac:dyDescent="0.35">
      <c r="B9562" s="171"/>
    </row>
    <row r="9563" spans="2:2" ht="15.5" x14ac:dyDescent="0.35">
      <c r="B9563" s="171"/>
    </row>
    <row r="9564" spans="2:2" ht="15.5" x14ac:dyDescent="0.35">
      <c r="B9564" s="171"/>
    </row>
    <row r="9565" spans="2:2" ht="15.5" x14ac:dyDescent="0.35">
      <c r="B9565" s="171"/>
    </row>
    <row r="9566" spans="2:2" ht="15.5" x14ac:dyDescent="0.35">
      <c r="B9566" s="171"/>
    </row>
    <row r="9567" spans="2:2" ht="15.5" x14ac:dyDescent="0.35">
      <c r="B9567" s="171"/>
    </row>
    <row r="9568" spans="2:2" ht="15.5" x14ac:dyDescent="0.35">
      <c r="B9568" s="171"/>
    </row>
    <row r="9569" spans="2:2" ht="15.5" x14ac:dyDescent="0.35">
      <c r="B9569" s="171"/>
    </row>
    <row r="9570" spans="2:2" ht="15.5" x14ac:dyDescent="0.35">
      <c r="B9570" s="171"/>
    </row>
    <row r="9571" spans="2:2" ht="15.5" x14ac:dyDescent="0.35">
      <c r="B9571" s="171"/>
    </row>
    <row r="9572" spans="2:2" ht="15.5" x14ac:dyDescent="0.35">
      <c r="B9572" s="171"/>
    </row>
    <row r="9573" spans="2:2" ht="15.5" x14ac:dyDescent="0.35">
      <c r="B9573" s="171"/>
    </row>
    <row r="9574" spans="2:2" ht="15.5" x14ac:dyDescent="0.35">
      <c r="B9574" s="171"/>
    </row>
    <row r="9575" spans="2:2" ht="15.5" x14ac:dyDescent="0.35">
      <c r="B9575" s="171"/>
    </row>
    <row r="9576" spans="2:2" ht="15.5" x14ac:dyDescent="0.35">
      <c r="B9576" s="171"/>
    </row>
    <row r="9577" spans="2:2" ht="15.5" x14ac:dyDescent="0.35">
      <c r="B9577" s="171"/>
    </row>
    <row r="9578" spans="2:2" ht="15.5" x14ac:dyDescent="0.35">
      <c r="B9578" s="171"/>
    </row>
    <row r="9579" spans="2:2" ht="15.5" x14ac:dyDescent="0.35">
      <c r="B9579" s="171"/>
    </row>
    <row r="9580" spans="2:2" ht="15.5" x14ac:dyDescent="0.35">
      <c r="B9580" s="171"/>
    </row>
    <row r="9581" spans="2:2" ht="15.5" x14ac:dyDescent="0.35">
      <c r="B9581" s="171"/>
    </row>
    <row r="9582" spans="2:2" ht="15.5" x14ac:dyDescent="0.35">
      <c r="B9582" s="171"/>
    </row>
    <row r="9583" spans="2:2" ht="15.5" x14ac:dyDescent="0.35">
      <c r="B9583" s="171"/>
    </row>
    <row r="9584" spans="2:2" ht="15.5" x14ac:dyDescent="0.35">
      <c r="B9584" s="171"/>
    </row>
    <row r="9585" spans="2:2" ht="15.5" x14ac:dyDescent="0.35">
      <c r="B9585" s="171"/>
    </row>
    <row r="9586" spans="2:2" ht="15.5" x14ac:dyDescent="0.35">
      <c r="B9586" s="171"/>
    </row>
    <row r="9587" spans="2:2" ht="15.5" x14ac:dyDescent="0.35">
      <c r="B9587" s="171"/>
    </row>
    <row r="9588" spans="2:2" ht="15.5" x14ac:dyDescent="0.35">
      <c r="B9588" s="171"/>
    </row>
    <row r="9589" spans="2:2" ht="15.5" x14ac:dyDescent="0.35">
      <c r="B9589" s="171"/>
    </row>
    <row r="9590" spans="2:2" ht="15.5" x14ac:dyDescent="0.35">
      <c r="B9590" s="171"/>
    </row>
    <row r="9591" spans="2:2" ht="15.5" x14ac:dyDescent="0.35">
      <c r="B9591" s="171"/>
    </row>
    <row r="9592" spans="2:2" ht="15.5" x14ac:dyDescent="0.35">
      <c r="B9592" s="171"/>
    </row>
    <row r="9593" spans="2:2" ht="15.5" x14ac:dyDescent="0.35">
      <c r="B9593" s="171"/>
    </row>
    <row r="9594" spans="2:2" ht="15.5" x14ac:dyDescent="0.35">
      <c r="B9594" s="171"/>
    </row>
    <row r="9595" spans="2:2" ht="15.5" x14ac:dyDescent="0.35">
      <c r="B9595" s="171"/>
    </row>
    <row r="9596" spans="2:2" ht="15.5" x14ac:dyDescent="0.35">
      <c r="B9596" s="171"/>
    </row>
    <row r="9597" spans="2:2" ht="15.5" x14ac:dyDescent="0.35">
      <c r="B9597" s="171"/>
    </row>
    <row r="9598" spans="2:2" ht="15.5" x14ac:dyDescent="0.35">
      <c r="B9598" s="171"/>
    </row>
    <row r="9599" spans="2:2" ht="15.5" x14ac:dyDescent="0.35">
      <c r="B9599" s="171"/>
    </row>
    <row r="9600" spans="2:2" ht="15.5" x14ac:dyDescent="0.35">
      <c r="B9600" s="171"/>
    </row>
    <row r="9601" spans="2:2" ht="15.5" x14ac:dyDescent="0.35">
      <c r="B9601" s="171"/>
    </row>
    <row r="9602" spans="2:2" ht="15.5" x14ac:dyDescent="0.35">
      <c r="B9602" s="171"/>
    </row>
    <row r="9603" spans="2:2" ht="15.5" x14ac:dyDescent="0.35">
      <c r="B9603" s="171"/>
    </row>
    <row r="9604" spans="2:2" ht="15.5" x14ac:dyDescent="0.35">
      <c r="B9604" s="171"/>
    </row>
    <row r="9605" spans="2:2" ht="15.5" x14ac:dyDescent="0.35">
      <c r="B9605" s="171"/>
    </row>
    <row r="9606" spans="2:2" ht="15.5" x14ac:dyDescent="0.35">
      <c r="B9606" s="171"/>
    </row>
    <row r="9607" spans="2:2" ht="15.5" x14ac:dyDescent="0.35">
      <c r="B9607" s="171"/>
    </row>
    <row r="9608" spans="2:2" ht="15.5" x14ac:dyDescent="0.35">
      <c r="B9608" s="171"/>
    </row>
    <row r="9609" spans="2:2" ht="15.5" x14ac:dyDescent="0.35">
      <c r="B9609" s="171"/>
    </row>
    <row r="9610" spans="2:2" ht="15.5" x14ac:dyDescent="0.35">
      <c r="B9610" s="171"/>
    </row>
    <row r="9611" spans="2:2" ht="15.5" x14ac:dyDescent="0.35">
      <c r="B9611" s="171"/>
    </row>
    <row r="9612" spans="2:2" ht="15.5" x14ac:dyDescent="0.35">
      <c r="B9612" s="171"/>
    </row>
    <row r="9613" spans="2:2" ht="15.5" x14ac:dyDescent="0.35">
      <c r="B9613" s="171"/>
    </row>
    <row r="9614" spans="2:2" ht="15.5" x14ac:dyDescent="0.35">
      <c r="B9614" s="171"/>
    </row>
    <row r="9615" spans="2:2" ht="15.5" x14ac:dyDescent="0.35">
      <c r="B9615" s="171"/>
    </row>
    <row r="9616" spans="2:2" ht="15.5" x14ac:dyDescent="0.35">
      <c r="B9616" s="171"/>
    </row>
    <row r="9617" spans="2:2" ht="15.5" x14ac:dyDescent="0.35">
      <c r="B9617" s="171"/>
    </row>
    <row r="9618" spans="2:2" ht="15.5" x14ac:dyDescent="0.35">
      <c r="B9618" s="171"/>
    </row>
    <row r="9619" spans="2:2" ht="15.5" x14ac:dyDescent="0.35">
      <c r="B9619" s="171"/>
    </row>
    <row r="9620" spans="2:2" ht="15.5" x14ac:dyDescent="0.35">
      <c r="B9620" s="171"/>
    </row>
    <row r="9621" spans="2:2" ht="15.5" x14ac:dyDescent="0.35">
      <c r="B9621" s="171"/>
    </row>
    <row r="9622" spans="2:2" ht="15.5" x14ac:dyDescent="0.35">
      <c r="B9622" s="171"/>
    </row>
    <row r="9623" spans="2:2" ht="15.5" x14ac:dyDescent="0.35">
      <c r="B9623" s="171"/>
    </row>
    <row r="9624" spans="2:2" ht="15.5" x14ac:dyDescent="0.35">
      <c r="B9624" s="171"/>
    </row>
    <row r="9625" spans="2:2" ht="15.5" x14ac:dyDescent="0.35">
      <c r="B9625" s="171"/>
    </row>
    <row r="9626" spans="2:2" ht="15.5" x14ac:dyDescent="0.35">
      <c r="B9626" s="171"/>
    </row>
    <row r="9627" spans="2:2" ht="15.5" x14ac:dyDescent="0.35">
      <c r="B9627" s="171"/>
    </row>
    <row r="9628" spans="2:2" ht="15.5" x14ac:dyDescent="0.35">
      <c r="B9628" s="171"/>
    </row>
    <row r="9629" spans="2:2" ht="15.5" x14ac:dyDescent="0.35">
      <c r="B9629" s="171"/>
    </row>
    <row r="9630" spans="2:2" ht="15.5" x14ac:dyDescent="0.35">
      <c r="B9630" s="171"/>
    </row>
    <row r="9631" spans="2:2" ht="15.5" x14ac:dyDescent="0.35">
      <c r="B9631" s="171"/>
    </row>
    <row r="9632" spans="2:2" ht="15.5" x14ac:dyDescent="0.35">
      <c r="B9632" s="171"/>
    </row>
    <row r="9633" spans="2:2" ht="15.5" x14ac:dyDescent="0.35">
      <c r="B9633" s="171"/>
    </row>
    <row r="9634" spans="2:2" ht="15.5" x14ac:dyDescent="0.35">
      <c r="B9634" s="171"/>
    </row>
    <row r="9635" spans="2:2" ht="15.5" x14ac:dyDescent="0.35">
      <c r="B9635" s="171"/>
    </row>
    <row r="9636" spans="2:2" ht="15.5" x14ac:dyDescent="0.35">
      <c r="B9636" s="171"/>
    </row>
    <row r="9637" spans="2:2" ht="15.5" x14ac:dyDescent="0.35">
      <c r="B9637" s="171"/>
    </row>
    <row r="9638" spans="2:2" ht="15.5" x14ac:dyDescent="0.35">
      <c r="B9638" s="171"/>
    </row>
    <row r="9639" spans="2:2" ht="15.5" x14ac:dyDescent="0.35">
      <c r="B9639" s="171"/>
    </row>
    <row r="9640" spans="2:2" ht="15.5" x14ac:dyDescent="0.35">
      <c r="B9640" s="171"/>
    </row>
    <row r="9641" spans="2:2" ht="15.5" x14ac:dyDescent="0.35">
      <c r="B9641" s="171"/>
    </row>
    <row r="9642" spans="2:2" ht="15.5" x14ac:dyDescent="0.35">
      <c r="B9642" s="171"/>
    </row>
    <row r="9643" spans="2:2" ht="15.5" x14ac:dyDescent="0.35">
      <c r="B9643" s="171"/>
    </row>
    <row r="9644" spans="2:2" ht="15.5" x14ac:dyDescent="0.35">
      <c r="B9644" s="171"/>
    </row>
    <row r="9645" spans="2:2" ht="15.5" x14ac:dyDescent="0.35">
      <c r="B9645" s="171"/>
    </row>
    <row r="9646" spans="2:2" ht="15.5" x14ac:dyDescent="0.35">
      <c r="B9646" s="171"/>
    </row>
    <row r="9647" spans="2:2" ht="15.5" x14ac:dyDescent="0.35">
      <c r="B9647" s="171"/>
    </row>
    <row r="9648" spans="2:2" ht="15.5" x14ac:dyDescent="0.35">
      <c r="B9648" s="171"/>
    </row>
    <row r="9649" spans="2:2" ht="15.5" x14ac:dyDescent="0.35">
      <c r="B9649" s="171"/>
    </row>
    <row r="9650" spans="2:2" ht="15.5" x14ac:dyDescent="0.35">
      <c r="B9650" s="171"/>
    </row>
    <row r="9651" spans="2:2" ht="15.5" x14ac:dyDescent="0.35">
      <c r="B9651" s="171"/>
    </row>
    <row r="9652" spans="2:2" ht="15.5" x14ac:dyDescent="0.35">
      <c r="B9652" s="171"/>
    </row>
    <row r="9653" spans="2:2" ht="15.5" x14ac:dyDescent="0.35">
      <c r="B9653" s="171"/>
    </row>
    <row r="9654" spans="2:2" ht="15.5" x14ac:dyDescent="0.35">
      <c r="B9654" s="171"/>
    </row>
    <row r="9655" spans="2:2" ht="15.5" x14ac:dyDescent="0.35">
      <c r="B9655" s="171"/>
    </row>
    <row r="9656" spans="2:2" ht="15.5" x14ac:dyDescent="0.35">
      <c r="B9656" s="171"/>
    </row>
    <row r="9657" spans="2:2" ht="15.5" x14ac:dyDescent="0.35">
      <c r="B9657" s="171"/>
    </row>
    <row r="9658" spans="2:2" ht="15.5" x14ac:dyDescent="0.35">
      <c r="B9658" s="171"/>
    </row>
    <row r="9659" spans="2:2" ht="15.5" x14ac:dyDescent="0.35">
      <c r="B9659" s="171"/>
    </row>
    <row r="9660" spans="2:2" ht="15.5" x14ac:dyDescent="0.35">
      <c r="B9660" s="171"/>
    </row>
    <row r="9661" spans="2:2" ht="15.5" x14ac:dyDescent="0.35">
      <c r="B9661" s="171"/>
    </row>
    <row r="9662" spans="2:2" ht="15.5" x14ac:dyDescent="0.35">
      <c r="B9662" s="171"/>
    </row>
    <row r="9663" spans="2:2" ht="15.5" x14ac:dyDescent="0.35">
      <c r="B9663" s="171"/>
    </row>
    <row r="9664" spans="2:2" ht="15.5" x14ac:dyDescent="0.35">
      <c r="B9664" s="171"/>
    </row>
    <row r="9665" spans="2:2" ht="15.5" x14ac:dyDescent="0.35">
      <c r="B9665" s="171"/>
    </row>
    <row r="9666" spans="2:2" ht="15.5" x14ac:dyDescent="0.35">
      <c r="B9666" s="171"/>
    </row>
    <row r="9667" spans="2:2" ht="15.5" x14ac:dyDescent="0.35">
      <c r="B9667" s="171"/>
    </row>
    <row r="9668" spans="2:2" ht="15.5" x14ac:dyDescent="0.35">
      <c r="B9668" s="171"/>
    </row>
    <row r="9669" spans="2:2" ht="15.5" x14ac:dyDescent="0.35">
      <c r="B9669" s="171"/>
    </row>
    <row r="9670" spans="2:2" ht="15.5" x14ac:dyDescent="0.35">
      <c r="B9670" s="171"/>
    </row>
    <row r="9671" spans="2:2" ht="15.5" x14ac:dyDescent="0.35">
      <c r="B9671" s="171"/>
    </row>
    <row r="9672" spans="2:2" ht="15.5" x14ac:dyDescent="0.35">
      <c r="B9672" s="171"/>
    </row>
    <row r="9673" spans="2:2" ht="15.5" x14ac:dyDescent="0.35">
      <c r="B9673" s="171"/>
    </row>
    <row r="9674" spans="2:2" ht="15.5" x14ac:dyDescent="0.35">
      <c r="B9674" s="171"/>
    </row>
    <row r="9675" spans="2:2" ht="15.5" x14ac:dyDescent="0.35">
      <c r="B9675" s="171"/>
    </row>
    <row r="9676" spans="2:2" ht="15.5" x14ac:dyDescent="0.35">
      <c r="B9676" s="171"/>
    </row>
    <row r="9677" spans="2:2" ht="15.5" x14ac:dyDescent="0.35">
      <c r="B9677" s="171"/>
    </row>
    <row r="9678" spans="2:2" ht="15.5" x14ac:dyDescent="0.35">
      <c r="B9678" s="171"/>
    </row>
    <row r="9679" spans="2:2" ht="15.5" x14ac:dyDescent="0.35">
      <c r="B9679" s="171"/>
    </row>
    <row r="9680" spans="2:2" ht="15.5" x14ac:dyDescent="0.35">
      <c r="B9680" s="171"/>
    </row>
    <row r="9681" spans="2:2" ht="15.5" x14ac:dyDescent="0.35">
      <c r="B9681" s="171"/>
    </row>
    <row r="9682" spans="2:2" ht="15.5" x14ac:dyDescent="0.35">
      <c r="B9682" s="171"/>
    </row>
    <row r="9683" spans="2:2" ht="15.5" x14ac:dyDescent="0.35">
      <c r="B9683" s="171"/>
    </row>
    <row r="9684" spans="2:2" ht="15.5" x14ac:dyDescent="0.35">
      <c r="B9684" s="171"/>
    </row>
    <row r="9685" spans="2:2" ht="15.5" x14ac:dyDescent="0.35">
      <c r="B9685" s="171"/>
    </row>
    <row r="9686" spans="2:2" ht="15.5" x14ac:dyDescent="0.35">
      <c r="B9686" s="171"/>
    </row>
    <row r="9687" spans="2:2" ht="15.5" x14ac:dyDescent="0.35">
      <c r="B9687" s="171"/>
    </row>
    <row r="9688" spans="2:2" ht="15.5" x14ac:dyDescent="0.35">
      <c r="B9688" s="171"/>
    </row>
    <row r="9689" spans="2:2" ht="15.5" x14ac:dyDescent="0.35">
      <c r="B9689" s="171"/>
    </row>
    <row r="9690" spans="2:2" ht="15.5" x14ac:dyDescent="0.35">
      <c r="B9690" s="171"/>
    </row>
    <row r="9691" spans="2:2" ht="15.5" x14ac:dyDescent="0.35">
      <c r="B9691" s="171"/>
    </row>
    <row r="9692" spans="2:2" ht="15.5" x14ac:dyDescent="0.35">
      <c r="B9692" s="171"/>
    </row>
    <row r="9693" spans="2:2" ht="15.5" x14ac:dyDescent="0.35">
      <c r="B9693" s="171"/>
    </row>
    <row r="9694" spans="2:2" ht="15.5" x14ac:dyDescent="0.35">
      <c r="B9694" s="171"/>
    </row>
    <row r="9695" spans="2:2" ht="15.5" x14ac:dyDescent="0.35">
      <c r="B9695" s="171"/>
    </row>
    <row r="9696" spans="2:2" ht="15.5" x14ac:dyDescent="0.35">
      <c r="B9696" s="171"/>
    </row>
    <row r="9697" spans="2:2" ht="15.5" x14ac:dyDescent="0.35">
      <c r="B9697" s="171"/>
    </row>
    <row r="9698" spans="2:2" ht="15.5" x14ac:dyDescent="0.35">
      <c r="B9698" s="171"/>
    </row>
    <row r="9699" spans="2:2" ht="15.5" x14ac:dyDescent="0.35">
      <c r="B9699" s="171"/>
    </row>
    <row r="9700" spans="2:2" ht="15.5" x14ac:dyDescent="0.35">
      <c r="B9700" s="171"/>
    </row>
    <row r="9701" spans="2:2" ht="15.5" x14ac:dyDescent="0.35">
      <c r="B9701" s="171"/>
    </row>
    <row r="9702" spans="2:2" ht="15.5" x14ac:dyDescent="0.35">
      <c r="B9702" s="171"/>
    </row>
    <row r="9703" spans="2:2" ht="15.5" x14ac:dyDescent="0.35">
      <c r="B9703" s="171"/>
    </row>
    <row r="9704" spans="2:2" ht="15.5" x14ac:dyDescent="0.35">
      <c r="B9704" s="171"/>
    </row>
    <row r="9705" spans="2:2" ht="15.5" x14ac:dyDescent="0.35">
      <c r="B9705" s="171"/>
    </row>
    <row r="9706" spans="2:2" ht="15.5" x14ac:dyDescent="0.35">
      <c r="B9706" s="171"/>
    </row>
    <row r="9707" spans="2:2" ht="15.5" x14ac:dyDescent="0.35">
      <c r="B9707" s="171"/>
    </row>
    <row r="9708" spans="2:2" ht="15.5" x14ac:dyDescent="0.35">
      <c r="B9708" s="171"/>
    </row>
    <row r="9709" spans="2:2" ht="15.5" x14ac:dyDescent="0.35">
      <c r="B9709" s="171"/>
    </row>
    <row r="9710" spans="2:2" ht="15.5" x14ac:dyDescent="0.35">
      <c r="B9710" s="171"/>
    </row>
    <row r="9711" spans="2:2" ht="15.5" x14ac:dyDescent="0.35">
      <c r="B9711" s="171"/>
    </row>
    <row r="9712" spans="2:2" ht="15.5" x14ac:dyDescent="0.35">
      <c r="B9712" s="171"/>
    </row>
    <row r="9713" spans="2:2" ht="15.5" x14ac:dyDescent="0.35">
      <c r="B9713" s="171"/>
    </row>
    <row r="9714" spans="2:2" ht="15.5" x14ac:dyDescent="0.35">
      <c r="B9714" s="171"/>
    </row>
    <row r="9715" spans="2:2" ht="15.5" x14ac:dyDescent="0.35">
      <c r="B9715" s="171"/>
    </row>
    <row r="9716" spans="2:2" ht="15.5" x14ac:dyDescent="0.35">
      <c r="B9716" s="171"/>
    </row>
    <row r="9717" spans="2:2" ht="15.5" x14ac:dyDescent="0.35">
      <c r="B9717" s="171"/>
    </row>
    <row r="9718" spans="2:2" ht="15.5" x14ac:dyDescent="0.35">
      <c r="B9718" s="171"/>
    </row>
    <row r="9719" spans="2:2" ht="15.5" x14ac:dyDescent="0.35">
      <c r="B9719" s="171"/>
    </row>
    <row r="9720" spans="2:2" ht="15.5" x14ac:dyDescent="0.35">
      <c r="B9720" s="171"/>
    </row>
    <row r="9721" spans="2:2" ht="15.5" x14ac:dyDescent="0.35">
      <c r="B9721" s="171"/>
    </row>
    <row r="9722" spans="2:2" ht="15.5" x14ac:dyDescent="0.35">
      <c r="B9722" s="171"/>
    </row>
    <row r="9723" spans="2:2" ht="15.5" x14ac:dyDescent="0.35">
      <c r="B9723" s="171"/>
    </row>
    <row r="9724" spans="2:2" ht="15.5" x14ac:dyDescent="0.35">
      <c r="B9724" s="171"/>
    </row>
    <row r="9725" spans="2:2" ht="15.5" x14ac:dyDescent="0.35">
      <c r="B9725" s="171"/>
    </row>
    <row r="9726" spans="2:2" ht="15.5" x14ac:dyDescent="0.35">
      <c r="B9726" s="171"/>
    </row>
    <row r="9727" spans="2:2" ht="15.5" x14ac:dyDescent="0.35">
      <c r="B9727" s="171"/>
    </row>
    <row r="9728" spans="2:2" ht="15.5" x14ac:dyDescent="0.35">
      <c r="B9728" s="171"/>
    </row>
    <row r="9729" spans="2:2" ht="15.5" x14ac:dyDescent="0.35">
      <c r="B9729" s="171"/>
    </row>
    <row r="9730" spans="2:2" ht="15.5" x14ac:dyDescent="0.35">
      <c r="B9730" s="171"/>
    </row>
    <row r="9731" spans="2:2" ht="15.5" x14ac:dyDescent="0.35">
      <c r="B9731" s="171"/>
    </row>
    <row r="9732" spans="2:2" ht="15.5" x14ac:dyDescent="0.35">
      <c r="B9732" s="171"/>
    </row>
    <row r="9733" spans="2:2" ht="15.5" x14ac:dyDescent="0.35">
      <c r="B9733" s="171"/>
    </row>
    <row r="9734" spans="2:2" ht="15.5" x14ac:dyDescent="0.35">
      <c r="B9734" s="171"/>
    </row>
    <row r="9735" spans="2:2" ht="15.5" x14ac:dyDescent="0.35">
      <c r="B9735" s="171"/>
    </row>
    <row r="9736" spans="2:2" ht="15.5" x14ac:dyDescent="0.35">
      <c r="B9736" s="171"/>
    </row>
    <row r="9737" spans="2:2" ht="15.5" x14ac:dyDescent="0.35">
      <c r="B9737" s="171"/>
    </row>
    <row r="9738" spans="2:2" ht="15.5" x14ac:dyDescent="0.35">
      <c r="B9738" s="171"/>
    </row>
    <row r="9739" spans="2:2" ht="15.5" x14ac:dyDescent="0.35">
      <c r="B9739" s="171"/>
    </row>
    <row r="9740" spans="2:2" ht="15.5" x14ac:dyDescent="0.35">
      <c r="B9740" s="171"/>
    </row>
    <row r="9741" spans="2:2" ht="15.5" x14ac:dyDescent="0.35">
      <c r="B9741" s="171"/>
    </row>
    <row r="9742" spans="2:2" ht="15.5" x14ac:dyDescent="0.35">
      <c r="B9742" s="171"/>
    </row>
    <row r="9743" spans="2:2" ht="15.5" x14ac:dyDescent="0.35">
      <c r="B9743" s="171"/>
    </row>
    <row r="9744" spans="2:2" ht="15.5" x14ac:dyDescent="0.35">
      <c r="B9744" s="171"/>
    </row>
    <row r="9745" spans="2:2" ht="15.5" x14ac:dyDescent="0.35">
      <c r="B9745" s="171"/>
    </row>
    <row r="9746" spans="2:2" ht="15.5" x14ac:dyDescent="0.35">
      <c r="B9746" s="171"/>
    </row>
    <row r="9747" spans="2:2" ht="15.5" x14ac:dyDescent="0.35">
      <c r="B9747" s="171"/>
    </row>
    <row r="9748" spans="2:2" ht="15.5" x14ac:dyDescent="0.35">
      <c r="B9748" s="171"/>
    </row>
    <row r="9749" spans="2:2" ht="15.5" x14ac:dyDescent="0.35">
      <c r="B9749" s="171"/>
    </row>
    <row r="9750" spans="2:2" ht="15.5" x14ac:dyDescent="0.35">
      <c r="B9750" s="171"/>
    </row>
    <row r="9751" spans="2:2" ht="15.5" x14ac:dyDescent="0.35">
      <c r="B9751" s="171"/>
    </row>
    <row r="9752" spans="2:2" ht="15.5" x14ac:dyDescent="0.35">
      <c r="B9752" s="171"/>
    </row>
    <row r="9753" spans="2:2" ht="15.5" x14ac:dyDescent="0.35">
      <c r="B9753" s="171"/>
    </row>
    <row r="9754" spans="2:2" ht="15.5" x14ac:dyDescent="0.35">
      <c r="B9754" s="171"/>
    </row>
    <row r="9755" spans="2:2" ht="15.5" x14ac:dyDescent="0.35">
      <c r="B9755" s="171"/>
    </row>
    <row r="9756" spans="2:2" ht="15.5" x14ac:dyDescent="0.35">
      <c r="B9756" s="171"/>
    </row>
    <row r="9757" spans="2:2" ht="15.5" x14ac:dyDescent="0.35">
      <c r="B9757" s="171"/>
    </row>
    <row r="9758" spans="2:2" ht="15.5" x14ac:dyDescent="0.35">
      <c r="B9758" s="171"/>
    </row>
    <row r="9759" spans="2:2" ht="15.5" x14ac:dyDescent="0.35">
      <c r="B9759" s="171"/>
    </row>
    <row r="9760" spans="2:2" ht="15.5" x14ac:dyDescent="0.35">
      <c r="B9760" s="171"/>
    </row>
    <row r="9761" spans="2:2" ht="15.5" x14ac:dyDescent="0.35">
      <c r="B9761" s="171"/>
    </row>
    <row r="9762" spans="2:2" ht="15.5" x14ac:dyDescent="0.35">
      <c r="B9762" s="171"/>
    </row>
    <row r="9763" spans="2:2" ht="15.5" x14ac:dyDescent="0.35">
      <c r="B9763" s="171"/>
    </row>
    <row r="9764" spans="2:2" ht="15.5" x14ac:dyDescent="0.35">
      <c r="B9764" s="171"/>
    </row>
    <row r="9765" spans="2:2" ht="15.5" x14ac:dyDescent="0.35">
      <c r="B9765" s="171"/>
    </row>
    <row r="9766" spans="2:2" ht="15.5" x14ac:dyDescent="0.35">
      <c r="B9766" s="171"/>
    </row>
    <row r="9767" spans="2:2" ht="15.5" x14ac:dyDescent="0.35">
      <c r="B9767" s="171"/>
    </row>
    <row r="9768" spans="2:2" ht="15.5" x14ac:dyDescent="0.35">
      <c r="B9768" s="171"/>
    </row>
    <row r="9769" spans="2:2" ht="15.5" x14ac:dyDescent="0.35">
      <c r="B9769" s="171"/>
    </row>
    <row r="9770" spans="2:2" ht="15.5" x14ac:dyDescent="0.35">
      <c r="B9770" s="171"/>
    </row>
    <row r="9771" spans="2:2" ht="15.5" x14ac:dyDescent="0.35">
      <c r="B9771" s="171"/>
    </row>
    <row r="9772" spans="2:2" ht="15.5" x14ac:dyDescent="0.35">
      <c r="B9772" s="171"/>
    </row>
    <row r="9773" spans="2:2" ht="15.5" x14ac:dyDescent="0.35">
      <c r="B9773" s="171"/>
    </row>
    <row r="9774" spans="2:2" ht="15.5" x14ac:dyDescent="0.35">
      <c r="B9774" s="171"/>
    </row>
    <row r="9775" spans="2:2" ht="15.5" x14ac:dyDescent="0.35">
      <c r="B9775" s="171"/>
    </row>
    <row r="9776" spans="2:2" ht="15.5" x14ac:dyDescent="0.35">
      <c r="B9776" s="171"/>
    </row>
    <row r="9777" spans="2:2" ht="15.5" x14ac:dyDescent="0.35">
      <c r="B9777" s="171"/>
    </row>
    <row r="9778" spans="2:2" ht="15.5" x14ac:dyDescent="0.35">
      <c r="B9778" s="171"/>
    </row>
    <row r="9779" spans="2:2" ht="15.5" x14ac:dyDescent="0.35">
      <c r="B9779" s="171"/>
    </row>
    <row r="9780" spans="2:2" ht="15.5" x14ac:dyDescent="0.35">
      <c r="B9780" s="171"/>
    </row>
    <row r="9781" spans="2:2" ht="15.5" x14ac:dyDescent="0.35">
      <c r="B9781" s="171"/>
    </row>
    <row r="9782" spans="2:2" ht="15.5" x14ac:dyDescent="0.35">
      <c r="B9782" s="171"/>
    </row>
    <row r="9783" spans="2:2" ht="15.5" x14ac:dyDescent="0.35">
      <c r="B9783" s="171"/>
    </row>
    <row r="9784" spans="2:2" ht="15.5" x14ac:dyDescent="0.35">
      <c r="B9784" s="171"/>
    </row>
    <row r="9785" spans="2:2" ht="15.5" x14ac:dyDescent="0.35">
      <c r="B9785" s="171"/>
    </row>
    <row r="9786" spans="2:2" ht="15.5" x14ac:dyDescent="0.35">
      <c r="B9786" s="171"/>
    </row>
    <row r="9787" spans="2:2" ht="15.5" x14ac:dyDescent="0.35">
      <c r="B9787" s="171"/>
    </row>
    <row r="9788" spans="2:2" ht="15.5" x14ac:dyDescent="0.35">
      <c r="B9788" s="171"/>
    </row>
    <row r="9789" spans="2:2" ht="15.5" x14ac:dyDescent="0.35">
      <c r="B9789" s="171"/>
    </row>
    <row r="9790" spans="2:2" ht="15.5" x14ac:dyDescent="0.35">
      <c r="B9790" s="171"/>
    </row>
    <row r="9791" spans="2:2" ht="15.5" x14ac:dyDescent="0.35">
      <c r="B9791" s="171"/>
    </row>
    <row r="9792" spans="2:2" ht="15.5" x14ac:dyDescent="0.35">
      <c r="B9792" s="171"/>
    </row>
    <row r="9793" spans="2:2" ht="15.5" x14ac:dyDescent="0.35">
      <c r="B9793" s="171"/>
    </row>
    <row r="9794" spans="2:2" ht="15.5" x14ac:dyDescent="0.35">
      <c r="B9794" s="171"/>
    </row>
    <row r="9795" spans="2:2" ht="15.5" x14ac:dyDescent="0.35">
      <c r="B9795" s="171"/>
    </row>
    <row r="9796" spans="2:2" ht="15.5" x14ac:dyDescent="0.35">
      <c r="B9796" s="171"/>
    </row>
    <row r="9797" spans="2:2" ht="15.5" x14ac:dyDescent="0.35">
      <c r="B9797" s="171"/>
    </row>
    <row r="9798" spans="2:2" ht="15.5" x14ac:dyDescent="0.35">
      <c r="B9798" s="171"/>
    </row>
    <row r="9799" spans="2:2" ht="15.5" x14ac:dyDescent="0.35">
      <c r="B9799" s="171"/>
    </row>
    <row r="9800" spans="2:2" ht="15.5" x14ac:dyDescent="0.35">
      <c r="B9800" s="171"/>
    </row>
    <row r="9801" spans="2:2" ht="15.5" x14ac:dyDescent="0.35">
      <c r="B9801" s="171"/>
    </row>
    <row r="9802" spans="2:2" ht="15.5" x14ac:dyDescent="0.35">
      <c r="B9802" s="171"/>
    </row>
    <row r="9803" spans="2:2" ht="15.5" x14ac:dyDescent="0.35">
      <c r="B9803" s="171"/>
    </row>
    <row r="9804" spans="2:2" ht="15.5" x14ac:dyDescent="0.35">
      <c r="B9804" s="171"/>
    </row>
    <row r="9805" spans="2:2" ht="15.5" x14ac:dyDescent="0.35">
      <c r="B9805" s="171"/>
    </row>
    <row r="9806" spans="2:2" ht="15.5" x14ac:dyDescent="0.35">
      <c r="B9806" s="171"/>
    </row>
    <row r="9807" spans="2:2" ht="15.5" x14ac:dyDescent="0.35">
      <c r="B9807" s="171"/>
    </row>
    <row r="9808" spans="2:2" ht="15.5" x14ac:dyDescent="0.35">
      <c r="B9808" s="171"/>
    </row>
    <row r="9809" spans="2:2" ht="15.5" x14ac:dyDescent="0.35">
      <c r="B9809" s="171"/>
    </row>
    <row r="9810" spans="2:2" ht="15.5" x14ac:dyDescent="0.35">
      <c r="B9810" s="171"/>
    </row>
    <row r="9811" spans="2:2" ht="15.5" x14ac:dyDescent="0.35">
      <c r="B9811" s="171"/>
    </row>
    <row r="9812" spans="2:2" ht="15.5" x14ac:dyDescent="0.35">
      <c r="B9812" s="171"/>
    </row>
    <row r="9813" spans="2:2" ht="15.5" x14ac:dyDescent="0.35">
      <c r="B9813" s="171"/>
    </row>
    <row r="9814" spans="2:2" ht="15.5" x14ac:dyDescent="0.35">
      <c r="B9814" s="171"/>
    </row>
    <row r="9815" spans="2:2" ht="15.5" x14ac:dyDescent="0.35">
      <c r="B9815" s="171"/>
    </row>
    <row r="9816" spans="2:2" ht="15.5" x14ac:dyDescent="0.35">
      <c r="B9816" s="171"/>
    </row>
    <row r="9817" spans="2:2" ht="15.5" x14ac:dyDescent="0.35">
      <c r="B9817" s="171"/>
    </row>
    <row r="9818" spans="2:2" ht="15.5" x14ac:dyDescent="0.35">
      <c r="B9818" s="171"/>
    </row>
    <row r="9819" spans="2:2" ht="15.5" x14ac:dyDescent="0.35">
      <c r="B9819" s="171"/>
    </row>
    <row r="9820" spans="2:2" ht="15.5" x14ac:dyDescent="0.35">
      <c r="B9820" s="171"/>
    </row>
    <row r="9821" spans="2:2" ht="15.5" x14ac:dyDescent="0.35">
      <c r="B9821" s="171"/>
    </row>
    <row r="9822" spans="2:2" ht="15.5" x14ac:dyDescent="0.35">
      <c r="B9822" s="171"/>
    </row>
    <row r="9823" spans="2:2" ht="15.5" x14ac:dyDescent="0.35">
      <c r="B9823" s="171"/>
    </row>
    <row r="9824" spans="2:2" ht="15.5" x14ac:dyDescent="0.35">
      <c r="B9824" s="171"/>
    </row>
    <row r="9825" spans="2:2" ht="15.5" x14ac:dyDescent="0.35">
      <c r="B9825" s="171"/>
    </row>
    <row r="9826" spans="2:2" ht="15.5" x14ac:dyDescent="0.35">
      <c r="B9826" s="171"/>
    </row>
    <row r="9827" spans="2:2" ht="15.5" x14ac:dyDescent="0.35">
      <c r="B9827" s="171"/>
    </row>
    <row r="9828" spans="2:2" ht="15.5" x14ac:dyDescent="0.35">
      <c r="B9828" s="171"/>
    </row>
    <row r="9829" spans="2:2" ht="15.5" x14ac:dyDescent="0.35">
      <c r="B9829" s="171"/>
    </row>
    <row r="9830" spans="2:2" ht="15.5" x14ac:dyDescent="0.35">
      <c r="B9830" s="171"/>
    </row>
    <row r="9831" spans="2:2" ht="15.5" x14ac:dyDescent="0.35">
      <c r="B9831" s="171"/>
    </row>
    <row r="9832" spans="2:2" ht="15.5" x14ac:dyDescent="0.35">
      <c r="B9832" s="171"/>
    </row>
    <row r="9833" spans="2:2" ht="15.5" x14ac:dyDescent="0.35">
      <c r="B9833" s="171"/>
    </row>
    <row r="9834" spans="2:2" ht="15.5" x14ac:dyDescent="0.35">
      <c r="B9834" s="171"/>
    </row>
    <row r="9835" spans="2:2" ht="15.5" x14ac:dyDescent="0.35">
      <c r="B9835" s="171"/>
    </row>
    <row r="9836" spans="2:2" ht="15.5" x14ac:dyDescent="0.35">
      <c r="B9836" s="171"/>
    </row>
    <row r="9837" spans="2:2" ht="15.5" x14ac:dyDescent="0.35">
      <c r="B9837" s="171"/>
    </row>
    <row r="9838" spans="2:2" ht="15.5" x14ac:dyDescent="0.35">
      <c r="B9838" s="171"/>
    </row>
    <row r="9839" spans="2:2" ht="15.5" x14ac:dyDescent="0.35">
      <c r="B9839" s="171"/>
    </row>
    <row r="9840" spans="2:2" ht="15.5" x14ac:dyDescent="0.35">
      <c r="B9840" s="171"/>
    </row>
    <row r="9841" spans="2:2" ht="15.5" x14ac:dyDescent="0.35">
      <c r="B9841" s="171"/>
    </row>
    <row r="9842" spans="2:2" ht="15.5" x14ac:dyDescent="0.35">
      <c r="B9842" s="171"/>
    </row>
    <row r="9843" spans="2:2" ht="15.5" x14ac:dyDescent="0.35">
      <c r="B9843" s="171"/>
    </row>
    <row r="9844" spans="2:2" ht="15.5" x14ac:dyDescent="0.35">
      <c r="B9844" s="171"/>
    </row>
    <row r="9845" spans="2:2" ht="15.5" x14ac:dyDescent="0.35">
      <c r="B9845" s="171"/>
    </row>
    <row r="9846" spans="2:2" ht="15.5" x14ac:dyDescent="0.35">
      <c r="B9846" s="171"/>
    </row>
    <row r="9847" spans="2:2" ht="15.5" x14ac:dyDescent="0.35">
      <c r="B9847" s="171"/>
    </row>
    <row r="9848" spans="2:2" ht="15.5" x14ac:dyDescent="0.35">
      <c r="B9848" s="171"/>
    </row>
    <row r="9849" spans="2:2" ht="15.5" x14ac:dyDescent="0.35">
      <c r="B9849" s="171"/>
    </row>
    <row r="9850" spans="2:2" ht="15.5" x14ac:dyDescent="0.35">
      <c r="B9850" s="171"/>
    </row>
    <row r="9851" spans="2:2" ht="15.5" x14ac:dyDescent="0.35">
      <c r="B9851" s="171"/>
    </row>
    <row r="9852" spans="2:2" ht="15.5" x14ac:dyDescent="0.35">
      <c r="B9852" s="171"/>
    </row>
    <row r="9853" spans="2:2" ht="15.5" x14ac:dyDescent="0.35">
      <c r="B9853" s="171"/>
    </row>
    <row r="9854" spans="2:2" ht="15.5" x14ac:dyDescent="0.35">
      <c r="B9854" s="171"/>
    </row>
    <row r="9855" spans="2:2" ht="15.5" x14ac:dyDescent="0.35">
      <c r="B9855" s="171"/>
    </row>
    <row r="9856" spans="2:2" ht="15.5" x14ac:dyDescent="0.35">
      <c r="B9856" s="171"/>
    </row>
    <row r="9857" spans="2:2" ht="15.5" x14ac:dyDescent="0.35">
      <c r="B9857" s="171"/>
    </row>
    <row r="9858" spans="2:2" ht="15.5" x14ac:dyDescent="0.35">
      <c r="B9858" s="171"/>
    </row>
    <row r="9859" spans="2:2" ht="15.5" x14ac:dyDescent="0.35">
      <c r="B9859" s="171"/>
    </row>
    <row r="9860" spans="2:2" ht="15.5" x14ac:dyDescent="0.35">
      <c r="B9860" s="171"/>
    </row>
    <row r="9861" spans="2:2" ht="15.5" x14ac:dyDescent="0.35">
      <c r="B9861" s="171"/>
    </row>
    <row r="9862" spans="2:2" ht="15.5" x14ac:dyDescent="0.35">
      <c r="B9862" s="171"/>
    </row>
    <row r="9863" spans="2:2" ht="15.5" x14ac:dyDescent="0.35">
      <c r="B9863" s="171"/>
    </row>
    <row r="9864" spans="2:2" ht="15.5" x14ac:dyDescent="0.35">
      <c r="B9864" s="171"/>
    </row>
    <row r="9865" spans="2:2" ht="15.5" x14ac:dyDescent="0.35">
      <c r="B9865" s="171"/>
    </row>
    <row r="9866" spans="2:2" ht="15.5" x14ac:dyDescent="0.35">
      <c r="B9866" s="171"/>
    </row>
    <row r="9867" spans="2:2" ht="15.5" x14ac:dyDescent="0.35">
      <c r="B9867" s="171"/>
    </row>
    <row r="9868" spans="2:2" ht="15.5" x14ac:dyDescent="0.35">
      <c r="B9868" s="171"/>
    </row>
    <row r="9869" spans="2:2" ht="15.5" x14ac:dyDescent="0.35">
      <c r="B9869" s="171"/>
    </row>
    <row r="9870" spans="2:2" ht="15.5" x14ac:dyDescent="0.35">
      <c r="B9870" s="171"/>
    </row>
    <row r="9871" spans="2:2" ht="15.5" x14ac:dyDescent="0.35">
      <c r="B9871" s="171"/>
    </row>
    <row r="9872" spans="2:2" ht="15.5" x14ac:dyDescent="0.35">
      <c r="B9872" s="171"/>
    </row>
    <row r="9873" spans="2:2" ht="15.5" x14ac:dyDescent="0.35">
      <c r="B9873" s="171"/>
    </row>
    <row r="9874" spans="2:2" ht="15.5" x14ac:dyDescent="0.35">
      <c r="B9874" s="171"/>
    </row>
    <row r="9875" spans="2:2" ht="15.5" x14ac:dyDescent="0.35">
      <c r="B9875" s="171"/>
    </row>
    <row r="9876" spans="2:2" ht="15.5" x14ac:dyDescent="0.35">
      <c r="B9876" s="171"/>
    </row>
    <row r="9877" spans="2:2" ht="15.5" x14ac:dyDescent="0.35">
      <c r="B9877" s="171"/>
    </row>
    <row r="9878" spans="2:2" ht="15.5" x14ac:dyDescent="0.35">
      <c r="B9878" s="171"/>
    </row>
    <row r="9879" spans="2:2" ht="15.5" x14ac:dyDescent="0.35">
      <c r="B9879" s="171"/>
    </row>
    <row r="9880" spans="2:2" ht="15.5" x14ac:dyDescent="0.35">
      <c r="B9880" s="171"/>
    </row>
    <row r="9881" spans="2:2" ht="15.5" x14ac:dyDescent="0.35">
      <c r="B9881" s="171"/>
    </row>
    <row r="9882" spans="2:2" ht="15.5" x14ac:dyDescent="0.35">
      <c r="B9882" s="171"/>
    </row>
    <row r="9883" spans="2:2" ht="15.5" x14ac:dyDescent="0.35">
      <c r="B9883" s="171"/>
    </row>
    <row r="9884" spans="2:2" ht="15.5" x14ac:dyDescent="0.35">
      <c r="B9884" s="171"/>
    </row>
    <row r="9885" spans="2:2" ht="15.5" x14ac:dyDescent="0.35">
      <c r="B9885" s="171"/>
    </row>
    <row r="9886" spans="2:2" ht="15.5" x14ac:dyDescent="0.35">
      <c r="B9886" s="171"/>
    </row>
    <row r="9887" spans="2:2" ht="15.5" x14ac:dyDescent="0.35">
      <c r="B9887" s="171"/>
    </row>
    <row r="9888" spans="2:2" ht="15.5" x14ac:dyDescent="0.35">
      <c r="B9888" s="171"/>
    </row>
    <row r="9889" spans="2:2" ht="15.5" x14ac:dyDescent="0.35">
      <c r="B9889" s="171"/>
    </row>
    <row r="9890" spans="2:2" ht="15.5" x14ac:dyDescent="0.35">
      <c r="B9890" s="171"/>
    </row>
    <row r="9891" spans="2:2" ht="15.5" x14ac:dyDescent="0.35">
      <c r="B9891" s="171"/>
    </row>
    <row r="9892" spans="2:2" ht="15.5" x14ac:dyDescent="0.35">
      <c r="B9892" s="171"/>
    </row>
    <row r="9893" spans="2:2" ht="15.5" x14ac:dyDescent="0.35">
      <c r="B9893" s="171"/>
    </row>
    <row r="9894" spans="2:2" ht="15.5" x14ac:dyDescent="0.35">
      <c r="B9894" s="171"/>
    </row>
    <row r="9895" spans="2:2" ht="15.5" x14ac:dyDescent="0.35">
      <c r="B9895" s="171"/>
    </row>
    <row r="9896" spans="2:2" ht="15.5" x14ac:dyDescent="0.35">
      <c r="B9896" s="171"/>
    </row>
    <row r="9897" spans="2:2" ht="15.5" x14ac:dyDescent="0.35">
      <c r="B9897" s="171"/>
    </row>
    <row r="9898" spans="2:2" ht="15.5" x14ac:dyDescent="0.35">
      <c r="B9898" s="171"/>
    </row>
    <row r="9899" spans="2:2" ht="15.5" x14ac:dyDescent="0.35">
      <c r="B9899" s="171"/>
    </row>
    <row r="9900" spans="2:2" ht="15.5" x14ac:dyDescent="0.35">
      <c r="B9900" s="171"/>
    </row>
    <row r="9901" spans="2:2" ht="15.5" x14ac:dyDescent="0.35">
      <c r="B9901" s="171"/>
    </row>
    <row r="9902" spans="2:2" ht="15.5" x14ac:dyDescent="0.35">
      <c r="B9902" s="171"/>
    </row>
    <row r="9903" spans="2:2" ht="15.5" x14ac:dyDescent="0.35">
      <c r="B9903" s="171"/>
    </row>
    <row r="9904" spans="2:2" ht="15.5" x14ac:dyDescent="0.35">
      <c r="B9904" s="171"/>
    </row>
    <row r="9905" spans="2:2" ht="15.5" x14ac:dyDescent="0.35">
      <c r="B9905" s="171"/>
    </row>
    <row r="9906" spans="2:2" ht="15.5" x14ac:dyDescent="0.35">
      <c r="B9906" s="171"/>
    </row>
    <row r="9907" spans="2:2" ht="15.5" x14ac:dyDescent="0.35">
      <c r="B9907" s="171"/>
    </row>
    <row r="9908" spans="2:2" ht="15.5" x14ac:dyDescent="0.35">
      <c r="B9908" s="171"/>
    </row>
    <row r="9909" spans="2:2" ht="15.5" x14ac:dyDescent="0.35">
      <c r="B9909" s="171"/>
    </row>
    <row r="9910" spans="2:2" ht="15.5" x14ac:dyDescent="0.35">
      <c r="B9910" s="171"/>
    </row>
    <row r="9911" spans="2:2" ht="15.5" x14ac:dyDescent="0.35">
      <c r="B9911" s="171"/>
    </row>
    <row r="9912" spans="2:2" ht="15.5" x14ac:dyDescent="0.35">
      <c r="B9912" s="171"/>
    </row>
    <row r="9913" spans="2:2" ht="15.5" x14ac:dyDescent="0.35">
      <c r="B9913" s="171"/>
    </row>
    <row r="9914" spans="2:2" ht="15.5" x14ac:dyDescent="0.35">
      <c r="B9914" s="171"/>
    </row>
    <row r="9915" spans="2:2" ht="15.5" x14ac:dyDescent="0.35">
      <c r="B9915" s="171"/>
    </row>
    <row r="9916" spans="2:2" ht="15.5" x14ac:dyDescent="0.35">
      <c r="B9916" s="171"/>
    </row>
    <row r="9917" spans="2:2" ht="15.5" x14ac:dyDescent="0.35">
      <c r="B9917" s="171"/>
    </row>
    <row r="9918" spans="2:2" ht="15.5" x14ac:dyDescent="0.35">
      <c r="B9918" s="171"/>
    </row>
    <row r="9919" spans="2:2" ht="15.5" x14ac:dyDescent="0.35">
      <c r="B9919" s="171"/>
    </row>
    <row r="9920" spans="2:2" ht="15.5" x14ac:dyDescent="0.35">
      <c r="B9920" s="171"/>
    </row>
    <row r="9921" spans="2:2" ht="15.5" x14ac:dyDescent="0.35">
      <c r="B9921" s="171"/>
    </row>
    <row r="9922" spans="2:2" ht="15.5" x14ac:dyDescent="0.35">
      <c r="B9922" s="171"/>
    </row>
    <row r="9923" spans="2:2" ht="15.5" x14ac:dyDescent="0.35">
      <c r="B9923" s="171"/>
    </row>
    <row r="9924" spans="2:2" ht="15.5" x14ac:dyDescent="0.35">
      <c r="B9924" s="171"/>
    </row>
    <row r="9925" spans="2:2" ht="15.5" x14ac:dyDescent="0.35">
      <c r="B9925" s="171"/>
    </row>
    <row r="9926" spans="2:2" ht="15.5" x14ac:dyDescent="0.35">
      <c r="B9926" s="171"/>
    </row>
    <row r="9927" spans="2:2" ht="15.5" x14ac:dyDescent="0.35">
      <c r="B9927" s="171"/>
    </row>
    <row r="9928" spans="2:2" ht="15.5" x14ac:dyDescent="0.35">
      <c r="B9928" s="171"/>
    </row>
    <row r="9929" spans="2:2" ht="15.5" x14ac:dyDescent="0.35">
      <c r="B9929" s="171"/>
    </row>
    <row r="9930" spans="2:2" ht="15.5" x14ac:dyDescent="0.35">
      <c r="B9930" s="171"/>
    </row>
    <row r="9931" spans="2:2" ht="15.5" x14ac:dyDescent="0.35">
      <c r="B9931" s="171"/>
    </row>
    <row r="9932" spans="2:2" ht="15.5" x14ac:dyDescent="0.35">
      <c r="B9932" s="171"/>
    </row>
    <row r="9933" spans="2:2" ht="15.5" x14ac:dyDescent="0.35">
      <c r="B9933" s="171"/>
    </row>
    <row r="9934" spans="2:2" ht="15.5" x14ac:dyDescent="0.35">
      <c r="B9934" s="171"/>
    </row>
    <row r="9935" spans="2:2" ht="15.5" x14ac:dyDescent="0.35">
      <c r="B9935" s="171"/>
    </row>
    <row r="9936" spans="2:2" ht="15.5" x14ac:dyDescent="0.35">
      <c r="B9936" s="171"/>
    </row>
    <row r="9937" spans="2:2" ht="15.5" x14ac:dyDescent="0.35">
      <c r="B9937" s="171"/>
    </row>
    <row r="9938" spans="2:2" ht="15.5" x14ac:dyDescent="0.35">
      <c r="B9938" s="171"/>
    </row>
    <row r="9939" spans="2:2" ht="15.5" x14ac:dyDescent="0.35">
      <c r="B9939" s="171"/>
    </row>
    <row r="9940" spans="2:2" ht="15.5" x14ac:dyDescent="0.35">
      <c r="B9940" s="171"/>
    </row>
    <row r="9941" spans="2:2" ht="15.5" x14ac:dyDescent="0.35">
      <c r="B9941" s="171"/>
    </row>
    <row r="9942" spans="2:2" ht="15.5" x14ac:dyDescent="0.35">
      <c r="B9942" s="171"/>
    </row>
    <row r="9943" spans="2:2" ht="15.5" x14ac:dyDescent="0.35">
      <c r="B9943" s="171"/>
    </row>
    <row r="9944" spans="2:2" ht="15.5" x14ac:dyDescent="0.35">
      <c r="B9944" s="171"/>
    </row>
    <row r="9945" spans="2:2" ht="15.5" x14ac:dyDescent="0.35">
      <c r="B9945" s="171"/>
    </row>
    <row r="9946" spans="2:2" ht="15.5" x14ac:dyDescent="0.35">
      <c r="B9946" s="171"/>
    </row>
    <row r="9947" spans="2:2" ht="15.5" x14ac:dyDescent="0.35">
      <c r="B9947" s="171"/>
    </row>
    <row r="9948" spans="2:2" ht="15.5" x14ac:dyDescent="0.35">
      <c r="B9948" s="171"/>
    </row>
    <row r="9949" spans="2:2" ht="15.5" x14ac:dyDescent="0.35">
      <c r="B9949" s="171"/>
    </row>
    <row r="9950" spans="2:2" ht="15.5" x14ac:dyDescent="0.35">
      <c r="B9950" s="171"/>
    </row>
    <row r="9951" spans="2:2" ht="15.5" x14ac:dyDescent="0.35">
      <c r="B9951" s="171"/>
    </row>
    <row r="9952" spans="2:2" ht="15.5" x14ac:dyDescent="0.35">
      <c r="B9952" s="171"/>
    </row>
    <row r="9953" spans="2:2" ht="15.5" x14ac:dyDescent="0.35">
      <c r="B9953" s="171"/>
    </row>
    <row r="9954" spans="2:2" ht="15.5" x14ac:dyDescent="0.35">
      <c r="B9954" s="171"/>
    </row>
    <row r="9955" spans="2:2" ht="15.5" x14ac:dyDescent="0.35">
      <c r="B9955" s="171"/>
    </row>
    <row r="9956" spans="2:2" ht="15.5" x14ac:dyDescent="0.35">
      <c r="B9956" s="171"/>
    </row>
    <row r="9957" spans="2:2" ht="15.5" x14ac:dyDescent="0.35">
      <c r="B9957" s="171"/>
    </row>
    <row r="9958" spans="2:2" ht="15.5" x14ac:dyDescent="0.35">
      <c r="B9958" s="171"/>
    </row>
    <row r="9959" spans="2:2" ht="15.5" x14ac:dyDescent="0.35">
      <c r="B9959" s="171"/>
    </row>
    <row r="9960" spans="2:2" ht="15.5" x14ac:dyDescent="0.35">
      <c r="B9960" s="171"/>
    </row>
    <row r="9961" spans="2:2" ht="15.5" x14ac:dyDescent="0.35">
      <c r="B9961" s="171"/>
    </row>
    <row r="9962" spans="2:2" ht="15.5" x14ac:dyDescent="0.35">
      <c r="B9962" s="171"/>
    </row>
    <row r="9963" spans="2:2" ht="15.5" x14ac:dyDescent="0.35">
      <c r="B9963" s="171"/>
    </row>
    <row r="9964" spans="2:2" ht="15.5" x14ac:dyDescent="0.35">
      <c r="B9964" s="171"/>
    </row>
    <row r="9965" spans="2:2" ht="15.5" x14ac:dyDescent="0.35">
      <c r="B9965" s="171"/>
    </row>
    <row r="9966" spans="2:2" ht="15.5" x14ac:dyDescent="0.35">
      <c r="B9966" s="171"/>
    </row>
    <row r="9967" spans="2:2" ht="15.5" x14ac:dyDescent="0.35">
      <c r="B9967" s="171"/>
    </row>
    <row r="9968" spans="2:2" ht="15.5" x14ac:dyDescent="0.35">
      <c r="B9968" s="171"/>
    </row>
    <row r="9969" spans="2:2" ht="15.5" x14ac:dyDescent="0.35">
      <c r="B9969" s="171"/>
    </row>
    <row r="9970" spans="2:2" ht="15.5" x14ac:dyDescent="0.35">
      <c r="B9970" s="171"/>
    </row>
    <row r="9971" spans="2:2" ht="15.5" x14ac:dyDescent="0.35">
      <c r="B9971" s="171"/>
    </row>
    <row r="9972" spans="2:2" ht="15.5" x14ac:dyDescent="0.35">
      <c r="B9972" s="171"/>
    </row>
    <row r="9973" spans="2:2" ht="15.5" x14ac:dyDescent="0.35">
      <c r="B9973" s="171"/>
    </row>
    <row r="9974" spans="2:2" ht="15.5" x14ac:dyDescent="0.35">
      <c r="B9974" s="171"/>
    </row>
    <row r="9975" spans="2:2" ht="15.5" x14ac:dyDescent="0.35">
      <c r="B9975" s="171"/>
    </row>
    <row r="9976" spans="2:2" ht="15.5" x14ac:dyDescent="0.35">
      <c r="B9976" s="171"/>
    </row>
    <row r="9977" spans="2:2" ht="15.5" x14ac:dyDescent="0.35">
      <c r="B9977" s="171"/>
    </row>
    <row r="9978" spans="2:2" ht="15.5" x14ac:dyDescent="0.35">
      <c r="B9978" s="171"/>
    </row>
    <row r="9979" spans="2:2" ht="15.5" x14ac:dyDescent="0.35">
      <c r="B9979" s="171"/>
    </row>
    <row r="9980" spans="2:2" ht="15.5" x14ac:dyDescent="0.35">
      <c r="B9980" s="171"/>
    </row>
    <row r="9981" spans="2:2" ht="15.5" x14ac:dyDescent="0.35">
      <c r="B9981" s="171"/>
    </row>
    <row r="9982" spans="2:2" ht="15.5" x14ac:dyDescent="0.35">
      <c r="B9982" s="171"/>
    </row>
    <row r="9983" spans="2:2" ht="15.5" x14ac:dyDescent="0.35">
      <c r="B9983" s="171"/>
    </row>
    <row r="9984" spans="2:2" ht="15.5" x14ac:dyDescent="0.35">
      <c r="B9984" s="171"/>
    </row>
    <row r="9985" spans="2:2" ht="15.5" x14ac:dyDescent="0.35">
      <c r="B9985" s="171"/>
    </row>
    <row r="9986" spans="2:2" ht="15.5" x14ac:dyDescent="0.35">
      <c r="B9986" s="171"/>
    </row>
    <row r="9987" spans="2:2" ht="15.5" x14ac:dyDescent="0.35">
      <c r="B9987" s="171"/>
    </row>
    <row r="9988" spans="2:2" ht="15.5" x14ac:dyDescent="0.35">
      <c r="B9988" s="171"/>
    </row>
    <row r="9989" spans="2:2" ht="15.5" x14ac:dyDescent="0.35">
      <c r="B9989" s="171"/>
    </row>
    <row r="9990" spans="2:2" ht="15.5" x14ac:dyDescent="0.35">
      <c r="B9990" s="171"/>
    </row>
    <row r="9991" spans="2:2" ht="15.5" x14ac:dyDescent="0.35">
      <c r="B9991" s="171"/>
    </row>
    <row r="9992" spans="2:2" ht="15.5" x14ac:dyDescent="0.35">
      <c r="B9992" s="171"/>
    </row>
    <row r="9993" spans="2:2" ht="15.5" x14ac:dyDescent="0.35">
      <c r="B9993" s="171"/>
    </row>
    <row r="9994" spans="2:2" ht="15.5" x14ac:dyDescent="0.35">
      <c r="B9994" s="171"/>
    </row>
    <row r="9995" spans="2:2" ht="15.5" x14ac:dyDescent="0.35">
      <c r="B9995" s="171"/>
    </row>
    <row r="9996" spans="2:2" ht="15.5" x14ac:dyDescent="0.35">
      <c r="B9996" s="171"/>
    </row>
    <row r="9997" spans="2:2" ht="15.5" x14ac:dyDescent="0.35">
      <c r="B9997" s="171"/>
    </row>
    <row r="9998" spans="2:2" ht="15.5" x14ac:dyDescent="0.35">
      <c r="B9998" s="171"/>
    </row>
    <row r="9999" spans="2:2" ht="15.5" x14ac:dyDescent="0.35">
      <c r="B9999" s="171"/>
    </row>
    <row r="10000" spans="2:2" ht="15.5" x14ac:dyDescent="0.35">
      <c r="B10000" s="171"/>
    </row>
    <row r="10001" spans="2:2" ht="15.5" x14ac:dyDescent="0.35">
      <c r="B10001" s="171"/>
    </row>
    <row r="10002" spans="2:2" ht="15.5" x14ac:dyDescent="0.35">
      <c r="B10002" s="171"/>
    </row>
    <row r="10003" spans="2:2" ht="15.5" x14ac:dyDescent="0.35">
      <c r="B10003" s="171"/>
    </row>
    <row r="10004" spans="2:2" ht="15.5" x14ac:dyDescent="0.35">
      <c r="B10004" s="171"/>
    </row>
    <row r="10005" spans="2:2" ht="15.5" x14ac:dyDescent="0.35">
      <c r="B10005" s="171"/>
    </row>
    <row r="10006" spans="2:2" ht="15.5" x14ac:dyDescent="0.35">
      <c r="B10006" s="171"/>
    </row>
    <row r="10007" spans="2:2" ht="15.5" x14ac:dyDescent="0.35">
      <c r="B10007" s="171"/>
    </row>
    <row r="10008" spans="2:2" ht="15.5" x14ac:dyDescent="0.35">
      <c r="B10008" s="171"/>
    </row>
    <row r="10009" spans="2:2" ht="15.5" x14ac:dyDescent="0.35">
      <c r="B10009" s="171"/>
    </row>
    <row r="10010" spans="2:2" ht="15.5" x14ac:dyDescent="0.35">
      <c r="B10010" s="171"/>
    </row>
    <row r="10011" spans="2:2" ht="15.5" x14ac:dyDescent="0.35">
      <c r="B10011" s="171"/>
    </row>
    <row r="10012" spans="2:2" ht="15.5" x14ac:dyDescent="0.35">
      <c r="B10012" s="171"/>
    </row>
    <row r="10013" spans="2:2" ht="15.5" x14ac:dyDescent="0.35">
      <c r="B10013" s="171"/>
    </row>
    <row r="10014" spans="2:2" ht="15.5" x14ac:dyDescent="0.35">
      <c r="B10014" s="171"/>
    </row>
    <row r="10015" spans="2:2" ht="15.5" x14ac:dyDescent="0.35">
      <c r="B10015" s="171"/>
    </row>
    <row r="10016" spans="2:2" ht="15.5" x14ac:dyDescent="0.35">
      <c r="B10016" s="171"/>
    </row>
    <row r="10017" spans="2:2" ht="15.5" x14ac:dyDescent="0.35">
      <c r="B10017" s="171"/>
    </row>
    <row r="10018" spans="2:2" ht="15.5" x14ac:dyDescent="0.35">
      <c r="B10018" s="171"/>
    </row>
    <row r="10019" spans="2:2" ht="15.5" x14ac:dyDescent="0.35">
      <c r="B10019" s="171"/>
    </row>
    <row r="10020" spans="2:2" ht="15.5" x14ac:dyDescent="0.35">
      <c r="B10020" s="171"/>
    </row>
    <row r="10021" spans="2:2" ht="15.5" x14ac:dyDescent="0.35">
      <c r="B10021" s="171"/>
    </row>
    <row r="10022" spans="2:2" ht="15.5" x14ac:dyDescent="0.35">
      <c r="B10022" s="171"/>
    </row>
    <row r="10023" spans="2:2" ht="15.5" x14ac:dyDescent="0.35">
      <c r="B10023" s="171"/>
    </row>
    <row r="10024" spans="2:2" ht="15.5" x14ac:dyDescent="0.35">
      <c r="B10024" s="171"/>
    </row>
    <row r="10025" spans="2:2" ht="15.5" x14ac:dyDescent="0.35">
      <c r="B10025" s="171"/>
    </row>
    <row r="10026" spans="2:2" ht="15.5" x14ac:dyDescent="0.35">
      <c r="B10026" s="171"/>
    </row>
    <row r="10027" spans="2:2" ht="15.5" x14ac:dyDescent="0.35">
      <c r="B10027" s="171"/>
    </row>
    <row r="10028" spans="2:2" ht="15.5" x14ac:dyDescent="0.35">
      <c r="B10028" s="171"/>
    </row>
    <row r="10029" spans="2:2" ht="15.5" x14ac:dyDescent="0.35">
      <c r="B10029" s="171"/>
    </row>
    <row r="10030" spans="2:2" ht="15.5" x14ac:dyDescent="0.35">
      <c r="B10030" s="171"/>
    </row>
    <row r="10031" spans="2:2" ht="15.5" x14ac:dyDescent="0.35">
      <c r="B10031" s="171"/>
    </row>
    <row r="10032" spans="2:2" ht="15.5" x14ac:dyDescent="0.35">
      <c r="B10032" s="171"/>
    </row>
    <row r="10033" spans="2:2" ht="15.5" x14ac:dyDescent="0.35">
      <c r="B10033" s="171"/>
    </row>
    <row r="10034" spans="2:2" ht="15.5" x14ac:dyDescent="0.35">
      <c r="B10034" s="171"/>
    </row>
    <row r="10035" spans="2:2" ht="15.5" x14ac:dyDescent="0.35">
      <c r="B10035" s="171"/>
    </row>
    <row r="10036" spans="2:2" ht="15.5" x14ac:dyDescent="0.35">
      <c r="B10036" s="171"/>
    </row>
    <row r="10037" spans="2:2" ht="15.5" x14ac:dyDescent="0.35">
      <c r="B10037" s="171"/>
    </row>
    <row r="10038" spans="2:2" ht="15.5" x14ac:dyDescent="0.35">
      <c r="B10038" s="171"/>
    </row>
    <row r="10039" spans="2:2" ht="15.5" x14ac:dyDescent="0.35">
      <c r="B10039" s="171"/>
    </row>
    <row r="10040" spans="2:2" ht="15.5" x14ac:dyDescent="0.35">
      <c r="B10040" s="171"/>
    </row>
    <row r="10041" spans="2:2" ht="15.5" x14ac:dyDescent="0.35">
      <c r="B10041" s="171"/>
    </row>
    <row r="10042" spans="2:2" ht="15.5" x14ac:dyDescent="0.35">
      <c r="B10042" s="171"/>
    </row>
    <row r="10043" spans="2:2" ht="15.5" x14ac:dyDescent="0.35">
      <c r="B10043" s="171"/>
    </row>
    <row r="10044" spans="2:2" ht="15.5" x14ac:dyDescent="0.35">
      <c r="B10044" s="171"/>
    </row>
    <row r="10045" spans="2:2" ht="15.5" x14ac:dyDescent="0.35">
      <c r="B10045" s="171"/>
    </row>
    <row r="10046" spans="2:2" ht="15.5" x14ac:dyDescent="0.35">
      <c r="B10046" s="171"/>
    </row>
    <row r="10047" spans="2:2" ht="15.5" x14ac:dyDescent="0.35">
      <c r="B10047" s="171"/>
    </row>
    <row r="10048" spans="2:2" ht="15.5" x14ac:dyDescent="0.35">
      <c r="B10048" s="171"/>
    </row>
    <row r="10049" spans="2:2" ht="15.5" x14ac:dyDescent="0.35">
      <c r="B10049" s="171"/>
    </row>
    <row r="10050" spans="2:2" ht="15.5" x14ac:dyDescent="0.35">
      <c r="B10050" s="171"/>
    </row>
    <row r="10051" spans="2:2" ht="15.5" x14ac:dyDescent="0.35">
      <c r="B10051" s="171"/>
    </row>
    <row r="10052" spans="2:2" ht="15.5" x14ac:dyDescent="0.35">
      <c r="B10052" s="171"/>
    </row>
    <row r="10053" spans="2:2" ht="15.5" x14ac:dyDescent="0.35">
      <c r="B10053" s="171"/>
    </row>
    <row r="10054" spans="2:2" ht="15.5" x14ac:dyDescent="0.35">
      <c r="B10054" s="171"/>
    </row>
    <row r="10055" spans="2:2" ht="15.5" x14ac:dyDescent="0.35">
      <c r="B10055" s="171"/>
    </row>
  </sheetData>
  <conditionalFormatting sqref="D17:F20 F26 E21:F22 L4:L5 D33:F40 E27:F32 L12:L16">
    <cfRule type="colorScale" priority="2">
      <colorScale>
        <cfvo type="num" val="-0.5"/>
        <cfvo type="num" val="0"/>
        <cfvo type="num" val="0.5"/>
        <color rgb="FFF8696B"/>
        <color theme="0"/>
        <color rgb="FF63BE7B"/>
      </colorScale>
    </cfRule>
  </conditionalFormatting>
  <conditionalFormatting sqref="D7:H11">
    <cfRule type="colorScale" priority="1">
      <colorScale>
        <cfvo type="num" val="-0.5"/>
        <cfvo type="num" val="0"/>
        <cfvo type="num" val="0.5"/>
        <color rgb="FFF8696B"/>
        <color theme="0"/>
        <color rgb="FF63BE7B"/>
      </colorScale>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55D8-0C80-4D3F-9371-A232E05CE1E7}">
  <sheetPr codeName="Sheet12"/>
  <dimension ref="A1:L37"/>
  <sheetViews>
    <sheetView showGridLines="0" workbookViewId="0">
      <selection activeCell="F12" sqref="F12"/>
    </sheetView>
  </sheetViews>
  <sheetFormatPr defaultColWidth="8.83203125" defaultRowHeight="14" x14ac:dyDescent="0.3"/>
  <cols>
    <col min="1" max="1" width="30.33203125" bestFit="1" customWidth="1"/>
    <col min="2" max="2" width="12.83203125" bestFit="1" customWidth="1"/>
    <col min="3" max="3" width="11.83203125" bestFit="1" customWidth="1"/>
    <col min="4" max="4" width="12.08203125" bestFit="1" customWidth="1"/>
    <col min="5" max="5" width="11.5" bestFit="1" customWidth="1"/>
    <col min="6" max="6" width="13.08203125" bestFit="1" customWidth="1"/>
    <col min="7" max="7" width="14" bestFit="1" customWidth="1"/>
    <col min="8" max="8" width="13.5" bestFit="1" customWidth="1"/>
    <col min="9" max="9" width="12.08203125" bestFit="1" customWidth="1"/>
    <col min="10" max="10" width="12.5" bestFit="1" customWidth="1"/>
    <col min="11" max="11" width="13.08203125" bestFit="1" customWidth="1"/>
    <col min="12" max="12" width="12.58203125" bestFit="1" customWidth="1"/>
  </cols>
  <sheetData>
    <row r="1" spans="1:12" ht="14.5" x14ac:dyDescent="0.35">
      <c r="A1" s="846" t="s">
        <v>572</v>
      </c>
      <c r="B1" s="847" t="s">
        <v>573</v>
      </c>
      <c r="C1" s="847" t="s">
        <v>574</v>
      </c>
      <c r="D1" s="847" t="s">
        <v>575</v>
      </c>
      <c r="E1" s="847" t="s">
        <v>576</v>
      </c>
      <c r="F1" s="847" t="s">
        <v>577</v>
      </c>
      <c r="G1" s="847" t="s">
        <v>578</v>
      </c>
      <c r="H1" s="847" t="s">
        <v>579</v>
      </c>
      <c r="I1" s="847" t="s">
        <v>580</v>
      </c>
      <c r="J1" s="847" t="s">
        <v>581</v>
      </c>
      <c r="K1" s="847" t="s">
        <v>582</v>
      </c>
      <c r="L1" s="847" t="s">
        <v>583</v>
      </c>
    </row>
    <row r="2" spans="1:12" ht="14.5" x14ac:dyDescent="0.35">
      <c r="A2" s="848" t="s">
        <v>584</v>
      </c>
      <c r="B2" s="849">
        <v>12013.953</v>
      </c>
      <c r="C2" s="849">
        <v>20028</v>
      </c>
      <c r="D2" s="849">
        <v>63054</v>
      </c>
      <c r="E2" s="849">
        <v>30758</v>
      </c>
      <c r="F2" s="849" t="s">
        <v>360</v>
      </c>
      <c r="G2" s="849">
        <v>1794.1479999999999</v>
      </c>
      <c r="H2" s="849">
        <v>6820.9</v>
      </c>
      <c r="I2" s="849">
        <v>2619.319</v>
      </c>
      <c r="J2" s="849">
        <v>572.221</v>
      </c>
      <c r="K2" s="849">
        <v>5485.5</v>
      </c>
      <c r="L2" s="849">
        <v>675.17</v>
      </c>
    </row>
    <row r="3" spans="1:12" ht="14.5" x14ac:dyDescent="0.35">
      <c r="A3" s="850" t="s">
        <v>585</v>
      </c>
      <c r="B3" s="824">
        <v>12305.539000000001</v>
      </c>
      <c r="C3" s="824">
        <v>17519</v>
      </c>
      <c r="D3" s="824">
        <v>54228</v>
      </c>
      <c r="E3" s="824">
        <v>15540</v>
      </c>
      <c r="F3" s="824" t="s">
        <v>360</v>
      </c>
      <c r="G3" s="824">
        <v>1821.0719999999999</v>
      </c>
      <c r="H3" s="824">
        <v>8438.7000000000007</v>
      </c>
      <c r="I3" s="824">
        <v>3318.6019999999999</v>
      </c>
      <c r="J3" s="824">
        <v>612.70100000000002</v>
      </c>
      <c r="K3" s="824">
        <v>4772.3999999999996</v>
      </c>
      <c r="L3" s="824">
        <v>648.40700000000004</v>
      </c>
    </row>
    <row r="4" spans="1:12" ht="14.5" x14ac:dyDescent="0.35">
      <c r="A4" s="850" t="s">
        <v>225</v>
      </c>
      <c r="B4" s="824">
        <v>8374.3439999999991</v>
      </c>
      <c r="C4" s="824">
        <v>8642</v>
      </c>
      <c r="D4" s="824">
        <v>9674</v>
      </c>
      <c r="E4" s="824">
        <v>2466</v>
      </c>
      <c r="F4" s="824" t="s">
        <v>360</v>
      </c>
      <c r="G4" s="824">
        <v>525.01700000000005</v>
      </c>
      <c r="H4" s="824">
        <v>4174.5</v>
      </c>
      <c r="I4" s="824">
        <v>1272.402</v>
      </c>
      <c r="J4" s="824">
        <v>73.37</v>
      </c>
      <c r="K4" s="824">
        <v>1869.5</v>
      </c>
      <c r="L4" s="824">
        <v>177.07900000000001</v>
      </c>
    </row>
    <row r="5" spans="1:12" ht="14.5" x14ac:dyDescent="0.35">
      <c r="A5" s="851" t="s">
        <v>226</v>
      </c>
      <c r="B5" s="852">
        <v>3314.5790000000002</v>
      </c>
      <c r="C5" s="852">
        <v>6510</v>
      </c>
      <c r="D5" s="852">
        <v>1689</v>
      </c>
      <c r="E5" s="852">
        <v>-5833</v>
      </c>
      <c r="F5" s="852" t="s">
        <v>360</v>
      </c>
      <c r="G5" s="852">
        <v>427.37400000000002</v>
      </c>
      <c r="H5" s="852">
        <v>2237.6999999999998</v>
      </c>
      <c r="I5" s="852">
        <v>830.77700000000004</v>
      </c>
      <c r="J5" s="852">
        <v>-8.9260000000000002</v>
      </c>
      <c r="K5" s="852">
        <v>982.8</v>
      </c>
      <c r="L5" s="852">
        <v>91.576999999999998</v>
      </c>
    </row>
    <row r="6" spans="1:12" ht="14.5" x14ac:dyDescent="0.35">
      <c r="A6" s="853" t="s">
        <v>175</v>
      </c>
      <c r="B6" s="824">
        <v>9427.1569999999992</v>
      </c>
      <c r="C6" s="824">
        <v>15641</v>
      </c>
      <c r="D6" s="824">
        <v>53101</v>
      </c>
      <c r="E6" s="824">
        <v>25111</v>
      </c>
      <c r="F6" s="824" t="s">
        <v>360</v>
      </c>
      <c r="G6" s="824">
        <v>2207.1</v>
      </c>
      <c r="H6" s="824">
        <v>7634.4</v>
      </c>
      <c r="I6" s="824">
        <v>4206.2889999999998</v>
      </c>
      <c r="J6" s="824">
        <v>665.78800000000001</v>
      </c>
      <c r="K6" s="824">
        <v>4178</v>
      </c>
      <c r="L6" s="824">
        <v>729.57799999999997</v>
      </c>
    </row>
    <row r="7" spans="1:12" ht="14.5" x14ac:dyDescent="0.35">
      <c r="A7" s="854" t="s">
        <v>227</v>
      </c>
      <c r="B7" s="824">
        <v>3023.326</v>
      </c>
      <c r="C7" s="824">
        <v>6547</v>
      </c>
      <c r="D7" s="824">
        <v>35756</v>
      </c>
      <c r="E7" s="824">
        <v>19516</v>
      </c>
      <c r="F7" s="824" t="s">
        <v>360</v>
      </c>
      <c r="G7" s="824">
        <v>986.23</v>
      </c>
      <c r="H7" s="824">
        <v>2638.7</v>
      </c>
      <c r="I7" s="824">
        <v>2348.4250000000002</v>
      </c>
      <c r="J7" s="824">
        <v>124.803</v>
      </c>
      <c r="K7" s="824">
        <v>2457.1999999999998</v>
      </c>
      <c r="L7" s="824">
        <v>328.48599999999999</v>
      </c>
    </row>
    <row r="8" spans="1:12" ht="14.5" x14ac:dyDescent="0.35">
      <c r="A8" s="853" t="s">
        <v>228</v>
      </c>
      <c r="B8" s="824">
        <v>6403.8310000000001</v>
      </c>
      <c r="C8" s="824">
        <v>9094</v>
      </c>
      <c r="D8" s="824">
        <v>17345</v>
      </c>
      <c r="E8" s="824">
        <v>5595</v>
      </c>
      <c r="F8" s="824" t="s">
        <v>360</v>
      </c>
      <c r="G8" s="824">
        <v>1220.8699999999999</v>
      </c>
      <c r="H8" s="824">
        <v>4995.7</v>
      </c>
      <c r="I8" s="824">
        <v>1857.864</v>
      </c>
      <c r="J8" s="824">
        <v>540.98500000000001</v>
      </c>
      <c r="K8" s="824">
        <v>1720.8</v>
      </c>
      <c r="L8" s="824">
        <v>401.09199999999998</v>
      </c>
    </row>
    <row r="9" spans="1:12" ht="14.5" x14ac:dyDescent="0.35">
      <c r="A9" s="854" t="s">
        <v>176</v>
      </c>
      <c r="B9" s="824">
        <v>6025.5159999999996</v>
      </c>
      <c r="C9" s="824">
        <v>6879</v>
      </c>
      <c r="D9" s="824">
        <v>6105</v>
      </c>
      <c r="E9" s="824">
        <v>8984</v>
      </c>
      <c r="F9" s="824" t="s">
        <v>360</v>
      </c>
      <c r="G9" s="824">
        <v>579.69100000000003</v>
      </c>
      <c r="H9" s="824">
        <v>3501.9</v>
      </c>
      <c r="I9" s="824">
        <v>1917.4880000000001</v>
      </c>
      <c r="J9" s="824">
        <v>114.666</v>
      </c>
      <c r="K9" s="824">
        <v>1429.5</v>
      </c>
      <c r="L9" s="824">
        <v>168.655</v>
      </c>
    </row>
    <row r="10" spans="1:12" ht="14.5" x14ac:dyDescent="0.35">
      <c r="A10" s="853" t="s">
        <v>229</v>
      </c>
      <c r="B10" s="824">
        <v>3852.8690000000001</v>
      </c>
      <c r="C10" s="824">
        <v>5214</v>
      </c>
      <c r="D10" s="824">
        <v>-5424</v>
      </c>
      <c r="E10" s="824">
        <v>1064</v>
      </c>
      <c r="F10" s="824" t="s">
        <v>360</v>
      </c>
      <c r="G10" s="824">
        <v>539.35799999999995</v>
      </c>
      <c r="H10" s="824">
        <v>2562</v>
      </c>
      <c r="I10" s="824">
        <v>1479.587</v>
      </c>
      <c r="J10" s="824">
        <v>40.484999999999999</v>
      </c>
      <c r="K10" s="824">
        <v>942.8</v>
      </c>
      <c r="L10" s="824">
        <v>92.45</v>
      </c>
    </row>
    <row r="11" spans="1:12" ht="14.5" x14ac:dyDescent="0.35">
      <c r="A11" s="854" t="s">
        <v>230</v>
      </c>
      <c r="B11" s="824">
        <v>243.41</v>
      </c>
      <c r="C11" s="824">
        <v>508</v>
      </c>
      <c r="D11" s="824">
        <v>-211</v>
      </c>
      <c r="E11" s="824">
        <v>33</v>
      </c>
      <c r="F11" s="824" t="s">
        <v>360</v>
      </c>
      <c r="G11" s="824" t="s">
        <v>360</v>
      </c>
      <c r="H11" s="824">
        <v>145.9</v>
      </c>
      <c r="I11" s="824">
        <v>-50.22</v>
      </c>
      <c r="J11" s="824">
        <v>5.8360000000000003</v>
      </c>
      <c r="K11" s="824">
        <v>30.7</v>
      </c>
      <c r="L11" s="824">
        <v>-17.850000000000001</v>
      </c>
    </row>
    <row r="12" spans="1:12" ht="14.5" x14ac:dyDescent="0.35">
      <c r="A12" s="853" t="s">
        <v>231</v>
      </c>
      <c r="B12" s="824">
        <v>1777.34</v>
      </c>
      <c r="C12" s="824">
        <v>5453</v>
      </c>
      <c r="D12" s="824">
        <v>-11210</v>
      </c>
      <c r="E12" s="824">
        <v>1240</v>
      </c>
      <c r="F12" s="824" t="s">
        <v>360</v>
      </c>
      <c r="G12" s="824">
        <v>572.91200000000003</v>
      </c>
      <c r="H12" s="824">
        <v>2365.9</v>
      </c>
      <c r="I12" s="824">
        <v>1406.338</v>
      </c>
      <c r="J12" s="824">
        <v>32.630000000000003</v>
      </c>
      <c r="K12" s="824">
        <v>636.4</v>
      </c>
      <c r="L12" s="824">
        <v>91.525999999999996</v>
      </c>
    </row>
    <row r="13" spans="1:12" ht="14.5" x14ac:dyDescent="0.35">
      <c r="A13" s="854" t="s">
        <v>232</v>
      </c>
      <c r="B13" s="824">
        <v>142.06700000000001</v>
      </c>
      <c r="C13" s="824">
        <v>654</v>
      </c>
      <c r="D13" s="824">
        <v>8023</v>
      </c>
      <c r="E13" s="824">
        <v>451</v>
      </c>
      <c r="F13" s="824" t="s">
        <v>360</v>
      </c>
      <c r="G13" s="824">
        <v>-1213.788</v>
      </c>
      <c r="H13" s="824">
        <v>459</v>
      </c>
      <c r="I13" s="824">
        <v>114.294</v>
      </c>
      <c r="J13" s="824">
        <v>18.454999999999998</v>
      </c>
      <c r="K13" s="824">
        <v>40.4</v>
      </c>
      <c r="L13" s="824">
        <v>14.667</v>
      </c>
    </row>
    <row r="14" spans="1:12" ht="14.5" x14ac:dyDescent="0.35">
      <c r="A14" s="853" t="s">
        <v>233</v>
      </c>
      <c r="B14" s="824">
        <v>1635.2729999999999</v>
      </c>
      <c r="C14" s="824">
        <v>4799</v>
      </c>
      <c r="D14" s="824">
        <v>-18756</v>
      </c>
      <c r="E14" s="824">
        <v>778</v>
      </c>
      <c r="F14" s="824" t="s">
        <v>360</v>
      </c>
      <c r="G14" s="824">
        <v>1786.7</v>
      </c>
      <c r="H14" s="824">
        <v>1906.9</v>
      </c>
      <c r="I14" s="824">
        <v>1292.0440000000001</v>
      </c>
      <c r="J14" s="824">
        <v>14.175000000000001</v>
      </c>
      <c r="K14" s="824">
        <v>596</v>
      </c>
      <c r="L14" s="824">
        <v>76.858999999999995</v>
      </c>
    </row>
    <row r="15" spans="1:12" ht="14.5" x14ac:dyDescent="0.35">
      <c r="A15" s="853" t="s">
        <v>234</v>
      </c>
      <c r="B15" s="824">
        <v>3.3</v>
      </c>
      <c r="C15" s="824">
        <v>5.24</v>
      </c>
      <c r="D15" s="824">
        <v>-4.38</v>
      </c>
      <c r="E15" s="824">
        <v>0.7</v>
      </c>
      <c r="F15" s="824" t="s">
        <v>360</v>
      </c>
      <c r="G15" s="824">
        <v>36.76</v>
      </c>
      <c r="H15" s="824">
        <v>3.52</v>
      </c>
      <c r="I15" s="824">
        <v>12.07</v>
      </c>
      <c r="J15" s="824">
        <v>0.17</v>
      </c>
      <c r="K15" s="824">
        <v>3.72</v>
      </c>
      <c r="L15" s="824">
        <v>1.07</v>
      </c>
    </row>
    <row r="16" spans="1:12" ht="14.5" x14ac:dyDescent="0.35">
      <c r="A16" s="847" t="s">
        <v>586</v>
      </c>
      <c r="B16" s="824">
        <v>1487.8630000000001</v>
      </c>
      <c r="C16" s="824">
        <v>1959</v>
      </c>
      <c r="D16" s="824">
        <v>16546</v>
      </c>
      <c r="E16" s="824">
        <v>3430</v>
      </c>
      <c r="F16" s="824" t="s">
        <v>360</v>
      </c>
      <c r="G16" s="824">
        <v>324.74799999999999</v>
      </c>
      <c r="H16" s="824">
        <v>1096.9000000000001</v>
      </c>
      <c r="I16" s="824">
        <v>191.375</v>
      </c>
      <c r="J16" s="824">
        <v>221.161</v>
      </c>
      <c r="K16" s="824">
        <v>631.70000000000005</v>
      </c>
      <c r="L16" s="824">
        <v>182.15799999999999</v>
      </c>
    </row>
    <row r="17" spans="1:12" ht="14.5" x14ac:dyDescent="0.35">
      <c r="A17" s="847"/>
      <c r="B17" s="824"/>
      <c r="C17" s="824"/>
      <c r="D17" s="824"/>
      <c r="E17" s="824"/>
      <c r="F17" s="824"/>
      <c r="G17" s="824"/>
      <c r="H17" s="824"/>
      <c r="I17" s="824"/>
      <c r="J17" s="824"/>
      <c r="K17" s="824"/>
      <c r="L17" s="824"/>
    </row>
    <row r="18" spans="1:12" ht="14.5" x14ac:dyDescent="0.35">
      <c r="A18" s="847" t="s">
        <v>587</v>
      </c>
      <c r="B18" s="824">
        <v>2363.1640000000002</v>
      </c>
      <c r="C18" s="824">
        <v>7580</v>
      </c>
      <c r="D18" s="824">
        <v>22062</v>
      </c>
      <c r="E18" s="824">
        <v>8106</v>
      </c>
      <c r="F18" s="824" t="s">
        <v>360</v>
      </c>
      <c r="G18" s="824">
        <v>862.94600000000003</v>
      </c>
      <c r="H18" s="824">
        <v>319.7</v>
      </c>
      <c r="I18" s="824">
        <v>1792.9590000000001</v>
      </c>
      <c r="J18" s="824">
        <v>561.89800000000002</v>
      </c>
      <c r="K18" s="824">
        <v>1562.7</v>
      </c>
      <c r="L18" s="824">
        <v>581.88800000000003</v>
      </c>
    </row>
    <row r="19" spans="1:12" ht="14.5" x14ac:dyDescent="0.35">
      <c r="A19" s="847" t="s">
        <v>588</v>
      </c>
      <c r="B19" s="824">
        <v>1336.3309999999999</v>
      </c>
      <c r="C19" s="824">
        <v>1719</v>
      </c>
      <c r="D19" s="824">
        <v>3478</v>
      </c>
      <c r="E19" s="824">
        <v>5419</v>
      </c>
      <c r="F19" s="824" t="s">
        <v>360</v>
      </c>
      <c r="G19" s="824">
        <v>172.518</v>
      </c>
      <c r="H19" s="824">
        <v>1133.5999999999999</v>
      </c>
      <c r="I19" s="824">
        <v>1261.049</v>
      </c>
      <c r="J19" s="824">
        <v>173.50899999999999</v>
      </c>
      <c r="K19" s="824">
        <v>508.8</v>
      </c>
      <c r="L19" s="824">
        <v>105.7</v>
      </c>
    </row>
    <row r="20" spans="1:12" ht="14.5" x14ac:dyDescent="0.35">
      <c r="A20" s="847" t="s">
        <v>589</v>
      </c>
      <c r="B20" s="824">
        <v>1642.2139999999999</v>
      </c>
      <c r="C20" s="824">
        <v>3999</v>
      </c>
      <c r="D20" s="824">
        <v>11127</v>
      </c>
      <c r="E20" s="824">
        <v>8387</v>
      </c>
      <c r="F20" s="824" t="s">
        <v>360</v>
      </c>
      <c r="G20" s="824">
        <v>383.702</v>
      </c>
      <c r="H20" s="824">
        <v>1324.9</v>
      </c>
      <c r="I20" s="824">
        <v>819.899</v>
      </c>
      <c r="J20" s="824">
        <v>0</v>
      </c>
      <c r="K20" s="824">
        <v>1119.7</v>
      </c>
      <c r="L20" s="824">
        <v>136.30000000000001</v>
      </c>
    </row>
    <row r="21" spans="1:12" ht="14.5" x14ac:dyDescent="0.35">
      <c r="A21" s="847" t="s">
        <v>589</v>
      </c>
      <c r="B21" s="824">
        <v>1447.6869999999999</v>
      </c>
      <c r="C21" s="824">
        <v>4527</v>
      </c>
      <c r="D21" s="824">
        <v>12198</v>
      </c>
      <c r="E21" s="824">
        <v>8875</v>
      </c>
      <c r="F21" s="824" t="s">
        <v>360</v>
      </c>
      <c r="G21" s="824">
        <v>419.61099999999999</v>
      </c>
      <c r="H21" s="824">
        <v>1316</v>
      </c>
      <c r="I21" s="824">
        <v>1084.384</v>
      </c>
      <c r="J21" s="824">
        <v>0</v>
      </c>
      <c r="K21" s="824">
        <v>784.8</v>
      </c>
      <c r="L21" s="824">
        <v>194.49</v>
      </c>
    </row>
    <row r="22" spans="1:12" ht="14.5" x14ac:dyDescent="0.35">
      <c r="A22" s="847" t="s">
        <v>590</v>
      </c>
      <c r="B22" s="824">
        <v>5484.6540000000005</v>
      </c>
      <c r="C22" s="824">
        <v>15026</v>
      </c>
      <c r="D22" s="824">
        <v>47324</v>
      </c>
      <c r="E22" s="824">
        <v>24372</v>
      </c>
      <c r="F22" s="824" t="s">
        <v>360</v>
      </c>
      <c r="G22" s="824">
        <v>1565.0530000000001</v>
      </c>
      <c r="H22" s="824">
        <v>3013</v>
      </c>
      <c r="I22" s="824">
        <v>5089.0330000000004</v>
      </c>
      <c r="J22" s="824">
        <v>784.97799999999995</v>
      </c>
      <c r="K22" s="824">
        <v>3341</v>
      </c>
      <c r="L22" s="824">
        <v>903.07799999999997</v>
      </c>
    </row>
    <row r="23" spans="1:12" ht="14.5" x14ac:dyDescent="0.35">
      <c r="A23" s="847" t="s">
        <v>591</v>
      </c>
      <c r="B23" s="824">
        <v>3658.098</v>
      </c>
      <c r="C23" s="824">
        <v>12133</v>
      </c>
      <c r="D23" s="824">
        <v>108376</v>
      </c>
      <c r="E23" s="824">
        <v>40394</v>
      </c>
      <c r="F23" s="824" t="s">
        <v>360</v>
      </c>
      <c r="G23" s="824">
        <v>511.86</v>
      </c>
      <c r="H23" s="824">
        <v>1350.9</v>
      </c>
      <c r="I23" s="824">
        <v>5527.9660000000003</v>
      </c>
      <c r="J23" s="824">
        <v>72.125</v>
      </c>
      <c r="K23" s="824">
        <v>1471.9</v>
      </c>
      <c r="L23" s="824">
        <v>205.29599999999999</v>
      </c>
    </row>
    <row r="24" spans="1:12" ht="14.5" x14ac:dyDescent="0.35">
      <c r="A24" s="847" t="s">
        <v>592</v>
      </c>
      <c r="B24" s="824">
        <v>48228.277000000002</v>
      </c>
      <c r="C24" s="824">
        <v>35509</v>
      </c>
      <c r="D24" s="824">
        <v>196485</v>
      </c>
      <c r="E24" s="824">
        <v>69416</v>
      </c>
      <c r="F24" s="824" t="s">
        <v>360</v>
      </c>
      <c r="G24" s="824">
        <v>3617.0970000000002</v>
      </c>
      <c r="H24" s="824">
        <v>15873.2</v>
      </c>
      <c r="I24" s="824">
        <v>12124.361000000001</v>
      </c>
      <c r="J24" s="824">
        <v>1445.6469999999999</v>
      </c>
      <c r="K24" s="824">
        <v>8283.2999999999993</v>
      </c>
      <c r="L24" s="824">
        <v>1755.64</v>
      </c>
    </row>
    <row r="25" spans="1:12" ht="14.5" x14ac:dyDescent="0.35">
      <c r="A25" s="847" t="s">
        <v>593</v>
      </c>
      <c r="B25" s="824">
        <v>1956.4970000000001</v>
      </c>
      <c r="C25" s="824">
        <v>2775</v>
      </c>
      <c r="D25" s="824">
        <v>31060</v>
      </c>
      <c r="E25" s="824">
        <v>7299</v>
      </c>
      <c r="F25" s="824" t="s">
        <v>360</v>
      </c>
      <c r="G25" s="824">
        <v>218.846</v>
      </c>
      <c r="H25" s="824">
        <v>1225.5999999999999</v>
      </c>
      <c r="I25" s="824">
        <v>1068.134</v>
      </c>
      <c r="J25" s="824">
        <v>113.702</v>
      </c>
      <c r="K25" s="824">
        <v>299.7</v>
      </c>
      <c r="L25" s="824">
        <v>99.811000000000007</v>
      </c>
    </row>
    <row r="26" spans="1:12" ht="14.5" x14ac:dyDescent="0.35">
      <c r="A26" s="847" t="s">
        <v>594</v>
      </c>
      <c r="B26" s="824">
        <v>2988.28</v>
      </c>
      <c r="C26" s="824">
        <v>3643</v>
      </c>
      <c r="D26" s="824">
        <v>35666</v>
      </c>
      <c r="E26" s="824">
        <v>9248</v>
      </c>
      <c r="F26" s="824" t="s">
        <v>360</v>
      </c>
      <c r="G26" s="824">
        <v>294.56700000000001</v>
      </c>
      <c r="H26" s="824">
        <v>2519.4</v>
      </c>
      <c r="I26" s="824">
        <v>2077.442</v>
      </c>
      <c r="J26" s="824">
        <v>487.76900000000001</v>
      </c>
      <c r="K26" s="824">
        <v>602.70000000000005</v>
      </c>
      <c r="L26" s="824">
        <v>108.184</v>
      </c>
    </row>
    <row r="27" spans="1:12" ht="14.5" x14ac:dyDescent="0.35">
      <c r="A27" s="847" t="s">
        <v>595</v>
      </c>
      <c r="B27" s="824">
        <v>6952.8829999999998</v>
      </c>
      <c r="C27" s="824">
        <v>13509</v>
      </c>
      <c r="D27" s="824">
        <v>46561</v>
      </c>
      <c r="E27" s="824">
        <v>13576</v>
      </c>
      <c r="F27" s="824" t="s">
        <v>360</v>
      </c>
      <c r="G27" s="824">
        <v>12.974</v>
      </c>
      <c r="H27" s="824">
        <v>5129.1000000000004</v>
      </c>
      <c r="I27" s="824">
        <v>469.09699999999998</v>
      </c>
      <c r="J27" s="824">
        <v>24.140999999999998</v>
      </c>
      <c r="K27" s="824">
        <v>1180.2</v>
      </c>
      <c r="L27" s="824">
        <v>503.584</v>
      </c>
    </row>
    <row r="28" spans="1:12" ht="14.5" x14ac:dyDescent="0.35">
      <c r="A28" s="847" t="s">
        <v>596</v>
      </c>
      <c r="B28" s="824">
        <v>7968.3869999999997</v>
      </c>
      <c r="C28" s="824">
        <v>14377</v>
      </c>
      <c r="D28" s="824">
        <v>50471</v>
      </c>
      <c r="E28" s="824">
        <v>14078</v>
      </c>
      <c r="F28" s="824" t="s">
        <v>360</v>
      </c>
      <c r="G28" s="824">
        <v>15.792999999999999</v>
      </c>
      <c r="H28" s="824">
        <v>6161.1</v>
      </c>
      <c r="I28" s="824">
        <v>718.80200000000002</v>
      </c>
      <c r="J28" s="824">
        <v>259.12299999999999</v>
      </c>
      <c r="K28" s="824">
        <v>1200.4000000000001</v>
      </c>
      <c r="L28" s="824">
        <v>511.95699999999999</v>
      </c>
    </row>
    <row r="29" spans="1:12" ht="14.5" x14ac:dyDescent="0.35">
      <c r="A29" s="847" t="s">
        <v>597</v>
      </c>
      <c r="B29" s="824">
        <v>35176.317000000003</v>
      </c>
      <c r="C29" s="824">
        <v>16903</v>
      </c>
      <c r="D29" s="824">
        <v>105032</v>
      </c>
      <c r="E29" s="824">
        <v>45131</v>
      </c>
      <c r="F29" s="824" t="s">
        <v>360</v>
      </c>
      <c r="G29" s="824">
        <v>3145.7669999999998</v>
      </c>
      <c r="H29" s="824">
        <v>6657.8</v>
      </c>
      <c r="I29" s="824">
        <v>7977.5770000000002</v>
      </c>
      <c r="J29" s="824">
        <v>857.18899999999996</v>
      </c>
      <c r="K29" s="824">
        <v>6336.7</v>
      </c>
      <c r="L29" s="824">
        <v>1126.3430000000001</v>
      </c>
    </row>
    <row r="30" spans="1:12" ht="14.5" x14ac:dyDescent="0.35">
      <c r="A30" s="847"/>
      <c r="B30" s="824"/>
      <c r="C30" s="824"/>
      <c r="D30" s="824"/>
      <c r="E30" s="824"/>
      <c r="F30" s="824"/>
      <c r="G30" s="824"/>
      <c r="H30" s="824"/>
      <c r="I30" s="824"/>
      <c r="J30" s="824"/>
      <c r="K30" s="824"/>
      <c r="L30" s="824"/>
    </row>
    <row r="31" spans="1:12" ht="14.5" x14ac:dyDescent="0.35">
      <c r="A31" s="847" t="s">
        <v>598</v>
      </c>
      <c r="B31" s="824">
        <v>3852.529</v>
      </c>
      <c r="C31" s="824">
        <v>6318</v>
      </c>
      <c r="D31" s="824">
        <v>8288</v>
      </c>
      <c r="E31" s="824">
        <v>8507</v>
      </c>
      <c r="F31" s="824" t="s">
        <v>360</v>
      </c>
      <c r="G31" s="824">
        <v>788.41</v>
      </c>
      <c r="H31" s="824">
        <v>2892.7</v>
      </c>
      <c r="I31" s="824">
        <v>1217.999</v>
      </c>
      <c r="J31" s="824">
        <v>154.084</v>
      </c>
      <c r="K31" s="824">
        <v>1824.7</v>
      </c>
      <c r="L31" s="824">
        <v>162.63999999999999</v>
      </c>
    </row>
    <row r="32" spans="1:12" ht="14.5" x14ac:dyDescent="0.35">
      <c r="A32" s="847" t="s">
        <v>599</v>
      </c>
      <c r="B32" s="824">
        <v>-730.46299999999997</v>
      </c>
      <c r="C32" s="824">
        <v>-4625</v>
      </c>
      <c r="D32" s="824">
        <v>-23944</v>
      </c>
      <c r="E32" s="824">
        <v>-8386</v>
      </c>
      <c r="F32" s="824" t="s">
        <v>360</v>
      </c>
      <c r="G32" s="824">
        <v>-146.11799999999999</v>
      </c>
      <c r="H32" s="824">
        <v>-284.7</v>
      </c>
      <c r="I32" s="824">
        <v>-1526.076</v>
      </c>
      <c r="J32" s="824">
        <v>-14.086</v>
      </c>
      <c r="K32" s="824">
        <v>-183.1</v>
      </c>
      <c r="L32" s="824">
        <v>-22.44</v>
      </c>
    </row>
    <row r="33" spans="1:12" ht="14.5" x14ac:dyDescent="0.35">
      <c r="A33" s="847" t="s">
        <v>600</v>
      </c>
      <c r="B33" s="824">
        <v>-1104.8579999999999</v>
      </c>
      <c r="C33" s="824">
        <v>-3202</v>
      </c>
      <c r="D33" s="824">
        <v>-18256</v>
      </c>
      <c r="E33" s="824">
        <v>-8309</v>
      </c>
      <c r="F33" s="824" t="s">
        <v>360</v>
      </c>
      <c r="G33" s="824">
        <v>223.047</v>
      </c>
      <c r="H33" s="824">
        <v>-392.1</v>
      </c>
      <c r="I33" s="824">
        <v>-1563.307</v>
      </c>
      <c r="J33" s="824">
        <v>-46.13</v>
      </c>
      <c r="K33" s="824">
        <v>-355.9</v>
      </c>
      <c r="L33" s="824">
        <v>-181.13300000000001</v>
      </c>
    </row>
    <row r="34" spans="1:12" ht="14.5" x14ac:dyDescent="0.35">
      <c r="A34" s="847" t="s">
        <v>601</v>
      </c>
      <c r="B34" s="824">
        <v>11272.295</v>
      </c>
      <c r="C34" s="824">
        <v>2980</v>
      </c>
      <c r="D34" s="824">
        <v>2975</v>
      </c>
      <c r="E34" s="824">
        <v>999</v>
      </c>
      <c r="F34" s="824" t="e">
        <v>#VALUE!</v>
      </c>
      <c r="G34" s="824">
        <v>0</v>
      </c>
      <c r="H34" s="824" t="e">
        <v>#VALUE!</v>
      </c>
      <c r="I34" s="824">
        <v>258.46100000000001</v>
      </c>
      <c r="J34" s="824">
        <v>-81.728999999999999</v>
      </c>
      <c r="K34" s="824">
        <v>0</v>
      </c>
      <c r="L34" s="824">
        <v>0</v>
      </c>
    </row>
    <row r="35" spans="1:12" ht="14.5" x14ac:dyDescent="0.35">
      <c r="A35" s="847" t="s">
        <v>602</v>
      </c>
      <c r="B35" s="824">
        <v>588.404</v>
      </c>
      <c r="C35" s="824">
        <v>2380</v>
      </c>
      <c r="D35" s="824">
        <v>687</v>
      </c>
      <c r="E35" s="824">
        <v>-898</v>
      </c>
      <c r="F35" s="824" t="e">
        <v>#VALUE!</v>
      </c>
      <c r="G35" s="824">
        <v>0</v>
      </c>
      <c r="H35" s="824">
        <v>-539.29999999999995</v>
      </c>
      <c r="I35" s="824">
        <v>52.64</v>
      </c>
      <c r="J35" s="824">
        <v>0</v>
      </c>
      <c r="K35" s="824">
        <v>-300</v>
      </c>
      <c r="L35" s="824">
        <v>-1.431</v>
      </c>
    </row>
    <row r="36" spans="1:12" ht="14.5" x14ac:dyDescent="0.35">
      <c r="A36" s="847" t="s">
        <v>603</v>
      </c>
      <c r="B36" s="824">
        <v>-1714.39</v>
      </c>
      <c r="C36" s="824">
        <v>-2880</v>
      </c>
      <c r="D36" s="824">
        <v>11138</v>
      </c>
      <c r="E36" s="824">
        <v>-1842</v>
      </c>
      <c r="F36" s="824" t="s">
        <v>360</v>
      </c>
      <c r="G36" s="824">
        <v>-872.22699999999998</v>
      </c>
      <c r="H36" s="824">
        <v>-2414.9</v>
      </c>
      <c r="I36" s="824">
        <v>24.849</v>
      </c>
      <c r="J36" s="824">
        <v>-7.0350000000000001</v>
      </c>
      <c r="K36" s="824">
        <v>-819</v>
      </c>
      <c r="L36" s="824">
        <v>-9.0640000000000001</v>
      </c>
    </row>
    <row r="37" spans="1:12" ht="14.5" x14ac:dyDescent="0.35">
      <c r="A37" s="847" t="s">
        <v>604</v>
      </c>
      <c r="B37" s="824">
        <v>1033.2809999999999</v>
      </c>
      <c r="C37" s="824">
        <v>236</v>
      </c>
      <c r="D37" s="824">
        <v>1170</v>
      </c>
      <c r="E37" s="824">
        <v>-1604</v>
      </c>
      <c r="F37" s="824" t="s">
        <v>360</v>
      </c>
      <c r="G37" s="824">
        <v>130.76</v>
      </c>
      <c r="H37" s="824">
        <v>85.7</v>
      </c>
      <c r="I37" s="824">
        <v>-326.846</v>
      </c>
      <c r="J37" s="824">
        <v>94.465999999999994</v>
      </c>
      <c r="K37" s="824">
        <v>649.79999999999995</v>
      </c>
      <c r="L37" s="824">
        <v>-27.146000000000001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F189-63EE-4159-8255-65EE8F4F5F77}">
  <sheetPr codeName="Sheet13"/>
  <dimension ref="A1:K26"/>
  <sheetViews>
    <sheetView workbookViewId="0">
      <selection activeCell="B13" sqref="B13"/>
    </sheetView>
  </sheetViews>
  <sheetFormatPr defaultColWidth="8.83203125" defaultRowHeight="14" x14ac:dyDescent="0.3"/>
  <cols>
    <col min="1" max="1" width="31.58203125" bestFit="1" customWidth="1"/>
    <col min="2" max="2" width="36" bestFit="1" customWidth="1"/>
    <col min="3" max="11" width="10.08203125" bestFit="1" customWidth="1"/>
  </cols>
  <sheetData>
    <row r="1" spans="1:11" x14ac:dyDescent="0.3">
      <c r="B1" s="770"/>
    </row>
    <row r="2" spans="1:11" x14ac:dyDescent="0.3">
      <c r="A2" t="s">
        <v>605</v>
      </c>
      <c r="B2" s="770"/>
    </row>
    <row r="3" spans="1:11" x14ac:dyDescent="0.3">
      <c r="B3" s="770"/>
    </row>
    <row r="4" spans="1:11" x14ac:dyDescent="0.3">
      <c r="A4" t="s">
        <v>606</v>
      </c>
      <c r="B4" s="770" t="s">
        <v>607</v>
      </c>
      <c r="C4" t="s">
        <v>608</v>
      </c>
      <c r="D4" t="s">
        <v>609</v>
      </c>
      <c r="E4" t="s">
        <v>610</v>
      </c>
      <c r="F4" t="s">
        <v>611</v>
      </c>
      <c r="G4" t="s">
        <v>612</v>
      </c>
      <c r="H4" t="s">
        <v>613</v>
      </c>
      <c r="I4" t="s">
        <v>614</v>
      </c>
      <c r="J4" t="s">
        <v>615</v>
      </c>
      <c r="K4" t="s">
        <v>616</v>
      </c>
    </row>
    <row r="5" spans="1:11" x14ac:dyDescent="0.3">
      <c r="A5" t="s">
        <v>617</v>
      </c>
      <c r="B5" s="771">
        <v>42308</v>
      </c>
      <c r="C5" s="769">
        <v>42672</v>
      </c>
      <c r="D5" s="769">
        <v>43036</v>
      </c>
      <c r="E5" s="769">
        <v>43407</v>
      </c>
      <c r="F5" s="769">
        <v>43771</v>
      </c>
      <c r="G5" s="769">
        <v>44135</v>
      </c>
      <c r="H5" s="769">
        <v>44499</v>
      </c>
      <c r="I5" s="769">
        <v>44863</v>
      </c>
      <c r="J5" s="769">
        <v>45227</v>
      </c>
      <c r="K5" s="769">
        <v>45598</v>
      </c>
    </row>
    <row r="6" spans="1:11" x14ac:dyDescent="0.3">
      <c r="A6" t="s">
        <v>618</v>
      </c>
      <c r="B6" s="772">
        <v>3435.1</v>
      </c>
      <c r="C6" s="708">
        <v>3421.4</v>
      </c>
      <c r="D6" s="708">
        <v>5107.5</v>
      </c>
      <c r="E6" s="708">
        <v>6224.7</v>
      </c>
      <c r="F6" s="708">
        <v>5991.1</v>
      </c>
      <c r="G6" s="708">
        <v>5603.1</v>
      </c>
      <c r="H6" s="708">
        <v>7318.3</v>
      </c>
      <c r="I6" s="708">
        <v>12014</v>
      </c>
      <c r="J6" s="708">
        <v>12305.5</v>
      </c>
      <c r="K6" s="708">
        <v>9427.2000000000007</v>
      </c>
    </row>
    <row r="7" spans="1:11" x14ac:dyDescent="0.3">
      <c r="A7" t="s">
        <v>619</v>
      </c>
      <c r="B7" s="770">
        <v>830.8</v>
      </c>
      <c r="C7" s="708">
        <v>1028.0999999999999</v>
      </c>
      <c r="D7" s="708">
        <v>1055.0999999999999</v>
      </c>
      <c r="E7" s="708">
        <v>1899.6</v>
      </c>
      <c r="F7" s="708">
        <v>1710.6</v>
      </c>
      <c r="G7" s="708">
        <v>1498.2</v>
      </c>
      <c r="H7" s="708">
        <v>1692.2</v>
      </c>
      <c r="I7" s="708">
        <v>3278.7</v>
      </c>
      <c r="J7" s="708">
        <v>3823.1</v>
      </c>
      <c r="K7" s="708">
        <v>2032.8</v>
      </c>
    </row>
    <row r="8" spans="1:11" x14ac:dyDescent="0.3">
      <c r="A8" t="s">
        <v>620</v>
      </c>
      <c r="B8" s="770">
        <v>696.9</v>
      </c>
      <c r="C8">
        <v>861.7</v>
      </c>
      <c r="D8">
        <v>727.3</v>
      </c>
      <c r="E8" s="708">
        <v>1507</v>
      </c>
      <c r="F8" s="708">
        <v>1359.8</v>
      </c>
      <c r="G8" s="708">
        <v>1220.8</v>
      </c>
      <c r="H8" s="708">
        <v>1390.4</v>
      </c>
      <c r="I8" s="708">
        <v>2748.6</v>
      </c>
      <c r="J8" s="708">
        <v>3314.6</v>
      </c>
      <c r="K8" s="708">
        <v>1635.3</v>
      </c>
    </row>
    <row r="9" spans="1:11" x14ac:dyDescent="0.3">
      <c r="A9" t="s">
        <v>621</v>
      </c>
      <c r="B9" s="770">
        <v>2.23</v>
      </c>
      <c r="C9">
        <v>2.79</v>
      </c>
      <c r="D9">
        <v>2.09</v>
      </c>
      <c r="E9">
        <v>4.05</v>
      </c>
      <c r="F9">
        <v>3.68</v>
      </c>
      <c r="G9">
        <v>3.31</v>
      </c>
      <c r="H9">
        <v>3.5</v>
      </c>
      <c r="I9">
        <v>5.29</v>
      </c>
      <c r="J9">
        <v>6.6</v>
      </c>
      <c r="K9">
        <v>3.3</v>
      </c>
    </row>
    <row r="10" spans="1:11" x14ac:dyDescent="0.3">
      <c r="A10" t="s">
        <v>622</v>
      </c>
      <c r="B10" s="770">
        <v>2.2000000000000002</v>
      </c>
      <c r="C10">
        <v>2.76</v>
      </c>
      <c r="D10">
        <v>2.0699999999999998</v>
      </c>
      <c r="E10">
        <v>4</v>
      </c>
      <c r="F10">
        <v>3.65</v>
      </c>
      <c r="G10">
        <v>3.28</v>
      </c>
      <c r="H10">
        <v>3.46</v>
      </c>
      <c r="I10">
        <v>5.25</v>
      </c>
      <c r="J10">
        <v>6.55</v>
      </c>
      <c r="K10">
        <v>3.28</v>
      </c>
    </row>
    <row r="11" spans="1:11" x14ac:dyDescent="0.3">
      <c r="A11" t="s">
        <v>623</v>
      </c>
      <c r="B11" s="770">
        <v>312.7</v>
      </c>
      <c r="C11">
        <v>308.7</v>
      </c>
      <c r="D11">
        <v>346.4</v>
      </c>
      <c r="E11">
        <v>370.4</v>
      </c>
      <c r="F11">
        <v>369.1</v>
      </c>
      <c r="G11">
        <v>368.6</v>
      </c>
      <c r="H11">
        <v>397.5</v>
      </c>
      <c r="I11">
        <v>519.20000000000005</v>
      </c>
      <c r="J11">
        <v>502.2</v>
      </c>
      <c r="K11">
        <v>496.2</v>
      </c>
    </row>
    <row r="12" spans="1:11" x14ac:dyDescent="0.3">
      <c r="A12" t="s">
        <v>624</v>
      </c>
      <c r="B12" s="770">
        <v>316.89999999999998</v>
      </c>
      <c r="C12">
        <v>312.3</v>
      </c>
      <c r="D12">
        <v>350.5</v>
      </c>
      <c r="E12">
        <v>374.9</v>
      </c>
      <c r="F12">
        <v>372.9</v>
      </c>
      <c r="G12">
        <v>372</v>
      </c>
      <c r="H12">
        <v>401.3</v>
      </c>
      <c r="I12">
        <v>523.20000000000005</v>
      </c>
      <c r="J12">
        <v>506</v>
      </c>
      <c r="K12">
        <v>498.7</v>
      </c>
    </row>
    <row r="13" spans="1:11" x14ac:dyDescent="0.3">
      <c r="B13" s="770"/>
    </row>
    <row r="14" spans="1:11" x14ac:dyDescent="0.3">
      <c r="A14" t="s">
        <v>625</v>
      </c>
      <c r="B14" s="772">
        <v>3028.9</v>
      </c>
      <c r="C14" s="708">
        <v>4055.8</v>
      </c>
      <c r="D14" s="708">
        <v>1047.8</v>
      </c>
      <c r="E14">
        <v>816.6</v>
      </c>
      <c r="F14">
        <v>648.29999999999995</v>
      </c>
      <c r="G14" s="708">
        <v>1055.9000000000001</v>
      </c>
      <c r="H14" s="708">
        <v>1978</v>
      </c>
      <c r="I14" s="708">
        <v>1470.6</v>
      </c>
      <c r="J14">
        <v>958.1</v>
      </c>
      <c r="K14" s="708">
        <v>2363.1999999999998</v>
      </c>
    </row>
    <row r="15" spans="1:11" x14ac:dyDescent="0.3">
      <c r="A15" t="s">
        <v>626</v>
      </c>
      <c r="B15" s="772">
        <v>4079.5</v>
      </c>
      <c r="C15" s="708">
        <v>4974.8999999999996</v>
      </c>
      <c r="D15" s="708">
        <v>2351.3000000000002</v>
      </c>
      <c r="E15" s="708">
        <v>2112.1</v>
      </c>
      <c r="F15" s="708">
        <v>1985.1</v>
      </c>
      <c r="G15" s="708">
        <v>2517.6999999999998</v>
      </c>
      <c r="H15" s="708">
        <v>5378.3</v>
      </c>
      <c r="I15" s="708">
        <v>4938</v>
      </c>
      <c r="J15" s="708">
        <v>4384</v>
      </c>
      <c r="K15" s="708">
        <v>5484.7</v>
      </c>
    </row>
    <row r="16" spans="1:11" x14ac:dyDescent="0.3">
      <c r="A16" t="s">
        <v>627</v>
      </c>
      <c r="B16" s="772">
        <v>7058.8</v>
      </c>
      <c r="C16" s="708">
        <v>7970.3</v>
      </c>
      <c r="D16" s="708">
        <v>21141.3</v>
      </c>
      <c r="E16" s="708">
        <v>20438.400000000001</v>
      </c>
      <c r="F16" s="708">
        <v>21392.6</v>
      </c>
      <c r="G16" s="708">
        <v>21468.6</v>
      </c>
      <c r="H16" s="708">
        <v>52322.1</v>
      </c>
      <c r="I16" s="708">
        <v>50302.400000000001</v>
      </c>
      <c r="J16" s="708">
        <v>48794.5</v>
      </c>
      <c r="K16" s="708">
        <v>48228.3</v>
      </c>
    </row>
    <row r="17" spans="1:11" x14ac:dyDescent="0.3">
      <c r="A17" t="s">
        <v>628</v>
      </c>
      <c r="B17" s="772">
        <v>1113.5999999999999</v>
      </c>
      <c r="C17">
        <v>782.9</v>
      </c>
      <c r="D17" s="708">
        <v>1596.3</v>
      </c>
      <c r="E17" s="708">
        <v>1051.7</v>
      </c>
      <c r="F17" s="708">
        <v>1508.6</v>
      </c>
      <c r="G17" s="708">
        <v>1365</v>
      </c>
      <c r="H17" s="708">
        <v>2770.3</v>
      </c>
      <c r="I17" s="708">
        <v>2442.6999999999998</v>
      </c>
      <c r="J17" s="708">
        <v>3201</v>
      </c>
      <c r="K17" s="708">
        <v>2988.3</v>
      </c>
    </row>
    <row r="18" spans="1:11" x14ac:dyDescent="0.3">
      <c r="A18" t="s">
        <v>629</v>
      </c>
      <c r="B18" s="772">
        <v>1985.8</v>
      </c>
      <c r="C18" s="708">
        <v>2804.7</v>
      </c>
      <c r="D18" s="708">
        <v>10979.8</v>
      </c>
      <c r="E18" s="708">
        <v>9170.2000000000007</v>
      </c>
      <c r="F18" s="708">
        <v>9683.5</v>
      </c>
      <c r="G18" s="708">
        <v>9470.7000000000007</v>
      </c>
      <c r="H18" s="708">
        <v>14329.5</v>
      </c>
      <c r="I18" s="708">
        <v>13837</v>
      </c>
      <c r="J18" s="708">
        <v>13229.4</v>
      </c>
      <c r="K18" s="708">
        <v>13052</v>
      </c>
    </row>
    <row r="19" spans="1:11" x14ac:dyDescent="0.3">
      <c r="A19" t="s">
        <v>630</v>
      </c>
      <c r="B19" s="772">
        <v>5073</v>
      </c>
      <c r="C19" s="708">
        <v>5165.6000000000004</v>
      </c>
      <c r="D19" s="708">
        <v>10161.5</v>
      </c>
      <c r="E19" s="708">
        <v>11268.2</v>
      </c>
      <c r="F19" s="708">
        <v>11709.2</v>
      </c>
      <c r="G19" s="708">
        <v>11997.9</v>
      </c>
      <c r="H19" s="708">
        <v>37992.5</v>
      </c>
      <c r="I19" s="708">
        <v>36465.300000000003</v>
      </c>
      <c r="J19" s="708">
        <v>35565.1</v>
      </c>
      <c r="K19" s="708">
        <v>35176.300000000003</v>
      </c>
    </row>
    <row r="20" spans="1:11" x14ac:dyDescent="0.3">
      <c r="A20" t="s">
        <v>631</v>
      </c>
      <c r="B20" s="770">
        <v>312.10000000000002</v>
      </c>
      <c r="C20">
        <v>308.2</v>
      </c>
      <c r="D20">
        <v>368.6</v>
      </c>
      <c r="E20">
        <v>370.2</v>
      </c>
      <c r="F20">
        <v>368.3</v>
      </c>
      <c r="G20">
        <v>369.5</v>
      </c>
      <c r="H20">
        <v>525.29999999999995</v>
      </c>
      <c r="I20">
        <v>509.3</v>
      </c>
      <c r="J20">
        <v>496.3</v>
      </c>
      <c r="K20">
        <v>496.3</v>
      </c>
    </row>
    <row r="21" spans="1:11" x14ac:dyDescent="0.3">
      <c r="A21" t="s">
        <v>632</v>
      </c>
      <c r="B21" s="770">
        <v>312.10000000000002</v>
      </c>
      <c r="C21">
        <v>308.2</v>
      </c>
      <c r="D21">
        <v>368.6</v>
      </c>
      <c r="E21">
        <v>368.3</v>
      </c>
      <c r="F21">
        <v>368.3</v>
      </c>
      <c r="G21">
        <v>369.5</v>
      </c>
      <c r="H21">
        <v>525.29999999999995</v>
      </c>
      <c r="I21">
        <v>509.3</v>
      </c>
      <c r="J21">
        <v>496.3</v>
      </c>
      <c r="K21">
        <v>496.3</v>
      </c>
    </row>
    <row r="22" spans="1:11" x14ac:dyDescent="0.3">
      <c r="B22" s="770"/>
    </row>
    <row r="23" spans="1:11" x14ac:dyDescent="0.3">
      <c r="A23" t="s">
        <v>633</v>
      </c>
      <c r="B23" s="770">
        <v>907.8</v>
      </c>
      <c r="C23" s="708">
        <v>1280.9000000000001</v>
      </c>
      <c r="D23" s="708">
        <v>1112.5999999999999</v>
      </c>
      <c r="E23" s="708">
        <v>2442.4</v>
      </c>
      <c r="F23" s="708">
        <v>2253.1</v>
      </c>
      <c r="G23" s="708">
        <v>2008.5</v>
      </c>
      <c r="H23" s="708">
        <v>2735.1</v>
      </c>
      <c r="I23" s="708">
        <v>4475.3999999999996</v>
      </c>
      <c r="J23" s="708">
        <v>4817.6000000000004</v>
      </c>
      <c r="K23" s="708">
        <v>3852.5</v>
      </c>
    </row>
    <row r="24" spans="1:11" x14ac:dyDescent="0.3">
      <c r="A24" t="s">
        <v>634</v>
      </c>
      <c r="B24" s="770">
        <v>-17.100000000000001</v>
      </c>
      <c r="C24" s="708">
        <v>-1218.3</v>
      </c>
      <c r="D24" s="708">
        <v>-6618</v>
      </c>
      <c r="E24">
        <v>-314</v>
      </c>
      <c r="F24">
        <v>-293.2</v>
      </c>
      <c r="G24">
        <v>-180.5</v>
      </c>
      <c r="H24" s="708">
        <v>2143.5</v>
      </c>
      <c r="I24">
        <v>-657.4</v>
      </c>
      <c r="J24" s="708">
        <v>-1266.4000000000001</v>
      </c>
      <c r="K24" s="708">
        <v>-1104.9000000000001</v>
      </c>
    </row>
    <row r="25" spans="1:11" x14ac:dyDescent="0.3">
      <c r="A25" t="s">
        <v>635</v>
      </c>
      <c r="B25" s="770">
        <v>-575.6</v>
      </c>
      <c r="C25">
        <v>-25.8</v>
      </c>
      <c r="D25" s="708">
        <v>5632.1</v>
      </c>
      <c r="E25" s="708">
        <v>-2359.6</v>
      </c>
      <c r="F25" s="708">
        <v>-2128.1999999999998</v>
      </c>
      <c r="G25" s="708">
        <v>-1420.4</v>
      </c>
      <c r="H25" s="708">
        <v>-3956.5</v>
      </c>
      <c r="I25" s="708">
        <v>-4325.3999999999996</v>
      </c>
      <c r="J25" s="708">
        <v>-4063.8</v>
      </c>
      <c r="K25" s="708">
        <v>-1714.4</v>
      </c>
    </row>
    <row r="26" spans="1:11" ht="28" x14ac:dyDescent="0.3">
      <c r="A26" t="s">
        <v>636</v>
      </c>
      <c r="B26" s="770" t="s">
        <v>637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AB0B-7901-4871-9117-0197D01613C2}">
  <sheetPr codeName="Sheet14"/>
  <dimension ref="A1:K54"/>
  <sheetViews>
    <sheetView workbookViewId="0">
      <selection activeCell="K33" sqref="K33"/>
    </sheetView>
  </sheetViews>
  <sheetFormatPr defaultColWidth="8.83203125" defaultRowHeight="14" x14ac:dyDescent="0.3"/>
  <cols>
    <col min="1" max="2" width="36" bestFit="1" customWidth="1"/>
    <col min="3" max="4" width="9.08203125" bestFit="1" customWidth="1"/>
    <col min="5" max="8" width="10.08203125" bestFit="1" customWidth="1"/>
    <col min="9" max="9" width="9.08203125" bestFit="1" customWidth="1"/>
    <col min="10" max="11" width="11.08203125" bestFit="1" customWidth="1"/>
  </cols>
  <sheetData>
    <row r="1" spans="1:11" x14ac:dyDescent="0.3">
      <c r="A1" s="770"/>
      <c r="B1" s="770"/>
    </row>
    <row r="2" spans="1:11" x14ac:dyDescent="0.3">
      <c r="A2" s="770" t="s">
        <v>638</v>
      </c>
      <c r="B2" s="770"/>
    </row>
    <row r="3" spans="1:11" x14ac:dyDescent="0.3">
      <c r="A3" s="770"/>
      <c r="B3" s="770"/>
    </row>
    <row r="4" spans="1:11" x14ac:dyDescent="0.3">
      <c r="A4" s="770" t="s">
        <v>606</v>
      </c>
      <c r="B4" s="770" t="s">
        <v>609</v>
      </c>
      <c r="C4" t="s">
        <v>610</v>
      </c>
      <c r="D4" t="s">
        <v>611</v>
      </c>
      <c r="E4" t="s">
        <v>612</v>
      </c>
      <c r="F4" t="s">
        <v>613</v>
      </c>
      <c r="G4" t="s">
        <v>614</v>
      </c>
      <c r="H4" t="s">
        <v>615</v>
      </c>
      <c r="I4" t="s">
        <v>616</v>
      </c>
      <c r="J4" t="s">
        <v>639</v>
      </c>
      <c r="K4" t="s">
        <v>640</v>
      </c>
    </row>
    <row r="5" spans="1:11" x14ac:dyDescent="0.3">
      <c r="A5" s="770" t="s">
        <v>617</v>
      </c>
      <c r="B5" s="771">
        <v>43036</v>
      </c>
      <c r="C5" s="769">
        <v>43407</v>
      </c>
      <c r="D5" s="769">
        <v>43771</v>
      </c>
      <c r="E5" s="769">
        <v>44135</v>
      </c>
      <c r="F5" s="769">
        <v>44499</v>
      </c>
      <c r="G5" s="769">
        <v>44863</v>
      </c>
      <c r="H5" s="769">
        <v>45227</v>
      </c>
      <c r="I5" s="769">
        <v>45598</v>
      </c>
      <c r="J5" s="769">
        <v>45961</v>
      </c>
      <c r="K5" s="769">
        <v>46326</v>
      </c>
    </row>
    <row r="6" spans="1:11" x14ac:dyDescent="0.3">
      <c r="A6" s="770" t="s">
        <v>641</v>
      </c>
      <c r="B6" s="770"/>
    </row>
    <row r="7" spans="1:11" x14ac:dyDescent="0.3">
      <c r="A7" s="770" t="s">
        <v>642</v>
      </c>
      <c r="B7" s="772">
        <v>5145.3</v>
      </c>
      <c r="C7" s="708">
        <v>6176</v>
      </c>
      <c r="D7" s="708">
        <v>5992.4</v>
      </c>
      <c r="E7" s="708">
        <v>5520.5</v>
      </c>
      <c r="F7" s="708">
        <v>7286.6</v>
      </c>
      <c r="G7" s="708">
        <v>11923.6</v>
      </c>
      <c r="H7" s="708">
        <v>12293.2</v>
      </c>
      <c r="I7" s="708">
        <v>9387.5</v>
      </c>
      <c r="J7" s="708">
        <v>10331.200000000001</v>
      </c>
      <c r="K7" s="708">
        <v>11662</v>
      </c>
    </row>
    <row r="8" spans="1:11" x14ac:dyDescent="0.3">
      <c r="A8" s="770" t="s">
        <v>643</v>
      </c>
      <c r="B8" s="772">
        <v>5192.8</v>
      </c>
      <c r="C8" s="708">
        <v>6200.9</v>
      </c>
      <c r="D8" s="708">
        <v>5991.1</v>
      </c>
      <c r="E8" s="708">
        <v>5603.1</v>
      </c>
      <c r="F8" s="708">
        <v>7318.3</v>
      </c>
      <c r="G8" s="708">
        <v>12014</v>
      </c>
      <c r="H8" s="708">
        <v>12306</v>
      </c>
      <c r="I8" s="708">
        <v>9427</v>
      </c>
    </row>
    <row r="9" spans="1:11" x14ac:dyDescent="0.3">
      <c r="A9" s="770" t="s">
        <v>644</v>
      </c>
      <c r="B9" s="770">
        <v>0.9</v>
      </c>
      <c r="C9">
        <v>0.4</v>
      </c>
      <c r="D9">
        <v>0</v>
      </c>
      <c r="E9">
        <v>1.5</v>
      </c>
      <c r="F9">
        <v>0.4</v>
      </c>
      <c r="G9">
        <v>0.8</v>
      </c>
      <c r="H9">
        <v>0.1</v>
      </c>
      <c r="I9">
        <v>0.4</v>
      </c>
    </row>
    <row r="10" spans="1:11" x14ac:dyDescent="0.3">
      <c r="A10" s="770" t="s">
        <v>645</v>
      </c>
      <c r="B10" s="772">
        <v>5107.5</v>
      </c>
      <c r="C10" s="708">
        <v>6224.7</v>
      </c>
      <c r="D10" s="708">
        <v>5991.1</v>
      </c>
      <c r="E10" s="708">
        <v>5603.1</v>
      </c>
      <c r="F10" s="708">
        <v>7318.3</v>
      </c>
      <c r="G10" s="708">
        <v>12014</v>
      </c>
      <c r="H10" s="708">
        <v>12305.5</v>
      </c>
      <c r="I10" s="708">
        <v>9427.2000000000007</v>
      </c>
    </row>
    <row r="11" spans="1:11" x14ac:dyDescent="0.3">
      <c r="A11" s="770" t="s">
        <v>646</v>
      </c>
      <c r="B11" s="772">
        <v>5107.5</v>
      </c>
      <c r="C11" s="708">
        <v>6224.7</v>
      </c>
      <c r="D11" s="708">
        <v>5991.1</v>
      </c>
      <c r="E11" s="708">
        <v>5603.1</v>
      </c>
      <c r="F11" s="708">
        <v>7318.3</v>
      </c>
      <c r="G11" s="708">
        <v>12014</v>
      </c>
      <c r="H11" s="708">
        <v>12305.5</v>
      </c>
      <c r="I11" s="708">
        <v>9427.2000000000007</v>
      </c>
    </row>
    <row r="12" spans="1:11" x14ac:dyDescent="0.3">
      <c r="A12" s="770"/>
      <c r="B12" s="770"/>
    </row>
    <row r="13" spans="1:11" x14ac:dyDescent="0.3">
      <c r="A13" s="770" t="s">
        <v>647</v>
      </c>
      <c r="B13" s="770"/>
    </row>
    <row r="14" spans="1:11" x14ac:dyDescent="0.3">
      <c r="A14" s="770" t="s">
        <v>642</v>
      </c>
      <c r="B14" s="770">
        <v>4.62</v>
      </c>
      <c r="C14">
        <v>5.97</v>
      </c>
      <c r="D14">
        <v>5.2</v>
      </c>
      <c r="E14">
        <v>4.82</v>
      </c>
      <c r="F14">
        <v>6.44</v>
      </c>
      <c r="G14">
        <v>9.4600000000000009</v>
      </c>
      <c r="H14">
        <v>10.07</v>
      </c>
      <c r="I14">
        <v>6.34</v>
      </c>
      <c r="J14">
        <v>7.23</v>
      </c>
      <c r="K14">
        <v>8.84</v>
      </c>
    </row>
    <row r="15" spans="1:11" x14ac:dyDescent="0.3">
      <c r="A15" s="770" t="s">
        <v>643</v>
      </c>
      <c r="B15" s="770">
        <v>4.72</v>
      </c>
      <c r="C15">
        <v>5.94</v>
      </c>
      <c r="D15">
        <v>5.15</v>
      </c>
      <c r="E15">
        <v>4.91</v>
      </c>
      <c r="F15">
        <v>6.46</v>
      </c>
      <c r="G15">
        <v>9.57</v>
      </c>
      <c r="H15">
        <v>10.09</v>
      </c>
      <c r="I15">
        <v>6.38</v>
      </c>
    </row>
    <row r="16" spans="1:11" x14ac:dyDescent="0.3">
      <c r="A16" s="770" t="s">
        <v>648</v>
      </c>
      <c r="B16" s="770">
        <v>2.2000000000000002</v>
      </c>
      <c r="C16">
        <v>-0.5</v>
      </c>
      <c r="D16">
        <v>-0.9</v>
      </c>
      <c r="E16">
        <v>1.9</v>
      </c>
      <c r="F16">
        <v>0.2</v>
      </c>
      <c r="G16">
        <v>1.2</v>
      </c>
      <c r="H16">
        <v>0.2</v>
      </c>
      <c r="I16">
        <v>0.6</v>
      </c>
    </row>
    <row r="17" spans="1:11" x14ac:dyDescent="0.3">
      <c r="A17" s="770" t="s">
        <v>645</v>
      </c>
      <c r="B17" s="770">
        <v>2.0699999999999998</v>
      </c>
      <c r="C17">
        <v>4</v>
      </c>
      <c r="D17">
        <v>3.65</v>
      </c>
      <c r="E17">
        <v>3.28</v>
      </c>
      <c r="F17">
        <v>3.46</v>
      </c>
      <c r="G17">
        <v>5.25</v>
      </c>
      <c r="H17">
        <v>6.55</v>
      </c>
      <c r="I17">
        <v>3.28</v>
      </c>
    </row>
    <row r="18" spans="1:11" x14ac:dyDescent="0.3">
      <c r="A18" s="770" t="s">
        <v>646</v>
      </c>
      <c r="B18" s="770">
        <v>3.92</v>
      </c>
      <c r="C18">
        <v>5.58</v>
      </c>
      <c r="D18">
        <v>5.14</v>
      </c>
      <c r="E18">
        <v>5.04</v>
      </c>
      <c r="F18">
        <v>6.45</v>
      </c>
      <c r="G18">
        <v>9.74</v>
      </c>
      <c r="H18">
        <v>10.09</v>
      </c>
      <c r="I18">
        <v>6.38</v>
      </c>
    </row>
    <row r="19" spans="1:11" x14ac:dyDescent="0.3">
      <c r="A19" s="770"/>
      <c r="B19" s="770"/>
    </row>
    <row r="20" spans="1:11" x14ac:dyDescent="0.3">
      <c r="A20" s="770" t="s">
        <v>379</v>
      </c>
      <c r="B20" s="770"/>
    </row>
    <row r="21" spans="1:11" x14ac:dyDescent="0.3">
      <c r="A21" s="770" t="s">
        <v>642</v>
      </c>
      <c r="B21" s="772">
        <v>2017.5</v>
      </c>
      <c r="C21" s="708">
        <v>2603.8000000000002</v>
      </c>
      <c r="D21" s="708">
        <v>2445.3000000000002</v>
      </c>
      <c r="E21" s="708">
        <v>2203.6999999999998</v>
      </c>
      <c r="F21" s="708">
        <v>3093.3</v>
      </c>
      <c r="G21" s="708">
        <v>5871.3</v>
      </c>
      <c r="H21" s="708">
        <v>5992.4</v>
      </c>
      <c r="I21" s="708">
        <v>3835.5</v>
      </c>
      <c r="J21" s="708">
        <v>4311.3999999999996</v>
      </c>
      <c r="K21" s="708">
        <v>5169</v>
      </c>
    </row>
    <row r="22" spans="1:11" x14ac:dyDescent="0.3">
      <c r="A22" s="770" t="s">
        <v>643</v>
      </c>
      <c r="B22" s="772">
        <v>2049.8000000000002</v>
      </c>
      <c r="C22" s="708">
        <v>2626.7</v>
      </c>
      <c r="D22" s="708">
        <v>2433</v>
      </c>
      <c r="E22" s="708">
        <v>2234.3000000000002</v>
      </c>
      <c r="F22" s="708">
        <v>3103.7</v>
      </c>
      <c r="G22" s="708">
        <v>5939</v>
      </c>
      <c r="H22" s="708">
        <v>6014</v>
      </c>
      <c r="I22" s="708">
        <v>3853</v>
      </c>
    </row>
    <row r="23" spans="1:11" x14ac:dyDescent="0.3">
      <c r="A23" s="770" t="s">
        <v>649</v>
      </c>
      <c r="B23" s="770">
        <v>1.6</v>
      </c>
      <c r="C23">
        <v>0.9</v>
      </c>
      <c r="D23">
        <v>-0.5</v>
      </c>
      <c r="E23">
        <v>1.4</v>
      </c>
      <c r="F23">
        <v>0.3</v>
      </c>
      <c r="G23">
        <v>1.2</v>
      </c>
      <c r="H23">
        <v>0.4</v>
      </c>
      <c r="I23">
        <v>0.5</v>
      </c>
    </row>
    <row r="24" spans="1:11" x14ac:dyDescent="0.3">
      <c r="A24" s="770" t="s">
        <v>645</v>
      </c>
      <c r="B24" s="772">
        <v>1055.0999999999999</v>
      </c>
      <c r="C24" s="708">
        <v>1899.6</v>
      </c>
      <c r="D24" s="708">
        <v>1710.6</v>
      </c>
      <c r="E24" s="708">
        <v>1498.2</v>
      </c>
      <c r="F24" s="708">
        <v>1692.2</v>
      </c>
      <c r="G24" s="708">
        <v>3278.7</v>
      </c>
      <c r="H24" s="708">
        <v>3823.1</v>
      </c>
      <c r="I24" s="708">
        <v>2032.8</v>
      </c>
    </row>
    <row r="25" spans="1:11" x14ac:dyDescent="0.3">
      <c r="A25" s="770" t="s">
        <v>646</v>
      </c>
      <c r="B25" s="772">
        <v>1983.5</v>
      </c>
      <c r="C25" s="708">
        <v>2641.1</v>
      </c>
      <c r="D25" s="708">
        <v>2433</v>
      </c>
      <c r="E25" s="708">
        <v>2234.3000000000002</v>
      </c>
      <c r="F25" s="708">
        <v>3099.9</v>
      </c>
      <c r="G25" s="708">
        <v>6031.1</v>
      </c>
      <c r="H25" s="708">
        <v>6014.4</v>
      </c>
      <c r="I25" s="708">
        <v>3852.9</v>
      </c>
    </row>
    <row r="26" spans="1:11" x14ac:dyDescent="0.3">
      <c r="A26" s="770"/>
      <c r="B26" s="770"/>
    </row>
    <row r="27" spans="1:11" x14ac:dyDescent="0.3">
      <c r="A27" s="770" t="s">
        <v>176</v>
      </c>
      <c r="B27" s="770"/>
    </row>
    <row r="28" spans="1:11" x14ac:dyDescent="0.3">
      <c r="A28" s="770" t="s">
        <v>642</v>
      </c>
      <c r="B28" s="772">
        <v>2529.6999999999998</v>
      </c>
      <c r="C28" s="708">
        <v>2844.6</v>
      </c>
      <c r="D28" s="708">
        <v>2685.5</v>
      </c>
      <c r="E28" s="708">
        <v>2436.6</v>
      </c>
      <c r="F28" s="708">
        <v>3470.9</v>
      </c>
      <c r="G28" s="708">
        <v>6436</v>
      </c>
      <c r="H28" s="708">
        <v>6300.6</v>
      </c>
      <c r="I28" s="708">
        <v>4918.3</v>
      </c>
      <c r="J28" s="708">
        <v>5355.2</v>
      </c>
      <c r="K28" s="708">
        <v>6338.9</v>
      </c>
    </row>
    <row r="29" spans="1:11" x14ac:dyDescent="0.3">
      <c r="A29" s="770" t="s">
        <v>643</v>
      </c>
      <c r="B29" s="772">
        <v>2633.8</v>
      </c>
      <c r="C29" s="708">
        <v>2855.2</v>
      </c>
      <c r="D29" s="708">
        <v>2673.7</v>
      </c>
      <c r="E29" s="708">
        <v>2468.1</v>
      </c>
      <c r="F29" s="708">
        <v>3335</v>
      </c>
      <c r="G29" s="708">
        <v>6222.5</v>
      </c>
      <c r="H29" s="708">
        <v>6349.1</v>
      </c>
      <c r="I29" t="s">
        <v>360</v>
      </c>
    </row>
    <row r="30" spans="1:11" x14ac:dyDescent="0.3">
      <c r="A30" s="770" t="s">
        <v>650</v>
      </c>
      <c r="B30" s="770">
        <v>4.0999999999999996</v>
      </c>
      <c r="C30">
        <v>0.4</v>
      </c>
      <c r="D30">
        <v>-0.4</v>
      </c>
      <c r="E30">
        <v>1.3</v>
      </c>
      <c r="F30">
        <v>-3.9</v>
      </c>
      <c r="G30">
        <v>-3.3</v>
      </c>
      <c r="H30">
        <v>0.8</v>
      </c>
      <c r="I30" t="s">
        <v>360</v>
      </c>
    </row>
    <row r="31" spans="1:11" x14ac:dyDescent="0.3">
      <c r="A31" s="770" t="s">
        <v>645</v>
      </c>
      <c r="B31" s="772">
        <v>1639.2</v>
      </c>
      <c r="C31" s="708">
        <v>2698.7</v>
      </c>
      <c r="D31" s="708">
        <v>2521.9</v>
      </c>
      <c r="E31" s="708">
        <v>2355.1</v>
      </c>
      <c r="F31" s="708">
        <v>2817.6</v>
      </c>
      <c r="G31" s="708">
        <v>5636.9</v>
      </c>
      <c r="H31" s="708">
        <v>6183</v>
      </c>
      <c r="I31" s="708">
        <v>4205.3999999999996</v>
      </c>
    </row>
    <row r="32" spans="1:11" x14ac:dyDescent="0.3">
      <c r="A32" s="770" t="s">
        <v>646</v>
      </c>
      <c r="B32" s="772">
        <v>2567.6</v>
      </c>
      <c r="C32" s="708">
        <v>3440.2</v>
      </c>
      <c r="D32" s="708">
        <v>3244.3</v>
      </c>
      <c r="E32" s="708">
        <v>3091.1</v>
      </c>
      <c r="F32" s="708">
        <v>4225.3</v>
      </c>
      <c r="G32" s="708">
        <v>8389.2999999999993</v>
      </c>
      <c r="H32" s="708">
        <v>8374.2999999999993</v>
      </c>
      <c r="I32" s="708">
        <v>6025.5</v>
      </c>
    </row>
    <row r="33" spans="1:11" x14ac:dyDescent="0.3">
      <c r="A33" s="770"/>
      <c r="B33" s="770"/>
    </row>
    <row r="34" spans="1:11" x14ac:dyDescent="0.3">
      <c r="A34" s="770" t="s">
        <v>651</v>
      </c>
      <c r="B34" s="770"/>
    </row>
    <row r="35" spans="1:11" x14ac:dyDescent="0.3">
      <c r="A35" s="770" t="s">
        <v>642</v>
      </c>
      <c r="B35" s="770">
        <v>69.489999999999995</v>
      </c>
      <c r="C35">
        <v>71.12</v>
      </c>
      <c r="D35">
        <v>70.37</v>
      </c>
      <c r="E35">
        <v>68.930000000000007</v>
      </c>
      <c r="F35">
        <v>70.45</v>
      </c>
      <c r="G35">
        <v>73.61</v>
      </c>
      <c r="H35">
        <v>72.540000000000006</v>
      </c>
      <c r="I35">
        <v>67.98</v>
      </c>
      <c r="J35">
        <v>69.42</v>
      </c>
      <c r="K35">
        <v>71</v>
      </c>
    </row>
    <row r="36" spans="1:11" x14ac:dyDescent="0.3">
      <c r="A36" s="770" t="s">
        <v>643</v>
      </c>
      <c r="B36" s="770">
        <v>69.5</v>
      </c>
      <c r="C36">
        <v>71.2</v>
      </c>
      <c r="D36">
        <v>69.900000000000006</v>
      </c>
      <c r="E36">
        <v>69.099999999999994</v>
      </c>
      <c r="F36">
        <v>70.900000000000006</v>
      </c>
      <c r="G36">
        <v>73.599999999999994</v>
      </c>
      <c r="H36">
        <v>72.5</v>
      </c>
      <c r="I36">
        <v>67.900000000000006</v>
      </c>
    </row>
    <row r="37" spans="1:11" x14ac:dyDescent="0.3">
      <c r="A37" s="770" t="s">
        <v>652</v>
      </c>
      <c r="B37" s="770">
        <v>0</v>
      </c>
      <c r="C37">
        <v>0.1</v>
      </c>
      <c r="D37">
        <v>-0.7</v>
      </c>
      <c r="E37">
        <v>0.2</v>
      </c>
      <c r="F37">
        <v>0.6</v>
      </c>
      <c r="G37">
        <v>0</v>
      </c>
      <c r="H37">
        <v>-0.1</v>
      </c>
      <c r="I37">
        <v>-0.1</v>
      </c>
    </row>
    <row r="38" spans="1:11" x14ac:dyDescent="0.3">
      <c r="A38" s="770" t="s">
        <v>645</v>
      </c>
      <c r="B38" s="770">
        <v>59.9</v>
      </c>
      <c r="C38">
        <v>68.3</v>
      </c>
      <c r="D38">
        <v>67</v>
      </c>
      <c r="E38">
        <v>65.900000000000006</v>
      </c>
      <c r="F38">
        <v>61.8</v>
      </c>
      <c r="G38">
        <v>62.7</v>
      </c>
      <c r="H38">
        <v>64</v>
      </c>
      <c r="I38">
        <v>57.1</v>
      </c>
    </row>
    <row r="39" spans="1:11" x14ac:dyDescent="0.3">
      <c r="A39" s="770" t="s">
        <v>646</v>
      </c>
      <c r="B39" s="770">
        <v>69.3</v>
      </c>
      <c r="C39">
        <v>71.2</v>
      </c>
      <c r="D39">
        <v>69.900000000000006</v>
      </c>
      <c r="E39">
        <v>69.099999999999994</v>
      </c>
      <c r="F39">
        <v>70.900000000000006</v>
      </c>
      <c r="G39">
        <v>73.599999999999994</v>
      </c>
      <c r="H39">
        <v>72.5</v>
      </c>
      <c r="I39">
        <v>67.900000000000006</v>
      </c>
    </row>
    <row r="40" spans="1:11" x14ac:dyDescent="0.3">
      <c r="A40" s="770"/>
      <c r="B40" s="770"/>
    </row>
    <row r="41" spans="1:11" x14ac:dyDescent="0.3">
      <c r="A41" s="770" t="s">
        <v>653</v>
      </c>
      <c r="B41" s="770"/>
    </row>
    <row r="42" spans="1:11" x14ac:dyDescent="0.3">
      <c r="A42" s="770" t="s">
        <v>642</v>
      </c>
      <c r="B42" s="772">
        <v>1808.4</v>
      </c>
      <c r="C42" s="708">
        <v>2369.5</v>
      </c>
      <c r="D42" s="708">
        <v>2220.6</v>
      </c>
      <c r="E42" s="708">
        <v>2017.4</v>
      </c>
      <c r="F42" s="708">
        <v>2931.1</v>
      </c>
      <c r="G42" s="708">
        <v>5687.1</v>
      </c>
      <c r="H42" s="708">
        <v>5773.8</v>
      </c>
      <c r="I42" s="708">
        <v>3565.4</v>
      </c>
      <c r="J42" s="708">
        <v>4045.3</v>
      </c>
      <c r="K42" s="708">
        <v>4979.2</v>
      </c>
    </row>
    <row r="43" spans="1:11" x14ac:dyDescent="0.3">
      <c r="A43" s="770" t="s">
        <v>643</v>
      </c>
      <c r="B43" s="772">
        <v>1823.1</v>
      </c>
      <c r="C43" s="708">
        <v>2383.5</v>
      </c>
      <c r="D43" s="708">
        <v>2208.1999999999998</v>
      </c>
      <c r="E43" s="708">
        <v>2047.7</v>
      </c>
      <c r="F43" s="708">
        <v>2951.6</v>
      </c>
      <c r="G43" s="708">
        <v>5750.1</v>
      </c>
      <c r="H43" s="708">
        <v>5785.6</v>
      </c>
      <c r="I43" s="708">
        <v>3588.8</v>
      </c>
    </row>
    <row r="44" spans="1:11" x14ac:dyDescent="0.3">
      <c r="A44" s="770" t="s">
        <v>654</v>
      </c>
      <c r="B44" s="770">
        <v>0.8</v>
      </c>
      <c r="C44">
        <v>0.6</v>
      </c>
      <c r="D44">
        <v>-0.6</v>
      </c>
      <c r="E44">
        <v>1.5</v>
      </c>
      <c r="F44">
        <v>0.7</v>
      </c>
      <c r="G44">
        <v>1.1000000000000001</v>
      </c>
      <c r="H44">
        <v>0.2</v>
      </c>
      <c r="I44">
        <v>0.7</v>
      </c>
    </row>
    <row r="45" spans="1:11" x14ac:dyDescent="0.3">
      <c r="A45" s="770" t="s">
        <v>645</v>
      </c>
      <c r="B45" s="770">
        <v>828.5</v>
      </c>
      <c r="C45" s="708">
        <v>1655.3</v>
      </c>
      <c r="D45" s="708">
        <v>1485.7</v>
      </c>
      <c r="E45" s="708">
        <v>1311.6</v>
      </c>
      <c r="F45" s="708">
        <v>1328.7</v>
      </c>
      <c r="G45" s="708">
        <v>3098.7</v>
      </c>
      <c r="H45" s="708">
        <v>3608</v>
      </c>
      <c r="I45" s="708">
        <v>1777.3</v>
      </c>
    </row>
    <row r="46" spans="1:11" x14ac:dyDescent="0.3">
      <c r="A46" s="770" t="s">
        <v>646</v>
      </c>
      <c r="B46" s="772">
        <v>1756.8</v>
      </c>
      <c r="C46" s="708">
        <v>2396.9</v>
      </c>
      <c r="D46" s="708">
        <v>2208.1999999999998</v>
      </c>
      <c r="E46" s="708">
        <v>2047.7</v>
      </c>
      <c r="F46" s="708">
        <v>2947.7</v>
      </c>
      <c r="G46" s="708">
        <v>5860.3</v>
      </c>
      <c r="H46" s="708">
        <v>5785.6</v>
      </c>
      <c r="I46" s="708">
        <v>3588.8</v>
      </c>
    </row>
    <row r="47" spans="1:11" x14ac:dyDescent="0.3">
      <c r="A47" s="770"/>
      <c r="B47" s="770"/>
    </row>
    <row r="48" spans="1:11" x14ac:dyDescent="0.3">
      <c r="A48" s="770" t="s">
        <v>655</v>
      </c>
      <c r="B48" s="770"/>
    </row>
    <row r="49" spans="1:11" x14ac:dyDescent="0.3">
      <c r="A49" s="770" t="s">
        <v>642</v>
      </c>
      <c r="B49" s="772">
        <v>1584.2</v>
      </c>
      <c r="C49" s="708">
        <v>2226.1</v>
      </c>
      <c r="D49" s="708">
        <v>1874.4</v>
      </c>
      <c r="E49" s="708">
        <v>1782.6</v>
      </c>
      <c r="F49" s="708">
        <v>2576.4</v>
      </c>
      <c r="G49" s="708">
        <v>4936.5</v>
      </c>
      <c r="H49" s="708">
        <v>5100.7</v>
      </c>
      <c r="I49" s="708">
        <v>3162.9</v>
      </c>
      <c r="J49" s="708">
        <v>3599.1</v>
      </c>
      <c r="K49" s="708">
        <v>4332.5</v>
      </c>
    </row>
    <row r="50" spans="1:11" x14ac:dyDescent="0.3">
      <c r="A50" s="770" t="s">
        <v>643</v>
      </c>
      <c r="B50" s="772">
        <v>1654.4</v>
      </c>
      <c r="C50" s="708">
        <v>2106.8000000000002</v>
      </c>
      <c r="D50" s="708">
        <v>1919.8</v>
      </c>
      <c r="E50" s="708">
        <v>1824.6</v>
      </c>
      <c r="F50" s="708">
        <v>2592.4</v>
      </c>
      <c r="G50" s="708">
        <v>5005.1000000000004</v>
      </c>
      <c r="H50" s="708">
        <v>6467.1</v>
      </c>
      <c r="I50" t="s">
        <v>360</v>
      </c>
    </row>
    <row r="51" spans="1:11" x14ac:dyDescent="0.3">
      <c r="A51" s="770" t="s">
        <v>656</v>
      </c>
      <c r="B51" s="770">
        <v>4.4000000000000004</v>
      </c>
      <c r="C51">
        <v>-5.4</v>
      </c>
      <c r="D51">
        <v>2.4</v>
      </c>
      <c r="E51">
        <v>2.4</v>
      </c>
      <c r="F51">
        <v>0.6</v>
      </c>
      <c r="G51">
        <v>1.4</v>
      </c>
      <c r="H51">
        <v>26.8</v>
      </c>
      <c r="I51" t="s">
        <v>360</v>
      </c>
    </row>
    <row r="52" spans="1:11" x14ac:dyDescent="0.3">
      <c r="A52" s="770" t="s">
        <v>645</v>
      </c>
      <c r="B52" s="770">
        <v>727.3</v>
      </c>
      <c r="C52" s="708">
        <v>1507</v>
      </c>
      <c r="D52" s="708">
        <v>1359.8</v>
      </c>
      <c r="E52" s="708">
        <v>1220.8</v>
      </c>
      <c r="F52" s="708">
        <v>1390.4</v>
      </c>
      <c r="G52" s="708">
        <v>2748.6</v>
      </c>
      <c r="H52" s="708">
        <v>3314.6</v>
      </c>
      <c r="I52" s="708">
        <v>1635.3</v>
      </c>
    </row>
    <row r="53" spans="1:11" x14ac:dyDescent="0.3">
      <c r="A53" s="770" t="s">
        <v>646</v>
      </c>
      <c r="B53" s="772">
        <v>1376.3</v>
      </c>
      <c r="C53" s="708">
        <v>2101.1</v>
      </c>
      <c r="D53" s="708">
        <v>1916.5</v>
      </c>
      <c r="E53" s="708">
        <v>1873.9</v>
      </c>
      <c r="F53" s="708">
        <v>2588.6</v>
      </c>
      <c r="G53" s="708">
        <v>5096.1000000000004</v>
      </c>
      <c r="H53" s="708">
        <v>5104.1000000000004</v>
      </c>
      <c r="I53" s="708">
        <v>3181</v>
      </c>
    </row>
    <row r="54" spans="1:11" ht="28" x14ac:dyDescent="0.3">
      <c r="A54" s="770" t="s">
        <v>636</v>
      </c>
      <c r="B54" s="770" t="s">
        <v>637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9AE1-32E9-411B-A760-63D3E23DE172}">
  <sheetPr codeName="Sheet15"/>
  <dimension ref="A1:K35"/>
  <sheetViews>
    <sheetView workbookViewId="0">
      <selection activeCell="F37" sqref="F37"/>
    </sheetView>
  </sheetViews>
  <sheetFormatPr defaultColWidth="8.83203125" defaultRowHeight="14" x14ac:dyDescent="0.3"/>
  <cols>
    <col min="1" max="1" width="31.83203125" bestFit="1" customWidth="1"/>
    <col min="2" max="2" width="36" bestFit="1" customWidth="1"/>
    <col min="3" max="9" width="10.08203125" bestFit="1" customWidth="1"/>
    <col min="10" max="11" width="11.08203125" bestFit="1" customWidth="1"/>
  </cols>
  <sheetData>
    <row r="1" spans="1:11" x14ac:dyDescent="0.3">
      <c r="B1" s="770"/>
    </row>
    <row r="2" spans="1:11" x14ac:dyDescent="0.3">
      <c r="A2" t="s">
        <v>657</v>
      </c>
      <c r="B2" s="770"/>
    </row>
    <row r="3" spans="1:11" x14ac:dyDescent="0.3">
      <c r="B3" s="770"/>
    </row>
    <row r="4" spans="1:11" x14ac:dyDescent="0.3">
      <c r="A4" t="s">
        <v>606</v>
      </c>
      <c r="B4" s="770" t="s">
        <v>610</v>
      </c>
      <c r="C4" t="s">
        <v>611</v>
      </c>
      <c r="D4" t="s">
        <v>612</v>
      </c>
      <c r="E4" t="s">
        <v>613</v>
      </c>
      <c r="F4" t="s">
        <v>614</v>
      </c>
      <c r="G4" t="s">
        <v>615</v>
      </c>
      <c r="H4" t="s">
        <v>616</v>
      </c>
      <c r="I4" t="s">
        <v>658</v>
      </c>
      <c r="J4" t="s">
        <v>639</v>
      </c>
      <c r="K4" t="s">
        <v>640</v>
      </c>
    </row>
    <row r="5" spans="1:11" x14ac:dyDescent="0.3">
      <c r="A5" t="s">
        <v>617</v>
      </c>
      <c r="B5" s="771">
        <v>43407</v>
      </c>
      <c r="C5" s="769">
        <v>43771</v>
      </c>
      <c r="D5" s="769">
        <v>44135</v>
      </c>
      <c r="E5" s="769">
        <v>44499</v>
      </c>
      <c r="F5" s="769">
        <v>44863</v>
      </c>
      <c r="G5" s="769">
        <v>45227</v>
      </c>
      <c r="H5" s="769">
        <v>45598</v>
      </c>
      <c r="I5" s="769">
        <v>45748</v>
      </c>
      <c r="J5" s="769">
        <v>45961</v>
      </c>
      <c r="K5" s="769">
        <v>46326</v>
      </c>
    </row>
    <row r="6" spans="1:11" x14ac:dyDescent="0.3">
      <c r="A6" t="s">
        <v>659</v>
      </c>
      <c r="B6" s="772">
        <v>32270.5</v>
      </c>
      <c r="C6" s="708">
        <v>40281.199999999997</v>
      </c>
      <c r="D6" s="708">
        <v>43795</v>
      </c>
      <c r="E6" s="708">
        <v>91139.6</v>
      </c>
      <c r="F6" s="708">
        <v>73786.8</v>
      </c>
      <c r="G6" s="708">
        <v>79684.7</v>
      </c>
      <c r="H6" s="708">
        <v>111905</v>
      </c>
      <c r="I6" s="708">
        <v>97300.7</v>
      </c>
    </row>
    <row r="7" spans="1:11" x14ac:dyDescent="0.3">
      <c r="A7" t="s">
        <v>660</v>
      </c>
      <c r="B7" s="770">
        <v>816.6</v>
      </c>
      <c r="C7">
        <v>648.29999999999995</v>
      </c>
      <c r="D7" s="708">
        <v>1055.9000000000001</v>
      </c>
      <c r="E7" s="708">
        <v>1978</v>
      </c>
      <c r="F7" s="708">
        <v>1470.6</v>
      </c>
      <c r="G7">
        <v>958.1</v>
      </c>
      <c r="H7" s="708">
        <v>2363.1999999999998</v>
      </c>
      <c r="I7" s="708">
        <v>2721.5</v>
      </c>
    </row>
    <row r="8" spans="1:11" x14ac:dyDescent="0.3">
      <c r="A8" t="s">
        <v>661</v>
      </c>
      <c r="B8" s="770">
        <v>0</v>
      </c>
      <c r="C8">
        <v>0</v>
      </c>
      <c r="D8">
        <v>0</v>
      </c>
      <c r="E8">
        <v>0</v>
      </c>
      <c r="F8">
        <v>0</v>
      </c>
      <c r="G8">
        <v>0</v>
      </c>
      <c r="H8">
        <v>0</v>
      </c>
      <c r="I8">
        <v>0</v>
      </c>
    </row>
    <row r="9" spans="1:11" x14ac:dyDescent="0.3">
      <c r="A9" t="s">
        <v>662</v>
      </c>
      <c r="B9" s="770">
        <v>0</v>
      </c>
      <c r="C9">
        <v>0</v>
      </c>
      <c r="D9">
        <v>0</v>
      </c>
      <c r="E9">
        <v>0</v>
      </c>
      <c r="F9">
        <v>0</v>
      </c>
      <c r="G9">
        <v>0</v>
      </c>
      <c r="H9">
        <v>0</v>
      </c>
      <c r="I9">
        <v>0</v>
      </c>
    </row>
    <row r="10" spans="1:11" x14ac:dyDescent="0.3">
      <c r="A10" t="s">
        <v>663</v>
      </c>
      <c r="B10" s="772">
        <v>6332.7</v>
      </c>
      <c r="C10" s="708">
        <v>5491.9</v>
      </c>
      <c r="D10" s="708">
        <v>5473.5</v>
      </c>
      <c r="E10" s="708">
        <v>7118.2</v>
      </c>
      <c r="F10" s="708">
        <v>6939.5</v>
      </c>
      <c r="G10" s="708">
        <v>7373.9</v>
      </c>
      <c r="H10" s="708">
        <v>7968.4</v>
      </c>
      <c r="I10" s="708">
        <v>7566.8</v>
      </c>
    </row>
    <row r="11" spans="1:11" x14ac:dyDescent="0.3">
      <c r="A11" t="s">
        <v>664</v>
      </c>
      <c r="B11" s="772">
        <v>37786.6</v>
      </c>
      <c r="C11" s="708">
        <v>45124.800000000003</v>
      </c>
      <c r="D11" s="708">
        <v>48212.7</v>
      </c>
      <c r="E11" s="708">
        <v>96279.9</v>
      </c>
      <c r="F11" s="708">
        <v>79255.8</v>
      </c>
      <c r="G11" s="708">
        <v>86100.6</v>
      </c>
      <c r="H11" s="708">
        <v>117510.2</v>
      </c>
      <c r="I11" s="708">
        <v>102146</v>
      </c>
    </row>
    <row r="12" spans="1:11" x14ac:dyDescent="0.3">
      <c r="B12" s="770"/>
    </row>
    <row r="13" spans="1:11" x14ac:dyDescent="0.3">
      <c r="A13" t="s">
        <v>665</v>
      </c>
      <c r="B13" s="772">
        <v>17600.8</v>
      </c>
      <c r="C13" s="708">
        <v>17201.099999999999</v>
      </c>
      <c r="D13" s="708">
        <v>17471.5</v>
      </c>
      <c r="E13" s="708">
        <v>45110.8</v>
      </c>
      <c r="F13" s="708">
        <v>43404.9</v>
      </c>
      <c r="G13" s="708">
        <v>42939.1</v>
      </c>
      <c r="H13" s="708">
        <v>43144.7</v>
      </c>
      <c r="I13" s="708">
        <v>42637.3</v>
      </c>
    </row>
    <row r="14" spans="1:11" x14ac:dyDescent="0.3">
      <c r="A14" t="s">
        <v>666</v>
      </c>
      <c r="B14" s="770">
        <v>35.979999999999997</v>
      </c>
      <c r="C14">
        <v>31.93</v>
      </c>
      <c r="D14">
        <v>31.33</v>
      </c>
      <c r="E14">
        <v>15.78</v>
      </c>
      <c r="F14">
        <v>15.99</v>
      </c>
      <c r="G14">
        <v>17.170000000000002</v>
      </c>
      <c r="H14">
        <v>18.47</v>
      </c>
      <c r="I14">
        <v>17.75</v>
      </c>
    </row>
    <row r="15" spans="1:11" x14ac:dyDescent="0.3">
      <c r="A15" t="s">
        <v>667</v>
      </c>
      <c r="B15" s="770">
        <v>0.17</v>
      </c>
      <c r="C15">
        <v>0.12</v>
      </c>
      <c r="D15">
        <v>0.11</v>
      </c>
      <c r="E15">
        <v>7.0000000000000007E-2</v>
      </c>
      <c r="F15">
        <v>0.09</v>
      </c>
      <c r="G15">
        <v>0.09</v>
      </c>
      <c r="H15">
        <v>7.0000000000000007E-2</v>
      </c>
      <c r="I15">
        <v>7.0000000000000007E-2</v>
      </c>
    </row>
    <row r="16" spans="1:11" x14ac:dyDescent="0.3">
      <c r="B16" s="770"/>
    </row>
    <row r="17" spans="1:11" x14ac:dyDescent="0.3">
      <c r="A17" t="s">
        <v>668</v>
      </c>
      <c r="B17" s="770">
        <v>6.07</v>
      </c>
      <c r="C17">
        <v>7.53</v>
      </c>
      <c r="D17">
        <v>8.6</v>
      </c>
      <c r="E17">
        <v>13.16</v>
      </c>
      <c r="F17">
        <v>6.6</v>
      </c>
      <c r="G17">
        <v>7</v>
      </c>
      <c r="H17">
        <v>12.47</v>
      </c>
      <c r="I17">
        <v>10.94</v>
      </c>
      <c r="J17">
        <v>9.89</v>
      </c>
      <c r="K17">
        <v>8.76</v>
      </c>
    </row>
    <row r="18" spans="1:11" x14ac:dyDescent="0.3">
      <c r="A18" t="s">
        <v>669</v>
      </c>
      <c r="B18" s="770">
        <v>14</v>
      </c>
      <c r="C18">
        <v>17.89</v>
      </c>
      <c r="D18">
        <v>20.47</v>
      </c>
      <c r="E18">
        <v>34.17</v>
      </c>
      <c r="F18">
        <v>14.06</v>
      </c>
      <c r="G18">
        <v>13.93</v>
      </c>
      <c r="H18">
        <v>27.94</v>
      </c>
      <c r="I18">
        <v>25.33</v>
      </c>
      <c r="J18">
        <v>19.07</v>
      </c>
      <c r="K18">
        <v>16.11</v>
      </c>
    </row>
    <row r="19" spans="1:11" x14ac:dyDescent="0.3">
      <c r="A19" t="s">
        <v>670</v>
      </c>
      <c r="B19" s="770">
        <v>19.89</v>
      </c>
      <c r="C19">
        <v>26.38</v>
      </c>
      <c r="D19">
        <v>31.96</v>
      </c>
      <c r="E19">
        <v>56.57</v>
      </c>
      <c r="F19">
        <v>24.08</v>
      </c>
      <c r="G19">
        <v>22.43</v>
      </c>
      <c r="H19">
        <v>57.37</v>
      </c>
      <c r="I19">
        <v>52.7</v>
      </c>
      <c r="J19">
        <v>23.69</v>
      </c>
      <c r="K19">
        <v>19.760000000000002</v>
      </c>
    </row>
    <row r="20" spans="1:11" x14ac:dyDescent="0.3">
      <c r="A20" t="s">
        <v>671</v>
      </c>
      <c r="B20" s="770">
        <v>14.14</v>
      </c>
      <c r="C20">
        <v>18.32</v>
      </c>
      <c r="D20">
        <v>21.47</v>
      </c>
      <c r="E20" t="s">
        <v>360</v>
      </c>
      <c r="F20">
        <v>16.77</v>
      </c>
      <c r="G20">
        <v>16.739999999999998</v>
      </c>
      <c r="H20">
        <v>27.68</v>
      </c>
      <c r="I20">
        <v>24.7</v>
      </c>
    </row>
    <row r="21" spans="1:11" x14ac:dyDescent="0.3">
      <c r="A21" t="s">
        <v>672</v>
      </c>
      <c r="B21" s="770">
        <v>15.62</v>
      </c>
      <c r="C21">
        <v>20.62</v>
      </c>
      <c r="D21">
        <v>23.19</v>
      </c>
      <c r="E21" t="s">
        <v>360</v>
      </c>
      <c r="F21">
        <v>19.68</v>
      </c>
      <c r="G21">
        <v>22.18</v>
      </c>
      <c r="H21">
        <v>33.43</v>
      </c>
      <c r="I21">
        <v>29.36</v>
      </c>
    </row>
    <row r="22" spans="1:11" x14ac:dyDescent="0.3">
      <c r="B22" s="770"/>
    </row>
    <row r="23" spans="1:11" x14ac:dyDescent="0.3">
      <c r="A23" t="s">
        <v>673</v>
      </c>
      <c r="B23" s="772">
        <v>32687.1</v>
      </c>
      <c r="C23" s="708">
        <v>40780.9</v>
      </c>
      <c r="D23" s="708">
        <v>44090</v>
      </c>
      <c r="E23" s="708">
        <v>69619.5</v>
      </c>
      <c r="F23" s="708">
        <v>75798</v>
      </c>
      <c r="G23" s="708">
        <v>81241.8</v>
      </c>
      <c r="H23" s="708">
        <v>112446.2</v>
      </c>
      <c r="I23" s="708">
        <v>97828.7</v>
      </c>
    </row>
    <row r="24" spans="1:11" x14ac:dyDescent="0.3">
      <c r="A24" t="s">
        <v>674</v>
      </c>
      <c r="B24" s="772">
        <v>38179.300000000003</v>
      </c>
      <c r="C24" s="708">
        <v>45532.7</v>
      </c>
      <c r="D24" s="708">
        <v>48609.5</v>
      </c>
      <c r="E24" s="708">
        <v>97157.2</v>
      </c>
      <c r="F24" s="708">
        <v>79817.399999999994</v>
      </c>
      <c r="G24" s="708">
        <v>86691.9</v>
      </c>
      <c r="H24" s="708">
        <v>118081.1</v>
      </c>
      <c r="I24" s="708">
        <v>102646.5</v>
      </c>
    </row>
    <row r="25" spans="1:11" x14ac:dyDescent="0.3">
      <c r="A25" t="s">
        <v>675</v>
      </c>
      <c r="B25" s="770">
        <v>102.08</v>
      </c>
      <c r="C25">
        <v>122.52</v>
      </c>
      <c r="D25">
        <v>130.49</v>
      </c>
      <c r="E25">
        <v>183.27</v>
      </c>
      <c r="F25">
        <v>155.62</v>
      </c>
      <c r="G25">
        <v>173.5</v>
      </c>
      <c r="H25">
        <v>236.77</v>
      </c>
      <c r="I25">
        <v>221.66</v>
      </c>
    </row>
    <row r="26" spans="1:11" x14ac:dyDescent="0.3">
      <c r="B26" s="770"/>
    </row>
    <row r="27" spans="1:11" x14ac:dyDescent="0.3">
      <c r="A27" t="s">
        <v>676</v>
      </c>
      <c r="B27" s="770"/>
    </row>
    <row r="28" spans="1:11" x14ac:dyDescent="0.3">
      <c r="A28" t="s">
        <v>677</v>
      </c>
      <c r="B28" s="770"/>
    </row>
    <row r="29" spans="1:11" x14ac:dyDescent="0.3">
      <c r="A29" t="s">
        <v>678</v>
      </c>
      <c r="B29" s="770" t="s">
        <v>679</v>
      </c>
      <c r="C29" t="s">
        <v>680</v>
      </c>
      <c r="D29" t="s">
        <v>680</v>
      </c>
      <c r="E29" t="s">
        <v>680</v>
      </c>
      <c r="F29" t="s">
        <v>680</v>
      </c>
      <c r="G29" t="s">
        <v>680</v>
      </c>
      <c r="H29" t="s">
        <v>680</v>
      </c>
      <c r="I29" t="s">
        <v>680</v>
      </c>
    </row>
    <row r="30" spans="1:11" x14ac:dyDescent="0.3">
      <c r="A30" t="s">
        <v>681</v>
      </c>
      <c r="B30" s="772">
        <v>6224.7</v>
      </c>
      <c r="C30" s="708">
        <v>5991.1</v>
      </c>
      <c r="D30" s="708">
        <v>5603.1</v>
      </c>
      <c r="E30" s="708">
        <v>7318.3</v>
      </c>
      <c r="F30" s="708">
        <v>12014</v>
      </c>
      <c r="G30" s="708">
        <v>12305.5</v>
      </c>
      <c r="H30" s="708">
        <v>9427.2000000000007</v>
      </c>
      <c r="I30" s="708">
        <v>9337.6</v>
      </c>
      <c r="J30" s="708">
        <v>10331.200000000001</v>
      </c>
      <c r="K30" s="708">
        <v>11662</v>
      </c>
    </row>
    <row r="31" spans="1:11" x14ac:dyDescent="0.3">
      <c r="A31" t="s">
        <v>176</v>
      </c>
      <c r="B31" s="772">
        <v>2698.7</v>
      </c>
      <c r="C31" s="708">
        <v>2521.9</v>
      </c>
      <c r="D31" s="708">
        <v>2355.1</v>
      </c>
      <c r="E31" s="708">
        <v>2817.6</v>
      </c>
      <c r="F31" s="708">
        <v>5636.9</v>
      </c>
      <c r="G31" s="708">
        <v>6183</v>
      </c>
      <c r="H31" s="708">
        <v>4205.3999999999996</v>
      </c>
      <c r="I31" s="708">
        <v>4032.8</v>
      </c>
      <c r="J31" s="708">
        <v>5355.2</v>
      </c>
      <c r="K31" s="708">
        <v>6338.9</v>
      </c>
    </row>
    <row r="32" spans="1:11" x14ac:dyDescent="0.3">
      <c r="A32" t="s">
        <v>379</v>
      </c>
      <c r="B32" s="772">
        <v>1899.6</v>
      </c>
      <c r="C32" s="708">
        <v>1710.6</v>
      </c>
      <c r="D32" s="708">
        <v>1498.2</v>
      </c>
      <c r="E32" s="708">
        <v>1692.2</v>
      </c>
      <c r="F32" s="708">
        <v>3278.7</v>
      </c>
      <c r="G32" s="708">
        <v>3823.1</v>
      </c>
      <c r="H32" s="708">
        <v>2032.8</v>
      </c>
      <c r="I32" s="708">
        <v>1938.1</v>
      </c>
      <c r="J32" s="708">
        <v>4311.3999999999996</v>
      </c>
      <c r="K32" s="708">
        <v>5169</v>
      </c>
    </row>
    <row r="33" spans="1:9" x14ac:dyDescent="0.3">
      <c r="A33" t="s">
        <v>682</v>
      </c>
      <c r="B33" s="772">
        <v>2673.2</v>
      </c>
      <c r="C33" s="708">
        <v>2463.3000000000002</v>
      </c>
      <c r="D33" s="708">
        <v>2188.4</v>
      </c>
      <c r="E33" t="s">
        <v>360</v>
      </c>
      <c r="F33" s="708">
        <v>4653.2</v>
      </c>
      <c r="G33" s="708">
        <v>5060.8</v>
      </c>
      <c r="H33" s="708">
        <v>4149</v>
      </c>
      <c r="I33" s="708">
        <v>4135.3</v>
      </c>
    </row>
    <row r="34" spans="1:9" x14ac:dyDescent="0.3">
      <c r="A34" t="s">
        <v>683</v>
      </c>
      <c r="B34" s="772">
        <v>2418.3000000000002</v>
      </c>
      <c r="C34" s="708">
        <v>2187.9</v>
      </c>
      <c r="D34" s="708">
        <v>2022.7</v>
      </c>
      <c r="E34" t="s">
        <v>360</v>
      </c>
      <c r="F34" s="708">
        <v>3953.9</v>
      </c>
      <c r="G34" s="708">
        <v>3799.3</v>
      </c>
      <c r="H34" s="708">
        <v>3418.5</v>
      </c>
      <c r="I34" s="708">
        <v>3478.8</v>
      </c>
    </row>
    <row r="35" spans="1:9" ht="28" x14ac:dyDescent="0.3">
      <c r="A35" t="s">
        <v>636</v>
      </c>
      <c r="B35" s="770" t="s">
        <v>637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1A0ED-C94B-4CC7-9C2F-C2721E504A0B}">
  <sheetPr codeName="Sheet16"/>
  <dimension ref="A1:K59"/>
  <sheetViews>
    <sheetView workbookViewId="0">
      <selection activeCell="D28" sqref="D28"/>
    </sheetView>
  </sheetViews>
  <sheetFormatPr defaultColWidth="8.83203125" defaultRowHeight="14" x14ac:dyDescent="0.3"/>
  <cols>
    <col min="1" max="1" width="31.58203125" bestFit="1" customWidth="1"/>
    <col min="2" max="2" width="36" bestFit="1" customWidth="1"/>
    <col min="3" max="9" width="10.08203125" bestFit="1" customWidth="1"/>
    <col min="10" max="11" width="11.08203125" bestFit="1" customWidth="1"/>
  </cols>
  <sheetData>
    <row r="1" spans="1:11" x14ac:dyDescent="0.3">
      <c r="B1" s="770"/>
    </row>
    <row r="2" spans="1:11" x14ac:dyDescent="0.3">
      <c r="A2" t="s">
        <v>684</v>
      </c>
      <c r="B2" s="770"/>
    </row>
    <row r="3" spans="1:11" x14ac:dyDescent="0.3">
      <c r="B3" s="770"/>
    </row>
    <row r="4" spans="1:11" x14ac:dyDescent="0.3">
      <c r="A4" t="s">
        <v>606</v>
      </c>
      <c r="B4" s="770" t="s">
        <v>610</v>
      </c>
      <c r="C4" t="s">
        <v>611</v>
      </c>
      <c r="D4" t="s">
        <v>612</v>
      </c>
      <c r="E4" t="s">
        <v>613</v>
      </c>
      <c r="F4" t="s">
        <v>614</v>
      </c>
      <c r="G4" t="s">
        <v>615</v>
      </c>
      <c r="H4" t="s">
        <v>616</v>
      </c>
      <c r="I4" t="s">
        <v>658</v>
      </c>
      <c r="J4" t="s">
        <v>639</v>
      </c>
      <c r="K4" t="s">
        <v>640</v>
      </c>
    </row>
    <row r="5" spans="1:11" x14ac:dyDescent="0.3">
      <c r="A5" t="s">
        <v>617</v>
      </c>
      <c r="B5" s="771">
        <v>43407</v>
      </c>
      <c r="C5" s="769">
        <v>43771</v>
      </c>
      <c r="D5" s="769">
        <v>44135</v>
      </c>
      <c r="E5" s="769">
        <v>44499</v>
      </c>
      <c r="F5" s="769">
        <v>44863</v>
      </c>
      <c r="G5" s="769">
        <v>45227</v>
      </c>
      <c r="H5" s="769">
        <v>45598</v>
      </c>
      <c r="I5" s="769">
        <v>45748</v>
      </c>
      <c r="J5" s="769">
        <v>45961</v>
      </c>
      <c r="K5" s="769">
        <v>46326</v>
      </c>
    </row>
    <row r="6" spans="1:11" x14ac:dyDescent="0.3">
      <c r="A6" t="s">
        <v>685</v>
      </c>
      <c r="B6" s="770">
        <v>15.61</v>
      </c>
      <c r="C6">
        <v>21.27</v>
      </c>
      <c r="D6">
        <v>23.54</v>
      </c>
      <c r="E6">
        <v>26.92</v>
      </c>
      <c r="F6">
        <v>14.88</v>
      </c>
      <c r="G6">
        <v>15.92</v>
      </c>
      <c r="H6">
        <v>35.340000000000003</v>
      </c>
      <c r="I6">
        <v>31.38</v>
      </c>
      <c r="J6">
        <v>27.15</v>
      </c>
      <c r="K6">
        <v>22.2</v>
      </c>
    </row>
    <row r="7" spans="1:11" x14ac:dyDescent="0.3">
      <c r="A7" t="s">
        <v>686</v>
      </c>
      <c r="B7" s="770">
        <v>23.46</v>
      </c>
      <c r="C7">
        <v>18.73</v>
      </c>
      <c r="D7">
        <v>22.03</v>
      </c>
      <c r="E7">
        <v>31.32</v>
      </c>
      <c r="F7">
        <v>25.03</v>
      </c>
      <c r="G7">
        <v>18.309999999999999</v>
      </c>
      <c r="H7">
        <v>20.63</v>
      </c>
    </row>
    <row r="8" spans="1:11" x14ac:dyDescent="0.3">
      <c r="A8" t="s">
        <v>687</v>
      </c>
      <c r="B8" s="770">
        <v>26.03</v>
      </c>
      <c r="C8">
        <v>22.32</v>
      </c>
      <c r="D8">
        <v>24.52</v>
      </c>
      <c r="E8">
        <v>35.85</v>
      </c>
      <c r="F8">
        <v>29.29</v>
      </c>
      <c r="G8">
        <v>20.49</v>
      </c>
      <c r="H8">
        <v>35.340000000000003</v>
      </c>
    </row>
    <row r="9" spans="1:11" x14ac:dyDescent="0.3">
      <c r="A9" t="s">
        <v>688</v>
      </c>
      <c r="B9" s="770">
        <v>15.61</v>
      </c>
      <c r="C9">
        <v>14.4</v>
      </c>
      <c r="D9">
        <v>15.99</v>
      </c>
      <c r="E9">
        <v>23.53</v>
      </c>
      <c r="F9">
        <v>14.88</v>
      </c>
      <c r="G9">
        <v>14.17</v>
      </c>
      <c r="H9">
        <v>15.45</v>
      </c>
    </row>
    <row r="10" spans="1:11" x14ac:dyDescent="0.3">
      <c r="B10" s="770"/>
    </row>
    <row r="11" spans="1:11" x14ac:dyDescent="0.3">
      <c r="A11" t="s">
        <v>689</v>
      </c>
      <c r="B11" s="770">
        <v>2.86</v>
      </c>
      <c r="C11">
        <v>3.44</v>
      </c>
      <c r="D11">
        <v>3.65</v>
      </c>
      <c r="E11">
        <v>2.4</v>
      </c>
      <c r="F11">
        <v>2.02</v>
      </c>
      <c r="G11">
        <v>2.2400000000000002</v>
      </c>
      <c r="H11">
        <v>3.18</v>
      </c>
      <c r="I11">
        <v>2.77</v>
      </c>
      <c r="J11">
        <v>2.84</v>
      </c>
      <c r="K11">
        <v>2.75</v>
      </c>
    </row>
    <row r="12" spans="1:11" x14ac:dyDescent="0.3">
      <c r="A12" t="s">
        <v>686</v>
      </c>
      <c r="B12" s="770">
        <v>3.34</v>
      </c>
      <c r="C12">
        <v>3.43</v>
      </c>
      <c r="D12">
        <v>3.56</v>
      </c>
      <c r="E12">
        <v>4.8499999999999996</v>
      </c>
      <c r="F12">
        <v>2.23</v>
      </c>
      <c r="G12">
        <v>2.4900000000000002</v>
      </c>
      <c r="H12">
        <v>2.9</v>
      </c>
    </row>
    <row r="13" spans="1:11" x14ac:dyDescent="0.3">
      <c r="A13" t="s">
        <v>687</v>
      </c>
      <c r="B13" s="770">
        <v>3.7</v>
      </c>
      <c r="C13">
        <v>4.09</v>
      </c>
      <c r="D13">
        <v>3.97</v>
      </c>
      <c r="E13">
        <v>5.56</v>
      </c>
      <c r="F13">
        <v>2.61</v>
      </c>
      <c r="G13">
        <v>2.79</v>
      </c>
      <c r="H13">
        <v>3.4</v>
      </c>
    </row>
    <row r="14" spans="1:11" x14ac:dyDescent="0.3">
      <c r="A14" t="s">
        <v>688</v>
      </c>
      <c r="B14" s="770">
        <v>2.82</v>
      </c>
      <c r="C14">
        <v>2.64</v>
      </c>
      <c r="D14">
        <v>2.59</v>
      </c>
      <c r="E14">
        <v>2.4</v>
      </c>
      <c r="F14">
        <v>1.89</v>
      </c>
      <c r="G14">
        <v>1.93</v>
      </c>
      <c r="H14">
        <v>2.1800000000000002</v>
      </c>
    </row>
    <row r="15" spans="1:11" x14ac:dyDescent="0.3">
      <c r="B15" s="770"/>
    </row>
    <row r="16" spans="1:11" x14ac:dyDescent="0.3">
      <c r="A16" t="s">
        <v>690</v>
      </c>
      <c r="B16" s="770" t="s">
        <v>360</v>
      </c>
      <c r="C16" t="s">
        <v>360</v>
      </c>
      <c r="D16" t="s">
        <v>360</v>
      </c>
      <c r="E16" t="s">
        <v>360</v>
      </c>
      <c r="F16" t="s">
        <v>360</v>
      </c>
      <c r="G16" t="s">
        <v>360</v>
      </c>
      <c r="H16" t="s">
        <v>360</v>
      </c>
    </row>
    <row r="17" spans="1:11" x14ac:dyDescent="0.3">
      <c r="A17" t="s">
        <v>686</v>
      </c>
      <c r="B17" s="770" t="s">
        <v>360</v>
      </c>
      <c r="C17" t="s">
        <v>360</v>
      </c>
      <c r="D17" t="s">
        <v>360</v>
      </c>
      <c r="E17" t="s">
        <v>360</v>
      </c>
      <c r="F17" t="s">
        <v>360</v>
      </c>
      <c r="G17" t="s">
        <v>360</v>
      </c>
      <c r="H17" t="s">
        <v>360</v>
      </c>
    </row>
    <row r="18" spans="1:11" x14ac:dyDescent="0.3">
      <c r="A18" t="s">
        <v>687</v>
      </c>
      <c r="B18" s="770" t="s">
        <v>360</v>
      </c>
      <c r="C18" t="s">
        <v>360</v>
      </c>
      <c r="D18" t="s">
        <v>360</v>
      </c>
      <c r="E18" t="s">
        <v>360</v>
      </c>
      <c r="F18" t="s">
        <v>360</v>
      </c>
      <c r="G18" t="s">
        <v>360</v>
      </c>
      <c r="H18" t="s">
        <v>360</v>
      </c>
    </row>
    <row r="19" spans="1:11" x14ac:dyDescent="0.3">
      <c r="A19" t="s">
        <v>688</v>
      </c>
      <c r="B19" s="770" t="s">
        <v>360</v>
      </c>
      <c r="C19" t="s">
        <v>360</v>
      </c>
      <c r="D19" t="s">
        <v>360</v>
      </c>
      <c r="E19" t="s">
        <v>360</v>
      </c>
      <c r="F19" t="s">
        <v>360</v>
      </c>
      <c r="G19" t="s">
        <v>360</v>
      </c>
      <c r="H19" t="s">
        <v>360</v>
      </c>
    </row>
    <row r="20" spans="1:11" x14ac:dyDescent="0.3">
      <c r="B20" s="770"/>
    </row>
    <row r="21" spans="1:11" x14ac:dyDescent="0.3">
      <c r="A21" t="s">
        <v>691</v>
      </c>
      <c r="B21" s="770">
        <v>5.19</v>
      </c>
      <c r="C21">
        <v>6.74</v>
      </c>
      <c r="D21">
        <v>7.8</v>
      </c>
      <c r="E21">
        <v>9.42</v>
      </c>
      <c r="F21">
        <v>6.26</v>
      </c>
      <c r="G21">
        <v>6.55</v>
      </c>
      <c r="H21">
        <v>11.87</v>
      </c>
      <c r="I21">
        <v>10.43</v>
      </c>
      <c r="J21">
        <v>9.42</v>
      </c>
      <c r="K21">
        <v>8.34</v>
      </c>
    </row>
    <row r="22" spans="1:11" x14ac:dyDescent="0.3">
      <c r="A22" t="s">
        <v>686</v>
      </c>
      <c r="B22" s="770">
        <v>6.24</v>
      </c>
      <c r="C22">
        <v>6.22</v>
      </c>
      <c r="D22">
        <v>6.98</v>
      </c>
      <c r="E22">
        <v>10.38</v>
      </c>
      <c r="F22">
        <v>8.77</v>
      </c>
      <c r="G22">
        <v>7.7</v>
      </c>
      <c r="H22">
        <v>8.48</v>
      </c>
    </row>
    <row r="23" spans="1:11" x14ac:dyDescent="0.3">
      <c r="A23" t="s">
        <v>687</v>
      </c>
      <c r="B23" s="770">
        <v>7.03</v>
      </c>
      <c r="C23">
        <v>7.43</v>
      </c>
      <c r="D23">
        <v>7.85</v>
      </c>
      <c r="E23">
        <v>12</v>
      </c>
      <c r="F23">
        <v>10.43</v>
      </c>
      <c r="G23">
        <v>8.65</v>
      </c>
      <c r="H23">
        <v>11.93</v>
      </c>
    </row>
    <row r="24" spans="1:11" x14ac:dyDescent="0.3">
      <c r="A24" t="s">
        <v>688</v>
      </c>
      <c r="B24" s="770">
        <v>5.13</v>
      </c>
      <c r="C24">
        <v>4.7699999999999996</v>
      </c>
      <c r="D24">
        <v>4.87</v>
      </c>
      <c r="E24">
        <v>7.74</v>
      </c>
      <c r="F24">
        <v>6.1</v>
      </c>
      <c r="G24">
        <v>5.96</v>
      </c>
      <c r="H24">
        <v>6.33</v>
      </c>
    </row>
    <row r="25" spans="1:11" x14ac:dyDescent="0.3">
      <c r="B25" s="770"/>
    </row>
    <row r="26" spans="1:11" x14ac:dyDescent="0.3">
      <c r="A26" t="s">
        <v>692</v>
      </c>
      <c r="B26" s="770">
        <v>13.22</v>
      </c>
      <c r="C26">
        <v>17.920000000000002</v>
      </c>
      <c r="D26">
        <v>21.75</v>
      </c>
      <c r="E26">
        <v>25.21</v>
      </c>
      <c r="F26">
        <v>16.809999999999999</v>
      </c>
      <c r="G26">
        <v>16.739999999999998</v>
      </c>
      <c r="H26">
        <v>29.04</v>
      </c>
      <c r="I26">
        <v>25.35</v>
      </c>
      <c r="J26">
        <v>23.64</v>
      </c>
      <c r="K26">
        <v>19.53</v>
      </c>
    </row>
    <row r="27" spans="1:11" x14ac:dyDescent="0.3">
      <c r="A27" t="s">
        <v>686</v>
      </c>
      <c r="B27" s="770">
        <v>28.62</v>
      </c>
      <c r="C27">
        <v>15.86</v>
      </c>
      <c r="D27">
        <v>18.57</v>
      </c>
      <c r="E27">
        <v>28.95</v>
      </c>
      <c r="F27">
        <v>23.45</v>
      </c>
      <c r="G27">
        <v>20.68</v>
      </c>
      <c r="H27">
        <v>21.66</v>
      </c>
    </row>
    <row r="28" spans="1:11" x14ac:dyDescent="0.3">
      <c r="A28" t="s">
        <v>687</v>
      </c>
      <c r="B28" s="770">
        <v>31.79</v>
      </c>
      <c r="C28">
        <v>18.899999999999999</v>
      </c>
      <c r="D28">
        <v>21.75</v>
      </c>
      <c r="E28">
        <v>33.130000000000003</v>
      </c>
      <c r="F28">
        <v>27.44</v>
      </c>
      <c r="G28">
        <v>23.15</v>
      </c>
      <c r="H28">
        <v>29.04</v>
      </c>
    </row>
    <row r="29" spans="1:11" x14ac:dyDescent="0.3">
      <c r="A29" t="s">
        <v>688</v>
      </c>
      <c r="B29" s="770">
        <v>13.22</v>
      </c>
      <c r="C29">
        <v>12.2</v>
      </c>
      <c r="D29">
        <v>13.47</v>
      </c>
      <c r="E29">
        <v>21.75</v>
      </c>
      <c r="F29">
        <v>16.809999999999999</v>
      </c>
      <c r="G29">
        <v>16.010000000000002</v>
      </c>
      <c r="H29">
        <v>16.25</v>
      </c>
    </row>
    <row r="30" spans="1:11" x14ac:dyDescent="0.3">
      <c r="B30" s="770"/>
    </row>
    <row r="31" spans="1:11" x14ac:dyDescent="0.3">
      <c r="A31" t="s">
        <v>693</v>
      </c>
      <c r="B31" s="770">
        <v>14.76</v>
      </c>
      <c r="C31">
        <v>20.41</v>
      </c>
      <c r="D31">
        <v>23.71</v>
      </c>
      <c r="E31">
        <v>28.83</v>
      </c>
      <c r="F31">
        <v>19.920000000000002</v>
      </c>
      <c r="G31">
        <v>22.68</v>
      </c>
      <c r="H31">
        <v>35.83</v>
      </c>
      <c r="I31">
        <v>30.58</v>
      </c>
    </row>
    <row r="32" spans="1:11" x14ac:dyDescent="0.3">
      <c r="A32" t="s">
        <v>686</v>
      </c>
      <c r="B32" s="770">
        <v>35.04</v>
      </c>
      <c r="C32">
        <v>17.71</v>
      </c>
      <c r="D32">
        <v>21.16</v>
      </c>
      <c r="E32">
        <v>31.56</v>
      </c>
      <c r="F32">
        <v>26.83</v>
      </c>
      <c r="G32">
        <v>24.52</v>
      </c>
      <c r="H32">
        <v>29.33</v>
      </c>
    </row>
    <row r="33" spans="1:11" x14ac:dyDescent="0.3">
      <c r="A33" t="s">
        <v>687</v>
      </c>
      <c r="B33" s="770">
        <v>38.93</v>
      </c>
      <c r="C33">
        <v>21.11</v>
      </c>
      <c r="D33">
        <v>23.71</v>
      </c>
      <c r="E33">
        <v>36.11</v>
      </c>
      <c r="F33">
        <v>31.38</v>
      </c>
      <c r="G33">
        <v>27.44</v>
      </c>
      <c r="H33">
        <v>35.83</v>
      </c>
    </row>
    <row r="34" spans="1:11" x14ac:dyDescent="0.3">
      <c r="A34" t="s">
        <v>688</v>
      </c>
      <c r="B34" s="770">
        <v>14.76</v>
      </c>
      <c r="C34">
        <v>13.62</v>
      </c>
      <c r="D34">
        <v>15.35</v>
      </c>
      <c r="E34">
        <v>23.7</v>
      </c>
      <c r="F34">
        <v>19.920000000000002</v>
      </c>
      <c r="G34">
        <v>18.98</v>
      </c>
      <c r="H34">
        <v>22.01</v>
      </c>
    </row>
    <row r="35" spans="1:11" x14ac:dyDescent="0.3">
      <c r="B35" s="770"/>
    </row>
    <row r="36" spans="1:11" x14ac:dyDescent="0.3">
      <c r="A36" t="s">
        <v>668</v>
      </c>
      <c r="B36" s="770">
        <v>6.07</v>
      </c>
      <c r="C36">
        <v>7.53</v>
      </c>
      <c r="D36">
        <v>8.6</v>
      </c>
      <c r="E36">
        <v>13.16</v>
      </c>
      <c r="F36">
        <v>6.6</v>
      </c>
      <c r="G36">
        <v>7</v>
      </c>
      <c r="H36">
        <v>12.47</v>
      </c>
      <c r="I36">
        <v>10.94</v>
      </c>
      <c r="J36">
        <v>9.89</v>
      </c>
      <c r="K36">
        <v>8.76</v>
      </c>
    </row>
    <row r="37" spans="1:11" x14ac:dyDescent="0.3">
      <c r="A37" t="s">
        <v>686</v>
      </c>
      <c r="B37" s="770">
        <v>8</v>
      </c>
      <c r="C37">
        <v>7.09</v>
      </c>
      <c r="D37">
        <v>7.78</v>
      </c>
      <c r="E37">
        <v>12.07</v>
      </c>
      <c r="F37">
        <v>12.22</v>
      </c>
      <c r="G37">
        <v>7.94</v>
      </c>
      <c r="H37">
        <v>8.9</v>
      </c>
    </row>
    <row r="38" spans="1:11" x14ac:dyDescent="0.3">
      <c r="A38" t="s">
        <v>687</v>
      </c>
      <c r="B38" s="770">
        <v>8.75</v>
      </c>
      <c r="C38">
        <v>8.2899999999999991</v>
      </c>
      <c r="D38">
        <v>8.61</v>
      </c>
      <c r="E38">
        <v>18.100000000000001</v>
      </c>
      <c r="F38">
        <v>14.57</v>
      </c>
      <c r="G38">
        <v>8.7799999999999994</v>
      </c>
      <c r="H38">
        <v>12.47</v>
      </c>
    </row>
    <row r="39" spans="1:11" x14ac:dyDescent="0.3">
      <c r="A39" t="s">
        <v>688</v>
      </c>
      <c r="B39" s="770">
        <v>6.09</v>
      </c>
      <c r="C39">
        <v>5.67</v>
      </c>
      <c r="D39">
        <v>5.86</v>
      </c>
      <c r="E39">
        <v>8.6</v>
      </c>
      <c r="F39">
        <v>6.66</v>
      </c>
      <c r="G39">
        <v>6.36</v>
      </c>
      <c r="H39">
        <v>6.83</v>
      </c>
    </row>
    <row r="40" spans="1:11" x14ac:dyDescent="0.3">
      <c r="B40" s="770"/>
    </row>
    <row r="41" spans="1:11" x14ac:dyDescent="0.3">
      <c r="A41" t="s">
        <v>669</v>
      </c>
      <c r="B41" s="770">
        <v>14</v>
      </c>
      <c r="C41">
        <v>17.89</v>
      </c>
      <c r="D41">
        <v>20.47</v>
      </c>
      <c r="E41">
        <v>34.17</v>
      </c>
      <c r="F41">
        <v>14.06</v>
      </c>
      <c r="G41">
        <v>13.93</v>
      </c>
      <c r="H41">
        <v>27.94</v>
      </c>
      <c r="I41">
        <v>25.33</v>
      </c>
      <c r="J41">
        <v>19.07</v>
      </c>
      <c r="K41">
        <v>16.11</v>
      </c>
    </row>
    <row r="42" spans="1:11" x14ac:dyDescent="0.3">
      <c r="A42" t="s">
        <v>686</v>
      </c>
      <c r="B42" s="770">
        <v>24.92</v>
      </c>
      <c r="C42">
        <v>16.36</v>
      </c>
      <c r="D42">
        <v>18.489999999999998</v>
      </c>
      <c r="E42">
        <v>28.73</v>
      </c>
      <c r="F42">
        <v>31.73</v>
      </c>
      <c r="G42">
        <v>16.920000000000002</v>
      </c>
      <c r="H42">
        <v>17.73</v>
      </c>
    </row>
    <row r="43" spans="1:11" x14ac:dyDescent="0.3">
      <c r="A43" t="s">
        <v>687</v>
      </c>
      <c r="B43" s="770">
        <v>27.25</v>
      </c>
      <c r="C43">
        <v>19.12</v>
      </c>
      <c r="D43">
        <v>20.48</v>
      </c>
      <c r="E43">
        <v>43.07</v>
      </c>
      <c r="F43">
        <v>37.83</v>
      </c>
      <c r="G43">
        <v>18.72</v>
      </c>
      <c r="H43">
        <v>27.95</v>
      </c>
    </row>
    <row r="44" spans="1:11" x14ac:dyDescent="0.3">
      <c r="A44" t="s">
        <v>688</v>
      </c>
      <c r="B44" s="770">
        <v>14.05</v>
      </c>
      <c r="C44">
        <v>13.07</v>
      </c>
      <c r="D44">
        <v>13.93</v>
      </c>
      <c r="E44">
        <v>20.47</v>
      </c>
      <c r="F44">
        <v>14.19</v>
      </c>
      <c r="G44">
        <v>13.56</v>
      </c>
      <c r="H44">
        <v>13.6</v>
      </c>
    </row>
    <row r="45" spans="1:11" x14ac:dyDescent="0.3">
      <c r="B45" s="770"/>
    </row>
    <row r="46" spans="1:11" x14ac:dyDescent="0.3">
      <c r="A46" t="s">
        <v>670</v>
      </c>
      <c r="B46" s="770">
        <v>19.89</v>
      </c>
      <c r="C46">
        <v>26.38</v>
      </c>
      <c r="D46">
        <v>31.96</v>
      </c>
      <c r="E46">
        <v>56.57</v>
      </c>
      <c r="F46">
        <v>24.08</v>
      </c>
      <c r="G46">
        <v>22.43</v>
      </c>
      <c r="H46">
        <v>57.37</v>
      </c>
      <c r="I46">
        <v>52.7</v>
      </c>
      <c r="J46">
        <v>23.69</v>
      </c>
      <c r="K46">
        <v>19.760000000000002</v>
      </c>
    </row>
    <row r="47" spans="1:11" x14ac:dyDescent="0.3">
      <c r="A47" t="s">
        <v>686</v>
      </c>
      <c r="B47" s="770">
        <v>38.71</v>
      </c>
      <c r="C47">
        <v>23.25</v>
      </c>
      <c r="D47">
        <v>27.27</v>
      </c>
      <c r="E47">
        <v>44.86</v>
      </c>
      <c r="F47">
        <v>52.53</v>
      </c>
      <c r="G47">
        <v>28.97</v>
      </c>
      <c r="H47">
        <v>28.62</v>
      </c>
    </row>
    <row r="48" spans="1:11" x14ac:dyDescent="0.3">
      <c r="A48" t="s">
        <v>687</v>
      </c>
      <c r="B48" s="770">
        <v>42.34</v>
      </c>
      <c r="C48">
        <v>27.17</v>
      </c>
      <c r="D48">
        <v>31.97</v>
      </c>
      <c r="E48">
        <v>67.239999999999995</v>
      </c>
      <c r="F48">
        <v>62.63</v>
      </c>
      <c r="G48">
        <v>32.06</v>
      </c>
      <c r="H48">
        <v>57.39</v>
      </c>
    </row>
    <row r="49" spans="1:9" x14ac:dyDescent="0.3">
      <c r="A49" t="s">
        <v>688</v>
      </c>
      <c r="B49" s="770">
        <v>19.96</v>
      </c>
      <c r="C49">
        <v>18.57</v>
      </c>
      <c r="D49">
        <v>20.53</v>
      </c>
      <c r="E49">
        <v>31.96</v>
      </c>
      <c r="F49">
        <v>24.31</v>
      </c>
      <c r="G49">
        <v>22.52</v>
      </c>
      <c r="H49">
        <v>21.91</v>
      </c>
    </row>
    <row r="50" spans="1:9" x14ac:dyDescent="0.3">
      <c r="B50" s="770"/>
    </row>
    <row r="51" spans="1:9" x14ac:dyDescent="0.3">
      <c r="A51" t="s">
        <v>694</v>
      </c>
      <c r="B51" s="770">
        <v>87.18</v>
      </c>
      <c r="C51">
        <v>109.37</v>
      </c>
      <c r="D51">
        <v>118.53</v>
      </c>
      <c r="E51">
        <v>173.49</v>
      </c>
      <c r="F51">
        <v>144.88</v>
      </c>
      <c r="G51">
        <v>160.57</v>
      </c>
      <c r="H51">
        <v>225.48</v>
      </c>
      <c r="I51">
        <v>196.18</v>
      </c>
    </row>
    <row r="52" spans="1:9" x14ac:dyDescent="0.3">
      <c r="A52" t="s">
        <v>687</v>
      </c>
      <c r="B52" s="770">
        <v>103.59</v>
      </c>
      <c r="C52">
        <v>124.79</v>
      </c>
      <c r="D52">
        <v>127.39</v>
      </c>
      <c r="E52">
        <v>182.39</v>
      </c>
      <c r="F52">
        <v>191.95</v>
      </c>
      <c r="G52">
        <v>200.1</v>
      </c>
      <c r="H52">
        <v>244.14</v>
      </c>
      <c r="I52">
        <v>200.84</v>
      </c>
    </row>
    <row r="53" spans="1:9" x14ac:dyDescent="0.3">
      <c r="A53" t="s">
        <v>688</v>
      </c>
      <c r="B53" s="770">
        <v>76.62</v>
      </c>
      <c r="C53">
        <v>80.08</v>
      </c>
      <c r="D53">
        <v>79.08</v>
      </c>
      <c r="E53">
        <v>117.62</v>
      </c>
      <c r="F53">
        <v>133.47999999999999</v>
      </c>
      <c r="G53">
        <v>137.79</v>
      </c>
      <c r="H53">
        <v>154.99</v>
      </c>
      <c r="I53">
        <v>195.12</v>
      </c>
    </row>
    <row r="54" spans="1:9" x14ac:dyDescent="0.3">
      <c r="B54" s="770"/>
    </row>
    <row r="55" spans="1:9" x14ac:dyDescent="0.3">
      <c r="A55" t="s">
        <v>664</v>
      </c>
      <c r="B55" s="772">
        <v>37786.6</v>
      </c>
      <c r="C55" s="708">
        <v>45124.800000000003</v>
      </c>
      <c r="D55" s="708">
        <v>48212.7</v>
      </c>
      <c r="E55" s="708">
        <v>96279.9</v>
      </c>
      <c r="F55" s="708">
        <v>79255.8</v>
      </c>
      <c r="G55" s="708">
        <v>86100.6</v>
      </c>
      <c r="H55" s="708">
        <v>117510.2</v>
      </c>
      <c r="I55" s="708">
        <v>102146</v>
      </c>
    </row>
    <row r="56" spans="1:9" x14ac:dyDescent="0.3">
      <c r="A56" t="s">
        <v>686</v>
      </c>
      <c r="B56" s="772">
        <v>40908.9</v>
      </c>
      <c r="C56" s="708">
        <v>44140.4</v>
      </c>
      <c r="D56" s="708">
        <v>46625.2</v>
      </c>
      <c r="E56" s="708">
        <v>67713.399999999994</v>
      </c>
      <c r="F56" s="708">
        <v>89559</v>
      </c>
      <c r="G56" s="708">
        <v>95383.4</v>
      </c>
      <c r="H56" s="708">
        <v>109424.6</v>
      </c>
    </row>
    <row r="57" spans="1:9" x14ac:dyDescent="0.3">
      <c r="A57" t="s">
        <v>687</v>
      </c>
      <c r="B57" s="772">
        <v>44671.9</v>
      </c>
      <c r="C57" s="708">
        <v>51603.1</v>
      </c>
      <c r="D57" s="708">
        <v>51448.800000000003</v>
      </c>
      <c r="E57" s="708">
        <v>101431.1</v>
      </c>
      <c r="F57" s="708">
        <v>106603.5</v>
      </c>
      <c r="G57" s="708">
        <v>105517</v>
      </c>
      <c r="H57" s="708">
        <v>127160.3</v>
      </c>
    </row>
    <row r="58" spans="1:9" x14ac:dyDescent="0.3">
      <c r="A58" t="s">
        <v>688</v>
      </c>
      <c r="B58" s="772">
        <v>35726.6</v>
      </c>
      <c r="C58" s="708">
        <v>35284.300000000003</v>
      </c>
      <c r="D58" s="708">
        <v>35122.300000000003</v>
      </c>
      <c r="E58" s="708">
        <v>48203.1</v>
      </c>
      <c r="F58" s="708">
        <v>75466.2</v>
      </c>
      <c r="G58" s="708">
        <v>76458.399999999994</v>
      </c>
      <c r="H58" s="708">
        <v>84093.1</v>
      </c>
    </row>
    <row r="59" spans="1:9" ht="28" x14ac:dyDescent="0.3">
      <c r="A59" t="s">
        <v>636</v>
      </c>
      <c r="B59" s="770" t="s">
        <v>637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92CDD-3080-46E7-9D19-43F5A8DCA002}">
  <sheetPr codeName="Sheet17"/>
  <dimension ref="A1:K145"/>
  <sheetViews>
    <sheetView topLeftCell="A2" workbookViewId="0">
      <selection activeCell="H25" sqref="H25"/>
    </sheetView>
  </sheetViews>
  <sheetFormatPr defaultColWidth="8.83203125" defaultRowHeight="14" x14ac:dyDescent="0.3"/>
  <cols>
    <col min="1" max="2" width="36" bestFit="1" customWidth="1"/>
    <col min="3" max="4" width="10.08203125" bestFit="1" customWidth="1"/>
    <col min="5" max="6" width="9.08203125" bestFit="1" customWidth="1"/>
    <col min="7" max="10" width="10.08203125" bestFit="1" customWidth="1"/>
    <col min="11" max="11" width="9.08203125" bestFit="1" customWidth="1"/>
  </cols>
  <sheetData>
    <row r="1" spans="1:11" x14ac:dyDescent="0.3">
      <c r="A1" s="770"/>
      <c r="B1" s="770"/>
    </row>
    <row r="2" spans="1:11" x14ac:dyDescent="0.3">
      <c r="A2" s="770" t="s">
        <v>695</v>
      </c>
      <c r="B2" s="770"/>
    </row>
    <row r="3" spans="1:11" x14ac:dyDescent="0.3">
      <c r="A3" s="770"/>
      <c r="B3" s="770"/>
    </row>
    <row r="4" spans="1:11" x14ac:dyDescent="0.3">
      <c r="A4" s="770" t="s">
        <v>606</v>
      </c>
      <c r="B4" s="770" t="s">
        <v>607</v>
      </c>
      <c r="C4" t="s">
        <v>608</v>
      </c>
      <c r="D4" t="s">
        <v>609</v>
      </c>
      <c r="E4" t="s">
        <v>610</v>
      </c>
      <c r="F4" t="s">
        <v>611</v>
      </c>
      <c r="G4" t="s">
        <v>612</v>
      </c>
      <c r="H4" t="s">
        <v>613</v>
      </c>
      <c r="I4" t="s">
        <v>614</v>
      </c>
      <c r="J4" t="s">
        <v>615</v>
      </c>
      <c r="K4" t="s">
        <v>616</v>
      </c>
    </row>
    <row r="5" spans="1:11" x14ac:dyDescent="0.3">
      <c r="A5" s="770" t="s">
        <v>617</v>
      </c>
      <c r="B5" s="771">
        <v>42308</v>
      </c>
      <c r="C5" s="769">
        <v>42672</v>
      </c>
      <c r="D5" s="769">
        <v>43036</v>
      </c>
      <c r="E5" s="769">
        <v>43407</v>
      </c>
      <c r="F5" s="769">
        <v>43771</v>
      </c>
      <c r="G5" s="769">
        <v>44135</v>
      </c>
      <c r="H5" s="769">
        <v>44499</v>
      </c>
      <c r="I5" s="769">
        <v>44863</v>
      </c>
      <c r="J5" s="769">
        <v>45227</v>
      </c>
      <c r="K5" s="769">
        <v>45598</v>
      </c>
    </row>
    <row r="6" spans="1:11" x14ac:dyDescent="0.3">
      <c r="A6" s="770" t="s">
        <v>696</v>
      </c>
      <c r="B6" s="770"/>
    </row>
    <row r="7" spans="1:11" x14ac:dyDescent="0.3">
      <c r="A7" s="770" t="s">
        <v>697</v>
      </c>
      <c r="B7" s="770"/>
    </row>
    <row r="8" spans="1:11" x14ac:dyDescent="0.3">
      <c r="A8" s="770" t="s">
        <v>698</v>
      </c>
      <c r="B8" s="772">
        <v>3435.1</v>
      </c>
      <c r="C8" s="708">
        <v>3421.4</v>
      </c>
      <c r="D8" s="708">
        <v>5107.5</v>
      </c>
      <c r="E8" s="708">
        <v>6224.7</v>
      </c>
      <c r="F8" s="708">
        <v>5991.1</v>
      </c>
      <c r="G8" s="708">
        <v>5603.1</v>
      </c>
      <c r="H8" s="708">
        <v>7318.3</v>
      </c>
      <c r="I8" s="708">
        <v>12014</v>
      </c>
      <c r="J8" s="708">
        <v>12305.5</v>
      </c>
      <c r="K8" s="708">
        <v>9427.2000000000007</v>
      </c>
    </row>
    <row r="9" spans="1:11" x14ac:dyDescent="0.3">
      <c r="A9" s="770" t="s">
        <v>699</v>
      </c>
      <c r="B9" s="772">
        <v>3435.1</v>
      </c>
      <c r="C9" s="708">
        <v>3421.4</v>
      </c>
      <c r="D9" s="708">
        <v>5107.5</v>
      </c>
      <c r="E9" s="708">
        <v>6224.7</v>
      </c>
      <c r="F9" s="708">
        <v>5991.1</v>
      </c>
      <c r="G9" s="708">
        <v>5603.1</v>
      </c>
      <c r="H9" s="708">
        <v>7318.3</v>
      </c>
      <c r="I9" s="708">
        <v>12014</v>
      </c>
      <c r="J9" s="708">
        <v>12305.5</v>
      </c>
      <c r="K9" s="708">
        <v>9427.2000000000007</v>
      </c>
    </row>
    <row r="10" spans="1:11" x14ac:dyDescent="0.3">
      <c r="A10" s="770" t="s">
        <v>700</v>
      </c>
      <c r="B10" s="770"/>
    </row>
    <row r="11" spans="1:11" x14ac:dyDescent="0.3">
      <c r="A11" s="770" t="s">
        <v>701</v>
      </c>
      <c r="B11" s="772">
        <v>1428.4</v>
      </c>
      <c r="C11" s="708">
        <v>1199.0999999999999</v>
      </c>
      <c r="D11" s="708">
        <v>2006.5</v>
      </c>
      <c r="E11" s="708">
        <v>2350.8000000000002</v>
      </c>
      <c r="F11" s="708">
        <v>2303.1</v>
      </c>
      <c r="G11" s="708">
        <v>2192.1999999999998</v>
      </c>
      <c r="H11" s="708">
        <v>2832.8</v>
      </c>
      <c r="I11" s="708">
        <v>4253.8</v>
      </c>
      <c r="J11" s="708">
        <v>4054.1</v>
      </c>
      <c r="K11" s="708">
        <v>3348.5</v>
      </c>
    </row>
    <row r="12" spans="1:11" x14ac:dyDescent="0.3">
      <c r="A12" s="770" t="s">
        <v>702</v>
      </c>
      <c r="B12" s="772">
        <v>1175.8</v>
      </c>
      <c r="C12" s="708">
        <v>1194.2</v>
      </c>
      <c r="D12" s="708">
        <v>2045.9</v>
      </c>
      <c r="E12" s="708">
        <v>1974.3</v>
      </c>
      <c r="F12" s="708">
        <v>1977.3</v>
      </c>
      <c r="G12" s="708">
        <v>1912.6</v>
      </c>
      <c r="H12" s="708">
        <v>2793.3</v>
      </c>
      <c r="I12" s="708">
        <v>4481.5</v>
      </c>
      <c r="J12" s="708">
        <v>4428.3</v>
      </c>
      <c r="K12" s="708">
        <v>4045.8</v>
      </c>
    </row>
    <row r="13" spans="1:11" x14ac:dyDescent="0.3">
      <c r="A13" s="770" t="s">
        <v>703</v>
      </c>
      <c r="B13" s="770">
        <v>637.5</v>
      </c>
      <c r="C13">
        <v>653.79999999999995</v>
      </c>
      <c r="D13">
        <v>968.6</v>
      </c>
      <c r="E13" s="708">
        <v>1165</v>
      </c>
      <c r="F13" s="708">
        <v>1130.3</v>
      </c>
      <c r="G13" s="708">
        <v>1050.5</v>
      </c>
      <c r="H13" s="708">
        <v>1296.0999999999999</v>
      </c>
      <c r="I13" s="708">
        <v>1700.5</v>
      </c>
      <c r="J13" s="708">
        <v>1660.2</v>
      </c>
      <c r="K13" s="708">
        <v>1487.9</v>
      </c>
    </row>
    <row r="14" spans="1:11" ht="28" x14ac:dyDescent="0.3">
      <c r="A14" s="770" t="s">
        <v>704</v>
      </c>
      <c r="B14" s="770">
        <v>479</v>
      </c>
      <c r="C14">
        <v>461.4</v>
      </c>
      <c r="D14">
        <v>691</v>
      </c>
      <c r="E14">
        <v>695.5</v>
      </c>
      <c r="F14">
        <v>648.1</v>
      </c>
      <c r="G14">
        <v>659.9</v>
      </c>
      <c r="H14">
        <v>915.4</v>
      </c>
      <c r="I14" s="708">
        <v>1266.2</v>
      </c>
      <c r="J14" s="708">
        <v>1273.5999999999999</v>
      </c>
      <c r="K14" s="708">
        <v>1068.5999999999999</v>
      </c>
    </row>
    <row r="15" spans="1:11" x14ac:dyDescent="0.3">
      <c r="A15" s="770" t="s">
        <v>705</v>
      </c>
      <c r="B15" s="770">
        <v>223.7</v>
      </c>
      <c r="C15">
        <v>0</v>
      </c>
      <c r="D15">
        <v>0</v>
      </c>
      <c r="E15" t="s">
        <v>360</v>
      </c>
      <c r="F15" t="s">
        <v>360</v>
      </c>
      <c r="G15" t="s">
        <v>360</v>
      </c>
      <c r="H15" t="s">
        <v>360</v>
      </c>
      <c r="I15" t="s">
        <v>360</v>
      </c>
      <c r="J15" t="s">
        <v>360</v>
      </c>
      <c r="K15" t="s">
        <v>360</v>
      </c>
    </row>
    <row r="16" spans="1:11" x14ac:dyDescent="0.3">
      <c r="A16" s="770" t="s">
        <v>706</v>
      </c>
      <c r="B16" s="770">
        <v>0</v>
      </c>
      <c r="C16">
        <v>13.7</v>
      </c>
      <c r="D16">
        <v>49.5</v>
      </c>
      <c r="E16">
        <v>61.3</v>
      </c>
      <c r="F16">
        <v>95.7</v>
      </c>
      <c r="G16">
        <v>52.3</v>
      </c>
      <c r="H16">
        <v>84.5</v>
      </c>
      <c r="I16">
        <v>274.5</v>
      </c>
      <c r="J16">
        <v>160.69999999999999</v>
      </c>
      <c r="K16">
        <v>37.299999999999997</v>
      </c>
    </row>
    <row r="17" spans="1:11" x14ac:dyDescent="0.3">
      <c r="A17" s="770" t="s">
        <v>707</v>
      </c>
      <c r="B17" s="772">
        <v>2259.3000000000002</v>
      </c>
      <c r="C17" s="708">
        <v>2227.1999999999998</v>
      </c>
      <c r="D17" s="708">
        <v>3061.6</v>
      </c>
      <c r="E17" s="708">
        <v>4250.3999999999996</v>
      </c>
      <c r="F17" s="708">
        <v>4013.8</v>
      </c>
      <c r="G17" s="708">
        <v>3690.5</v>
      </c>
      <c r="H17" s="708">
        <v>4525</v>
      </c>
      <c r="I17" s="708">
        <v>7532.5</v>
      </c>
      <c r="J17" s="708">
        <v>7877.2</v>
      </c>
      <c r="K17" s="708">
        <v>5381.3</v>
      </c>
    </row>
    <row r="18" spans="1:11" x14ac:dyDescent="0.3">
      <c r="A18" s="770" t="s">
        <v>619</v>
      </c>
      <c r="B18" s="770">
        <v>830.8</v>
      </c>
      <c r="C18" s="708">
        <v>1028.0999999999999</v>
      </c>
      <c r="D18" s="708">
        <v>1055.0999999999999</v>
      </c>
      <c r="E18" s="708">
        <v>1899.6</v>
      </c>
      <c r="F18" s="708">
        <v>1710.6</v>
      </c>
      <c r="G18" s="708">
        <v>1498.2</v>
      </c>
      <c r="H18" s="708">
        <v>1692.2</v>
      </c>
      <c r="I18" s="708">
        <v>3278.7</v>
      </c>
      <c r="J18" s="708">
        <v>3823.1</v>
      </c>
      <c r="K18" s="708">
        <v>2032.8</v>
      </c>
    </row>
    <row r="19" spans="1:11" x14ac:dyDescent="0.3">
      <c r="A19" s="770" t="s">
        <v>708</v>
      </c>
      <c r="B19" s="770">
        <v>88.3</v>
      </c>
      <c r="C19">
        <v>70.099999999999994</v>
      </c>
      <c r="D19">
        <v>297.39999999999998</v>
      </c>
      <c r="E19">
        <v>428.9</v>
      </c>
      <c r="F19">
        <v>429</v>
      </c>
      <c r="G19">
        <v>429.5</v>
      </c>
      <c r="H19">
        <v>536.79999999999995</v>
      </c>
      <c r="I19" s="708">
        <v>1012.6</v>
      </c>
      <c r="J19">
        <v>959.6</v>
      </c>
      <c r="K19">
        <v>754.8</v>
      </c>
    </row>
    <row r="20" spans="1:11" x14ac:dyDescent="0.3">
      <c r="A20" s="770" t="s">
        <v>709</v>
      </c>
      <c r="B20" s="770"/>
    </row>
    <row r="21" spans="1:11" x14ac:dyDescent="0.3">
      <c r="A21" s="770" t="s">
        <v>710</v>
      </c>
      <c r="B21" s="770">
        <v>27</v>
      </c>
      <c r="C21">
        <v>88.8</v>
      </c>
      <c r="D21">
        <v>250.8</v>
      </c>
      <c r="E21">
        <v>253.6</v>
      </c>
      <c r="F21">
        <v>229.1</v>
      </c>
      <c r="G21">
        <v>193.3</v>
      </c>
      <c r="H21">
        <v>184.8</v>
      </c>
      <c r="I21">
        <v>200.4</v>
      </c>
      <c r="J21">
        <v>264.60000000000002</v>
      </c>
      <c r="K21">
        <v>322.2</v>
      </c>
    </row>
    <row r="22" spans="1:11" x14ac:dyDescent="0.3">
      <c r="A22" s="770" t="s">
        <v>711</v>
      </c>
      <c r="B22" s="770">
        <v>-8.6</v>
      </c>
      <c r="C22">
        <v>-21.2</v>
      </c>
      <c r="D22">
        <v>-30.3</v>
      </c>
      <c r="E22">
        <v>-9.4</v>
      </c>
      <c r="F22">
        <v>-10.199999999999999</v>
      </c>
      <c r="G22">
        <v>-4.3</v>
      </c>
      <c r="H22">
        <v>-1.2</v>
      </c>
      <c r="I22">
        <v>-6.9</v>
      </c>
      <c r="J22">
        <v>-41.3</v>
      </c>
      <c r="K22">
        <v>-78.8</v>
      </c>
    </row>
    <row r="23" spans="1:11" ht="28" x14ac:dyDescent="0.3">
      <c r="A23" s="770" t="s">
        <v>712</v>
      </c>
      <c r="B23" s="770">
        <v>113.2</v>
      </c>
      <c r="C23">
        <v>95.3</v>
      </c>
      <c r="D23">
        <v>101.2</v>
      </c>
      <c r="E23">
        <v>148.30000000000001</v>
      </c>
      <c r="F23">
        <v>122.7</v>
      </c>
      <c r="G23">
        <v>90.9</v>
      </c>
      <c r="H23">
        <v>-61.7</v>
      </c>
      <c r="I23">
        <v>350.2</v>
      </c>
      <c r="J23">
        <v>293.39999999999998</v>
      </c>
      <c r="K23">
        <v>142.1</v>
      </c>
    </row>
    <row r="24" spans="1:11" x14ac:dyDescent="0.3">
      <c r="A24" s="770" t="s">
        <v>713</v>
      </c>
      <c r="B24" s="770">
        <v>810.1</v>
      </c>
      <c r="C24">
        <v>956.9</v>
      </c>
      <c r="D24">
        <v>828.5</v>
      </c>
      <c r="E24" s="708">
        <v>1655.3</v>
      </c>
      <c r="F24" s="708">
        <v>1485.7</v>
      </c>
      <c r="G24" s="708">
        <v>1311.6</v>
      </c>
      <c r="H24" s="708">
        <v>1328.7</v>
      </c>
      <c r="I24" s="708">
        <v>3098.7</v>
      </c>
      <c r="J24" s="708">
        <v>3608</v>
      </c>
      <c r="K24" s="708">
        <v>1777.3</v>
      </c>
    </row>
    <row r="25" spans="1:11" x14ac:dyDescent="0.3">
      <c r="A25" s="770" t="s">
        <v>714</v>
      </c>
      <c r="B25" s="770" t="s">
        <v>360</v>
      </c>
      <c r="C25" t="s">
        <v>360</v>
      </c>
      <c r="D25" t="s">
        <v>360</v>
      </c>
      <c r="E25" t="s">
        <v>360</v>
      </c>
      <c r="F25" t="s">
        <v>360</v>
      </c>
      <c r="G25">
        <v>0</v>
      </c>
      <c r="H25">
        <v>215.2</v>
      </c>
      <c r="I25" t="s">
        <v>360</v>
      </c>
      <c r="J25">
        <v>0</v>
      </c>
      <c r="K25" t="s">
        <v>360</v>
      </c>
    </row>
    <row r="26" spans="1:11" ht="28" x14ac:dyDescent="0.3">
      <c r="A26" s="770" t="s">
        <v>715</v>
      </c>
      <c r="B26" s="770">
        <v>2.2999999999999998</v>
      </c>
      <c r="C26">
        <v>3.7</v>
      </c>
      <c r="D26">
        <v>6.1</v>
      </c>
      <c r="E26">
        <v>0.1</v>
      </c>
      <c r="F26">
        <v>6</v>
      </c>
      <c r="G26">
        <v>-2.4</v>
      </c>
      <c r="H26">
        <v>-35.299999999999997</v>
      </c>
      <c r="I26">
        <v>-13.6</v>
      </c>
      <c r="J26">
        <v>-8.1999999999999993</v>
      </c>
      <c r="K26">
        <v>12</v>
      </c>
    </row>
    <row r="27" spans="1:11" x14ac:dyDescent="0.3">
      <c r="A27" s="770" t="s">
        <v>716</v>
      </c>
      <c r="B27" s="770"/>
    </row>
    <row r="28" spans="1:11" x14ac:dyDescent="0.3">
      <c r="A28" s="770" t="s">
        <v>717</v>
      </c>
      <c r="B28" s="770"/>
    </row>
    <row r="29" spans="1:11" x14ac:dyDescent="0.3">
      <c r="A29" s="770" t="s">
        <v>718</v>
      </c>
      <c r="B29" s="770">
        <v>1.57</v>
      </c>
      <c r="C29">
        <v>1.66</v>
      </c>
      <c r="D29">
        <v>1.77</v>
      </c>
      <c r="E29" t="s">
        <v>360</v>
      </c>
      <c r="F29" t="s">
        <v>360</v>
      </c>
      <c r="G29">
        <v>2.4</v>
      </c>
      <c r="H29" t="s">
        <v>360</v>
      </c>
      <c r="I29" t="s">
        <v>360</v>
      </c>
      <c r="J29" t="s">
        <v>360</v>
      </c>
      <c r="K29" t="s">
        <v>360</v>
      </c>
    </row>
    <row r="30" spans="1:11" x14ac:dyDescent="0.3">
      <c r="A30" s="770" t="s">
        <v>719</v>
      </c>
      <c r="B30" s="770">
        <v>2.23</v>
      </c>
      <c r="C30">
        <v>2.79</v>
      </c>
      <c r="D30">
        <v>2.09</v>
      </c>
      <c r="E30">
        <v>4.05</v>
      </c>
      <c r="F30">
        <v>3.68</v>
      </c>
      <c r="G30">
        <v>3.31</v>
      </c>
      <c r="H30">
        <v>3.5</v>
      </c>
      <c r="I30">
        <v>5.29</v>
      </c>
      <c r="J30">
        <v>6.6</v>
      </c>
      <c r="K30">
        <v>3.3</v>
      </c>
    </row>
    <row r="31" spans="1:11" x14ac:dyDescent="0.3">
      <c r="A31" s="770" t="s">
        <v>720</v>
      </c>
      <c r="B31" s="770">
        <v>312.7</v>
      </c>
      <c r="C31">
        <v>308.7</v>
      </c>
      <c r="D31">
        <v>346.4</v>
      </c>
      <c r="E31" t="s">
        <v>360</v>
      </c>
      <c r="F31">
        <v>369.1</v>
      </c>
      <c r="G31">
        <v>368.6</v>
      </c>
      <c r="H31">
        <v>397.5</v>
      </c>
      <c r="I31">
        <v>519.20000000000005</v>
      </c>
      <c r="J31">
        <v>502.2</v>
      </c>
      <c r="K31">
        <v>496.2</v>
      </c>
    </row>
    <row r="32" spans="1:11" x14ac:dyDescent="0.3">
      <c r="A32" s="770" t="s">
        <v>721</v>
      </c>
      <c r="B32" s="770">
        <v>2.2000000000000002</v>
      </c>
      <c r="C32">
        <v>2.76</v>
      </c>
      <c r="D32">
        <v>2.0699999999999998</v>
      </c>
      <c r="E32">
        <v>4</v>
      </c>
      <c r="F32">
        <v>3.65</v>
      </c>
      <c r="G32">
        <v>3.28</v>
      </c>
      <c r="H32">
        <v>3.46</v>
      </c>
      <c r="I32">
        <v>5.25</v>
      </c>
      <c r="J32">
        <v>6.55</v>
      </c>
      <c r="K32">
        <v>3.28</v>
      </c>
    </row>
    <row r="33" spans="1:11" x14ac:dyDescent="0.3">
      <c r="A33" s="770" t="s">
        <v>722</v>
      </c>
      <c r="B33" s="770">
        <v>316.89999999999998</v>
      </c>
      <c r="C33">
        <v>312.3</v>
      </c>
      <c r="D33">
        <v>350.5</v>
      </c>
      <c r="E33" t="s">
        <v>360</v>
      </c>
      <c r="F33">
        <v>372.9</v>
      </c>
      <c r="G33">
        <v>372</v>
      </c>
      <c r="H33">
        <v>401.3</v>
      </c>
      <c r="I33">
        <v>523.20000000000005</v>
      </c>
      <c r="J33">
        <v>506</v>
      </c>
      <c r="K33">
        <v>498.7</v>
      </c>
    </row>
    <row r="34" spans="1:11" ht="28" x14ac:dyDescent="0.3">
      <c r="A34" s="770" t="s">
        <v>723</v>
      </c>
      <c r="B34" s="770" t="s">
        <v>360</v>
      </c>
      <c r="C34" t="s">
        <v>360</v>
      </c>
      <c r="D34" t="s">
        <v>360</v>
      </c>
      <c r="E34" t="s">
        <v>360</v>
      </c>
      <c r="F34" s="708">
        <v>1363</v>
      </c>
      <c r="G34" s="708">
        <v>1220.8</v>
      </c>
      <c r="H34" s="708">
        <v>1390.4</v>
      </c>
      <c r="I34" s="708">
        <v>2748.6</v>
      </c>
      <c r="J34" s="708">
        <v>3314.6</v>
      </c>
      <c r="K34" s="708">
        <v>1635.3</v>
      </c>
    </row>
    <row r="35" spans="1:11" ht="28" x14ac:dyDescent="0.3">
      <c r="A35" s="770" t="s">
        <v>724</v>
      </c>
      <c r="B35" s="770" t="s">
        <v>360</v>
      </c>
      <c r="C35" t="s">
        <v>360</v>
      </c>
      <c r="D35" t="s">
        <v>360</v>
      </c>
      <c r="E35" t="s">
        <v>360</v>
      </c>
      <c r="F35" t="s">
        <v>360</v>
      </c>
      <c r="G35" t="s">
        <v>360</v>
      </c>
      <c r="H35" t="s">
        <v>360</v>
      </c>
      <c r="I35" s="708">
        <v>2748.6</v>
      </c>
      <c r="J35" s="708">
        <v>3314.6</v>
      </c>
      <c r="K35" s="708">
        <v>1635.3</v>
      </c>
    </row>
    <row r="36" spans="1:11" x14ac:dyDescent="0.3">
      <c r="A36" s="770" t="s">
        <v>725</v>
      </c>
      <c r="B36" s="770" t="s">
        <v>360</v>
      </c>
      <c r="C36" t="s">
        <v>360</v>
      </c>
      <c r="D36" t="s">
        <v>360</v>
      </c>
      <c r="E36" t="s">
        <v>360</v>
      </c>
      <c r="F36" s="708">
        <v>1363</v>
      </c>
      <c r="G36" s="708">
        <v>1220.8</v>
      </c>
      <c r="H36" s="708">
        <v>1390.4</v>
      </c>
      <c r="I36" s="708">
        <v>2748.6</v>
      </c>
      <c r="J36" s="708">
        <v>3314.6</v>
      </c>
      <c r="K36" s="708">
        <v>1635.3</v>
      </c>
    </row>
    <row r="37" spans="1:11" x14ac:dyDescent="0.3">
      <c r="A37" s="770" t="s">
        <v>655</v>
      </c>
      <c r="B37" s="770">
        <v>696.9</v>
      </c>
      <c r="C37">
        <v>861.7</v>
      </c>
      <c r="D37">
        <v>727.3</v>
      </c>
      <c r="E37" s="708">
        <v>1507</v>
      </c>
      <c r="F37" s="708">
        <v>1363</v>
      </c>
      <c r="G37" s="708">
        <v>1220.8</v>
      </c>
      <c r="H37" s="708">
        <v>1390.4</v>
      </c>
      <c r="I37" s="708">
        <v>2748.6</v>
      </c>
      <c r="J37" s="708">
        <v>3314.6</v>
      </c>
      <c r="K37" s="708">
        <v>1635.3</v>
      </c>
    </row>
    <row r="38" spans="1:11" x14ac:dyDescent="0.3">
      <c r="A38" s="770" t="s">
        <v>726</v>
      </c>
      <c r="B38" s="770"/>
    </row>
    <row r="39" spans="1:11" x14ac:dyDescent="0.3">
      <c r="A39" s="770" t="s">
        <v>727</v>
      </c>
      <c r="B39" s="770">
        <v>696.9</v>
      </c>
      <c r="C39">
        <v>861.7</v>
      </c>
      <c r="D39">
        <v>727.3</v>
      </c>
      <c r="E39" s="708">
        <v>1507</v>
      </c>
      <c r="F39" s="708">
        <v>1363</v>
      </c>
      <c r="G39" s="708">
        <v>1220.8</v>
      </c>
      <c r="H39" s="708">
        <v>1390.4</v>
      </c>
      <c r="I39" s="708">
        <v>2748.6</v>
      </c>
      <c r="J39" s="708">
        <v>3314.6</v>
      </c>
      <c r="K39" s="708">
        <v>1635.3</v>
      </c>
    </row>
    <row r="40" spans="1:11" x14ac:dyDescent="0.3">
      <c r="A40" s="770" t="s">
        <v>728</v>
      </c>
      <c r="B40" s="770"/>
    </row>
    <row r="41" spans="1:11" x14ac:dyDescent="0.3">
      <c r="A41" s="770" t="s">
        <v>729</v>
      </c>
      <c r="B41" s="770"/>
    </row>
    <row r="42" spans="1:11" x14ac:dyDescent="0.3">
      <c r="A42" s="770" t="s">
        <v>698</v>
      </c>
      <c r="B42" s="770" t="s">
        <v>360</v>
      </c>
      <c r="C42" t="s">
        <v>360</v>
      </c>
      <c r="D42" t="s">
        <v>360</v>
      </c>
      <c r="E42" t="s">
        <v>360</v>
      </c>
      <c r="F42" t="s">
        <v>360</v>
      </c>
      <c r="G42" s="708">
        <v>5603.1</v>
      </c>
      <c r="H42" s="708">
        <v>7318.3</v>
      </c>
      <c r="I42" s="708">
        <v>12014</v>
      </c>
      <c r="J42" s="708">
        <v>12305.5</v>
      </c>
      <c r="K42" s="708">
        <v>9427.2000000000007</v>
      </c>
    </row>
    <row r="43" spans="1:11" x14ac:dyDescent="0.3">
      <c r="A43" s="770" t="s">
        <v>730</v>
      </c>
      <c r="B43" s="770">
        <v>88.3</v>
      </c>
      <c r="C43" t="s">
        <v>360</v>
      </c>
      <c r="D43" t="s">
        <v>360</v>
      </c>
      <c r="E43">
        <v>570.5</v>
      </c>
      <c r="F43">
        <v>570.6</v>
      </c>
      <c r="G43">
        <v>577.1</v>
      </c>
      <c r="H43">
        <v>843.4</v>
      </c>
      <c r="I43" s="708">
        <v>2014.2</v>
      </c>
      <c r="J43" s="708">
        <v>1958.4</v>
      </c>
      <c r="K43" s="708">
        <v>1741.5</v>
      </c>
    </row>
    <row r="44" spans="1:11" x14ac:dyDescent="0.3">
      <c r="A44" s="770" t="s">
        <v>703</v>
      </c>
      <c r="B44" s="770">
        <v>637.5</v>
      </c>
      <c r="C44">
        <v>653.79999999999995</v>
      </c>
      <c r="D44">
        <v>968.6</v>
      </c>
      <c r="E44" s="708">
        <v>1165</v>
      </c>
      <c r="F44" s="708">
        <v>1130.3</v>
      </c>
      <c r="G44" s="708">
        <v>1050.5</v>
      </c>
      <c r="H44" s="708">
        <v>1296.0999999999999</v>
      </c>
      <c r="I44" s="708">
        <v>1700.5</v>
      </c>
      <c r="J44" s="708">
        <v>1660.2</v>
      </c>
      <c r="K44" s="708">
        <v>1487.9</v>
      </c>
    </row>
    <row r="45" spans="1:11" x14ac:dyDescent="0.3">
      <c r="A45" s="770" t="s">
        <v>731</v>
      </c>
      <c r="B45" s="770">
        <v>130.1</v>
      </c>
      <c r="C45">
        <v>134.5</v>
      </c>
      <c r="D45">
        <v>194.7</v>
      </c>
      <c r="E45">
        <v>228.5</v>
      </c>
      <c r="F45">
        <v>240.7</v>
      </c>
      <c r="G45">
        <v>233.8</v>
      </c>
      <c r="H45">
        <v>231.3</v>
      </c>
      <c r="I45">
        <v>283.3</v>
      </c>
      <c r="J45">
        <v>334.7</v>
      </c>
      <c r="K45">
        <v>362.8</v>
      </c>
    </row>
    <row r="46" spans="1:11" ht="28" x14ac:dyDescent="0.3">
      <c r="A46" s="770" t="s">
        <v>732</v>
      </c>
      <c r="B46" s="770">
        <v>479</v>
      </c>
      <c r="C46">
        <v>461.4</v>
      </c>
      <c r="D46">
        <v>691</v>
      </c>
      <c r="E46">
        <v>695.5</v>
      </c>
      <c r="F46">
        <v>648.1</v>
      </c>
      <c r="G46">
        <v>659.9</v>
      </c>
      <c r="H46">
        <v>915.4</v>
      </c>
      <c r="I46" s="708">
        <v>1266.2</v>
      </c>
      <c r="J46" s="708">
        <v>1273.5999999999999</v>
      </c>
      <c r="K46" s="708">
        <v>1068.5999999999999</v>
      </c>
    </row>
    <row r="47" spans="1:11" x14ac:dyDescent="0.3">
      <c r="A47" s="770" t="s">
        <v>733</v>
      </c>
      <c r="B47" s="770" t="s">
        <v>360</v>
      </c>
      <c r="C47" t="s">
        <v>360</v>
      </c>
      <c r="D47" t="s">
        <v>360</v>
      </c>
      <c r="E47" t="s">
        <v>360</v>
      </c>
      <c r="F47">
        <v>811.3</v>
      </c>
      <c r="G47">
        <v>810.9</v>
      </c>
      <c r="H47" s="708">
        <v>1074.5999999999999</v>
      </c>
      <c r="I47" s="708">
        <v>2297.5</v>
      </c>
      <c r="J47" s="708">
        <v>2293.1</v>
      </c>
      <c r="K47" t="s">
        <v>360</v>
      </c>
    </row>
    <row r="48" spans="1:11" x14ac:dyDescent="0.3">
      <c r="A48" s="770" t="s">
        <v>734</v>
      </c>
      <c r="B48" s="770">
        <v>27</v>
      </c>
      <c r="C48">
        <v>88.8</v>
      </c>
      <c r="D48">
        <v>250.8</v>
      </c>
      <c r="E48">
        <v>253.6</v>
      </c>
      <c r="F48">
        <v>229.1</v>
      </c>
      <c r="G48">
        <v>193.3</v>
      </c>
      <c r="H48">
        <v>184.8</v>
      </c>
      <c r="I48">
        <v>200.4</v>
      </c>
      <c r="J48">
        <v>264.60000000000002</v>
      </c>
      <c r="K48">
        <v>322.2</v>
      </c>
    </row>
    <row r="49" spans="1:11" x14ac:dyDescent="0.3">
      <c r="A49" s="770" t="s">
        <v>735</v>
      </c>
      <c r="B49" s="770" t="s">
        <v>360</v>
      </c>
      <c r="C49" t="s">
        <v>360</v>
      </c>
      <c r="D49" t="s">
        <v>360</v>
      </c>
      <c r="E49" t="s">
        <v>360</v>
      </c>
      <c r="F49" t="s">
        <v>360</v>
      </c>
      <c r="G49" t="s">
        <v>360</v>
      </c>
      <c r="H49" t="s">
        <v>360</v>
      </c>
      <c r="I49">
        <v>92</v>
      </c>
      <c r="J49" t="s">
        <v>360</v>
      </c>
      <c r="K49" t="s">
        <v>360</v>
      </c>
    </row>
    <row r="50" spans="1:11" x14ac:dyDescent="0.3">
      <c r="A50" s="770" t="s">
        <v>706</v>
      </c>
      <c r="B50" s="770">
        <v>0</v>
      </c>
      <c r="C50">
        <v>13.7</v>
      </c>
      <c r="D50">
        <v>49.5</v>
      </c>
      <c r="E50">
        <v>61.3</v>
      </c>
      <c r="F50">
        <v>95.7</v>
      </c>
      <c r="G50">
        <v>52.3</v>
      </c>
      <c r="H50">
        <v>84.5</v>
      </c>
      <c r="I50">
        <v>274.5</v>
      </c>
      <c r="J50">
        <v>160.69999999999999</v>
      </c>
      <c r="K50">
        <v>37.299999999999997</v>
      </c>
    </row>
    <row r="51" spans="1:11" x14ac:dyDescent="0.3">
      <c r="A51" s="770" t="s">
        <v>736</v>
      </c>
      <c r="B51" s="770" t="s">
        <v>360</v>
      </c>
      <c r="C51" t="s">
        <v>360</v>
      </c>
      <c r="D51" t="s">
        <v>360</v>
      </c>
      <c r="E51" t="s">
        <v>360</v>
      </c>
      <c r="F51" t="s">
        <v>360</v>
      </c>
      <c r="G51">
        <v>40</v>
      </c>
      <c r="H51" t="s">
        <v>360</v>
      </c>
      <c r="I51" t="s">
        <v>360</v>
      </c>
      <c r="J51" t="s">
        <v>360</v>
      </c>
      <c r="K51" t="s">
        <v>360</v>
      </c>
    </row>
    <row r="52" spans="1:11" x14ac:dyDescent="0.3">
      <c r="A52" s="770" t="s">
        <v>711</v>
      </c>
      <c r="B52" s="770">
        <v>-8.6</v>
      </c>
      <c r="C52">
        <v>-21.2</v>
      </c>
      <c r="D52">
        <v>-30.3</v>
      </c>
      <c r="E52">
        <v>-9.4</v>
      </c>
      <c r="F52">
        <v>-10.199999999999999</v>
      </c>
      <c r="G52">
        <v>-4.3</v>
      </c>
      <c r="H52">
        <v>-1.2</v>
      </c>
      <c r="I52">
        <v>-6.9</v>
      </c>
      <c r="J52">
        <v>-41.3</v>
      </c>
      <c r="K52">
        <v>-78.8</v>
      </c>
    </row>
    <row r="53" spans="1:11" x14ac:dyDescent="0.3">
      <c r="A53" s="770" t="s">
        <v>737</v>
      </c>
      <c r="B53" s="770">
        <v>113.2</v>
      </c>
      <c r="C53">
        <v>95.3</v>
      </c>
      <c r="D53">
        <v>101.2</v>
      </c>
      <c r="E53" t="s">
        <v>360</v>
      </c>
      <c r="F53">
        <v>122.7</v>
      </c>
      <c r="G53">
        <v>90.9</v>
      </c>
      <c r="H53">
        <v>-61.7</v>
      </c>
      <c r="I53">
        <v>350.2</v>
      </c>
      <c r="J53">
        <v>293.39999999999998</v>
      </c>
      <c r="K53">
        <v>142.1</v>
      </c>
    </row>
    <row r="54" spans="1:11" x14ac:dyDescent="0.3">
      <c r="A54" s="770" t="s">
        <v>738</v>
      </c>
      <c r="B54" s="770">
        <v>-12.9</v>
      </c>
      <c r="C54">
        <v>-6</v>
      </c>
      <c r="D54">
        <v>1.6</v>
      </c>
      <c r="E54">
        <v>-6.2</v>
      </c>
      <c r="F54">
        <v>-1.4</v>
      </c>
      <c r="G54">
        <v>3.2</v>
      </c>
      <c r="H54">
        <v>1.1000000000000001</v>
      </c>
      <c r="I54">
        <v>-46.3</v>
      </c>
      <c r="J54">
        <v>-0.4</v>
      </c>
      <c r="K54">
        <v>1</v>
      </c>
    </row>
    <row r="55" spans="1:11" x14ac:dyDescent="0.3">
      <c r="A55" s="770" t="s">
        <v>739</v>
      </c>
      <c r="B55" s="770">
        <v>-0.5</v>
      </c>
      <c r="C55">
        <v>0.8</v>
      </c>
      <c r="D55">
        <v>-0.5</v>
      </c>
      <c r="E55">
        <v>0</v>
      </c>
      <c r="F55">
        <v>0</v>
      </c>
      <c r="G55" t="s">
        <v>360</v>
      </c>
      <c r="H55" t="s">
        <v>360</v>
      </c>
      <c r="I55" t="s">
        <v>360</v>
      </c>
      <c r="J55" t="s">
        <v>360</v>
      </c>
      <c r="K55" t="s">
        <v>360</v>
      </c>
    </row>
    <row r="56" spans="1:11" x14ac:dyDescent="0.3">
      <c r="A56" s="770" t="s">
        <v>740</v>
      </c>
      <c r="B56" s="770">
        <v>-28.8</v>
      </c>
      <c r="C56">
        <v>-4.5999999999999996</v>
      </c>
      <c r="D56">
        <v>3.8</v>
      </c>
      <c r="E56">
        <v>-1.9</v>
      </c>
      <c r="F56">
        <v>-103.7</v>
      </c>
      <c r="G56">
        <v>-52.3</v>
      </c>
      <c r="H56">
        <v>48.9</v>
      </c>
      <c r="I56">
        <v>4.0999999999999996</v>
      </c>
      <c r="J56">
        <v>17.600000000000001</v>
      </c>
      <c r="K56">
        <v>16.8</v>
      </c>
    </row>
    <row r="57" spans="1:11" x14ac:dyDescent="0.3">
      <c r="A57" s="770" t="s">
        <v>741</v>
      </c>
      <c r="B57" s="770">
        <v>149.5</v>
      </c>
      <c r="C57">
        <v>-16.600000000000001</v>
      </c>
      <c r="D57">
        <v>3.4</v>
      </c>
      <c r="E57">
        <v>12.6</v>
      </c>
      <c r="F57">
        <v>-24.3</v>
      </c>
      <c r="G57">
        <v>-10.199999999999999</v>
      </c>
      <c r="H57">
        <v>12.9</v>
      </c>
      <c r="I57">
        <v>30.6</v>
      </c>
      <c r="J57">
        <v>-7.3</v>
      </c>
      <c r="K57">
        <v>-14.8</v>
      </c>
    </row>
    <row r="58" spans="1:11" x14ac:dyDescent="0.3">
      <c r="A58" s="770" t="s">
        <v>742</v>
      </c>
      <c r="B58" s="770">
        <v>10.4</v>
      </c>
      <c r="C58">
        <v>3.4</v>
      </c>
      <c r="D58">
        <v>4.2</v>
      </c>
      <c r="E58">
        <v>-1.6</v>
      </c>
      <c r="F58" t="s">
        <v>360</v>
      </c>
      <c r="G58" t="s">
        <v>360</v>
      </c>
      <c r="H58" t="s">
        <v>360</v>
      </c>
      <c r="I58" t="s">
        <v>360</v>
      </c>
      <c r="J58" t="s">
        <v>360</v>
      </c>
      <c r="K58" t="s">
        <v>360</v>
      </c>
    </row>
    <row r="59" spans="1:11" x14ac:dyDescent="0.3">
      <c r="A59" s="770" t="s">
        <v>743</v>
      </c>
      <c r="B59" s="770" t="s">
        <v>360</v>
      </c>
      <c r="C59" t="s">
        <v>360</v>
      </c>
      <c r="D59" t="s">
        <v>360</v>
      </c>
      <c r="E59" t="s">
        <v>360</v>
      </c>
      <c r="F59">
        <v>777.5</v>
      </c>
      <c r="G59">
        <v>886.2</v>
      </c>
      <c r="H59" s="708">
        <v>1109.3</v>
      </c>
      <c r="I59" s="708">
        <v>1544.6</v>
      </c>
      <c r="J59" s="708">
        <v>1679.1</v>
      </c>
      <c r="K59" s="708">
        <v>1795.5</v>
      </c>
    </row>
    <row r="60" spans="1:11" x14ac:dyDescent="0.3">
      <c r="A60" s="770" t="s">
        <v>744</v>
      </c>
      <c r="B60" s="770">
        <v>106.5</v>
      </c>
      <c r="C60">
        <v>129.69999999999999</v>
      </c>
      <c r="D60">
        <v>139.5</v>
      </c>
      <c r="E60">
        <v>123.5</v>
      </c>
      <c r="F60">
        <v>169.6</v>
      </c>
      <c r="G60">
        <v>186.7</v>
      </c>
      <c r="H60">
        <v>242.6</v>
      </c>
      <c r="I60">
        <v>157.69999999999999</v>
      </c>
      <c r="J60">
        <v>167.9</v>
      </c>
      <c r="K60">
        <v>202.8</v>
      </c>
    </row>
    <row r="61" spans="1:11" x14ac:dyDescent="0.3">
      <c r="A61" s="770" t="s">
        <v>745</v>
      </c>
      <c r="B61" s="770">
        <v>70.400000000000006</v>
      </c>
      <c r="C61">
        <v>69.8</v>
      </c>
      <c r="D61">
        <v>79.599999999999994</v>
      </c>
      <c r="E61">
        <v>84.7</v>
      </c>
      <c r="F61">
        <v>99.9</v>
      </c>
      <c r="G61">
        <v>107.5</v>
      </c>
      <c r="H61">
        <v>128.30000000000001</v>
      </c>
      <c r="I61">
        <v>84</v>
      </c>
      <c r="J61">
        <v>87.6</v>
      </c>
      <c r="K61">
        <v>98.6</v>
      </c>
    </row>
    <row r="62" spans="1:11" x14ac:dyDescent="0.3">
      <c r="A62" s="770" t="s">
        <v>746</v>
      </c>
      <c r="B62" s="770" t="s">
        <v>360</v>
      </c>
      <c r="C62" t="s">
        <v>360</v>
      </c>
      <c r="D62" t="s">
        <v>360</v>
      </c>
      <c r="E62" t="s">
        <v>360</v>
      </c>
      <c r="F62">
        <v>3.2</v>
      </c>
      <c r="G62" t="s">
        <v>360</v>
      </c>
      <c r="H62" t="s">
        <v>360</v>
      </c>
      <c r="I62" t="s">
        <v>360</v>
      </c>
      <c r="J62" t="s">
        <v>360</v>
      </c>
      <c r="K62" t="s">
        <v>360</v>
      </c>
    </row>
    <row r="63" spans="1:11" x14ac:dyDescent="0.3">
      <c r="A63" s="770" t="s">
        <v>718</v>
      </c>
      <c r="B63" s="770">
        <v>1.57</v>
      </c>
      <c r="C63">
        <v>1.66</v>
      </c>
      <c r="D63">
        <v>1.77</v>
      </c>
      <c r="E63">
        <v>1.89</v>
      </c>
      <c r="F63">
        <v>2.1</v>
      </c>
      <c r="G63">
        <v>2.4</v>
      </c>
      <c r="H63">
        <v>2.69</v>
      </c>
      <c r="I63">
        <v>2.97</v>
      </c>
      <c r="J63">
        <v>3.34</v>
      </c>
      <c r="K63">
        <v>3.62</v>
      </c>
    </row>
    <row r="64" spans="1:11" x14ac:dyDescent="0.3">
      <c r="A64" s="770" t="s">
        <v>747</v>
      </c>
      <c r="B64" s="770">
        <v>2.23</v>
      </c>
      <c r="C64">
        <v>2.79</v>
      </c>
      <c r="D64">
        <v>2.09</v>
      </c>
      <c r="E64">
        <v>4.05</v>
      </c>
      <c r="F64">
        <v>3.68</v>
      </c>
      <c r="G64">
        <v>3.31</v>
      </c>
      <c r="H64">
        <v>3.5</v>
      </c>
      <c r="I64">
        <v>5.29</v>
      </c>
      <c r="J64">
        <v>6.6</v>
      </c>
      <c r="K64">
        <v>3.3</v>
      </c>
    </row>
    <row r="65" spans="1:11" x14ac:dyDescent="0.3">
      <c r="A65" s="770" t="s">
        <v>720</v>
      </c>
      <c r="B65" s="770">
        <v>312.7</v>
      </c>
      <c r="C65">
        <v>308.7</v>
      </c>
      <c r="D65">
        <v>346.4</v>
      </c>
      <c r="E65">
        <v>370.4</v>
      </c>
      <c r="F65">
        <v>369.1</v>
      </c>
      <c r="G65">
        <v>368.6</v>
      </c>
      <c r="H65">
        <v>397.5</v>
      </c>
      <c r="I65">
        <v>519.20000000000005</v>
      </c>
      <c r="J65">
        <v>502.2</v>
      </c>
      <c r="K65">
        <v>496.2</v>
      </c>
    </row>
    <row r="66" spans="1:11" x14ac:dyDescent="0.3">
      <c r="A66" s="770" t="s">
        <v>721</v>
      </c>
      <c r="B66" s="770">
        <v>2.2000000000000002</v>
      </c>
      <c r="C66">
        <v>2.76</v>
      </c>
      <c r="D66">
        <v>2.0699999999999998</v>
      </c>
      <c r="E66">
        <v>4</v>
      </c>
      <c r="F66">
        <v>3.65</v>
      </c>
      <c r="G66">
        <v>3.28</v>
      </c>
      <c r="H66">
        <v>3.46</v>
      </c>
      <c r="I66">
        <v>5.25</v>
      </c>
      <c r="J66">
        <v>6.55</v>
      </c>
      <c r="K66">
        <v>3.28</v>
      </c>
    </row>
    <row r="67" spans="1:11" x14ac:dyDescent="0.3">
      <c r="A67" s="770" t="s">
        <v>722</v>
      </c>
      <c r="B67" s="770">
        <v>316.89999999999998</v>
      </c>
      <c r="C67">
        <v>312.3</v>
      </c>
      <c r="D67">
        <v>350.5</v>
      </c>
      <c r="E67">
        <v>374.9</v>
      </c>
      <c r="F67">
        <v>372.9</v>
      </c>
      <c r="G67">
        <v>372</v>
      </c>
      <c r="H67">
        <v>401.3</v>
      </c>
      <c r="I67">
        <v>523.20000000000005</v>
      </c>
      <c r="J67">
        <v>506</v>
      </c>
      <c r="K67">
        <v>498.7</v>
      </c>
    </row>
    <row r="68" spans="1:11" x14ac:dyDescent="0.3">
      <c r="A68" s="770" t="s">
        <v>748</v>
      </c>
      <c r="B68" s="770">
        <v>243.2</v>
      </c>
      <c r="C68">
        <v>6.3</v>
      </c>
      <c r="D68">
        <v>8.1</v>
      </c>
      <c r="E68">
        <v>7.9</v>
      </c>
      <c r="F68">
        <v>5.4</v>
      </c>
      <c r="G68">
        <v>9.6</v>
      </c>
      <c r="H68">
        <v>12.5</v>
      </c>
      <c r="I68">
        <v>14.8</v>
      </c>
      <c r="J68">
        <v>12.6</v>
      </c>
      <c r="K68">
        <v>15.3</v>
      </c>
    </row>
    <row r="69" spans="1:11" x14ac:dyDescent="0.3">
      <c r="A69" s="770" t="s">
        <v>749</v>
      </c>
      <c r="B69" s="770">
        <v>15.7</v>
      </c>
      <c r="C69">
        <v>5.5</v>
      </c>
      <c r="D69">
        <v>6.7</v>
      </c>
      <c r="E69">
        <v>6.9</v>
      </c>
      <c r="F69">
        <v>5.6</v>
      </c>
      <c r="G69">
        <v>8.6</v>
      </c>
      <c r="H69">
        <v>9.1999999999999993</v>
      </c>
      <c r="I69">
        <v>10.9</v>
      </c>
      <c r="J69">
        <v>7.7</v>
      </c>
      <c r="K69">
        <v>8.6</v>
      </c>
    </row>
    <row r="70" spans="1:11" x14ac:dyDescent="0.3">
      <c r="A70" s="770" t="s">
        <v>750</v>
      </c>
      <c r="B70" s="770">
        <v>-36.200000000000003</v>
      </c>
      <c r="C70">
        <v>-59.9</v>
      </c>
      <c r="D70">
        <v>-59.9</v>
      </c>
      <c r="E70">
        <v>-38.9</v>
      </c>
      <c r="F70">
        <v>-69.7</v>
      </c>
      <c r="G70">
        <v>-79.2</v>
      </c>
      <c r="H70">
        <v>-114.3</v>
      </c>
      <c r="I70">
        <v>-73.7</v>
      </c>
      <c r="J70">
        <v>-80.3</v>
      </c>
      <c r="K70">
        <v>-104.1</v>
      </c>
    </row>
    <row r="71" spans="1:11" ht="28" x14ac:dyDescent="0.3">
      <c r="A71" s="770" t="s">
        <v>751</v>
      </c>
      <c r="B71" s="770">
        <v>5.8</v>
      </c>
      <c r="C71">
        <v>5.65</v>
      </c>
      <c r="D71">
        <v>5.58</v>
      </c>
      <c r="E71">
        <v>5.54</v>
      </c>
      <c r="F71">
        <v>6.16</v>
      </c>
      <c r="G71">
        <v>5.22</v>
      </c>
      <c r="H71">
        <v>3.32</v>
      </c>
      <c r="I71">
        <v>3.73</v>
      </c>
      <c r="J71">
        <v>5.84</v>
      </c>
      <c r="K71">
        <v>5.69</v>
      </c>
    </row>
    <row r="72" spans="1:11" ht="28" x14ac:dyDescent="0.3">
      <c r="A72" s="770" t="s">
        <v>752</v>
      </c>
      <c r="B72" s="770">
        <v>3.64</v>
      </c>
      <c r="C72">
        <v>2.92</v>
      </c>
      <c r="D72">
        <v>3.02</v>
      </c>
      <c r="E72">
        <v>3.53</v>
      </c>
      <c r="F72">
        <v>2.4500000000000002</v>
      </c>
      <c r="G72">
        <v>2.15</v>
      </c>
      <c r="H72">
        <v>2.77</v>
      </c>
      <c r="I72">
        <v>5.44</v>
      </c>
      <c r="J72">
        <v>5.73</v>
      </c>
      <c r="K72">
        <v>5.2</v>
      </c>
    </row>
    <row r="73" spans="1:11" ht="28" x14ac:dyDescent="0.3">
      <c r="A73" s="770" t="s">
        <v>753</v>
      </c>
      <c r="B73" s="770">
        <v>3.05</v>
      </c>
      <c r="C73">
        <v>3.36</v>
      </c>
      <c r="D73">
        <v>3.18</v>
      </c>
      <c r="E73">
        <v>3.26</v>
      </c>
      <c r="F73">
        <v>3.38</v>
      </c>
      <c r="G73">
        <v>3.19</v>
      </c>
      <c r="H73">
        <v>3.7</v>
      </c>
      <c r="I73">
        <v>4.08</v>
      </c>
      <c r="J73">
        <v>4.34</v>
      </c>
      <c r="K73">
        <v>5.23</v>
      </c>
    </row>
    <row r="74" spans="1:11" ht="28" x14ac:dyDescent="0.3">
      <c r="A74" s="770" t="s">
        <v>754</v>
      </c>
      <c r="B74" s="770">
        <v>24.3</v>
      </c>
      <c r="C74">
        <v>9</v>
      </c>
      <c r="D74">
        <v>5.4</v>
      </c>
      <c r="E74">
        <v>-2.6</v>
      </c>
      <c r="F74">
        <v>12.4</v>
      </c>
      <c r="G74">
        <v>1.4</v>
      </c>
      <c r="H74">
        <v>10.6</v>
      </c>
      <c r="I74">
        <v>-34.200000000000003</v>
      </c>
      <c r="J74">
        <v>-2.8</v>
      </c>
      <c r="K74">
        <v>9.5</v>
      </c>
    </row>
    <row r="75" spans="1:11" x14ac:dyDescent="0.3">
      <c r="A75" s="770" t="s">
        <v>755</v>
      </c>
      <c r="B75" s="770">
        <v>51.8</v>
      </c>
      <c r="C75">
        <v>58.5</v>
      </c>
      <c r="D75">
        <v>58.8</v>
      </c>
      <c r="E75">
        <v>84.9</v>
      </c>
      <c r="F75">
        <v>92.3</v>
      </c>
      <c r="G75">
        <v>45.9</v>
      </c>
      <c r="H75">
        <v>50.8</v>
      </c>
      <c r="I75">
        <v>60.7</v>
      </c>
      <c r="J75">
        <v>66.8</v>
      </c>
      <c r="K75">
        <v>68.3</v>
      </c>
    </row>
    <row r="76" spans="1:11" ht="28" x14ac:dyDescent="0.3">
      <c r="A76" s="770" t="s">
        <v>756</v>
      </c>
      <c r="B76" s="770">
        <v>68.900000000000006</v>
      </c>
      <c r="C76">
        <v>63.4</v>
      </c>
      <c r="D76">
        <v>104.2</v>
      </c>
      <c r="E76">
        <v>151.19999999999999</v>
      </c>
      <c r="F76">
        <v>150.30000000000001</v>
      </c>
      <c r="G76">
        <v>149.5</v>
      </c>
      <c r="H76">
        <v>243.6</v>
      </c>
      <c r="I76">
        <v>323.5</v>
      </c>
      <c r="J76">
        <v>299.8</v>
      </c>
      <c r="K76">
        <v>262.7</v>
      </c>
    </row>
    <row r="77" spans="1:11" x14ac:dyDescent="0.3">
      <c r="A77" s="770" t="s">
        <v>699</v>
      </c>
      <c r="B77" s="770">
        <v>814.6</v>
      </c>
      <c r="C77">
        <v>838.7</v>
      </c>
      <c r="D77">
        <v>739.7</v>
      </c>
      <c r="E77" s="708">
        <v>1509.9</v>
      </c>
      <c r="F77" s="708">
        <v>1233.7</v>
      </c>
      <c r="G77" s="708">
        <v>1161.5</v>
      </c>
      <c r="H77" s="708">
        <v>1453.3</v>
      </c>
      <c r="I77" s="708">
        <v>2737</v>
      </c>
      <c r="J77" s="708">
        <v>3324.4</v>
      </c>
      <c r="K77" s="708">
        <v>1638.3</v>
      </c>
    </row>
    <row r="78" spans="1:11" x14ac:dyDescent="0.3">
      <c r="A78" s="770" t="s">
        <v>757</v>
      </c>
      <c r="B78" s="770">
        <v>107</v>
      </c>
      <c r="C78">
        <v>90.9</v>
      </c>
      <c r="D78">
        <v>878.9</v>
      </c>
      <c r="E78">
        <v>680.2</v>
      </c>
      <c r="F78">
        <v>626.79999999999995</v>
      </c>
      <c r="G78">
        <v>643.70000000000005</v>
      </c>
      <c r="H78" s="708">
        <v>1323.2</v>
      </c>
      <c r="I78" s="708">
        <v>2386</v>
      </c>
      <c r="J78" s="708">
        <v>2030.6</v>
      </c>
      <c r="K78" s="708">
        <v>1782.8</v>
      </c>
    </row>
    <row r="79" spans="1:11" x14ac:dyDescent="0.3">
      <c r="A79" s="770" t="s">
        <v>758</v>
      </c>
      <c r="B79" s="770">
        <v>88.3</v>
      </c>
      <c r="C79">
        <v>70.099999999999994</v>
      </c>
      <c r="D79">
        <v>297.39999999999998</v>
      </c>
      <c r="E79">
        <v>570.5</v>
      </c>
      <c r="F79">
        <v>570.6</v>
      </c>
      <c r="G79">
        <v>577.1</v>
      </c>
      <c r="H79">
        <v>843.4</v>
      </c>
      <c r="I79" s="708">
        <v>2014.2</v>
      </c>
      <c r="J79" s="708">
        <v>1958.4</v>
      </c>
      <c r="K79" s="708">
        <v>1741.5</v>
      </c>
    </row>
    <row r="80" spans="1:11" x14ac:dyDescent="0.3">
      <c r="A80" s="770" t="s">
        <v>699</v>
      </c>
      <c r="B80" s="772">
        <v>3435.1</v>
      </c>
      <c r="C80" s="708">
        <v>3421.4</v>
      </c>
      <c r="D80" s="708">
        <v>5107.5</v>
      </c>
      <c r="E80" s="708">
        <v>6224.7</v>
      </c>
      <c r="F80" s="708">
        <v>5991.1</v>
      </c>
      <c r="G80" s="708">
        <v>5603.1</v>
      </c>
      <c r="H80" s="708">
        <v>13388.4</v>
      </c>
      <c r="I80" s="708">
        <v>12014</v>
      </c>
      <c r="J80" s="708">
        <v>12305.5</v>
      </c>
      <c r="K80" s="708">
        <v>9427.2000000000007</v>
      </c>
    </row>
    <row r="81" spans="1:11" x14ac:dyDescent="0.3">
      <c r="A81" s="770" t="s">
        <v>759</v>
      </c>
      <c r="B81" s="770" t="s">
        <v>360</v>
      </c>
      <c r="C81">
        <v>3.3</v>
      </c>
      <c r="D81" t="s">
        <v>360</v>
      </c>
      <c r="E81" t="s">
        <v>360</v>
      </c>
      <c r="F81" t="s">
        <v>360</v>
      </c>
      <c r="G81" t="s">
        <v>360</v>
      </c>
      <c r="H81">
        <v>215.2</v>
      </c>
      <c r="I81" t="s">
        <v>360</v>
      </c>
      <c r="J81" t="s">
        <v>360</v>
      </c>
      <c r="K81" t="s">
        <v>360</v>
      </c>
    </row>
    <row r="82" spans="1:11" ht="28" x14ac:dyDescent="0.3">
      <c r="A82" s="770" t="s">
        <v>760</v>
      </c>
      <c r="B82" s="770">
        <v>165.5</v>
      </c>
      <c r="C82">
        <v>87.1</v>
      </c>
      <c r="D82">
        <v>927.1</v>
      </c>
      <c r="E82">
        <v>878.7</v>
      </c>
      <c r="F82">
        <v>214</v>
      </c>
      <c r="G82">
        <v>204.8</v>
      </c>
      <c r="H82">
        <v>345.2</v>
      </c>
      <c r="I82">
        <v>676.9</v>
      </c>
      <c r="J82">
        <v>746.4</v>
      </c>
      <c r="K82">
        <v>509.6</v>
      </c>
    </row>
    <row r="83" spans="1:11" ht="28" x14ac:dyDescent="0.3">
      <c r="A83" s="770" t="s">
        <v>761</v>
      </c>
      <c r="B83" s="770">
        <v>-52.2</v>
      </c>
      <c r="C83">
        <v>8.1</v>
      </c>
      <c r="D83">
        <v>-825.9</v>
      </c>
      <c r="E83">
        <v>-730.4</v>
      </c>
      <c r="F83">
        <v>-91.3</v>
      </c>
      <c r="G83">
        <v>-113.9</v>
      </c>
      <c r="H83">
        <v>-406.9</v>
      </c>
      <c r="I83">
        <v>-326.8</v>
      </c>
      <c r="J83">
        <v>-452.9</v>
      </c>
      <c r="K83">
        <v>-367.6</v>
      </c>
    </row>
    <row r="84" spans="1:11" ht="28" x14ac:dyDescent="0.3">
      <c r="A84" s="770" t="s">
        <v>762</v>
      </c>
      <c r="B84" s="770">
        <v>696.9</v>
      </c>
      <c r="C84">
        <v>861.7</v>
      </c>
      <c r="D84">
        <v>727.3</v>
      </c>
      <c r="E84" s="708">
        <v>1501.1</v>
      </c>
      <c r="F84" s="708">
        <v>1359.8</v>
      </c>
      <c r="G84" s="708">
        <v>1220.8</v>
      </c>
      <c r="H84" s="708">
        <v>1390.4</v>
      </c>
      <c r="I84" s="708">
        <v>2748.6</v>
      </c>
      <c r="J84" s="708">
        <v>3314.6</v>
      </c>
      <c r="K84" s="708">
        <v>1635.3</v>
      </c>
    </row>
    <row r="85" spans="1:11" x14ac:dyDescent="0.3">
      <c r="A85" s="770" t="s">
        <v>763</v>
      </c>
      <c r="B85" s="770">
        <v>7.3</v>
      </c>
      <c r="C85">
        <v>0.7</v>
      </c>
      <c r="D85">
        <v>1.9</v>
      </c>
      <c r="E85">
        <v>1.6</v>
      </c>
      <c r="F85">
        <v>1</v>
      </c>
      <c r="G85" t="s">
        <v>360</v>
      </c>
      <c r="H85" t="s">
        <v>360</v>
      </c>
      <c r="I85">
        <v>2.2999999999999998</v>
      </c>
      <c r="J85">
        <v>1.2</v>
      </c>
      <c r="K85">
        <v>1.3</v>
      </c>
    </row>
    <row r="86" spans="1:11" ht="28" x14ac:dyDescent="0.3">
      <c r="A86" s="770" t="s">
        <v>764</v>
      </c>
      <c r="B86" s="770">
        <v>-0.2</v>
      </c>
      <c r="C86">
        <v>0</v>
      </c>
      <c r="D86">
        <v>0</v>
      </c>
      <c r="E86">
        <v>0</v>
      </c>
      <c r="F86">
        <v>0</v>
      </c>
      <c r="G86">
        <v>2.6</v>
      </c>
      <c r="H86">
        <v>3</v>
      </c>
      <c r="I86" t="s">
        <v>360</v>
      </c>
      <c r="J86" t="s">
        <v>360</v>
      </c>
      <c r="K86" t="s">
        <v>360</v>
      </c>
    </row>
    <row r="87" spans="1:11" x14ac:dyDescent="0.3">
      <c r="A87" s="770" t="s">
        <v>765</v>
      </c>
      <c r="B87" s="770">
        <v>14</v>
      </c>
      <c r="C87">
        <v>10</v>
      </c>
      <c r="D87">
        <v>12.2</v>
      </c>
      <c r="E87">
        <v>9</v>
      </c>
      <c r="F87">
        <v>8.3000000000000007</v>
      </c>
      <c r="G87">
        <v>6.9</v>
      </c>
      <c r="H87">
        <v>-4.5999999999999996</v>
      </c>
      <c r="I87">
        <v>11.3</v>
      </c>
      <c r="J87">
        <v>8.1</v>
      </c>
      <c r="K87">
        <v>8</v>
      </c>
    </row>
    <row r="88" spans="1:11" x14ac:dyDescent="0.3">
      <c r="A88" s="770" t="s">
        <v>766</v>
      </c>
      <c r="B88" s="770">
        <v>228.6</v>
      </c>
      <c r="C88">
        <v>4.9000000000000004</v>
      </c>
      <c r="D88">
        <v>5</v>
      </c>
      <c r="E88">
        <v>13.8</v>
      </c>
      <c r="F88">
        <v>4.2</v>
      </c>
      <c r="G88">
        <v>6.9</v>
      </c>
      <c r="H88">
        <v>11</v>
      </c>
      <c r="I88">
        <v>11.3</v>
      </c>
      <c r="J88">
        <v>10.8</v>
      </c>
      <c r="K88">
        <v>10.3</v>
      </c>
    </row>
    <row r="89" spans="1:11" x14ac:dyDescent="0.3">
      <c r="A89" s="770" t="s">
        <v>767</v>
      </c>
      <c r="B89" s="770">
        <v>-4.4000000000000004</v>
      </c>
      <c r="C89">
        <v>-1.7</v>
      </c>
      <c r="D89">
        <v>-2.7</v>
      </c>
      <c r="E89">
        <v>-4.3</v>
      </c>
      <c r="F89">
        <v>-3.1</v>
      </c>
      <c r="G89">
        <v>-2.7</v>
      </c>
      <c r="H89">
        <v>-4</v>
      </c>
      <c r="I89">
        <v>-3.6</v>
      </c>
      <c r="J89">
        <v>-6.4</v>
      </c>
      <c r="K89">
        <v>-3.2</v>
      </c>
    </row>
    <row r="90" spans="1:11" x14ac:dyDescent="0.3">
      <c r="A90" s="770" t="s">
        <v>768</v>
      </c>
      <c r="B90" s="770">
        <v>11.6</v>
      </c>
      <c r="C90">
        <v>3.7</v>
      </c>
      <c r="D90">
        <v>3.6</v>
      </c>
      <c r="E90">
        <v>4</v>
      </c>
      <c r="F90">
        <v>4.0999999999999996</v>
      </c>
      <c r="G90">
        <v>3.9</v>
      </c>
      <c r="H90">
        <v>4.0999999999999996</v>
      </c>
      <c r="I90">
        <v>6.1</v>
      </c>
      <c r="J90">
        <v>8.8000000000000007</v>
      </c>
      <c r="K90">
        <v>9.6</v>
      </c>
    </row>
    <row r="91" spans="1:11" ht="28" x14ac:dyDescent="0.3">
      <c r="A91" s="770" t="s">
        <v>769</v>
      </c>
      <c r="B91" s="770">
        <v>-13.5</v>
      </c>
      <c r="C91">
        <v>-3.8</v>
      </c>
      <c r="D91">
        <v>-4.0999999999999996</v>
      </c>
      <c r="E91">
        <v>-4.5999999999999996</v>
      </c>
      <c r="F91">
        <v>-5.3</v>
      </c>
      <c r="G91">
        <v>-5.3</v>
      </c>
      <c r="H91">
        <v>-3.8</v>
      </c>
      <c r="I91">
        <v>-4.5</v>
      </c>
      <c r="J91">
        <v>-5.2</v>
      </c>
      <c r="K91">
        <v>-5.0999999999999996</v>
      </c>
    </row>
    <row r="92" spans="1:11" x14ac:dyDescent="0.3">
      <c r="A92" s="770" t="s">
        <v>770</v>
      </c>
      <c r="B92" s="770">
        <v>3.17</v>
      </c>
      <c r="C92">
        <v>3.07</v>
      </c>
      <c r="D92">
        <v>4.72</v>
      </c>
      <c r="E92">
        <v>5.97</v>
      </c>
      <c r="F92">
        <v>5.15</v>
      </c>
      <c r="G92">
        <v>4.91</v>
      </c>
      <c r="H92">
        <v>6.46</v>
      </c>
      <c r="I92">
        <v>9.57</v>
      </c>
      <c r="J92">
        <v>10.09</v>
      </c>
      <c r="K92">
        <v>6.38</v>
      </c>
    </row>
    <row r="93" spans="1:11" ht="28" x14ac:dyDescent="0.3">
      <c r="A93" s="770" t="s">
        <v>771</v>
      </c>
      <c r="B93" s="770">
        <v>5.2</v>
      </c>
      <c r="C93">
        <v>5.4</v>
      </c>
      <c r="D93">
        <v>12.6</v>
      </c>
      <c r="E93">
        <v>10.7</v>
      </c>
      <c r="F93">
        <v>7.6</v>
      </c>
      <c r="G93">
        <v>8.5</v>
      </c>
      <c r="H93">
        <v>11.7</v>
      </c>
      <c r="I93">
        <v>11.4</v>
      </c>
      <c r="J93">
        <v>11.1</v>
      </c>
      <c r="K93">
        <v>10.6</v>
      </c>
    </row>
    <row r="94" spans="1:11" x14ac:dyDescent="0.3">
      <c r="A94" s="770" t="s">
        <v>772</v>
      </c>
      <c r="B94" s="770">
        <v>3.6</v>
      </c>
      <c r="C94">
        <v>3.5</v>
      </c>
      <c r="D94">
        <v>6.4</v>
      </c>
      <c r="E94">
        <v>5.2</v>
      </c>
      <c r="F94">
        <v>4.9000000000000004</v>
      </c>
      <c r="G94">
        <v>6.3</v>
      </c>
      <c r="H94">
        <v>8.1999999999999993</v>
      </c>
      <c r="I94">
        <v>7.3</v>
      </c>
      <c r="J94">
        <v>7.9</v>
      </c>
      <c r="K94">
        <v>9</v>
      </c>
    </row>
    <row r="95" spans="1:11" x14ac:dyDescent="0.3">
      <c r="A95" s="770" t="s">
        <v>773</v>
      </c>
      <c r="B95" s="770">
        <v>1.7</v>
      </c>
      <c r="C95">
        <v>1.8</v>
      </c>
      <c r="D95">
        <v>6.3</v>
      </c>
      <c r="E95">
        <v>5.5</v>
      </c>
      <c r="F95">
        <v>2.7</v>
      </c>
      <c r="G95">
        <v>2.2000000000000002</v>
      </c>
      <c r="H95">
        <v>3.6</v>
      </c>
      <c r="I95">
        <v>4.0999999999999996</v>
      </c>
      <c r="J95">
        <v>3.2</v>
      </c>
      <c r="K95">
        <v>1.6</v>
      </c>
    </row>
    <row r="96" spans="1:11" ht="28" x14ac:dyDescent="0.3">
      <c r="A96" s="770" t="s">
        <v>774</v>
      </c>
      <c r="B96" s="770">
        <v>88.5</v>
      </c>
      <c r="C96">
        <v>106.4</v>
      </c>
      <c r="D96">
        <v>116.7</v>
      </c>
      <c r="E96">
        <v>105.8</v>
      </c>
      <c r="F96">
        <v>138.1</v>
      </c>
      <c r="G96">
        <v>155.5</v>
      </c>
      <c r="H96">
        <v>178.2</v>
      </c>
      <c r="I96">
        <v>111.3</v>
      </c>
      <c r="J96">
        <v>120.1</v>
      </c>
      <c r="K96">
        <v>132.69999999999999</v>
      </c>
    </row>
    <row r="97" spans="1:11" x14ac:dyDescent="0.3">
      <c r="A97" s="770" t="s">
        <v>775</v>
      </c>
      <c r="B97" s="770">
        <v>626</v>
      </c>
      <c r="C97">
        <v>700</v>
      </c>
      <c r="D97" s="708">
        <v>1200</v>
      </c>
      <c r="E97" s="708">
        <v>1400</v>
      </c>
      <c r="F97" t="s">
        <v>360</v>
      </c>
      <c r="G97" t="s">
        <v>360</v>
      </c>
      <c r="H97" t="s">
        <v>360</v>
      </c>
      <c r="I97" t="s">
        <v>360</v>
      </c>
      <c r="J97" t="s">
        <v>360</v>
      </c>
      <c r="K97" t="s">
        <v>360</v>
      </c>
    </row>
    <row r="98" spans="1:11" x14ac:dyDescent="0.3">
      <c r="A98" s="770" t="s">
        <v>776</v>
      </c>
      <c r="B98" s="770">
        <v>35</v>
      </c>
      <c r="C98">
        <v>35</v>
      </c>
      <c r="D98">
        <v>35</v>
      </c>
      <c r="E98" t="s">
        <v>360</v>
      </c>
      <c r="F98" t="s">
        <v>360</v>
      </c>
      <c r="G98" t="s">
        <v>360</v>
      </c>
      <c r="H98" t="s">
        <v>360</v>
      </c>
      <c r="I98" t="s">
        <v>360</v>
      </c>
      <c r="J98" t="s">
        <v>360</v>
      </c>
      <c r="K98" t="s">
        <v>360</v>
      </c>
    </row>
    <row r="99" spans="1:11" ht="28" x14ac:dyDescent="0.3">
      <c r="A99" s="770" t="s">
        <v>777</v>
      </c>
      <c r="B99" s="770">
        <v>-20</v>
      </c>
      <c r="C99">
        <v>-7.5</v>
      </c>
      <c r="D99" t="s">
        <v>360</v>
      </c>
      <c r="E99">
        <v>25.5</v>
      </c>
      <c r="F99">
        <v>-61.2</v>
      </c>
      <c r="G99">
        <v>26</v>
      </c>
      <c r="H99">
        <v>-188.9</v>
      </c>
      <c r="I99" t="s">
        <v>360</v>
      </c>
      <c r="J99" t="s">
        <v>360</v>
      </c>
      <c r="K99" t="s">
        <v>360</v>
      </c>
    </row>
    <row r="100" spans="1:11" x14ac:dyDescent="0.3">
      <c r="A100" s="770" t="s">
        <v>778</v>
      </c>
      <c r="B100" s="770" t="s">
        <v>360</v>
      </c>
      <c r="C100">
        <v>5.6</v>
      </c>
      <c r="D100">
        <v>11.7</v>
      </c>
      <c r="E100" t="s">
        <v>360</v>
      </c>
      <c r="F100" t="s">
        <v>360</v>
      </c>
      <c r="G100" t="s">
        <v>360</v>
      </c>
      <c r="H100" t="s">
        <v>360</v>
      </c>
      <c r="I100" t="s">
        <v>360</v>
      </c>
      <c r="J100" t="s">
        <v>360</v>
      </c>
      <c r="K100" t="s">
        <v>360</v>
      </c>
    </row>
    <row r="101" spans="1:11" ht="28" x14ac:dyDescent="0.3">
      <c r="A101" s="770" t="s">
        <v>779</v>
      </c>
      <c r="B101" s="770">
        <v>30.3</v>
      </c>
      <c r="C101">
        <v>30.6</v>
      </c>
      <c r="D101">
        <v>37.299999999999997</v>
      </c>
      <c r="E101">
        <v>38.700000000000003</v>
      </c>
      <c r="F101">
        <v>45.3</v>
      </c>
      <c r="G101">
        <v>19.899999999999999</v>
      </c>
      <c r="H101">
        <v>32.6</v>
      </c>
      <c r="I101">
        <v>14.5</v>
      </c>
      <c r="J101">
        <v>16.2</v>
      </c>
      <c r="K101">
        <v>6.7</v>
      </c>
    </row>
    <row r="102" spans="1:11" ht="28" x14ac:dyDescent="0.3">
      <c r="A102" s="770" t="s">
        <v>780</v>
      </c>
      <c r="B102" s="770">
        <v>34.5</v>
      </c>
      <c r="C102">
        <v>33.6</v>
      </c>
      <c r="D102">
        <v>39.4</v>
      </c>
      <c r="E102">
        <v>42.3</v>
      </c>
      <c r="F102">
        <v>48.3</v>
      </c>
      <c r="G102">
        <v>24.6</v>
      </c>
      <c r="H102">
        <v>30</v>
      </c>
      <c r="I102">
        <v>28.2</v>
      </c>
      <c r="J102">
        <v>29</v>
      </c>
      <c r="K102">
        <v>24</v>
      </c>
    </row>
    <row r="103" spans="1:11" ht="28" x14ac:dyDescent="0.3">
      <c r="A103" s="770" t="s">
        <v>781</v>
      </c>
      <c r="B103" s="770" t="s">
        <v>360</v>
      </c>
      <c r="C103" t="s">
        <v>360</v>
      </c>
      <c r="D103" t="s">
        <v>360</v>
      </c>
      <c r="E103" t="s">
        <v>360</v>
      </c>
      <c r="F103">
        <v>0</v>
      </c>
      <c r="G103">
        <v>8</v>
      </c>
      <c r="H103">
        <v>5.4</v>
      </c>
      <c r="I103">
        <v>4.8</v>
      </c>
      <c r="J103">
        <v>4.5999999999999996</v>
      </c>
      <c r="K103">
        <v>4.4000000000000004</v>
      </c>
    </row>
    <row r="104" spans="1:11" ht="28" x14ac:dyDescent="0.3">
      <c r="A104" s="770" t="s">
        <v>782</v>
      </c>
      <c r="B104" s="770" t="s">
        <v>360</v>
      </c>
      <c r="C104" t="s">
        <v>360</v>
      </c>
      <c r="D104" t="s">
        <v>360</v>
      </c>
      <c r="E104" t="s">
        <v>360</v>
      </c>
      <c r="F104">
        <v>0</v>
      </c>
      <c r="G104">
        <v>22</v>
      </c>
      <c r="H104">
        <v>52.4</v>
      </c>
      <c r="I104">
        <v>29.8</v>
      </c>
      <c r="J104">
        <v>22.9</v>
      </c>
      <c r="K104">
        <v>47.3</v>
      </c>
    </row>
    <row r="105" spans="1:11" ht="28" x14ac:dyDescent="0.3">
      <c r="A105" s="770" t="s">
        <v>783</v>
      </c>
      <c r="B105" s="770">
        <v>0.4</v>
      </c>
      <c r="C105">
        <v>1</v>
      </c>
      <c r="D105">
        <v>1.2</v>
      </c>
      <c r="E105">
        <v>1.1000000000000001</v>
      </c>
      <c r="F105">
        <v>1.6</v>
      </c>
      <c r="G105">
        <v>27.5</v>
      </c>
      <c r="H105">
        <v>2</v>
      </c>
      <c r="I105">
        <v>3.2</v>
      </c>
      <c r="J105">
        <v>10</v>
      </c>
      <c r="K105">
        <v>4.4000000000000004</v>
      </c>
    </row>
    <row r="106" spans="1:11" ht="28" x14ac:dyDescent="0.3">
      <c r="A106" s="770" t="s">
        <v>784</v>
      </c>
      <c r="B106" s="770">
        <v>1.8</v>
      </c>
      <c r="C106">
        <v>1.8</v>
      </c>
      <c r="D106">
        <v>2</v>
      </c>
      <c r="E106">
        <v>2.6</v>
      </c>
      <c r="F106">
        <v>3</v>
      </c>
      <c r="G106">
        <v>7</v>
      </c>
      <c r="H106">
        <v>5.7</v>
      </c>
      <c r="I106">
        <v>6.6</v>
      </c>
      <c r="J106">
        <v>7.5</v>
      </c>
      <c r="K106">
        <v>6.8</v>
      </c>
    </row>
    <row r="107" spans="1:11" ht="28" x14ac:dyDescent="0.3">
      <c r="A107" s="770" t="s">
        <v>785</v>
      </c>
      <c r="B107" s="770">
        <v>1.8</v>
      </c>
      <c r="C107">
        <v>1.8</v>
      </c>
      <c r="D107">
        <v>2.1</v>
      </c>
      <c r="E107">
        <v>2.1</v>
      </c>
      <c r="F107">
        <v>2.2999999999999998</v>
      </c>
      <c r="G107">
        <v>3.3</v>
      </c>
      <c r="H107">
        <v>5.8</v>
      </c>
      <c r="I107">
        <v>5.5</v>
      </c>
      <c r="J107">
        <v>6.5</v>
      </c>
      <c r="K107">
        <v>5.6</v>
      </c>
    </row>
    <row r="108" spans="1:11" ht="28" x14ac:dyDescent="0.3">
      <c r="A108" s="770" t="s">
        <v>786</v>
      </c>
      <c r="B108" s="770">
        <v>1.9</v>
      </c>
      <c r="C108">
        <v>1.9</v>
      </c>
      <c r="D108">
        <v>2.1</v>
      </c>
      <c r="E108">
        <v>2.2000000000000002</v>
      </c>
      <c r="F108">
        <v>2.9</v>
      </c>
      <c r="G108">
        <v>2.9</v>
      </c>
      <c r="H108">
        <v>5.9</v>
      </c>
      <c r="I108">
        <v>5.8</v>
      </c>
      <c r="J108">
        <v>6.7</v>
      </c>
      <c r="K108">
        <v>6.9</v>
      </c>
    </row>
    <row r="109" spans="1:11" ht="28" x14ac:dyDescent="0.3">
      <c r="A109" s="770" t="s">
        <v>787</v>
      </c>
      <c r="B109" s="770">
        <v>2.2999999999999998</v>
      </c>
      <c r="C109">
        <v>2.2999999999999998</v>
      </c>
      <c r="D109">
        <v>2.2999999999999998</v>
      </c>
      <c r="E109">
        <v>2.8</v>
      </c>
      <c r="F109">
        <v>6.7</v>
      </c>
      <c r="G109">
        <v>6.6</v>
      </c>
      <c r="H109">
        <v>6.4</v>
      </c>
      <c r="I109">
        <v>6.5</v>
      </c>
      <c r="J109">
        <v>7.5</v>
      </c>
      <c r="K109">
        <v>8</v>
      </c>
    </row>
    <row r="110" spans="1:11" ht="28" x14ac:dyDescent="0.3">
      <c r="A110" s="770" t="s">
        <v>788</v>
      </c>
      <c r="B110" s="770">
        <v>2.4</v>
      </c>
      <c r="C110">
        <v>2.4</v>
      </c>
      <c r="D110">
        <v>2.9</v>
      </c>
      <c r="E110">
        <v>3.2</v>
      </c>
      <c r="F110" t="s">
        <v>360</v>
      </c>
      <c r="G110">
        <v>3.9</v>
      </c>
      <c r="H110">
        <v>7.2</v>
      </c>
      <c r="I110">
        <v>7.1</v>
      </c>
      <c r="J110">
        <v>8.6</v>
      </c>
      <c r="K110">
        <v>9</v>
      </c>
    </row>
    <row r="111" spans="1:11" ht="28" x14ac:dyDescent="0.3">
      <c r="A111" s="770" t="s">
        <v>789</v>
      </c>
      <c r="B111" s="770">
        <v>19.100000000000001</v>
      </c>
      <c r="C111">
        <v>19.100000000000001</v>
      </c>
      <c r="D111">
        <v>21.1</v>
      </c>
      <c r="E111">
        <v>22</v>
      </c>
      <c r="F111">
        <v>25.2</v>
      </c>
      <c r="G111">
        <v>27.5</v>
      </c>
      <c r="H111">
        <v>48.2</v>
      </c>
      <c r="I111">
        <v>31.5</v>
      </c>
      <c r="J111">
        <v>60.5</v>
      </c>
      <c r="K111">
        <v>64.3</v>
      </c>
    </row>
    <row r="112" spans="1:11" ht="28" x14ac:dyDescent="0.3">
      <c r="A112" s="770" t="s">
        <v>790</v>
      </c>
      <c r="B112" s="772">
        <v>1165.7</v>
      </c>
      <c r="C112" s="708">
        <v>1132.7</v>
      </c>
      <c r="D112" s="708">
        <v>2049.8000000000002</v>
      </c>
      <c r="E112" s="708">
        <v>2644.5</v>
      </c>
      <c r="F112" s="708">
        <v>2433</v>
      </c>
      <c r="G112" s="708">
        <v>2234.3000000000002</v>
      </c>
      <c r="H112" s="708">
        <v>3103.7</v>
      </c>
      <c r="I112" s="708">
        <v>5939.2</v>
      </c>
      <c r="J112" s="708">
        <v>6014.4</v>
      </c>
      <c r="K112" s="708">
        <v>3852.9</v>
      </c>
    </row>
    <row r="113" spans="1:11" ht="28" x14ac:dyDescent="0.3">
      <c r="A113" s="770" t="s">
        <v>791</v>
      </c>
      <c r="B113" s="770">
        <v>26.6</v>
      </c>
      <c r="C113">
        <v>27</v>
      </c>
      <c r="D113">
        <v>51.3</v>
      </c>
      <c r="E113">
        <v>81.400000000000006</v>
      </c>
      <c r="F113">
        <v>75.3</v>
      </c>
      <c r="G113">
        <v>73.400000000000006</v>
      </c>
      <c r="H113">
        <v>86.8</v>
      </c>
      <c r="I113">
        <v>121.3</v>
      </c>
      <c r="J113">
        <v>116.4</v>
      </c>
      <c r="K113">
        <v>109</v>
      </c>
    </row>
    <row r="114" spans="1:11" ht="28" x14ac:dyDescent="0.3">
      <c r="A114" s="770" t="s">
        <v>792</v>
      </c>
      <c r="B114" s="770">
        <v>33.299999999999997</v>
      </c>
      <c r="C114">
        <v>28.6</v>
      </c>
      <c r="D114">
        <v>40.4</v>
      </c>
      <c r="E114">
        <v>51</v>
      </c>
      <c r="F114">
        <v>51.8</v>
      </c>
      <c r="G114">
        <v>56.8</v>
      </c>
      <c r="H114">
        <v>80.099999999999994</v>
      </c>
      <c r="I114">
        <v>133.9</v>
      </c>
      <c r="J114">
        <v>143.80000000000001</v>
      </c>
      <c r="K114">
        <v>114.6</v>
      </c>
    </row>
    <row r="115" spans="1:11" ht="28" x14ac:dyDescent="0.3">
      <c r="A115" s="770" t="s">
        <v>793</v>
      </c>
      <c r="B115" s="770">
        <v>9</v>
      </c>
      <c r="C115">
        <v>7.8</v>
      </c>
      <c r="D115">
        <v>12.6</v>
      </c>
      <c r="E115">
        <v>18.7</v>
      </c>
      <c r="F115">
        <v>20.6</v>
      </c>
      <c r="G115">
        <v>17.7</v>
      </c>
      <c r="H115">
        <v>22</v>
      </c>
      <c r="I115">
        <v>36.799999999999997</v>
      </c>
      <c r="J115">
        <v>36.700000000000003</v>
      </c>
      <c r="K115">
        <v>31.2</v>
      </c>
    </row>
    <row r="116" spans="1:11" ht="28" x14ac:dyDescent="0.3">
      <c r="A116" s="770" t="s">
        <v>794</v>
      </c>
      <c r="B116" s="770" t="s">
        <v>360</v>
      </c>
      <c r="C116" t="s">
        <v>360</v>
      </c>
      <c r="D116" t="s">
        <v>360</v>
      </c>
      <c r="E116">
        <v>0</v>
      </c>
      <c r="F116">
        <v>2.5</v>
      </c>
      <c r="G116">
        <v>1.6</v>
      </c>
      <c r="H116">
        <v>54.7</v>
      </c>
      <c r="I116">
        <v>31.5</v>
      </c>
      <c r="J116">
        <v>3</v>
      </c>
      <c r="K116">
        <v>7.8</v>
      </c>
    </row>
    <row r="117" spans="1:11" ht="28" x14ac:dyDescent="0.3">
      <c r="A117" s="770" t="s">
        <v>795</v>
      </c>
      <c r="B117" s="770">
        <v>98.8</v>
      </c>
      <c r="C117">
        <v>57.9</v>
      </c>
      <c r="D117">
        <v>62.1</v>
      </c>
      <c r="E117">
        <v>47.8</v>
      </c>
      <c r="F117">
        <v>139.9</v>
      </c>
      <c r="G117">
        <v>135</v>
      </c>
      <c r="H117">
        <v>202.8</v>
      </c>
      <c r="I117">
        <v>359.2</v>
      </c>
      <c r="J117">
        <v>431.5</v>
      </c>
      <c r="K117">
        <v>147.1</v>
      </c>
    </row>
    <row r="118" spans="1:11" ht="28" x14ac:dyDescent="0.3">
      <c r="A118" s="770" t="s">
        <v>796</v>
      </c>
      <c r="B118" s="770">
        <v>65.900000000000006</v>
      </c>
      <c r="C118">
        <v>27.8</v>
      </c>
      <c r="D118">
        <v>857.7</v>
      </c>
      <c r="E118">
        <v>824.8</v>
      </c>
      <c r="F118">
        <v>74</v>
      </c>
      <c r="G118">
        <v>64.900000000000006</v>
      </c>
      <c r="H118">
        <v>134.69999999999999</v>
      </c>
      <c r="I118">
        <v>304.60000000000002</v>
      </c>
      <c r="J118">
        <v>303.10000000000002</v>
      </c>
      <c r="K118">
        <v>348.1</v>
      </c>
    </row>
    <row r="119" spans="1:11" ht="28" x14ac:dyDescent="0.3">
      <c r="A119" s="770" t="s">
        <v>797</v>
      </c>
      <c r="B119" s="770">
        <v>0.7</v>
      </c>
      <c r="C119">
        <v>1.4</v>
      </c>
      <c r="D119">
        <v>7.3</v>
      </c>
      <c r="E119">
        <v>6</v>
      </c>
      <c r="F119">
        <v>0</v>
      </c>
      <c r="G119">
        <v>4.9000000000000004</v>
      </c>
      <c r="H119">
        <v>7.8</v>
      </c>
      <c r="I119">
        <v>13.2</v>
      </c>
      <c r="J119">
        <v>11.8</v>
      </c>
      <c r="K119">
        <v>14.4</v>
      </c>
    </row>
    <row r="120" spans="1:11" ht="28" x14ac:dyDescent="0.3">
      <c r="A120" s="770" t="s">
        <v>798</v>
      </c>
      <c r="B120" s="770">
        <v>-24.8</v>
      </c>
      <c r="C120">
        <v>5</v>
      </c>
      <c r="D120">
        <v>-6.1</v>
      </c>
      <c r="E120">
        <v>6.7</v>
      </c>
      <c r="F120">
        <v>70.8</v>
      </c>
      <c r="G120">
        <v>58</v>
      </c>
      <c r="H120">
        <v>-910</v>
      </c>
      <c r="I120">
        <v>15.6</v>
      </c>
      <c r="J120">
        <v>53.7</v>
      </c>
      <c r="K120">
        <v>121.4</v>
      </c>
    </row>
    <row r="121" spans="1:11" ht="28" x14ac:dyDescent="0.3">
      <c r="A121" s="770" t="s">
        <v>799</v>
      </c>
      <c r="B121" s="770">
        <v>-27.9</v>
      </c>
      <c r="C121">
        <v>0.3</v>
      </c>
      <c r="D121">
        <v>-795.5</v>
      </c>
      <c r="E121">
        <v>-738.2</v>
      </c>
      <c r="F121">
        <v>-158.5</v>
      </c>
      <c r="G121">
        <v>-159.19999999999999</v>
      </c>
      <c r="H121">
        <v>515.5</v>
      </c>
      <c r="I121">
        <v>-341.8</v>
      </c>
      <c r="J121">
        <v>-508.7</v>
      </c>
      <c r="K121">
        <v>-492.6</v>
      </c>
    </row>
    <row r="122" spans="1:11" ht="28" x14ac:dyDescent="0.3">
      <c r="A122" s="770" t="s">
        <v>800</v>
      </c>
      <c r="B122" s="770">
        <v>0.5</v>
      </c>
      <c r="C122">
        <v>2.8</v>
      </c>
      <c r="D122">
        <v>-24.3</v>
      </c>
      <c r="E122">
        <v>1.1000000000000001</v>
      </c>
      <c r="F122">
        <v>-3.6</v>
      </c>
      <c r="G122">
        <v>-12.7</v>
      </c>
      <c r="H122">
        <v>-12.4</v>
      </c>
      <c r="I122">
        <v>-0.6</v>
      </c>
      <c r="J122">
        <v>2.1</v>
      </c>
      <c r="K122">
        <v>3.6</v>
      </c>
    </row>
    <row r="123" spans="1:11" x14ac:dyDescent="0.3">
      <c r="A123" s="770" t="s">
        <v>801</v>
      </c>
      <c r="B123" s="772">
        <v>3435.1</v>
      </c>
      <c r="C123" s="708">
        <v>3421.4</v>
      </c>
      <c r="D123" s="708">
        <v>5192.8</v>
      </c>
      <c r="E123" t="s">
        <v>360</v>
      </c>
      <c r="F123" t="s">
        <v>360</v>
      </c>
      <c r="G123" t="s">
        <v>360</v>
      </c>
      <c r="H123" t="s">
        <v>360</v>
      </c>
      <c r="I123" t="s">
        <v>360</v>
      </c>
      <c r="J123" t="s">
        <v>360</v>
      </c>
      <c r="K123" t="s">
        <v>360</v>
      </c>
    </row>
    <row r="124" spans="1:11" x14ac:dyDescent="0.3">
      <c r="A124" s="770" t="s">
        <v>802</v>
      </c>
      <c r="B124" s="772">
        <v>2266.6</v>
      </c>
      <c r="C124" s="708">
        <v>2234</v>
      </c>
      <c r="D124" s="708">
        <v>3608.3</v>
      </c>
      <c r="E124" s="708">
        <v>4431.3</v>
      </c>
      <c r="F124" s="708">
        <v>4189</v>
      </c>
      <c r="G124" s="708">
        <v>3869.9</v>
      </c>
      <c r="H124" s="708">
        <v>5186.5</v>
      </c>
      <c r="I124" s="708">
        <v>8842.2000000000007</v>
      </c>
      <c r="J124" s="708">
        <v>8924.5</v>
      </c>
      <c r="K124" s="708">
        <v>6403.8</v>
      </c>
    </row>
    <row r="125" spans="1:11" x14ac:dyDescent="0.3">
      <c r="A125" s="770" t="s">
        <v>803</v>
      </c>
      <c r="B125" s="770">
        <v>66</v>
      </c>
      <c r="C125">
        <v>65.3</v>
      </c>
      <c r="D125">
        <v>69.5</v>
      </c>
      <c r="E125">
        <v>71.2</v>
      </c>
      <c r="F125">
        <v>69.900000000000006</v>
      </c>
      <c r="G125">
        <v>69.099999999999994</v>
      </c>
      <c r="H125">
        <v>70.900000000000006</v>
      </c>
      <c r="I125">
        <v>73.599999999999994</v>
      </c>
      <c r="J125">
        <v>72.5</v>
      </c>
      <c r="K125">
        <v>67.900000000000006</v>
      </c>
    </row>
    <row r="126" spans="1:11" x14ac:dyDescent="0.3">
      <c r="A126" s="770" t="s">
        <v>804</v>
      </c>
      <c r="B126" s="772">
        <v>1100.8</v>
      </c>
      <c r="C126" s="708">
        <v>1101.3</v>
      </c>
      <c r="D126" s="708">
        <v>1558.5</v>
      </c>
      <c r="E126" s="708">
        <v>1786.8</v>
      </c>
      <c r="F126" s="708">
        <v>1756</v>
      </c>
      <c r="G126" s="708">
        <v>1635.5</v>
      </c>
      <c r="H126" s="708">
        <v>2082.6999999999998</v>
      </c>
      <c r="I126" s="708">
        <v>2903</v>
      </c>
      <c r="J126" s="708">
        <v>2910.1</v>
      </c>
      <c r="K126" s="708">
        <v>2551</v>
      </c>
    </row>
    <row r="127" spans="1:11" x14ac:dyDescent="0.3">
      <c r="A127" s="770" t="s">
        <v>805</v>
      </c>
      <c r="B127" s="770" t="s">
        <v>360</v>
      </c>
      <c r="C127" t="s">
        <v>360</v>
      </c>
      <c r="D127" t="s">
        <v>360</v>
      </c>
      <c r="E127" t="s">
        <v>360</v>
      </c>
      <c r="F127" t="s">
        <v>360</v>
      </c>
      <c r="G127">
        <v>-2.4</v>
      </c>
      <c r="H127">
        <v>-35.299999999999997</v>
      </c>
      <c r="I127" t="s">
        <v>360</v>
      </c>
      <c r="J127" t="s">
        <v>360</v>
      </c>
      <c r="K127" t="s">
        <v>360</v>
      </c>
    </row>
    <row r="128" spans="1:11" x14ac:dyDescent="0.3">
      <c r="A128" s="770" t="s">
        <v>806</v>
      </c>
      <c r="B128" s="770">
        <v>20.7</v>
      </c>
      <c r="C128">
        <v>54.2</v>
      </c>
      <c r="D128">
        <v>219.4</v>
      </c>
      <c r="E128">
        <v>244.3</v>
      </c>
      <c r="F128">
        <v>224.9</v>
      </c>
      <c r="G128">
        <v>186.6</v>
      </c>
      <c r="H128" t="s">
        <v>360</v>
      </c>
      <c r="I128">
        <v>189.1</v>
      </c>
      <c r="J128">
        <v>228.9</v>
      </c>
      <c r="K128">
        <v>264.10000000000002</v>
      </c>
    </row>
    <row r="129" spans="1:11" x14ac:dyDescent="0.3">
      <c r="A129" s="770" t="s">
        <v>807</v>
      </c>
      <c r="B129" s="770" t="s">
        <v>360</v>
      </c>
      <c r="C129" t="s">
        <v>360</v>
      </c>
      <c r="D129" t="s">
        <v>360</v>
      </c>
      <c r="E129" s="708">
        <v>2400.3000000000002</v>
      </c>
      <c r="F129" s="708">
        <v>2208.1999999999998</v>
      </c>
      <c r="G129" s="708">
        <v>2047.7</v>
      </c>
      <c r="H129" s="708">
        <v>2951.6</v>
      </c>
      <c r="I129" s="708">
        <v>5750.1</v>
      </c>
      <c r="J129" s="708">
        <v>5785.6</v>
      </c>
      <c r="K129" s="708">
        <v>3588.8</v>
      </c>
    </row>
    <row r="130" spans="1:11" ht="28" x14ac:dyDescent="0.3">
      <c r="A130" s="770" t="s">
        <v>808</v>
      </c>
      <c r="B130" s="770">
        <v>7.2</v>
      </c>
      <c r="C130">
        <v>6.8</v>
      </c>
      <c r="D130">
        <v>480.4</v>
      </c>
      <c r="E130">
        <v>180.9</v>
      </c>
      <c r="F130">
        <v>175.3</v>
      </c>
      <c r="G130">
        <v>179.4</v>
      </c>
      <c r="H130">
        <v>661.4</v>
      </c>
      <c r="I130" s="708">
        <v>1309.7</v>
      </c>
      <c r="J130" s="708">
        <v>1047.3</v>
      </c>
      <c r="K130" s="708">
        <v>1022.5</v>
      </c>
    </row>
    <row r="131" spans="1:11" ht="28" x14ac:dyDescent="0.3">
      <c r="A131" s="770" t="s">
        <v>809</v>
      </c>
      <c r="B131" s="770">
        <v>0.1</v>
      </c>
      <c r="C131">
        <v>0</v>
      </c>
      <c r="D131" t="s">
        <v>360</v>
      </c>
      <c r="E131" t="s">
        <v>360</v>
      </c>
      <c r="F131" t="s">
        <v>360</v>
      </c>
      <c r="G131" t="s">
        <v>360</v>
      </c>
      <c r="H131" t="s">
        <v>360</v>
      </c>
      <c r="I131" t="s">
        <v>360</v>
      </c>
      <c r="J131" t="s">
        <v>360</v>
      </c>
      <c r="K131" t="s">
        <v>360</v>
      </c>
    </row>
    <row r="132" spans="1:11" x14ac:dyDescent="0.3">
      <c r="A132" s="770" t="s">
        <v>810</v>
      </c>
      <c r="B132" s="770" t="s">
        <v>360</v>
      </c>
      <c r="C132" t="s">
        <v>360</v>
      </c>
      <c r="D132" t="s">
        <v>360</v>
      </c>
      <c r="E132" t="s">
        <v>360</v>
      </c>
      <c r="F132">
        <v>-104.5</v>
      </c>
      <c r="G132">
        <v>-106.3</v>
      </c>
      <c r="H132">
        <v>-232</v>
      </c>
      <c r="I132">
        <v>-394.8</v>
      </c>
      <c r="J132">
        <v>-388.1</v>
      </c>
      <c r="K132">
        <v>-265.7</v>
      </c>
    </row>
    <row r="133" spans="1:11" x14ac:dyDescent="0.3">
      <c r="A133" s="770" t="s">
        <v>811</v>
      </c>
      <c r="B133" s="770">
        <v>222.4</v>
      </c>
      <c r="C133">
        <v>0.2</v>
      </c>
      <c r="D133">
        <v>0</v>
      </c>
      <c r="E133">
        <v>0</v>
      </c>
      <c r="F133">
        <v>0</v>
      </c>
      <c r="G133">
        <v>0</v>
      </c>
      <c r="H133">
        <v>0</v>
      </c>
      <c r="I133">
        <v>0</v>
      </c>
      <c r="J133">
        <v>0.2</v>
      </c>
      <c r="K133">
        <v>0.8</v>
      </c>
    </row>
    <row r="134" spans="1:11" ht="28" x14ac:dyDescent="0.3">
      <c r="A134" s="770" t="s">
        <v>812</v>
      </c>
      <c r="B134" s="770">
        <v>0.33</v>
      </c>
      <c r="C134" t="s">
        <v>360</v>
      </c>
      <c r="D134" t="s">
        <v>360</v>
      </c>
      <c r="E134" t="s">
        <v>360</v>
      </c>
      <c r="F134" t="s">
        <v>360</v>
      </c>
      <c r="G134" t="s">
        <v>360</v>
      </c>
      <c r="H134" t="s">
        <v>360</v>
      </c>
      <c r="I134" t="s">
        <v>360</v>
      </c>
      <c r="J134" t="s">
        <v>360</v>
      </c>
      <c r="K134" t="s">
        <v>360</v>
      </c>
    </row>
    <row r="135" spans="1:11" ht="28" x14ac:dyDescent="0.3">
      <c r="A135" s="770" t="s">
        <v>813</v>
      </c>
      <c r="B135" s="770">
        <v>-0.06</v>
      </c>
      <c r="C135">
        <v>-0.02</v>
      </c>
      <c r="D135">
        <v>0.13</v>
      </c>
      <c r="E135" t="s">
        <v>360</v>
      </c>
      <c r="F135" t="s">
        <v>360</v>
      </c>
      <c r="G135">
        <v>-7.0000000000000007E-2</v>
      </c>
      <c r="H135">
        <v>-0.47</v>
      </c>
      <c r="I135" t="s">
        <v>360</v>
      </c>
      <c r="J135" t="s">
        <v>360</v>
      </c>
      <c r="K135" t="s">
        <v>360</v>
      </c>
    </row>
    <row r="136" spans="1:11" x14ac:dyDescent="0.3">
      <c r="A136" s="770" t="s">
        <v>814</v>
      </c>
      <c r="B136" s="770">
        <v>830.8</v>
      </c>
      <c r="C136" s="708">
        <v>1028.0999999999999</v>
      </c>
      <c r="D136" s="708">
        <v>1055.0999999999999</v>
      </c>
      <c r="E136" s="708">
        <v>1899.6</v>
      </c>
      <c r="F136" s="708">
        <v>1710.6</v>
      </c>
      <c r="G136" s="708">
        <v>1498.2</v>
      </c>
      <c r="H136" s="708">
        <v>1692.2</v>
      </c>
      <c r="I136" s="708">
        <v>3278.7</v>
      </c>
      <c r="J136" s="708">
        <v>3823.1</v>
      </c>
      <c r="K136" s="708">
        <v>2032.8</v>
      </c>
    </row>
    <row r="137" spans="1:11" ht="28" x14ac:dyDescent="0.3">
      <c r="A137" s="770" t="s">
        <v>815</v>
      </c>
      <c r="B137" s="770">
        <v>5.2</v>
      </c>
      <c r="C137">
        <v>4.7</v>
      </c>
      <c r="D137">
        <v>1.7</v>
      </c>
      <c r="E137">
        <v>2.5</v>
      </c>
      <c r="F137">
        <v>4.7</v>
      </c>
      <c r="G137">
        <v>5.5</v>
      </c>
      <c r="H137">
        <v>5.9</v>
      </c>
      <c r="I137">
        <v>3.6</v>
      </c>
      <c r="J137">
        <v>4.8</v>
      </c>
      <c r="K137">
        <v>11.8</v>
      </c>
    </row>
    <row r="138" spans="1:11" x14ac:dyDescent="0.3">
      <c r="A138" s="770" t="s">
        <v>816</v>
      </c>
      <c r="B138" s="770">
        <v>24.2</v>
      </c>
      <c r="C138">
        <v>30</v>
      </c>
      <c r="D138">
        <v>20.7</v>
      </c>
      <c r="E138">
        <v>30.5</v>
      </c>
      <c r="F138">
        <v>28.6</v>
      </c>
      <c r="G138">
        <v>26.7</v>
      </c>
      <c r="H138">
        <v>23.1</v>
      </c>
      <c r="I138">
        <v>27.3</v>
      </c>
      <c r="J138">
        <v>31.1</v>
      </c>
      <c r="K138">
        <v>21.6</v>
      </c>
    </row>
    <row r="139" spans="1:11" x14ac:dyDescent="0.3">
      <c r="A139" s="770" t="s">
        <v>817</v>
      </c>
      <c r="B139" s="770">
        <v>65.8</v>
      </c>
      <c r="C139">
        <v>65.099999999999994</v>
      </c>
      <c r="D139">
        <v>59.9</v>
      </c>
      <c r="E139">
        <v>68.3</v>
      </c>
      <c r="F139">
        <v>67</v>
      </c>
      <c r="G139">
        <v>65.900000000000006</v>
      </c>
      <c r="H139">
        <v>61.8</v>
      </c>
      <c r="I139">
        <v>62.7</v>
      </c>
      <c r="J139">
        <v>64</v>
      </c>
      <c r="K139">
        <v>57.1</v>
      </c>
    </row>
    <row r="140" spans="1:11" x14ac:dyDescent="0.3">
      <c r="A140" s="770" t="s">
        <v>818</v>
      </c>
      <c r="B140" s="770">
        <v>20</v>
      </c>
      <c r="C140">
        <v>0</v>
      </c>
      <c r="D140">
        <v>49</v>
      </c>
      <c r="E140">
        <v>19</v>
      </c>
      <c r="F140">
        <v>-4</v>
      </c>
      <c r="G140">
        <v>-6</v>
      </c>
      <c r="H140">
        <v>31</v>
      </c>
      <c r="I140">
        <v>64</v>
      </c>
      <c r="J140">
        <v>2</v>
      </c>
      <c r="K140">
        <v>-23</v>
      </c>
    </row>
    <row r="141" spans="1:11" x14ac:dyDescent="0.3">
      <c r="A141" s="770" t="s">
        <v>819</v>
      </c>
      <c r="B141" s="770">
        <v>33.9</v>
      </c>
      <c r="C141">
        <v>33.1</v>
      </c>
      <c r="D141">
        <v>39.5</v>
      </c>
      <c r="E141">
        <v>42.5</v>
      </c>
      <c r="F141">
        <v>40.6</v>
      </c>
      <c r="G141">
        <v>39.9</v>
      </c>
      <c r="H141">
        <v>42.4</v>
      </c>
      <c r="I141">
        <v>49.4</v>
      </c>
      <c r="J141">
        <v>48.9</v>
      </c>
      <c r="K141">
        <v>40.9</v>
      </c>
    </row>
    <row r="142" spans="1:11" x14ac:dyDescent="0.3">
      <c r="A142" s="770" t="s">
        <v>820</v>
      </c>
      <c r="B142" s="770">
        <v>154</v>
      </c>
      <c r="C142">
        <v>127.4</v>
      </c>
      <c r="D142">
        <v>204.1</v>
      </c>
      <c r="E142">
        <v>254.9</v>
      </c>
      <c r="F142">
        <v>275.39999999999998</v>
      </c>
      <c r="G142">
        <v>165.7</v>
      </c>
      <c r="H142">
        <v>343.7</v>
      </c>
      <c r="I142">
        <v>699.3</v>
      </c>
      <c r="J142" s="708">
        <v>1261.5</v>
      </c>
      <c r="K142">
        <v>730.5</v>
      </c>
    </row>
    <row r="143" spans="1:11" ht="28" x14ac:dyDescent="0.3">
      <c r="A143" s="770" t="s">
        <v>821</v>
      </c>
      <c r="B143" s="770">
        <v>68.900000000000006</v>
      </c>
      <c r="C143">
        <v>63.4</v>
      </c>
      <c r="D143">
        <v>104.2</v>
      </c>
      <c r="E143">
        <v>151.19999999999999</v>
      </c>
      <c r="F143">
        <v>150.30000000000001</v>
      </c>
      <c r="G143">
        <v>149.5</v>
      </c>
      <c r="H143">
        <v>243.6</v>
      </c>
      <c r="I143">
        <v>323.5</v>
      </c>
      <c r="J143">
        <v>299.8</v>
      </c>
      <c r="K143">
        <v>262.7</v>
      </c>
    </row>
    <row r="144" spans="1:11" ht="28" x14ac:dyDescent="0.3">
      <c r="A144" s="770" t="s">
        <v>822</v>
      </c>
      <c r="B144" s="770" t="s">
        <v>360</v>
      </c>
      <c r="C144" t="s">
        <v>360</v>
      </c>
      <c r="D144">
        <v>175</v>
      </c>
      <c r="E144">
        <v>155.1</v>
      </c>
      <c r="F144">
        <v>288.39999999999998</v>
      </c>
      <c r="G144">
        <v>223.1</v>
      </c>
      <c r="H144">
        <v>359.1</v>
      </c>
      <c r="I144">
        <v>744.9</v>
      </c>
      <c r="J144">
        <v>681.5</v>
      </c>
      <c r="K144">
        <v>407.8</v>
      </c>
    </row>
    <row r="145" spans="1:2" ht="28" x14ac:dyDescent="0.3">
      <c r="A145" s="770" t="s">
        <v>636</v>
      </c>
      <c r="B145" s="770" t="s">
        <v>637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1E7EA-6923-40AB-9506-A47D9CC1F871}">
  <sheetPr codeName="Sheet18"/>
  <dimension ref="A1:K206"/>
  <sheetViews>
    <sheetView workbookViewId="0"/>
  </sheetViews>
  <sheetFormatPr defaultColWidth="8.83203125" defaultRowHeight="14" x14ac:dyDescent="0.3"/>
  <cols>
    <col min="1" max="2" width="36" bestFit="1" customWidth="1"/>
    <col min="3" max="4" width="10.08203125" bestFit="1" customWidth="1"/>
    <col min="5" max="6" width="9.08203125" bestFit="1" customWidth="1"/>
    <col min="7" max="10" width="10.08203125" bestFit="1" customWidth="1"/>
    <col min="11" max="11" width="9.08203125" bestFit="1" customWidth="1"/>
  </cols>
  <sheetData>
    <row r="1" spans="1:11" x14ac:dyDescent="0.3">
      <c r="A1" s="770"/>
      <c r="B1" s="770"/>
    </row>
    <row r="2" spans="1:11" x14ac:dyDescent="0.3">
      <c r="A2" s="770" t="s">
        <v>695</v>
      </c>
      <c r="B2" s="770"/>
    </row>
    <row r="3" spans="1:11" x14ac:dyDescent="0.3">
      <c r="A3" s="770"/>
      <c r="B3" s="770"/>
    </row>
    <row r="4" spans="1:11" x14ac:dyDescent="0.3">
      <c r="A4" s="770" t="s">
        <v>606</v>
      </c>
      <c r="B4" s="770" t="s">
        <v>607</v>
      </c>
      <c r="C4" t="s">
        <v>608</v>
      </c>
      <c r="D4" t="s">
        <v>609</v>
      </c>
      <c r="E4" t="s">
        <v>610</v>
      </c>
      <c r="F4" t="s">
        <v>611</v>
      </c>
      <c r="G4" t="s">
        <v>612</v>
      </c>
      <c r="H4" t="s">
        <v>613</v>
      </c>
      <c r="I4" t="s">
        <v>614</v>
      </c>
      <c r="J4" t="s">
        <v>615</v>
      </c>
      <c r="K4" t="s">
        <v>616</v>
      </c>
    </row>
    <row r="5" spans="1:11" x14ac:dyDescent="0.3">
      <c r="A5" s="770" t="s">
        <v>617</v>
      </c>
      <c r="B5" s="771">
        <v>42308</v>
      </c>
      <c r="C5" s="769">
        <v>42672</v>
      </c>
      <c r="D5" s="769">
        <v>43036</v>
      </c>
      <c r="E5" s="769">
        <v>43407</v>
      </c>
      <c r="F5" s="769">
        <v>43771</v>
      </c>
      <c r="G5" s="769">
        <v>44135</v>
      </c>
      <c r="H5" s="769">
        <v>44499</v>
      </c>
      <c r="I5" s="769">
        <v>44863</v>
      </c>
      <c r="J5" s="769">
        <v>45227</v>
      </c>
      <c r="K5" s="769">
        <v>45598</v>
      </c>
    </row>
    <row r="6" spans="1:11" x14ac:dyDescent="0.3">
      <c r="A6" s="770" t="s">
        <v>823</v>
      </c>
      <c r="B6" s="770"/>
    </row>
    <row r="7" spans="1:11" x14ac:dyDescent="0.3">
      <c r="A7" s="770" t="s">
        <v>824</v>
      </c>
      <c r="B7" s="770"/>
    </row>
    <row r="8" spans="1:11" x14ac:dyDescent="0.3">
      <c r="A8" s="770" t="s">
        <v>625</v>
      </c>
      <c r="B8" s="770">
        <v>884.4</v>
      </c>
      <c r="C8">
        <v>921.1</v>
      </c>
      <c r="D8" s="708">
        <v>1047.8</v>
      </c>
      <c r="E8">
        <v>816.6</v>
      </c>
      <c r="F8">
        <v>648.29999999999995</v>
      </c>
      <c r="G8" s="708">
        <v>1055.9000000000001</v>
      </c>
      <c r="H8" s="708">
        <v>1978</v>
      </c>
      <c r="I8" s="708">
        <v>1470.6</v>
      </c>
      <c r="J8">
        <v>958.1</v>
      </c>
      <c r="K8" s="708">
        <v>1991.3</v>
      </c>
    </row>
    <row r="9" spans="1:11" x14ac:dyDescent="0.3">
      <c r="A9" s="770" t="s">
        <v>825</v>
      </c>
      <c r="B9" s="770">
        <v>466.5</v>
      </c>
      <c r="C9">
        <v>477.6</v>
      </c>
      <c r="D9">
        <v>689</v>
      </c>
      <c r="E9">
        <v>639.70000000000005</v>
      </c>
      <c r="F9">
        <v>635.1</v>
      </c>
      <c r="G9">
        <v>737.5</v>
      </c>
      <c r="H9" s="708">
        <v>1459.1</v>
      </c>
      <c r="I9" s="708">
        <v>1800.5</v>
      </c>
      <c r="J9" s="708">
        <v>1469.7</v>
      </c>
      <c r="K9" s="708">
        <v>1336.3</v>
      </c>
    </row>
    <row r="10" spans="1:11" x14ac:dyDescent="0.3">
      <c r="A10" s="770" t="s">
        <v>826</v>
      </c>
      <c r="B10" s="770">
        <v>412.3</v>
      </c>
      <c r="C10">
        <v>376.6</v>
      </c>
      <c r="D10">
        <v>550.79999999999995</v>
      </c>
      <c r="E10">
        <v>586.79999999999995</v>
      </c>
      <c r="F10">
        <v>609.9</v>
      </c>
      <c r="G10">
        <v>608.29999999999995</v>
      </c>
      <c r="H10" s="708">
        <v>1200.5999999999999</v>
      </c>
      <c r="I10" s="708">
        <v>1399.9</v>
      </c>
      <c r="J10" s="708">
        <v>1642.2</v>
      </c>
      <c r="K10" s="708">
        <v>1447.7</v>
      </c>
    </row>
    <row r="11" spans="1:11" x14ac:dyDescent="0.3">
      <c r="A11" s="770" t="s">
        <v>827</v>
      </c>
      <c r="B11" s="770">
        <v>1.9</v>
      </c>
      <c r="C11">
        <v>6.4</v>
      </c>
      <c r="D11">
        <v>3.5</v>
      </c>
      <c r="E11" t="s">
        <v>360</v>
      </c>
      <c r="F11" t="s">
        <v>360</v>
      </c>
      <c r="G11" t="s">
        <v>360</v>
      </c>
      <c r="H11" t="s">
        <v>360</v>
      </c>
      <c r="I11" t="s">
        <v>360</v>
      </c>
      <c r="J11" t="s">
        <v>360</v>
      </c>
      <c r="K11" t="s">
        <v>360</v>
      </c>
    </row>
    <row r="12" spans="1:11" x14ac:dyDescent="0.3">
      <c r="A12" s="770" t="s">
        <v>828</v>
      </c>
      <c r="B12" s="770">
        <v>40.6</v>
      </c>
      <c r="C12">
        <v>58.5</v>
      </c>
      <c r="D12">
        <v>60.2</v>
      </c>
      <c r="E12">
        <v>69.099999999999994</v>
      </c>
      <c r="F12">
        <v>91.8</v>
      </c>
      <c r="G12">
        <v>116</v>
      </c>
      <c r="H12">
        <v>740.7</v>
      </c>
      <c r="I12">
        <v>267</v>
      </c>
      <c r="J12">
        <v>314</v>
      </c>
      <c r="K12">
        <v>337.5</v>
      </c>
    </row>
    <row r="13" spans="1:11" x14ac:dyDescent="0.3">
      <c r="A13" s="770" t="s">
        <v>829</v>
      </c>
      <c r="B13" s="770">
        <v>129.19999999999999</v>
      </c>
      <c r="C13">
        <v>0</v>
      </c>
      <c r="D13" t="s">
        <v>360</v>
      </c>
      <c r="E13" t="s">
        <v>360</v>
      </c>
      <c r="F13" t="s">
        <v>360</v>
      </c>
      <c r="G13" t="s">
        <v>360</v>
      </c>
      <c r="H13" t="s">
        <v>360</v>
      </c>
      <c r="I13" t="s">
        <v>360</v>
      </c>
      <c r="J13" t="s">
        <v>360</v>
      </c>
      <c r="K13" t="s">
        <v>360</v>
      </c>
    </row>
    <row r="14" spans="1:11" x14ac:dyDescent="0.3">
      <c r="A14" s="770" t="s">
        <v>830</v>
      </c>
      <c r="B14" s="770" t="s">
        <v>360</v>
      </c>
      <c r="C14" t="s">
        <v>360</v>
      </c>
      <c r="D14" t="s">
        <v>360</v>
      </c>
      <c r="E14" t="s">
        <v>360</v>
      </c>
      <c r="F14" t="s">
        <v>360</v>
      </c>
      <c r="G14">
        <v>116</v>
      </c>
      <c r="H14">
        <v>740.7</v>
      </c>
      <c r="I14" t="s">
        <v>360</v>
      </c>
      <c r="J14" t="s">
        <v>360</v>
      </c>
      <c r="K14" t="s">
        <v>360</v>
      </c>
    </row>
    <row r="15" spans="1:11" x14ac:dyDescent="0.3">
      <c r="A15" s="770" t="s">
        <v>831</v>
      </c>
      <c r="B15" s="770">
        <v>2.1</v>
      </c>
      <c r="C15">
        <v>5.0999999999999996</v>
      </c>
      <c r="D15">
        <v>7.2</v>
      </c>
      <c r="E15">
        <v>2.2999999999999998</v>
      </c>
      <c r="F15">
        <v>8.4</v>
      </c>
      <c r="G15">
        <v>4.4000000000000004</v>
      </c>
      <c r="H15">
        <v>2.7</v>
      </c>
      <c r="I15">
        <v>4.5999999999999996</v>
      </c>
      <c r="J15">
        <v>2.8</v>
      </c>
      <c r="K15">
        <v>7.2</v>
      </c>
    </row>
    <row r="16" spans="1:11" x14ac:dyDescent="0.3">
      <c r="A16" s="770" t="s">
        <v>832</v>
      </c>
      <c r="B16" s="772">
        <v>2144.6</v>
      </c>
      <c r="C16" s="708">
        <v>3134.7</v>
      </c>
      <c r="D16">
        <v>0</v>
      </c>
      <c r="E16" t="s">
        <v>360</v>
      </c>
      <c r="F16" t="s">
        <v>360</v>
      </c>
      <c r="G16" t="s">
        <v>360</v>
      </c>
      <c r="H16" t="s">
        <v>360</v>
      </c>
      <c r="I16" t="s">
        <v>360</v>
      </c>
      <c r="J16" t="s">
        <v>360</v>
      </c>
      <c r="K16">
        <v>371.8</v>
      </c>
    </row>
    <row r="17" spans="1:11" x14ac:dyDescent="0.3">
      <c r="A17" s="770" t="s">
        <v>833</v>
      </c>
      <c r="B17" s="772">
        <v>4079.5</v>
      </c>
      <c r="C17" s="708">
        <v>4974.8999999999996</v>
      </c>
      <c r="D17" s="708">
        <v>2351.3000000000002</v>
      </c>
      <c r="E17" s="708">
        <v>2112.1</v>
      </c>
      <c r="F17" s="708">
        <v>1985.1</v>
      </c>
      <c r="G17" s="708">
        <v>2517.6999999999998</v>
      </c>
      <c r="H17" s="708">
        <v>5378.3</v>
      </c>
      <c r="I17" s="708">
        <v>4938</v>
      </c>
      <c r="J17" s="708">
        <v>4384</v>
      </c>
      <c r="K17" s="708">
        <v>5484.7</v>
      </c>
    </row>
    <row r="18" spans="1:11" x14ac:dyDescent="0.3">
      <c r="A18" s="770" t="s">
        <v>834</v>
      </c>
      <c r="B18" s="770"/>
    </row>
    <row r="19" spans="1:11" x14ac:dyDescent="0.3">
      <c r="A19" s="770" t="s">
        <v>835</v>
      </c>
      <c r="B19" s="770">
        <v>41.2</v>
      </c>
      <c r="C19">
        <v>48.1</v>
      </c>
      <c r="D19">
        <v>57.4</v>
      </c>
      <c r="E19">
        <v>68.599999999999994</v>
      </c>
      <c r="F19">
        <v>77.3</v>
      </c>
      <c r="G19">
        <v>86.7</v>
      </c>
      <c r="H19">
        <v>127.9</v>
      </c>
      <c r="I19">
        <v>122.3</v>
      </c>
      <c r="J19" t="s">
        <v>360</v>
      </c>
      <c r="K19" t="s">
        <v>360</v>
      </c>
    </row>
    <row r="20" spans="1:11" x14ac:dyDescent="0.3">
      <c r="A20" s="770" t="s">
        <v>836</v>
      </c>
      <c r="B20" s="770">
        <v>559.70000000000005</v>
      </c>
      <c r="C20">
        <v>564.29999999999995</v>
      </c>
      <c r="D20">
        <v>794.5</v>
      </c>
      <c r="E20">
        <v>873.2</v>
      </c>
      <c r="F20">
        <v>956.1</v>
      </c>
      <c r="G20">
        <v>974.6</v>
      </c>
      <c r="H20" s="708">
        <v>1392.4</v>
      </c>
      <c r="I20" s="708">
        <v>1460</v>
      </c>
      <c r="J20" t="s">
        <v>360</v>
      </c>
      <c r="K20" t="s">
        <v>360</v>
      </c>
    </row>
    <row r="21" spans="1:11" x14ac:dyDescent="0.3">
      <c r="A21" s="770" t="s">
        <v>837</v>
      </c>
      <c r="B21" s="770">
        <v>55.6</v>
      </c>
      <c r="C21">
        <v>59.6</v>
      </c>
      <c r="D21">
        <v>75.3</v>
      </c>
      <c r="E21">
        <v>100.4</v>
      </c>
      <c r="F21">
        <v>160.19999999999999</v>
      </c>
      <c r="G21">
        <v>157.9</v>
      </c>
      <c r="H21">
        <v>167.6</v>
      </c>
      <c r="I21">
        <v>118.9</v>
      </c>
      <c r="J21" t="s">
        <v>360</v>
      </c>
      <c r="K21" t="s">
        <v>360</v>
      </c>
    </row>
    <row r="22" spans="1:11" x14ac:dyDescent="0.3">
      <c r="A22" s="770" t="s">
        <v>838</v>
      </c>
      <c r="B22" s="772">
        <v>1986.8</v>
      </c>
      <c r="C22" s="708">
        <v>2052.9</v>
      </c>
      <c r="D22" s="708">
        <v>2434.6999999999998</v>
      </c>
      <c r="E22" s="708">
        <v>2554.3000000000002</v>
      </c>
      <c r="F22" s="708">
        <v>2695</v>
      </c>
      <c r="G22" s="708">
        <v>2753.1</v>
      </c>
      <c r="H22" s="708">
        <v>3375.3</v>
      </c>
      <c r="I22" s="708">
        <v>3970.7</v>
      </c>
      <c r="J22" t="s">
        <v>360</v>
      </c>
      <c r="K22" t="s">
        <v>360</v>
      </c>
    </row>
    <row r="23" spans="1:11" x14ac:dyDescent="0.3">
      <c r="A23" s="770" t="s">
        <v>839</v>
      </c>
      <c r="B23" s="772">
        <v>2602.1</v>
      </c>
      <c r="C23" t="s">
        <v>360</v>
      </c>
      <c r="D23" s="708">
        <v>3304.4</v>
      </c>
      <c r="E23" s="708">
        <v>3527.8</v>
      </c>
      <c r="F23" s="708">
        <v>3811.3</v>
      </c>
      <c r="G23" s="708">
        <v>3885.7</v>
      </c>
      <c r="H23" s="708">
        <v>4935.3</v>
      </c>
      <c r="I23" s="708">
        <v>5549.5</v>
      </c>
      <c r="J23" t="s">
        <v>360</v>
      </c>
      <c r="K23" t="s">
        <v>360</v>
      </c>
    </row>
    <row r="24" spans="1:11" x14ac:dyDescent="0.3">
      <c r="A24" s="770" t="s">
        <v>840</v>
      </c>
      <c r="B24" s="772">
        <v>1958</v>
      </c>
      <c r="C24" s="708">
        <v>2040.8</v>
      </c>
      <c r="D24" s="708">
        <v>2197.1</v>
      </c>
      <c r="E24" s="708">
        <v>2373.5</v>
      </c>
      <c r="F24" s="708">
        <v>2591.3000000000002</v>
      </c>
      <c r="G24" s="708">
        <v>2765.1</v>
      </c>
      <c r="H24" s="708">
        <v>2956.2</v>
      </c>
      <c r="I24" s="708">
        <v>3148.2</v>
      </c>
      <c r="J24" t="s">
        <v>360</v>
      </c>
      <c r="K24" t="s">
        <v>360</v>
      </c>
    </row>
    <row r="25" spans="1:11" x14ac:dyDescent="0.3">
      <c r="A25" s="770" t="s">
        <v>841</v>
      </c>
      <c r="B25" s="770">
        <v>644.1</v>
      </c>
      <c r="C25">
        <v>636.1</v>
      </c>
      <c r="D25" s="708">
        <v>1107.3</v>
      </c>
      <c r="E25" s="708">
        <v>1154.3</v>
      </c>
      <c r="F25" s="708">
        <v>1220</v>
      </c>
      <c r="G25" s="708">
        <v>1120.5999999999999</v>
      </c>
      <c r="H25" s="708">
        <v>1979.1</v>
      </c>
      <c r="I25" s="708">
        <v>2401.3000000000002</v>
      </c>
      <c r="J25" s="828">
        <v>3219.2</v>
      </c>
      <c r="K25" s="828">
        <v>3415.6</v>
      </c>
    </row>
    <row r="26" spans="1:11" x14ac:dyDescent="0.3">
      <c r="A26" s="770" t="s">
        <v>842</v>
      </c>
      <c r="B26" s="770">
        <v>33.299999999999997</v>
      </c>
      <c r="C26">
        <v>36</v>
      </c>
      <c r="D26">
        <v>32.299999999999997</v>
      </c>
      <c r="E26">
        <v>9.6999999999999993</v>
      </c>
      <c r="F26" s="708">
        <v>1582.4</v>
      </c>
      <c r="G26" s="708">
        <v>1503.1</v>
      </c>
      <c r="H26" s="708">
        <v>2267.3000000000002</v>
      </c>
      <c r="I26" s="708">
        <v>2264.9</v>
      </c>
      <c r="J26" s="708">
        <v>2223.3000000000002</v>
      </c>
      <c r="K26" s="708">
        <v>2083.8000000000002</v>
      </c>
    </row>
    <row r="27" spans="1:11" x14ac:dyDescent="0.3">
      <c r="A27" s="770" t="s">
        <v>843</v>
      </c>
      <c r="B27" s="770">
        <v>583.5</v>
      </c>
      <c r="C27">
        <v>549.4</v>
      </c>
      <c r="D27" s="708">
        <v>5319.4</v>
      </c>
      <c r="E27" s="708">
        <v>4778.2</v>
      </c>
      <c r="F27" s="708">
        <v>4217.2</v>
      </c>
      <c r="G27" s="708">
        <v>3650.3</v>
      </c>
      <c r="H27" s="708">
        <v>15267.2</v>
      </c>
      <c r="I27" s="708">
        <v>13265.4</v>
      </c>
      <c r="J27" s="708">
        <v>11312</v>
      </c>
      <c r="K27" s="708">
        <v>9585.5</v>
      </c>
    </row>
    <row r="28" spans="1:11" x14ac:dyDescent="0.3">
      <c r="A28" s="770" t="s">
        <v>500</v>
      </c>
      <c r="B28" s="772">
        <v>1636.5</v>
      </c>
      <c r="C28" s="708">
        <v>1679.1</v>
      </c>
      <c r="D28" s="708">
        <v>12217.5</v>
      </c>
      <c r="E28" s="708">
        <v>12252.6</v>
      </c>
      <c r="F28" s="708">
        <v>12256.9</v>
      </c>
      <c r="G28" s="708">
        <v>12278.4</v>
      </c>
      <c r="H28" s="708">
        <v>26918.5</v>
      </c>
      <c r="I28" s="708">
        <v>26913.1</v>
      </c>
      <c r="J28" s="708">
        <v>26913.1</v>
      </c>
      <c r="K28" s="708">
        <v>26909.8</v>
      </c>
    </row>
    <row r="29" spans="1:11" x14ac:dyDescent="0.3">
      <c r="A29" s="770" t="s">
        <v>844</v>
      </c>
      <c r="B29" s="770">
        <v>40.6</v>
      </c>
      <c r="C29">
        <v>46.7</v>
      </c>
      <c r="D29">
        <v>56</v>
      </c>
      <c r="E29">
        <v>62.9</v>
      </c>
      <c r="F29">
        <v>53.7</v>
      </c>
      <c r="G29">
        <v>311.89999999999998</v>
      </c>
      <c r="H29">
        <v>383.9</v>
      </c>
      <c r="I29">
        <v>397.3</v>
      </c>
      <c r="J29">
        <v>742.9</v>
      </c>
      <c r="K29">
        <v>749.1</v>
      </c>
    </row>
    <row r="30" spans="1:11" x14ac:dyDescent="0.3">
      <c r="A30" s="770" t="s">
        <v>845</v>
      </c>
      <c r="B30" s="770" t="s">
        <v>360</v>
      </c>
      <c r="C30" t="s">
        <v>360</v>
      </c>
      <c r="D30" t="s">
        <v>360</v>
      </c>
      <c r="E30" s="708">
        <v>18326.2</v>
      </c>
      <c r="F30" s="708">
        <v>18187.5</v>
      </c>
      <c r="G30" s="708">
        <v>18950.900000000001</v>
      </c>
      <c r="H30" s="708">
        <v>46943.8</v>
      </c>
      <c r="I30" s="708">
        <v>45364.4</v>
      </c>
      <c r="J30" s="708">
        <v>44410.5</v>
      </c>
      <c r="K30" s="708">
        <v>42743.6</v>
      </c>
    </row>
    <row r="31" spans="1:11" x14ac:dyDescent="0.3">
      <c r="A31" s="770" t="s">
        <v>846</v>
      </c>
      <c r="B31" s="772">
        <v>7058.8</v>
      </c>
      <c r="C31" s="708">
        <v>7970.3</v>
      </c>
      <c r="D31" s="708">
        <v>21141.3</v>
      </c>
      <c r="E31" s="708">
        <v>20438.400000000001</v>
      </c>
      <c r="F31" s="708">
        <v>21392.6</v>
      </c>
      <c r="G31" s="708">
        <v>21468.6</v>
      </c>
      <c r="H31" s="708">
        <v>52322.1</v>
      </c>
      <c r="I31" s="708">
        <v>50302.400000000001</v>
      </c>
      <c r="J31" s="708">
        <v>48794.5</v>
      </c>
      <c r="K31" s="708">
        <v>48228.3</v>
      </c>
    </row>
    <row r="32" spans="1:11" x14ac:dyDescent="0.3">
      <c r="A32" s="770" t="s">
        <v>847</v>
      </c>
      <c r="B32" s="770"/>
    </row>
    <row r="33" spans="1:11" x14ac:dyDescent="0.3">
      <c r="A33" s="770" t="s">
        <v>848</v>
      </c>
      <c r="B33" s="770">
        <v>174.2</v>
      </c>
      <c r="C33">
        <v>171.4</v>
      </c>
      <c r="D33">
        <v>236.6</v>
      </c>
      <c r="E33">
        <v>260.89999999999998</v>
      </c>
      <c r="F33">
        <v>225.3</v>
      </c>
      <c r="G33">
        <v>227.3</v>
      </c>
      <c r="H33">
        <v>443.4</v>
      </c>
      <c r="I33">
        <v>582.20000000000005</v>
      </c>
      <c r="J33">
        <v>493</v>
      </c>
      <c r="K33">
        <v>487.5</v>
      </c>
    </row>
    <row r="34" spans="1:11" x14ac:dyDescent="0.3">
      <c r="A34" s="770" t="s">
        <v>849</v>
      </c>
      <c r="B34" s="770">
        <v>374.6</v>
      </c>
      <c r="C34">
        <v>0</v>
      </c>
      <c r="D34">
        <v>300</v>
      </c>
      <c r="E34">
        <v>67</v>
      </c>
      <c r="F34">
        <v>299.7</v>
      </c>
      <c r="G34">
        <v>0</v>
      </c>
      <c r="H34">
        <v>516.70000000000005</v>
      </c>
      <c r="I34">
        <v>0</v>
      </c>
      <c r="J34">
        <v>499.1</v>
      </c>
      <c r="K34">
        <v>399.6</v>
      </c>
    </row>
    <row r="35" spans="1:11" x14ac:dyDescent="0.3">
      <c r="A35" s="770" t="s">
        <v>850</v>
      </c>
      <c r="B35" s="770" t="s">
        <v>360</v>
      </c>
      <c r="C35" t="s">
        <v>360</v>
      </c>
      <c r="D35" t="s">
        <v>360</v>
      </c>
      <c r="E35" t="s">
        <v>360</v>
      </c>
      <c r="F35" t="s">
        <v>360</v>
      </c>
      <c r="G35" t="s">
        <v>360</v>
      </c>
      <c r="H35" t="s">
        <v>360</v>
      </c>
      <c r="I35" t="s">
        <v>360</v>
      </c>
      <c r="J35">
        <v>547.20000000000005</v>
      </c>
      <c r="K35">
        <v>547.70000000000005</v>
      </c>
    </row>
    <row r="36" spans="1:11" x14ac:dyDescent="0.3">
      <c r="A36" s="770" t="s">
        <v>851</v>
      </c>
      <c r="B36" s="770">
        <v>249.6</v>
      </c>
      <c r="C36">
        <v>255.9</v>
      </c>
      <c r="D36">
        <v>498.8</v>
      </c>
      <c r="E36">
        <v>630.1</v>
      </c>
      <c r="F36">
        <v>795.8</v>
      </c>
      <c r="G36">
        <v>955.6</v>
      </c>
      <c r="H36" s="708">
        <v>1477.5</v>
      </c>
      <c r="I36" s="708">
        <v>1594.7</v>
      </c>
      <c r="J36" s="708">
        <v>1352.6</v>
      </c>
      <c r="K36" s="708">
        <v>1106.0999999999999</v>
      </c>
    </row>
    <row r="37" spans="1:11" x14ac:dyDescent="0.3">
      <c r="A37" s="770" t="s">
        <v>852</v>
      </c>
      <c r="B37" s="770">
        <v>300.10000000000002</v>
      </c>
      <c r="C37">
        <v>351.5</v>
      </c>
      <c r="D37">
        <v>474</v>
      </c>
      <c r="E37" t="s">
        <v>360</v>
      </c>
      <c r="F37" t="s">
        <v>360</v>
      </c>
      <c r="G37" t="s">
        <v>360</v>
      </c>
      <c r="H37" t="s">
        <v>360</v>
      </c>
      <c r="I37" t="s">
        <v>360</v>
      </c>
      <c r="J37" t="s">
        <v>360</v>
      </c>
      <c r="K37" t="s">
        <v>360</v>
      </c>
    </row>
    <row r="38" spans="1:11" x14ac:dyDescent="0.3">
      <c r="A38" s="770" t="s">
        <v>853</v>
      </c>
      <c r="B38" s="770" t="s">
        <v>360</v>
      </c>
      <c r="C38" t="s">
        <v>360</v>
      </c>
      <c r="D38" t="s">
        <v>360</v>
      </c>
      <c r="E38" t="s">
        <v>360</v>
      </c>
      <c r="F38" t="s">
        <v>360</v>
      </c>
      <c r="G38" s="708">
        <v>1365</v>
      </c>
      <c r="H38" s="708">
        <v>2253.6</v>
      </c>
      <c r="I38" t="s">
        <v>360</v>
      </c>
      <c r="J38" t="s">
        <v>360</v>
      </c>
      <c r="K38" t="s">
        <v>360</v>
      </c>
    </row>
    <row r="39" spans="1:11" x14ac:dyDescent="0.3">
      <c r="A39" s="770" t="s">
        <v>854</v>
      </c>
      <c r="B39" s="770">
        <v>15.1</v>
      </c>
      <c r="C39">
        <v>4.0999999999999996</v>
      </c>
      <c r="D39">
        <v>86.9</v>
      </c>
      <c r="E39">
        <v>93.7</v>
      </c>
      <c r="F39">
        <v>187.9</v>
      </c>
      <c r="G39">
        <v>182.1</v>
      </c>
      <c r="H39">
        <v>332.7</v>
      </c>
      <c r="I39">
        <v>265.8</v>
      </c>
      <c r="J39">
        <v>309</v>
      </c>
      <c r="K39">
        <v>447.4</v>
      </c>
    </row>
    <row r="40" spans="1:11" x14ac:dyDescent="0.3">
      <c r="A40" s="770" t="s">
        <v>855</v>
      </c>
      <c r="B40" s="772">
        <v>1113.5999999999999</v>
      </c>
      <c r="C40">
        <v>782.9</v>
      </c>
      <c r="D40" s="708">
        <v>1596.3</v>
      </c>
      <c r="E40" s="708">
        <v>1051.7</v>
      </c>
      <c r="F40" s="708">
        <v>1508.6</v>
      </c>
      <c r="G40" s="708">
        <v>1365</v>
      </c>
      <c r="H40" s="708">
        <v>2770.3</v>
      </c>
      <c r="I40" s="708">
        <v>2442.6999999999998</v>
      </c>
      <c r="J40" s="708">
        <v>3201</v>
      </c>
      <c r="K40" s="708">
        <v>2988.3</v>
      </c>
    </row>
    <row r="41" spans="1:11" x14ac:dyDescent="0.3">
      <c r="A41" s="770" t="s">
        <v>856</v>
      </c>
      <c r="B41" s="770"/>
    </row>
    <row r="42" spans="1:11" x14ac:dyDescent="0.3">
      <c r="A42" s="770" t="s">
        <v>857</v>
      </c>
      <c r="B42" s="770">
        <v>872.2</v>
      </c>
      <c r="C42" s="708">
        <v>2021.7</v>
      </c>
      <c r="D42" s="708">
        <v>9383.4</v>
      </c>
      <c r="E42" s="708">
        <v>8118.4</v>
      </c>
      <c r="F42" s="708">
        <v>8174.8</v>
      </c>
      <c r="G42" s="708">
        <v>8105.7</v>
      </c>
      <c r="H42" s="708">
        <v>11559.2</v>
      </c>
      <c r="I42" s="708">
        <v>11394.4</v>
      </c>
      <c r="J42" s="708">
        <v>10028.4</v>
      </c>
      <c r="K42" s="708">
        <v>10063.700000000001</v>
      </c>
    </row>
    <row r="43" spans="1:11" x14ac:dyDescent="0.3">
      <c r="A43" s="770" t="s">
        <v>858</v>
      </c>
      <c r="B43" s="770">
        <v>495.3</v>
      </c>
      <c r="C43" s="708">
        <v>1732.2</v>
      </c>
      <c r="D43" s="708">
        <v>7551.1</v>
      </c>
      <c r="E43" s="708">
        <v>6265.7</v>
      </c>
      <c r="F43" s="708">
        <v>5192.3</v>
      </c>
      <c r="G43" s="708">
        <v>5145.1000000000004</v>
      </c>
      <c r="H43" s="708">
        <v>6253.2</v>
      </c>
      <c r="I43" s="708">
        <v>6548.6</v>
      </c>
      <c r="J43" s="708">
        <v>5902.5</v>
      </c>
      <c r="K43" s="708">
        <v>6634.3</v>
      </c>
    </row>
    <row r="44" spans="1:11" x14ac:dyDescent="0.3">
      <c r="A44" s="770" t="s">
        <v>859</v>
      </c>
      <c r="B44" s="770">
        <v>227.4</v>
      </c>
      <c r="C44">
        <v>109.9</v>
      </c>
      <c r="D44" s="708">
        <v>1674.7</v>
      </c>
      <c r="E44">
        <v>990.4</v>
      </c>
      <c r="F44" s="708">
        <v>2088.1999999999998</v>
      </c>
      <c r="G44" s="708">
        <v>1919.6</v>
      </c>
      <c r="H44" s="708">
        <v>3938.8</v>
      </c>
      <c r="I44" s="708">
        <v>3622.5</v>
      </c>
      <c r="J44" s="708">
        <v>3127.9</v>
      </c>
      <c r="K44" s="708">
        <v>2624.4</v>
      </c>
    </row>
    <row r="45" spans="1:11" x14ac:dyDescent="0.3">
      <c r="A45" s="770" t="s">
        <v>860</v>
      </c>
      <c r="B45" s="770">
        <v>23.8</v>
      </c>
      <c r="C45">
        <v>26.2</v>
      </c>
      <c r="D45">
        <v>32.6</v>
      </c>
      <c r="E45">
        <v>39.799999999999997</v>
      </c>
      <c r="F45" t="s">
        <v>360</v>
      </c>
      <c r="G45" t="s">
        <v>360</v>
      </c>
      <c r="H45" t="s">
        <v>360</v>
      </c>
      <c r="I45" t="s">
        <v>360</v>
      </c>
      <c r="J45" t="s">
        <v>360</v>
      </c>
      <c r="K45" t="s">
        <v>360</v>
      </c>
    </row>
    <row r="46" spans="1:11" x14ac:dyDescent="0.3">
      <c r="A46" s="770" t="s">
        <v>861</v>
      </c>
      <c r="B46" s="770">
        <v>125.8</v>
      </c>
      <c r="C46">
        <v>153.5</v>
      </c>
      <c r="D46">
        <v>125.1</v>
      </c>
      <c r="E46">
        <v>112.3</v>
      </c>
      <c r="F46">
        <v>239.9</v>
      </c>
      <c r="G46">
        <v>449.2</v>
      </c>
      <c r="H46">
        <v>555.79999999999995</v>
      </c>
      <c r="I46">
        <v>515.4</v>
      </c>
      <c r="J46">
        <v>581</v>
      </c>
      <c r="K46">
        <v>544.5</v>
      </c>
    </row>
    <row r="47" spans="1:11" x14ac:dyDescent="0.3">
      <c r="A47" s="770" t="s">
        <v>862</v>
      </c>
      <c r="B47" s="770" t="s">
        <v>360</v>
      </c>
      <c r="C47" t="s">
        <v>360</v>
      </c>
      <c r="D47" t="s">
        <v>360</v>
      </c>
      <c r="E47">
        <v>710.2</v>
      </c>
      <c r="F47">
        <v>654.4</v>
      </c>
      <c r="G47">
        <v>591.79999999999995</v>
      </c>
      <c r="H47">
        <v>811.3</v>
      </c>
      <c r="I47">
        <v>707.8</v>
      </c>
      <c r="J47">
        <v>417.1</v>
      </c>
      <c r="K47">
        <v>260.5</v>
      </c>
    </row>
    <row r="48" spans="1:11" x14ac:dyDescent="0.3">
      <c r="A48" s="770" t="s">
        <v>863</v>
      </c>
      <c r="B48" s="770" t="s">
        <v>360</v>
      </c>
      <c r="C48" t="s">
        <v>360</v>
      </c>
      <c r="D48" t="s">
        <v>360</v>
      </c>
      <c r="E48" t="s">
        <v>360</v>
      </c>
      <c r="F48" s="708">
        <v>9683.5</v>
      </c>
      <c r="G48" s="708">
        <v>9470.7000000000007</v>
      </c>
      <c r="H48" s="708">
        <v>14329.5</v>
      </c>
      <c r="I48" s="708">
        <v>13837</v>
      </c>
      <c r="J48" s="708">
        <v>13229.4</v>
      </c>
      <c r="K48" t="s">
        <v>360</v>
      </c>
    </row>
    <row r="49" spans="1:11" x14ac:dyDescent="0.3">
      <c r="A49" s="770" t="s">
        <v>864</v>
      </c>
      <c r="B49" s="770"/>
    </row>
    <row r="50" spans="1:11" x14ac:dyDescent="0.3">
      <c r="A50" s="770" t="s">
        <v>865</v>
      </c>
      <c r="B50" s="770">
        <v>0</v>
      </c>
      <c r="C50">
        <v>0</v>
      </c>
      <c r="D50">
        <v>0</v>
      </c>
      <c r="E50">
        <v>0</v>
      </c>
      <c r="F50">
        <v>0</v>
      </c>
      <c r="G50">
        <v>0</v>
      </c>
      <c r="H50">
        <v>0</v>
      </c>
      <c r="I50">
        <v>0</v>
      </c>
      <c r="J50">
        <v>0</v>
      </c>
      <c r="K50">
        <v>0</v>
      </c>
    </row>
    <row r="51" spans="1:11" x14ac:dyDescent="0.3">
      <c r="A51" s="770" t="s">
        <v>866</v>
      </c>
      <c r="B51" s="770">
        <v>52</v>
      </c>
      <c r="C51">
        <v>51.4</v>
      </c>
      <c r="D51">
        <v>61.4</v>
      </c>
      <c r="E51">
        <v>61.7</v>
      </c>
      <c r="F51">
        <v>61.4</v>
      </c>
      <c r="G51">
        <v>61.6</v>
      </c>
      <c r="H51">
        <v>87.6</v>
      </c>
      <c r="I51">
        <v>84.9</v>
      </c>
      <c r="J51">
        <v>82.7</v>
      </c>
      <c r="K51">
        <v>82.7</v>
      </c>
    </row>
    <row r="52" spans="1:11" x14ac:dyDescent="0.3">
      <c r="A52" s="770" t="s">
        <v>867</v>
      </c>
      <c r="B52" s="770">
        <v>634.5</v>
      </c>
      <c r="C52">
        <v>402.3</v>
      </c>
      <c r="D52" s="708">
        <v>5250.5</v>
      </c>
      <c r="E52" s="708">
        <v>5282.2</v>
      </c>
      <c r="F52" s="708">
        <v>4936.3</v>
      </c>
      <c r="G52" s="708">
        <v>4949.6000000000004</v>
      </c>
      <c r="H52" s="708">
        <v>30574.2</v>
      </c>
      <c r="I52" s="708">
        <v>27857.3</v>
      </c>
      <c r="J52" s="708">
        <v>25313.9</v>
      </c>
      <c r="K52" s="708">
        <v>25082.2</v>
      </c>
    </row>
    <row r="53" spans="1:11" x14ac:dyDescent="0.3">
      <c r="A53" s="770" t="s">
        <v>868</v>
      </c>
      <c r="B53" s="770">
        <v>-50.9</v>
      </c>
      <c r="C53">
        <v>-73.8</v>
      </c>
      <c r="D53">
        <v>-61.4</v>
      </c>
      <c r="E53">
        <v>-58.4</v>
      </c>
      <c r="F53">
        <v>-187.8</v>
      </c>
      <c r="G53">
        <v>-249.5</v>
      </c>
      <c r="H53">
        <v>-186.6</v>
      </c>
      <c r="I53">
        <v>-198.2</v>
      </c>
      <c r="J53">
        <v>-188.3</v>
      </c>
      <c r="K53">
        <v>-185.3</v>
      </c>
    </row>
    <row r="54" spans="1:11" x14ac:dyDescent="0.3">
      <c r="A54" s="770" t="s">
        <v>869</v>
      </c>
      <c r="B54" s="772">
        <v>4437.3</v>
      </c>
      <c r="C54" s="708">
        <v>4785.8</v>
      </c>
      <c r="D54" s="708">
        <v>4910.8999999999996</v>
      </c>
      <c r="E54" s="708">
        <v>5982.7</v>
      </c>
      <c r="F54" s="708">
        <v>6899.3</v>
      </c>
      <c r="G54" s="708">
        <v>7236.2</v>
      </c>
      <c r="H54" s="708">
        <v>7517.3</v>
      </c>
      <c r="I54" s="708">
        <v>8721.2999999999993</v>
      </c>
      <c r="J54" s="708">
        <v>10356.799999999999</v>
      </c>
      <c r="K54" s="708">
        <v>10196.6</v>
      </c>
    </row>
    <row r="55" spans="1:11" x14ac:dyDescent="0.3">
      <c r="A55" s="770" t="s">
        <v>870</v>
      </c>
      <c r="B55" s="770">
        <v>312.10000000000002</v>
      </c>
      <c r="C55">
        <v>308.2</v>
      </c>
      <c r="D55">
        <v>368.6</v>
      </c>
      <c r="E55">
        <v>370.2</v>
      </c>
      <c r="F55">
        <v>368.3</v>
      </c>
      <c r="G55">
        <v>369.5</v>
      </c>
      <c r="H55">
        <v>525.29999999999995</v>
      </c>
      <c r="I55">
        <v>509.3</v>
      </c>
      <c r="J55">
        <v>496.3</v>
      </c>
      <c r="K55">
        <v>496.3</v>
      </c>
    </row>
    <row r="56" spans="1:11" x14ac:dyDescent="0.3">
      <c r="A56" s="770" t="s">
        <v>871</v>
      </c>
      <c r="B56" s="770">
        <v>0.17</v>
      </c>
      <c r="C56">
        <v>0.17</v>
      </c>
      <c r="D56">
        <v>0.16</v>
      </c>
      <c r="E56">
        <v>0.16</v>
      </c>
      <c r="F56">
        <v>0.16</v>
      </c>
      <c r="G56">
        <v>0.16</v>
      </c>
      <c r="H56">
        <v>0.16</v>
      </c>
      <c r="I56">
        <v>0.16</v>
      </c>
      <c r="J56">
        <v>0.16</v>
      </c>
      <c r="K56">
        <v>0.16</v>
      </c>
    </row>
    <row r="57" spans="1:11" x14ac:dyDescent="0.3">
      <c r="A57" s="770" t="s">
        <v>872</v>
      </c>
      <c r="B57" s="772">
        <v>5073</v>
      </c>
      <c r="C57" s="708">
        <v>5165.6000000000004</v>
      </c>
      <c r="D57" s="708">
        <v>10161.5</v>
      </c>
      <c r="E57" s="708">
        <v>11268.2</v>
      </c>
      <c r="F57" s="708">
        <v>11709.2</v>
      </c>
      <c r="G57" s="708">
        <v>11997.9</v>
      </c>
      <c r="H57" s="708">
        <v>37992.5</v>
      </c>
      <c r="I57" s="708">
        <v>36465.300000000003</v>
      </c>
      <c r="J57" s="708">
        <v>35565.1</v>
      </c>
      <c r="K57" s="708">
        <v>35176.300000000003</v>
      </c>
    </row>
    <row r="58" spans="1:11" x14ac:dyDescent="0.3">
      <c r="A58" s="770" t="s">
        <v>873</v>
      </c>
      <c r="B58" s="772">
        <v>1200</v>
      </c>
      <c r="C58" s="708">
        <v>1200</v>
      </c>
      <c r="D58" s="708">
        <v>1200</v>
      </c>
      <c r="E58" s="708">
        <v>1200</v>
      </c>
      <c r="F58" s="708">
        <v>1200</v>
      </c>
      <c r="G58" s="708">
        <v>1200</v>
      </c>
      <c r="H58" s="708">
        <v>1200</v>
      </c>
      <c r="I58" s="708">
        <v>1200</v>
      </c>
      <c r="J58" s="708">
        <v>1200</v>
      </c>
      <c r="K58" s="708">
        <v>1200</v>
      </c>
    </row>
    <row r="59" spans="1:11" x14ac:dyDescent="0.3">
      <c r="A59" s="770" t="s">
        <v>874</v>
      </c>
      <c r="B59" s="770" t="s">
        <v>360</v>
      </c>
      <c r="C59" t="s">
        <v>360</v>
      </c>
      <c r="D59" t="s">
        <v>360</v>
      </c>
      <c r="E59" t="s">
        <v>360</v>
      </c>
      <c r="F59" t="s">
        <v>360</v>
      </c>
      <c r="G59" t="s">
        <v>360</v>
      </c>
      <c r="H59" t="s">
        <v>360</v>
      </c>
      <c r="I59" t="s">
        <v>360</v>
      </c>
      <c r="J59">
        <v>0</v>
      </c>
      <c r="K59">
        <v>0</v>
      </c>
    </row>
    <row r="60" spans="1:11" x14ac:dyDescent="0.3">
      <c r="A60" s="770" t="s">
        <v>875</v>
      </c>
      <c r="B60" s="770" t="s">
        <v>360</v>
      </c>
      <c r="C60" t="s">
        <v>360</v>
      </c>
      <c r="D60" t="s">
        <v>360</v>
      </c>
      <c r="E60" t="s">
        <v>360</v>
      </c>
      <c r="F60" t="s">
        <v>360</v>
      </c>
      <c r="G60" t="s">
        <v>360</v>
      </c>
      <c r="H60" s="708">
        <v>37992.5</v>
      </c>
      <c r="I60" s="708">
        <v>36465.300000000003</v>
      </c>
      <c r="J60" s="708">
        <v>35565.1</v>
      </c>
      <c r="K60" s="708">
        <v>35176.300000000003</v>
      </c>
    </row>
    <row r="61" spans="1:11" ht="28" x14ac:dyDescent="0.3">
      <c r="A61" s="770" t="s">
        <v>876</v>
      </c>
      <c r="B61" s="772">
        <v>7058.8</v>
      </c>
      <c r="C61" s="708">
        <v>7970.3</v>
      </c>
      <c r="D61" s="708">
        <v>21141.3</v>
      </c>
      <c r="E61" s="708">
        <v>20438.400000000001</v>
      </c>
      <c r="F61" s="708">
        <v>21392.6</v>
      </c>
      <c r="G61" s="708">
        <v>21468.6</v>
      </c>
      <c r="H61" s="708">
        <v>52322.1</v>
      </c>
      <c r="I61" s="708">
        <v>50302.400000000001</v>
      </c>
      <c r="J61" s="708">
        <v>48794.5</v>
      </c>
      <c r="K61" s="708">
        <v>48228.3</v>
      </c>
    </row>
    <row r="62" spans="1:11" x14ac:dyDescent="0.3">
      <c r="A62" s="770" t="s">
        <v>729</v>
      </c>
      <c r="B62" s="770"/>
    </row>
    <row r="63" spans="1:11" ht="28" x14ac:dyDescent="0.3">
      <c r="A63" s="770" t="s">
        <v>877</v>
      </c>
      <c r="B63" s="770" t="s">
        <v>360</v>
      </c>
      <c r="C63" t="s">
        <v>360</v>
      </c>
      <c r="D63" t="s">
        <v>360</v>
      </c>
      <c r="E63" t="s">
        <v>360</v>
      </c>
      <c r="F63" t="s">
        <v>360</v>
      </c>
      <c r="G63" t="s">
        <v>360</v>
      </c>
      <c r="H63">
        <v>3.6</v>
      </c>
      <c r="I63">
        <v>5.9</v>
      </c>
      <c r="J63">
        <v>5.3</v>
      </c>
      <c r="K63">
        <v>5</v>
      </c>
    </row>
    <row r="64" spans="1:11" ht="28" x14ac:dyDescent="0.3">
      <c r="A64" s="770" t="s">
        <v>878</v>
      </c>
      <c r="B64" s="770" t="s">
        <v>360</v>
      </c>
      <c r="C64" t="s">
        <v>360</v>
      </c>
      <c r="D64" t="s">
        <v>360</v>
      </c>
      <c r="E64" t="s">
        <v>360</v>
      </c>
      <c r="F64" t="s">
        <v>360</v>
      </c>
      <c r="G64" t="s">
        <v>360</v>
      </c>
      <c r="H64">
        <v>4.8</v>
      </c>
      <c r="I64">
        <v>2.2000000000000002</v>
      </c>
      <c r="J64">
        <v>2.1</v>
      </c>
      <c r="K64">
        <v>1.9</v>
      </c>
    </row>
    <row r="65" spans="1:11" x14ac:dyDescent="0.3">
      <c r="A65" s="770" t="s">
        <v>879</v>
      </c>
      <c r="B65" s="770" t="s">
        <v>360</v>
      </c>
      <c r="C65" t="s">
        <v>360</v>
      </c>
      <c r="D65" t="s">
        <v>360</v>
      </c>
      <c r="E65" t="s">
        <v>360</v>
      </c>
      <c r="F65" t="s">
        <v>360</v>
      </c>
      <c r="G65" t="s">
        <v>360</v>
      </c>
      <c r="H65">
        <v>2.5</v>
      </c>
      <c r="I65">
        <v>2.8</v>
      </c>
      <c r="J65">
        <v>2.4</v>
      </c>
      <c r="K65">
        <v>2.4</v>
      </c>
    </row>
    <row r="66" spans="1:11" x14ac:dyDescent="0.3">
      <c r="A66" s="770" t="s">
        <v>826</v>
      </c>
      <c r="B66" s="770">
        <v>412.3</v>
      </c>
      <c r="C66">
        <v>376.6</v>
      </c>
      <c r="D66">
        <v>550.79999999999995</v>
      </c>
      <c r="E66">
        <v>586.79999999999995</v>
      </c>
      <c r="F66">
        <v>609.9</v>
      </c>
      <c r="G66">
        <v>608.29999999999995</v>
      </c>
      <c r="H66" s="708">
        <v>1200.5999999999999</v>
      </c>
      <c r="I66" s="708">
        <v>1399.9</v>
      </c>
      <c r="J66" s="708">
        <v>1642.2</v>
      </c>
      <c r="K66" s="708">
        <v>1447.7</v>
      </c>
    </row>
    <row r="67" spans="1:11" x14ac:dyDescent="0.3">
      <c r="A67" s="770" t="s">
        <v>880</v>
      </c>
      <c r="B67" s="770" t="s">
        <v>360</v>
      </c>
      <c r="C67" t="s">
        <v>360</v>
      </c>
      <c r="D67" t="s">
        <v>360</v>
      </c>
      <c r="E67" t="s">
        <v>360</v>
      </c>
      <c r="F67" t="s">
        <v>360</v>
      </c>
      <c r="G67" t="s">
        <v>360</v>
      </c>
      <c r="H67">
        <v>127.9</v>
      </c>
      <c r="I67">
        <v>122.3</v>
      </c>
      <c r="J67" t="s">
        <v>360</v>
      </c>
      <c r="K67" t="s">
        <v>360</v>
      </c>
    </row>
    <row r="68" spans="1:11" x14ac:dyDescent="0.3">
      <c r="A68" s="770" t="s">
        <v>881</v>
      </c>
      <c r="B68" s="770" t="s">
        <v>360</v>
      </c>
      <c r="C68" t="s">
        <v>360</v>
      </c>
      <c r="D68" t="s">
        <v>360</v>
      </c>
      <c r="E68" t="s">
        <v>360</v>
      </c>
      <c r="F68" t="s">
        <v>360</v>
      </c>
      <c r="G68" t="s">
        <v>360</v>
      </c>
      <c r="H68" t="s">
        <v>360</v>
      </c>
      <c r="I68" t="s">
        <v>360</v>
      </c>
      <c r="J68" s="708">
        <v>1715.6</v>
      </c>
      <c r="K68" s="708">
        <v>2061.8000000000002</v>
      </c>
    </row>
    <row r="69" spans="1:11" x14ac:dyDescent="0.3">
      <c r="A69" s="770" t="s">
        <v>882</v>
      </c>
      <c r="B69" s="770" t="s">
        <v>360</v>
      </c>
      <c r="C69" t="s">
        <v>360</v>
      </c>
      <c r="D69" t="s">
        <v>360</v>
      </c>
      <c r="E69" t="s">
        <v>360</v>
      </c>
      <c r="F69" t="s">
        <v>360</v>
      </c>
      <c r="G69" t="s">
        <v>360</v>
      </c>
      <c r="H69" t="s">
        <v>360</v>
      </c>
      <c r="I69" t="s">
        <v>360</v>
      </c>
      <c r="J69">
        <v>177.3</v>
      </c>
      <c r="K69">
        <v>191.4</v>
      </c>
    </row>
    <row r="70" spans="1:11" x14ac:dyDescent="0.3">
      <c r="A70" s="770" t="s">
        <v>883</v>
      </c>
      <c r="B70" s="770" t="s">
        <v>360</v>
      </c>
      <c r="C70" t="s">
        <v>360</v>
      </c>
      <c r="D70" t="s">
        <v>360</v>
      </c>
      <c r="E70" t="s">
        <v>360</v>
      </c>
      <c r="F70" t="s">
        <v>360</v>
      </c>
      <c r="G70" t="s">
        <v>360</v>
      </c>
      <c r="H70" t="s">
        <v>360</v>
      </c>
      <c r="I70" t="s">
        <v>360</v>
      </c>
      <c r="J70" s="708">
        <v>4751</v>
      </c>
      <c r="K70" s="708">
        <v>4934.8</v>
      </c>
    </row>
    <row r="71" spans="1:11" ht="28" x14ac:dyDescent="0.3">
      <c r="A71" s="770" t="s">
        <v>884</v>
      </c>
      <c r="B71" s="770" t="s">
        <v>360</v>
      </c>
      <c r="C71" t="s">
        <v>360</v>
      </c>
      <c r="D71" t="s">
        <v>360</v>
      </c>
      <c r="E71" t="s">
        <v>360</v>
      </c>
      <c r="F71" t="s">
        <v>360</v>
      </c>
      <c r="G71" t="s">
        <v>360</v>
      </c>
      <c r="H71" t="s">
        <v>360</v>
      </c>
      <c r="I71" t="s">
        <v>360</v>
      </c>
      <c r="J71" s="708">
        <v>6643.9</v>
      </c>
      <c r="K71" s="708">
        <v>7188</v>
      </c>
    </row>
    <row r="72" spans="1:11" x14ac:dyDescent="0.3">
      <c r="A72" s="770" t="s">
        <v>840</v>
      </c>
      <c r="B72" s="770" t="s">
        <v>360</v>
      </c>
      <c r="C72" t="s">
        <v>360</v>
      </c>
      <c r="D72" t="s">
        <v>360</v>
      </c>
      <c r="E72" t="s">
        <v>360</v>
      </c>
      <c r="F72" t="s">
        <v>360</v>
      </c>
      <c r="G72" t="s">
        <v>360</v>
      </c>
      <c r="H72" t="s">
        <v>360</v>
      </c>
      <c r="I72" t="s">
        <v>360</v>
      </c>
      <c r="J72" s="708">
        <v>3424.8</v>
      </c>
      <c r="K72" s="708">
        <v>3772.4</v>
      </c>
    </row>
    <row r="73" spans="1:11" ht="28" x14ac:dyDescent="0.3">
      <c r="A73" s="770" t="s">
        <v>885</v>
      </c>
      <c r="B73" s="770" t="s">
        <v>360</v>
      </c>
      <c r="C73" t="s">
        <v>360</v>
      </c>
      <c r="D73" t="s">
        <v>360</v>
      </c>
      <c r="E73" t="s">
        <v>360</v>
      </c>
      <c r="F73" t="s">
        <v>360</v>
      </c>
      <c r="G73" t="s">
        <v>360</v>
      </c>
      <c r="H73" t="s">
        <v>360</v>
      </c>
      <c r="I73" t="s">
        <v>360</v>
      </c>
      <c r="J73" s="708">
        <v>3219.2</v>
      </c>
      <c r="K73" s="708">
        <v>3415.6</v>
      </c>
    </row>
    <row r="74" spans="1:11" x14ac:dyDescent="0.3">
      <c r="A74" s="770" t="s">
        <v>842</v>
      </c>
      <c r="B74" s="770">
        <v>235.9</v>
      </c>
      <c r="C74">
        <v>247.8</v>
      </c>
      <c r="D74">
        <v>341.4</v>
      </c>
      <c r="E74">
        <v>187.9</v>
      </c>
      <c r="F74" s="708">
        <v>1798.7</v>
      </c>
      <c r="G74" s="708">
        <v>1797.2</v>
      </c>
      <c r="H74" s="708">
        <v>2444.6999999999998</v>
      </c>
      <c r="I74" s="708">
        <v>2435.4</v>
      </c>
      <c r="J74" s="708">
        <v>2660.5</v>
      </c>
      <c r="K74" s="708">
        <v>2758.6</v>
      </c>
    </row>
    <row r="75" spans="1:11" x14ac:dyDescent="0.3">
      <c r="A75" s="770" t="s">
        <v>886</v>
      </c>
      <c r="B75" s="770" t="s">
        <v>360</v>
      </c>
      <c r="C75" t="s">
        <v>360</v>
      </c>
      <c r="D75" t="s">
        <v>360</v>
      </c>
      <c r="E75" t="s">
        <v>360</v>
      </c>
      <c r="F75" t="s">
        <v>360</v>
      </c>
      <c r="G75" s="708">
        <v>15928.7</v>
      </c>
      <c r="H75" s="708">
        <v>42185.599999999999</v>
      </c>
      <c r="I75" s="708">
        <v>40178.5</v>
      </c>
      <c r="J75" s="708">
        <v>38225.1</v>
      </c>
      <c r="K75" s="708">
        <v>36495.199999999997</v>
      </c>
    </row>
    <row r="76" spans="1:11" x14ac:dyDescent="0.3">
      <c r="A76" s="770" t="s">
        <v>843</v>
      </c>
      <c r="B76" s="770">
        <v>47.5</v>
      </c>
      <c r="C76">
        <v>58.6</v>
      </c>
      <c r="D76" s="708">
        <v>1019.4</v>
      </c>
      <c r="E76">
        <v>891.5</v>
      </c>
      <c r="F76">
        <v>759.7</v>
      </c>
      <c r="G76">
        <v>618.4</v>
      </c>
      <c r="H76" s="708">
        <v>7098</v>
      </c>
      <c r="I76" s="708">
        <v>5927.3</v>
      </c>
      <c r="J76" s="708">
        <v>4784.2</v>
      </c>
      <c r="K76" s="708">
        <v>3811.4</v>
      </c>
    </row>
    <row r="77" spans="1:11" x14ac:dyDescent="0.3">
      <c r="A77" s="770" t="s">
        <v>887</v>
      </c>
      <c r="B77" s="770">
        <v>3.2</v>
      </c>
      <c r="C77">
        <v>0</v>
      </c>
      <c r="D77">
        <v>0</v>
      </c>
      <c r="E77">
        <v>6.6</v>
      </c>
      <c r="F77" t="s">
        <v>360</v>
      </c>
      <c r="G77">
        <v>0</v>
      </c>
      <c r="H77">
        <v>1.7</v>
      </c>
      <c r="I77">
        <v>1.2</v>
      </c>
      <c r="J77">
        <v>0</v>
      </c>
      <c r="K77">
        <v>6.1</v>
      </c>
    </row>
    <row r="78" spans="1:11" x14ac:dyDescent="0.3">
      <c r="A78" s="770" t="s">
        <v>500</v>
      </c>
      <c r="B78" s="772">
        <v>1636.5</v>
      </c>
      <c r="C78" s="708">
        <v>1679.1</v>
      </c>
      <c r="D78" s="708">
        <v>12217.5</v>
      </c>
      <c r="E78" s="708">
        <v>12252.6</v>
      </c>
      <c r="F78" s="708">
        <v>12256.9</v>
      </c>
      <c r="G78" s="708">
        <v>12278.4</v>
      </c>
      <c r="H78" s="708">
        <v>26918.5</v>
      </c>
      <c r="I78" s="708">
        <v>26913.1</v>
      </c>
      <c r="J78" s="708">
        <v>26913.1</v>
      </c>
      <c r="K78" s="708">
        <v>26909.8</v>
      </c>
    </row>
    <row r="79" spans="1:11" x14ac:dyDescent="0.3">
      <c r="A79" s="770" t="s">
        <v>888</v>
      </c>
      <c r="B79" s="770">
        <v>0</v>
      </c>
      <c r="C79">
        <v>0.5</v>
      </c>
      <c r="D79">
        <v>65.900000000000006</v>
      </c>
      <c r="E79">
        <v>56.2</v>
      </c>
      <c r="F79">
        <v>45.3</v>
      </c>
      <c r="G79">
        <v>34.700000000000003</v>
      </c>
      <c r="H79">
        <v>24.4</v>
      </c>
      <c r="I79">
        <v>14.1</v>
      </c>
      <c r="J79">
        <v>3.8</v>
      </c>
      <c r="K79">
        <v>0</v>
      </c>
    </row>
    <row r="80" spans="1:11" x14ac:dyDescent="0.3">
      <c r="A80" s="770" t="s">
        <v>889</v>
      </c>
      <c r="B80" s="770" t="s">
        <v>360</v>
      </c>
      <c r="C80" t="s">
        <v>360</v>
      </c>
      <c r="D80">
        <v>474</v>
      </c>
      <c r="E80" t="s">
        <v>360</v>
      </c>
      <c r="F80" t="s">
        <v>360</v>
      </c>
      <c r="G80" t="s">
        <v>360</v>
      </c>
      <c r="H80" t="s">
        <v>360</v>
      </c>
      <c r="I80" t="s">
        <v>360</v>
      </c>
      <c r="J80" t="s">
        <v>360</v>
      </c>
      <c r="K80" t="s">
        <v>360</v>
      </c>
    </row>
    <row r="81" spans="1:11" x14ac:dyDescent="0.3">
      <c r="A81" s="770" t="s">
        <v>890</v>
      </c>
      <c r="B81" s="770">
        <v>300.8</v>
      </c>
      <c r="C81">
        <v>321.8</v>
      </c>
      <c r="D81" s="708">
        <v>1983.8</v>
      </c>
      <c r="E81" s="708">
        <v>1168.7</v>
      </c>
      <c r="F81" s="708">
        <v>2304.5</v>
      </c>
      <c r="G81" s="708">
        <v>2213.6999999999998</v>
      </c>
      <c r="H81" s="708">
        <v>4116.2</v>
      </c>
      <c r="I81" s="708">
        <v>3793</v>
      </c>
      <c r="J81" s="708">
        <v>3565</v>
      </c>
      <c r="K81" s="708">
        <v>3299.3</v>
      </c>
    </row>
    <row r="82" spans="1:11" x14ac:dyDescent="0.3">
      <c r="A82" s="770" t="s">
        <v>891</v>
      </c>
      <c r="B82" s="770">
        <v>38.799999999999997</v>
      </c>
      <c r="C82">
        <v>59.3</v>
      </c>
      <c r="D82">
        <v>59.2</v>
      </c>
      <c r="E82">
        <v>44.7</v>
      </c>
      <c r="F82">
        <v>68.900000000000006</v>
      </c>
      <c r="G82">
        <v>78.3</v>
      </c>
      <c r="H82">
        <v>113.3</v>
      </c>
      <c r="I82">
        <v>72.2</v>
      </c>
      <c r="J82">
        <v>76</v>
      </c>
      <c r="K82">
        <v>107</v>
      </c>
    </row>
    <row r="83" spans="1:11" x14ac:dyDescent="0.3">
      <c r="A83" s="770" t="s">
        <v>866</v>
      </c>
      <c r="B83" s="770">
        <v>52</v>
      </c>
      <c r="C83">
        <v>51.4</v>
      </c>
      <c r="D83">
        <v>61.4</v>
      </c>
      <c r="E83">
        <v>61.7</v>
      </c>
      <c r="F83">
        <v>61.4</v>
      </c>
      <c r="G83">
        <v>61.6</v>
      </c>
      <c r="H83">
        <v>87.6</v>
      </c>
      <c r="I83">
        <v>84.9</v>
      </c>
      <c r="J83">
        <v>82.7</v>
      </c>
      <c r="K83">
        <v>82.7</v>
      </c>
    </row>
    <row r="84" spans="1:11" x14ac:dyDescent="0.3">
      <c r="A84" s="770" t="s">
        <v>892</v>
      </c>
      <c r="B84" s="770">
        <v>634.5</v>
      </c>
      <c r="C84">
        <v>402.3</v>
      </c>
      <c r="D84" s="708">
        <v>5250.5</v>
      </c>
      <c r="E84" s="708">
        <v>5282.2</v>
      </c>
      <c r="F84" s="708">
        <v>4936.3</v>
      </c>
      <c r="G84" s="708">
        <v>4949.6000000000004</v>
      </c>
      <c r="H84" s="708">
        <v>30574.2</v>
      </c>
      <c r="I84" s="708">
        <v>27857.3</v>
      </c>
      <c r="J84" s="708">
        <v>25313.9</v>
      </c>
      <c r="K84" s="708">
        <v>25082.2</v>
      </c>
    </row>
    <row r="85" spans="1:11" x14ac:dyDescent="0.3">
      <c r="A85" s="770" t="s">
        <v>893</v>
      </c>
      <c r="B85" s="770">
        <v>-50.9</v>
      </c>
      <c r="C85">
        <v>-73.8</v>
      </c>
      <c r="D85">
        <v>-61.4</v>
      </c>
      <c r="E85">
        <v>-58.4</v>
      </c>
      <c r="F85">
        <v>-187.8</v>
      </c>
      <c r="G85">
        <v>-249.5</v>
      </c>
      <c r="H85">
        <v>-186.6</v>
      </c>
      <c r="I85">
        <v>-198.2</v>
      </c>
      <c r="J85">
        <v>-188.3</v>
      </c>
      <c r="K85">
        <v>-185.3</v>
      </c>
    </row>
    <row r="86" spans="1:11" x14ac:dyDescent="0.3">
      <c r="A86" s="770" t="s">
        <v>869</v>
      </c>
      <c r="B86" s="772">
        <v>4437.3</v>
      </c>
      <c r="C86" s="708">
        <v>4785.8</v>
      </c>
      <c r="D86" s="708">
        <v>4910.8999999999996</v>
      </c>
      <c r="E86" s="708">
        <v>5982.7</v>
      </c>
      <c r="F86" s="708">
        <v>6899.3</v>
      </c>
      <c r="G86" s="708">
        <v>7236.2</v>
      </c>
      <c r="H86" s="708">
        <v>7517.3</v>
      </c>
      <c r="I86" s="708">
        <v>8721.2999999999993</v>
      </c>
      <c r="J86" s="708">
        <v>10356.799999999999</v>
      </c>
      <c r="K86" s="708">
        <v>10196.6</v>
      </c>
    </row>
    <row r="87" spans="1:11" x14ac:dyDescent="0.3">
      <c r="A87" s="770" t="s">
        <v>870</v>
      </c>
      <c r="B87" s="770">
        <v>312.10000000000002</v>
      </c>
      <c r="C87">
        <v>308.2</v>
      </c>
      <c r="D87">
        <v>368.6</v>
      </c>
      <c r="E87">
        <v>370.2</v>
      </c>
      <c r="F87">
        <v>368.3</v>
      </c>
      <c r="G87">
        <v>369.5</v>
      </c>
      <c r="H87">
        <v>525.29999999999995</v>
      </c>
      <c r="I87">
        <v>509.3</v>
      </c>
      <c r="J87">
        <v>496.3</v>
      </c>
      <c r="K87">
        <v>496.3</v>
      </c>
    </row>
    <row r="88" spans="1:11" x14ac:dyDescent="0.3">
      <c r="A88" s="770" t="s">
        <v>894</v>
      </c>
      <c r="B88" s="770">
        <v>0.17</v>
      </c>
      <c r="C88">
        <v>0.17</v>
      </c>
      <c r="D88">
        <v>0.16</v>
      </c>
      <c r="E88">
        <v>0.16</v>
      </c>
      <c r="F88" t="s">
        <v>360</v>
      </c>
      <c r="G88" t="s">
        <v>360</v>
      </c>
      <c r="H88">
        <v>0.16</v>
      </c>
      <c r="I88">
        <v>0.16</v>
      </c>
      <c r="J88">
        <v>0.16</v>
      </c>
      <c r="K88">
        <v>0.16</v>
      </c>
    </row>
    <row r="89" spans="1:11" x14ac:dyDescent="0.3">
      <c r="A89" s="770" t="s">
        <v>895</v>
      </c>
      <c r="B89" s="770">
        <v>21.8</v>
      </c>
      <c r="C89">
        <v>20.3</v>
      </c>
      <c r="D89">
        <v>35.4</v>
      </c>
      <c r="E89">
        <v>30.5</v>
      </c>
      <c r="F89">
        <v>35.4</v>
      </c>
      <c r="G89">
        <v>33.799999999999997</v>
      </c>
      <c r="H89">
        <v>71.599999999999994</v>
      </c>
      <c r="I89">
        <v>110.9</v>
      </c>
      <c r="J89">
        <v>128.1</v>
      </c>
      <c r="K89">
        <v>93.6</v>
      </c>
    </row>
    <row r="90" spans="1:11" x14ac:dyDescent="0.3">
      <c r="A90" s="770" t="s">
        <v>896</v>
      </c>
      <c r="B90" s="770">
        <v>261.5</v>
      </c>
      <c r="C90">
        <v>232.2</v>
      </c>
      <c r="D90">
        <v>376.5</v>
      </c>
      <c r="E90">
        <v>375.9</v>
      </c>
      <c r="F90">
        <v>400.4</v>
      </c>
      <c r="G90">
        <v>443.7</v>
      </c>
      <c r="H90">
        <v>858.6</v>
      </c>
      <c r="I90">
        <v>904.6</v>
      </c>
      <c r="J90" s="708">
        <v>1125.8</v>
      </c>
      <c r="K90" s="708">
        <v>1047</v>
      </c>
    </row>
    <row r="91" spans="1:11" x14ac:dyDescent="0.3">
      <c r="A91" s="770" t="s">
        <v>897</v>
      </c>
      <c r="B91" s="770">
        <v>129</v>
      </c>
      <c r="C91">
        <v>124.1</v>
      </c>
      <c r="D91">
        <v>138.9</v>
      </c>
      <c r="E91">
        <v>180.3</v>
      </c>
      <c r="F91">
        <v>174</v>
      </c>
      <c r="G91">
        <v>130.80000000000001</v>
      </c>
      <c r="H91">
        <v>270.3</v>
      </c>
      <c r="I91">
        <v>384.4</v>
      </c>
      <c r="J91">
        <v>388.3</v>
      </c>
      <c r="K91">
        <v>307.10000000000002</v>
      </c>
    </row>
    <row r="92" spans="1:11" x14ac:dyDescent="0.3">
      <c r="A92" s="770" t="s">
        <v>898</v>
      </c>
      <c r="B92" s="770">
        <v>750</v>
      </c>
      <c r="C92" s="708">
        <v>1000</v>
      </c>
      <c r="D92" s="708">
        <v>1000</v>
      </c>
      <c r="E92" s="708">
        <v>1000</v>
      </c>
      <c r="F92" s="708">
        <v>1250</v>
      </c>
      <c r="G92" s="708">
        <v>1250</v>
      </c>
      <c r="H92" s="708">
        <v>1250</v>
      </c>
      <c r="I92" s="708">
        <v>2500</v>
      </c>
      <c r="J92" s="708">
        <v>2500</v>
      </c>
      <c r="K92" s="708">
        <v>2500</v>
      </c>
    </row>
    <row r="93" spans="1:11" x14ac:dyDescent="0.3">
      <c r="A93" s="770" t="s">
        <v>899</v>
      </c>
      <c r="B93" s="770">
        <v>750</v>
      </c>
      <c r="C93" s="708">
        <v>1000</v>
      </c>
      <c r="D93" s="708">
        <v>1000</v>
      </c>
      <c r="E93" s="708">
        <v>1000</v>
      </c>
      <c r="F93" s="708">
        <v>1250</v>
      </c>
      <c r="G93" s="708">
        <v>1250</v>
      </c>
      <c r="H93" s="708">
        <v>1250</v>
      </c>
      <c r="I93" s="708">
        <v>2500</v>
      </c>
      <c r="J93" s="708">
        <v>2500</v>
      </c>
      <c r="K93" s="708">
        <v>2500</v>
      </c>
    </row>
    <row r="94" spans="1:11" ht="28" x14ac:dyDescent="0.3">
      <c r="A94" s="770" t="s">
        <v>900</v>
      </c>
      <c r="B94" s="770">
        <v>59.5</v>
      </c>
      <c r="C94">
        <v>82.6</v>
      </c>
      <c r="D94">
        <v>142.9</v>
      </c>
      <c r="E94">
        <v>390.3</v>
      </c>
      <c r="F94">
        <v>448.7</v>
      </c>
      <c r="G94">
        <v>380.8</v>
      </c>
      <c r="H94">
        <v>393</v>
      </c>
      <c r="I94">
        <v>454.5</v>
      </c>
      <c r="J94">
        <v>494.7</v>
      </c>
      <c r="K94">
        <v>434.9</v>
      </c>
    </row>
    <row r="95" spans="1:11" x14ac:dyDescent="0.3">
      <c r="A95" s="770" t="s">
        <v>755</v>
      </c>
      <c r="B95" s="770">
        <v>51.8</v>
      </c>
      <c r="C95">
        <v>58.5</v>
      </c>
      <c r="D95">
        <v>58.8</v>
      </c>
      <c r="E95">
        <v>84.9</v>
      </c>
      <c r="F95">
        <v>92.3</v>
      </c>
      <c r="G95">
        <v>45.9</v>
      </c>
      <c r="H95">
        <v>50.8</v>
      </c>
      <c r="I95">
        <v>60.7</v>
      </c>
      <c r="J95">
        <v>66.8</v>
      </c>
      <c r="K95">
        <v>68.3</v>
      </c>
    </row>
    <row r="96" spans="1:11" x14ac:dyDescent="0.3">
      <c r="A96" s="770" t="s">
        <v>901</v>
      </c>
      <c r="B96" s="770">
        <v>21.8</v>
      </c>
      <c r="C96">
        <v>34.299999999999997</v>
      </c>
      <c r="D96">
        <v>41.8</v>
      </c>
      <c r="E96">
        <v>39.299999999999997</v>
      </c>
      <c r="F96">
        <v>79.8</v>
      </c>
      <c r="G96">
        <v>49.5</v>
      </c>
      <c r="H96">
        <v>61.9</v>
      </c>
      <c r="I96">
        <v>31.2</v>
      </c>
      <c r="J96">
        <v>81</v>
      </c>
      <c r="K96">
        <v>83.1</v>
      </c>
    </row>
    <row r="97" spans="1:11" x14ac:dyDescent="0.3">
      <c r="A97" s="770" t="s">
        <v>902</v>
      </c>
      <c r="B97" s="770">
        <v>16.3</v>
      </c>
      <c r="C97">
        <v>25.3</v>
      </c>
      <c r="D97">
        <v>23.7</v>
      </c>
      <c r="E97">
        <v>49.1</v>
      </c>
      <c r="F97">
        <v>68</v>
      </c>
      <c r="G97">
        <v>43.8</v>
      </c>
      <c r="H97">
        <v>54</v>
      </c>
      <c r="I97">
        <v>68.400000000000006</v>
      </c>
      <c r="J97">
        <v>76.8</v>
      </c>
      <c r="K97">
        <v>77.400000000000006</v>
      </c>
    </row>
    <row r="98" spans="1:11" x14ac:dyDescent="0.3">
      <c r="A98" s="770" t="s">
        <v>903</v>
      </c>
      <c r="B98" s="770">
        <v>8.6999999999999993</v>
      </c>
      <c r="C98">
        <v>8.1</v>
      </c>
      <c r="D98">
        <v>17.5</v>
      </c>
      <c r="E98">
        <v>37.1</v>
      </c>
      <c r="F98">
        <v>40.299999999999997</v>
      </c>
      <c r="G98">
        <v>39.200000000000003</v>
      </c>
      <c r="H98">
        <v>49.5</v>
      </c>
      <c r="I98">
        <v>63.1</v>
      </c>
      <c r="J98">
        <v>71.8</v>
      </c>
      <c r="K98">
        <v>69.2</v>
      </c>
    </row>
    <row r="99" spans="1:11" x14ac:dyDescent="0.3">
      <c r="A99" s="770" t="s">
        <v>904</v>
      </c>
      <c r="B99" s="770">
        <v>4.2</v>
      </c>
      <c r="C99">
        <v>7</v>
      </c>
      <c r="D99">
        <v>13</v>
      </c>
      <c r="E99">
        <v>32.4</v>
      </c>
      <c r="F99">
        <v>37.700000000000003</v>
      </c>
      <c r="G99">
        <v>38.299999999999997</v>
      </c>
      <c r="H99">
        <v>44.1</v>
      </c>
      <c r="I99">
        <v>59.2</v>
      </c>
      <c r="J99">
        <v>65.3</v>
      </c>
      <c r="K99">
        <v>55.8</v>
      </c>
    </row>
    <row r="100" spans="1:11" x14ac:dyDescent="0.3">
      <c r="A100" s="770" t="s">
        <v>905</v>
      </c>
      <c r="B100" s="770">
        <v>3.3</v>
      </c>
      <c r="C100">
        <v>4.4000000000000004</v>
      </c>
      <c r="D100">
        <v>9.4</v>
      </c>
      <c r="E100">
        <v>30.9</v>
      </c>
      <c r="F100">
        <v>32.799999999999997</v>
      </c>
      <c r="G100">
        <v>36.200000000000003</v>
      </c>
      <c r="H100">
        <v>40</v>
      </c>
      <c r="I100">
        <v>54</v>
      </c>
      <c r="J100">
        <v>52.9</v>
      </c>
      <c r="K100">
        <v>51</v>
      </c>
    </row>
    <row r="101" spans="1:11" x14ac:dyDescent="0.3">
      <c r="A101" s="770" t="s">
        <v>906</v>
      </c>
      <c r="B101" s="770">
        <v>5.3</v>
      </c>
      <c r="C101">
        <v>3.4</v>
      </c>
      <c r="D101">
        <v>37.6</v>
      </c>
      <c r="E101">
        <v>201.5</v>
      </c>
      <c r="F101">
        <v>190.2</v>
      </c>
      <c r="G101">
        <v>173.7</v>
      </c>
      <c r="H101">
        <v>143.69999999999999</v>
      </c>
      <c r="I101">
        <v>178.7</v>
      </c>
      <c r="J101">
        <v>146.9</v>
      </c>
      <c r="K101">
        <v>98.5</v>
      </c>
    </row>
    <row r="102" spans="1:11" x14ac:dyDescent="0.3">
      <c r="A102" s="770" t="s">
        <v>907</v>
      </c>
      <c r="B102" s="770">
        <v>2.1</v>
      </c>
      <c r="C102">
        <v>5.0999999999999996</v>
      </c>
      <c r="D102">
        <v>7.2</v>
      </c>
      <c r="E102">
        <v>2.2999999999999998</v>
      </c>
      <c r="F102">
        <v>8.4</v>
      </c>
      <c r="G102">
        <v>4.4000000000000004</v>
      </c>
      <c r="H102">
        <v>2.7</v>
      </c>
      <c r="I102">
        <v>4.5999999999999996</v>
      </c>
      <c r="J102">
        <v>2.8</v>
      </c>
      <c r="K102">
        <v>7.2</v>
      </c>
    </row>
    <row r="103" spans="1:11" x14ac:dyDescent="0.3">
      <c r="A103" s="770" t="s">
        <v>908</v>
      </c>
      <c r="B103" s="770" t="s">
        <v>360</v>
      </c>
      <c r="C103" t="s">
        <v>360</v>
      </c>
      <c r="D103">
        <v>0.3</v>
      </c>
      <c r="E103">
        <v>0</v>
      </c>
      <c r="F103">
        <v>0.1</v>
      </c>
      <c r="G103">
        <v>5.6</v>
      </c>
      <c r="H103">
        <v>7.1</v>
      </c>
      <c r="I103">
        <v>18.100000000000001</v>
      </c>
      <c r="J103" t="s">
        <v>360</v>
      </c>
      <c r="K103">
        <v>7.3</v>
      </c>
    </row>
    <row r="104" spans="1:11" x14ac:dyDescent="0.3">
      <c r="A104" s="770" t="s">
        <v>909</v>
      </c>
      <c r="B104" s="770" t="s">
        <v>360</v>
      </c>
      <c r="C104" t="s">
        <v>360</v>
      </c>
      <c r="D104" t="s">
        <v>360</v>
      </c>
      <c r="E104" t="s">
        <v>360</v>
      </c>
      <c r="F104" t="s">
        <v>360</v>
      </c>
      <c r="G104" t="s">
        <v>360</v>
      </c>
      <c r="H104" t="s">
        <v>360</v>
      </c>
      <c r="I104" t="s">
        <v>360</v>
      </c>
      <c r="J104">
        <v>547.20000000000005</v>
      </c>
      <c r="K104">
        <v>547.70000000000005</v>
      </c>
    </row>
    <row r="105" spans="1:11" x14ac:dyDescent="0.3">
      <c r="A105" s="770" t="s">
        <v>910</v>
      </c>
      <c r="B105" s="770">
        <v>312.10000000000002</v>
      </c>
      <c r="C105">
        <v>308.2</v>
      </c>
      <c r="D105">
        <v>368.6</v>
      </c>
      <c r="E105">
        <v>368.3</v>
      </c>
      <c r="F105">
        <v>368.3</v>
      </c>
      <c r="G105">
        <v>369.5</v>
      </c>
      <c r="H105">
        <v>525.29999999999995</v>
      </c>
      <c r="I105">
        <v>509.3</v>
      </c>
      <c r="J105">
        <v>496.3</v>
      </c>
      <c r="K105">
        <v>496.3</v>
      </c>
    </row>
    <row r="106" spans="1:11" x14ac:dyDescent="0.3">
      <c r="A106" s="770" t="s">
        <v>911</v>
      </c>
      <c r="B106" s="770">
        <v>536</v>
      </c>
      <c r="C106">
        <v>490.2</v>
      </c>
      <c r="D106" s="708">
        <v>4234.1000000000004</v>
      </c>
      <c r="E106" s="708">
        <v>3830.5</v>
      </c>
      <c r="F106" s="708">
        <v>3412.3</v>
      </c>
      <c r="G106" s="708">
        <v>2997.2</v>
      </c>
      <c r="H106" s="708">
        <v>8144.7</v>
      </c>
      <c r="I106" s="708">
        <v>7324</v>
      </c>
      <c r="J106" s="708">
        <v>6524</v>
      </c>
      <c r="K106" s="708">
        <v>5774</v>
      </c>
    </row>
    <row r="107" spans="1:11" ht="28" x14ac:dyDescent="0.3">
      <c r="A107" s="770" t="s">
        <v>912</v>
      </c>
      <c r="B107" s="770">
        <v>93.7</v>
      </c>
      <c r="C107">
        <v>169</v>
      </c>
      <c r="D107">
        <v>558.4</v>
      </c>
      <c r="E107" s="708">
        <v>1128.4000000000001</v>
      </c>
      <c r="F107" s="708">
        <v>1698</v>
      </c>
      <c r="G107" s="708">
        <v>2259.1</v>
      </c>
      <c r="H107" s="708">
        <v>3092.2</v>
      </c>
      <c r="I107" s="708">
        <v>5089.6000000000004</v>
      </c>
      <c r="J107" s="708">
        <v>7048.2</v>
      </c>
      <c r="K107" s="708">
        <v>8421.9</v>
      </c>
    </row>
    <row r="108" spans="1:11" x14ac:dyDescent="0.3">
      <c r="A108" s="770" t="s">
        <v>913</v>
      </c>
      <c r="B108" s="770">
        <v>2</v>
      </c>
      <c r="C108">
        <v>1.8</v>
      </c>
      <c r="D108">
        <v>1.5</v>
      </c>
      <c r="E108">
        <v>0.6</v>
      </c>
      <c r="F108">
        <v>0.5</v>
      </c>
      <c r="G108">
        <v>0.4</v>
      </c>
      <c r="H108">
        <v>0.6</v>
      </c>
      <c r="I108" t="s">
        <v>360</v>
      </c>
      <c r="J108" t="s">
        <v>360</v>
      </c>
      <c r="K108" t="s">
        <v>360</v>
      </c>
    </row>
    <row r="109" spans="1:11" x14ac:dyDescent="0.3">
      <c r="A109" s="770" t="s">
        <v>914</v>
      </c>
      <c r="B109" s="770">
        <v>12.2</v>
      </c>
      <c r="C109">
        <v>11.7</v>
      </c>
      <c r="D109">
        <v>9.3000000000000007</v>
      </c>
      <c r="E109">
        <v>7.3</v>
      </c>
      <c r="F109">
        <v>5.2</v>
      </c>
      <c r="G109">
        <v>4.2</v>
      </c>
      <c r="H109">
        <v>3.7</v>
      </c>
      <c r="I109">
        <v>3.2</v>
      </c>
      <c r="J109">
        <v>2.4</v>
      </c>
      <c r="K109">
        <v>1.6</v>
      </c>
    </row>
    <row r="110" spans="1:11" x14ac:dyDescent="0.3">
      <c r="A110" s="770" t="s">
        <v>915</v>
      </c>
      <c r="B110" s="770">
        <v>3.8</v>
      </c>
      <c r="C110">
        <v>1.8</v>
      </c>
      <c r="D110">
        <v>3.5</v>
      </c>
      <c r="E110">
        <v>2.4</v>
      </c>
      <c r="F110">
        <v>2.4</v>
      </c>
      <c r="G110">
        <v>1.2</v>
      </c>
      <c r="H110">
        <v>1</v>
      </c>
      <c r="I110">
        <v>0.5</v>
      </c>
      <c r="J110">
        <v>0.8</v>
      </c>
      <c r="K110">
        <v>0.7</v>
      </c>
    </row>
    <row r="111" spans="1:11" x14ac:dyDescent="0.3">
      <c r="A111" s="770" t="s">
        <v>916</v>
      </c>
      <c r="B111" s="770">
        <v>0</v>
      </c>
      <c r="C111">
        <v>0</v>
      </c>
      <c r="D111">
        <v>0</v>
      </c>
      <c r="E111">
        <v>0.3</v>
      </c>
      <c r="F111">
        <v>0.2</v>
      </c>
      <c r="G111">
        <v>0.1</v>
      </c>
      <c r="H111">
        <v>0</v>
      </c>
      <c r="I111" t="s">
        <v>360</v>
      </c>
      <c r="J111" t="s">
        <v>360</v>
      </c>
      <c r="K111" t="s">
        <v>360</v>
      </c>
    </row>
    <row r="112" spans="1:11" ht="28" x14ac:dyDescent="0.3">
      <c r="A112" s="770" t="s">
        <v>917</v>
      </c>
      <c r="B112" s="770" t="s">
        <v>360</v>
      </c>
      <c r="C112" t="s">
        <v>360</v>
      </c>
      <c r="D112" t="s">
        <v>360</v>
      </c>
      <c r="E112" t="s">
        <v>360</v>
      </c>
      <c r="F112" t="s">
        <v>360</v>
      </c>
      <c r="G112">
        <v>416.5</v>
      </c>
      <c r="H112" s="708">
        <v>1671.6</v>
      </c>
      <c r="I112" s="708">
        <v>1357.7</v>
      </c>
      <c r="J112">
        <v>904.6</v>
      </c>
      <c r="K112">
        <v>540.6</v>
      </c>
    </row>
    <row r="113" spans="1:11" x14ac:dyDescent="0.3">
      <c r="A113" s="770" t="s">
        <v>918</v>
      </c>
      <c r="B113" s="770" t="s">
        <v>360</v>
      </c>
      <c r="C113" t="s">
        <v>360</v>
      </c>
      <c r="D113" t="s">
        <v>360</v>
      </c>
      <c r="E113" t="s">
        <v>360</v>
      </c>
      <c r="F113" t="s">
        <v>360</v>
      </c>
      <c r="G113" t="s">
        <v>360</v>
      </c>
      <c r="H113">
        <v>0</v>
      </c>
      <c r="I113">
        <v>0</v>
      </c>
      <c r="J113" t="s">
        <v>360</v>
      </c>
      <c r="K113" t="s">
        <v>360</v>
      </c>
    </row>
    <row r="114" spans="1:11" x14ac:dyDescent="0.3">
      <c r="A114" s="770" t="s">
        <v>919</v>
      </c>
      <c r="B114" s="770">
        <v>10</v>
      </c>
      <c r="C114">
        <v>7.2</v>
      </c>
      <c r="D114">
        <v>142.9</v>
      </c>
      <c r="E114">
        <v>390.3</v>
      </c>
      <c r="F114">
        <v>448.7</v>
      </c>
      <c r="G114">
        <v>380.8</v>
      </c>
      <c r="H114">
        <v>291.2</v>
      </c>
      <c r="I114">
        <v>428.4</v>
      </c>
      <c r="J114">
        <v>705.6</v>
      </c>
      <c r="K114">
        <v>485.4</v>
      </c>
    </row>
    <row r="115" spans="1:11" x14ac:dyDescent="0.3">
      <c r="A115" s="770" t="s">
        <v>920</v>
      </c>
      <c r="B115" s="770">
        <v>375</v>
      </c>
      <c r="C115">
        <v>0</v>
      </c>
      <c r="D115">
        <v>300</v>
      </c>
      <c r="E115">
        <v>67</v>
      </c>
      <c r="F115">
        <v>300</v>
      </c>
      <c r="G115">
        <v>0</v>
      </c>
      <c r="H115">
        <v>500</v>
      </c>
      <c r="I115">
        <v>0</v>
      </c>
      <c r="J115" s="708">
        <v>1047.2</v>
      </c>
      <c r="K115">
        <v>400</v>
      </c>
    </row>
    <row r="116" spans="1:11" x14ac:dyDescent="0.3">
      <c r="A116" s="770" t="s">
        <v>921</v>
      </c>
      <c r="B116" s="770" t="s">
        <v>360</v>
      </c>
      <c r="C116" t="s">
        <v>360</v>
      </c>
      <c r="D116" t="s">
        <v>360</v>
      </c>
      <c r="E116" t="s">
        <v>360</v>
      </c>
      <c r="F116" t="s">
        <v>360</v>
      </c>
      <c r="G116" t="s">
        <v>360</v>
      </c>
      <c r="H116" t="s">
        <v>360</v>
      </c>
      <c r="I116" t="s">
        <v>360</v>
      </c>
      <c r="J116" t="s">
        <v>360</v>
      </c>
      <c r="K116">
        <v>900</v>
      </c>
    </row>
    <row r="117" spans="1:11" x14ac:dyDescent="0.3">
      <c r="A117" s="770" t="s">
        <v>922</v>
      </c>
      <c r="B117" s="770" t="s">
        <v>360</v>
      </c>
      <c r="C117" t="s">
        <v>360</v>
      </c>
      <c r="D117" t="s">
        <v>360</v>
      </c>
      <c r="E117" t="s">
        <v>360</v>
      </c>
      <c r="F117" t="s">
        <v>360</v>
      </c>
      <c r="G117" t="s">
        <v>360</v>
      </c>
      <c r="H117" t="s">
        <v>360</v>
      </c>
      <c r="I117" t="s">
        <v>360</v>
      </c>
      <c r="J117" t="s">
        <v>360</v>
      </c>
      <c r="K117">
        <v>440.2</v>
      </c>
    </row>
    <row r="118" spans="1:11" x14ac:dyDescent="0.3">
      <c r="A118" s="770" t="s">
        <v>923</v>
      </c>
      <c r="B118" s="770" t="s">
        <v>360</v>
      </c>
      <c r="C118" t="s">
        <v>360</v>
      </c>
      <c r="D118" t="s">
        <v>360</v>
      </c>
      <c r="E118" t="s">
        <v>360</v>
      </c>
      <c r="F118" t="s">
        <v>360</v>
      </c>
      <c r="G118" t="s">
        <v>360</v>
      </c>
      <c r="H118" t="s">
        <v>360</v>
      </c>
      <c r="I118" t="s">
        <v>360</v>
      </c>
      <c r="J118" t="s">
        <v>360</v>
      </c>
      <c r="K118">
        <v>750</v>
      </c>
    </row>
    <row r="119" spans="1:11" x14ac:dyDescent="0.3">
      <c r="A119" s="770" t="s">
        <v>924</v>
      </c>
      <c r="B119" s="770" t="s">
        <v>360</v>
      </c>
      <c r="C119" t="s">
        <v>360</v>
      </c>
      <c r="D119" t="s">
        <v>360</v>
      </c>
      <c r="E119" t="s">
        <v>360</v>
      </c>
      <c r="F119" t="s">
        <v>360</v>
      </c>
      <c r="G119" t="s">
        <v>360</v>
      </c>
      <c r="H119" t="s">
        <v>360</v>
      </c>
      <c r="I119" t="s">
        <v>360</v>
      </c>
      <c r="J119" t="s">
        <v>360</v>
      </c>
      <c r="K119" s="708">
        <v>1000</v>
      </c>
    </row>
    <row r="120" spans="1:11" x14ac:dyDescent="0.3">
      <c r="A120" s="770" t="s">
        <v>925</v>
      </c>
      <c r="B120" s="770">
        <v>500</v>
      </c>
      <c r="C120" s="708">
        <v>1750</v>
      </c>
      <c r="D120" s="708">
        <v>3450</v>
      </c>
      <c r="E120" s="708">
        <v>2950</v>
      </c>
      <c r="F120" s="708">
        <v>2400</v>
      </c>
      <c r="G120" s="708">
        <v>2400</v>
      </c>
      <c r="H120" s="708">
        <v>5376.9</v>
      </c>
      <c r="I120" s="708">
        <v>4276.8999999999996</v>
      </c>
      <c r="J120" s="708">
        <v>3526.9</v>
      </c>
      <c r="K120" s="708">
        <v>3626.9</v>
      </c>
    </row>
    <row r="121" spans="1:11" x14ac:dyDescent="0.3">
      <c r="A121" s="770" t="s">
        <v>926</v>
      </c>
      <c r="B121" s="770">
        <v>875</v>
      </c>
      <c r="C121" s="708">
        <v>1750</v>
      </c>
      <c r="D121" s="708">
        <v>7900</v>
      </c>
      <c r="E121" s="708">
        <v>6375</v>
      </c>
      <c r="F121" s="708">
        <v>5525</v>
      </c>
      <c r="G121" s="708">
        <v>5175</v>
      </c>
      <c r="H121" s="708">
        <v>6776.9</v>
      </c>
      <c r="I121" s="708">
        <v>6576.9</v>
      </c>
      <c r="J121" s="708">
        <v>7064.3</v>
      </c>
      <c r="K121" s="708">
        <v>7664.8</v>
      </c>
    </row>
    <row r="122" spans="1:11" ht="28" x14ac:dyDescent="0.3">
      <c r="A122" s="770" t="s">
        <v>927</v>
      </c>
      <c r="B122" s="770" t="s">
        <v>360</v>
      </c>
      <c r="C122" t="s">
        <v>360</v>
      </c>
      <c r="D122" t="s">
        <v>360</v>
      </c>
      <c r="E122" t="s">
        <v>360</v>
      </c>
      <c r="F122" t="s">
        <v>360</v>
      </c>
      <c r="G122" t="s">
        <v>360</v>
      </c>
      <c r="H122" t="s">
        <v>360</v>
      </c>
      <c r="I122" t="s">
        <v>360</v>
      </c>
      <c r="J122" t="s">
        <v>360</v>
      </c>
      <c r="K122" s="708">
        <v>6717.1</v>
      </c>
    </row>
    <row r="123" spans="1:11" x14ac:dyDescent="0.3">
      <c r="A123" s="770" t="s">
        <v>928</v>
      </c>
      <c r="B123" s="770">
        <v>4.0999999999999996</v>
      </c>
      <c r="C123">
        <v>6.6</v>
      </c>
      <c r="D123">
        <v>0.6</v>
      </c>
      <c r="E123">
        <v>2.5</v>
      </c>
      <c r="F123">
        <v>6.1</v>
      </c>
      <c r="G123">
        <v>2.2999999999999998</v>
      </c>
      <c r="H123">
        <v>16.100000000000001</v>
      </c>
      <c r="I123">
        <v>18.7</v>
      </c>
      <c r="J123">
        <v>16.5</v>
      </c>
      <c r="K123">
        <v>3.2</v>
      </c>
    </row>
    <row r="124" spans="1:11" x14ac:dyDescent="0.3">
      <c r="A124" s="770" t="s">
        <v>929</v>
      </c>
      <c r="B124" s="770" t="s">
        <v>360</v>
      </c>
      <c r="C124" t="s">
        <v>360</v>
      </c>
      <c r="D124" t="s">
        <v>360</v>
      </c>
      <c r="E124" t="s">
        <v>360</v>
      </c>
      <c r="F124" t="s">
        <v>360</v>
      </c>
      <c r="G124" t="s">
        <v>360</v>
      </c>
      <c r="H124">
        <v>0</v>
      </c>
      <c r="I124" t="s">
        <v>360</v>
      </c>
      <c r="J124" t="s">
        <v>360</v>
      </c>
      <c r="K124" t="s">
        <v>360</v>
      </c>
    </row>
    <row r="125" spans="1:11" x14ac:dyDescent="0.3">
      <c r="A125" s="770" t="s">
        <v>930</v>
      </c>
      <c r="B125" s="770" t="s">
        <v>360</v>
      </c>
      <c r="C125" t="s">
        <v>360</v>
      </c>
      <c r="D125" t="s">
        <v>360</v>
      </c>
      <c r="E125" t="s">
        <v>360</v>
      </c>
      <c r="F125" t="s">
        <v>360</v>
      </c>
      <c r="G125">
        <v>328.4</v>
      </c>
      <c r="H125">
        <v>348.4</v>
      </c>
      <c r="I125">
        <v>390.9</v>
      </c>
      <c r="J125">
        <v>425.2</v>
      </c>
      <c r="K125">
        <v>386.7</v>
      </c>
    </row>
    <row r="126" spans="1:11" x14ac:dyDescent="0.3">
      <c r="A126" s="770" t="s">
        <v>931</v>
      </c>
      <c r="B126" s="770">
        <v>223</v>
      </c>
      <c r="C126">
        <v>304.5</v>
      </c>
      <c r="D126">
        <v>546.4</v>
      </c>
      <c r="E126">
        <v>435.1</v>
      </c>
      <c r="F126">
        <v>465.2</v>
      </c>
      <c r="G126">
        <v>869.2</v>
      </c>
      <c r="H126">
        <v>734.3</v>
      </c>
      <c r="I126">
        <v>517.79999999999995</v>
      </c>
      <c r="J126">
        <v>394.2</v>
      </c>
      <c r="K126">
        <v>685.3</v>
      </c>
    </row>
    <row r="127" spans="1:11" x14ac:dyDescent="0.3">
      <c r="A127" s="770" t="s">
        <v>932</v>
      </c>
      <c r="B127" s="772">
        <v>2753.7</v>
      </c>
      <c r="C127" s="708">
        <v>3525.7</v>
      </c>
      <c r="D127">
        <v>241.8</v>
      </c>
      <c r="E127">
        <v>206.3</v>
      </c>
      <c r="F127">
        <v>0</v>
      </c>
      <c r="G127">
        <v>5.4</v>
      </c>
      <c r="H127">
        <v>0</v>
      </c>
      <c r="I127" t="s">
        <v>360</v>
      </c>
      <c r="J127">
        <v>1.9</v>
      </c>
      <c r="K127">
        <v>379.1</v>
      </c>
    </row>
    <row r="128" spans="1:11" x14ac:dyDescent="0.3">
      <c r="A128" s="770" t="s">
        <v>933</v>
      </c>
      <c r="B128" s="770">
        <v>0</v>
      </c>
      <c r="C128">
        <v>0</v>
      </c>
      <c r="D128">
        <v>0</v>
      </c>
      <c r="E128" t="s">
        <v>360</v>
      </c>
      <c r="F128" t="s">
        <v>360</v>
      </c>
      <c r="G128" t="s">
        <v>360</v>
      </c>
      <c r="H128" t="s">
        <v>360</v>
      </c>
      <c r="I128" t="s">
        <v>360</v>
      </c>
      <c r="J128" t="s">
        <v>360</v>
      </c>
      <c r="K128" t="s">
        <v>360</v>
      </c>
    </row>
    <row r="129" spans="1:11" x14ac:dyDescent="0.3">
      <c r="A129" s="770" t="s">
        <v>934</v>
      </c>
      <c r="B129" s="772">
        <v>2976.6</v>
      </c>
      <c r="C129" s="708">
        <v>3830.2</v>
      </c>
      <c r="D129">
        <v>788.2</v>
      </c>
      <c r="E129">
        <v>641.4</v>
      </c>
      <c r="F129">
        <v>465.2</v>
      </c>
      <c r="G129">
        <v>874.6</v>
      </c>
      <c r="H129">
        <v>734.3</v>
      </c>
      <c r="I129">
        <v>517.79999999999995</v>
      </c>
      <c r="J129">
        <v>396.2</v>
      </c>
      <c r="K129" s="708">
        <v>1064.4000000000001</v>
      </c>
    </row>
    <row r="130" spans="1:11" x14ac:dyDescent="0.3">
      <c r="A130" s="770" t="s">
        <v>935</v>
      </c>
      <c r="B130" s="770">
        <v>0</v>
      </c>
      <c r="C130">
        <v>0</v>
      </c>
      <c r="D130">
        <v>0</v>
      </c>
      <c r="E130">
        <v>0</v>
      </c>
      <c r="F130">
        <v>0</v>
      </c>
      <c r="G130">
        <v>0</v>
      </c>
      <c r="H130">
        <v>0</v>
      </c>
      <c r="I130">
        <v>0</v>
      </c>
      <c r="J130">
        <v>0</v>
      </c>
      <c r="K130">
        <v>0</v>
      </c>
    </row>
    <row r="131" spans="1:11" x14ac:dyDescent="0.3">
      <c r="A131" s="770" t="s">
        <v>936</v>
      </c>
      <c r="B131" s="770">
        <v>35.799999999999997</v>
      </c>
      <c r="C131">
        <v>5.2</v>
      </c>
      <c r="D131">
        <v>1.5</v>
      </c>
      <c r="E131">
        <v>7.2</v>
      </c>
      <c r="F131">
        <v>138.80000000000001</v>
      </c>
      <c r="G131">
        <v>214.6</v>
      </c>
      <c r="H131">
        <v>8.1</v>
      </c>
      <c r="I131">
        <v>17</v>
      </c>
      <c r="J131">
        <v>95.1</v>
      </c>
      <c r="K131">
        <v>53.1</v>
      </c>
    </row>
    <row r="132" spans="1:11" x14ac:dyDescent="0.3">
      <c r="A132" s="770" t="s">
        <v>937</v>
      </c>
      <c r="B132" s="770">
        <v>2.8</v>
      </c>
      <c r="C132">
        <v>7.6</v>
      </c>
      <c r="D132">
        <v>7.9</v>
      </c>
      <c r="E132" t="s">
        <v>360</v>
      </c>
      <c r="F132" t="s">
        <v>360</v>
      </c>
      <c r="G132" t="s">
        <v>360</v>
      </c>
      <c r="H132" t="s">
        <v>360</v>
      </c>
      <c r="I132" t="s">
        <v>360</v>
      </c>
      <c r="J132" t="s">
        <v>360</v>
      </c>
      <c r="K132" t="s">
        <v>360</v>
      </c>
    </row>
    <row r="133" spans="1:11" x14ac:dyDescent="0.3">
      <c r="A133" s="770" t="s">
        <v>938</v>
      </c>
      <c r="B133" s="770">
        <v>38.700000000000003</v>
      </c>
      <c r="C133">
        <v>12.8</v>
      </c>
      <c r="D133">
        <v>9.4</v>
      </c>
      <c r="E133">
        <v>7.2</v>
      </c>
      <c r="F133">
        <v>138.80000000000001</v>
      </c>
      <c r="G133">
        <v>214.6</v>
      </c>
      <c r="H133">
        <v>8.1</v>
      </c>
      <c r="I133">
        <v>17</v>
      </c>
      <c r="J133">
        <v>95.1</v>
      </c>
      <c r="K133">
        <v>53.1</v>
      </c>
    </row>
    <row r="134" spans="1:11" x14ac:dyDescent="0.3">
      <c r="A134" s="770" t="s">
        <v>939</v>
      </c>
      <c r="B134" s="770">
        <v>0.2</v>
      </c>
      <c r="C134">
        <v>0.5</v>
      </c>
      <c r="D134">
        <v>0.4</v>
      </c>
      <c r="E134" t="s">
        <v>360</v>
      </c>
      <c r="F134" t="s">
        <v>360</v>
      </c>
      <c r="G134" t="s">
        <v>360</v>
      </c>
      <c r="H134">
        <v>0.1</v>
      </c>
      <c r="I134">
        <v>0</v>
      </c>
      <c r="J134">
        <v>0</v>
      </c>
      <c r="K134">
        <v>0</v>
      </c>
    </row>
    <row r="135" spans="1:11" x14ac:dyDescent="0.3">
      <c r="A135" s="770" t="s">
        <v>940</v>
      </c>
      <c r="B135" s="770">
        <v>431</v>
      </c>
      <c r="C135">
        <v>116.2</v>
      </c>
      <c r="D135">
        <v>579.9</v>
      </c>
      <c r="E135">
        <v>397</v>
      </c>
      <c r="F135">
        <v>603.79999999999995</v>
      </c>
      <c r="G135">
        <v>315.5</v>
      </c>
      <c r="H135">
        <v>923.5</v>
      </c>
      <c r="I135">
        <v>486.7</v>
      </c>
      <c r="J135" s="708">
        <v>1703.9</v>
      </c>
      <c r="K135" s="708">
        <v>1598.8</v>
      </c>
    </row>
    <row r="136" spans="1:11" x14ac:dyDescent="0.3">
      <c r="A136" s="770" t="s">
        <v>941</v>
      </c>
      <c r="B136" s="770">
        <v>53.7</v>
      </c>
      <c r="C136">
        <v>170.9</v>
      </c>
      <c r="D136" s="708">
        <v>2416.1</v>
      </c>
      <c r="E136" s="708">
        <v>1718.9</v>
      </c>
      <c r="F136" s="708">
        <v>2317.1999999999998</v>
      </c>
      <c r="G136" s="708">
        <v>2348.5</v>
      </c>
      <c r="H136" s="708">
        <v>1356.3</v>
      </c>
      <c r="I136" s="708">
        <v>2103.1</v>
      </c>
      <c r="J136" s="708">
        <v>1539.5</v>
      </c>
      <c r="K136" s="708">
        <v>2398.6999999999998</v>
      </c>
    </row>
    <row r="137" spans="1:11" x14ac:dyDescent="0.3">
      <c r="A137" s="770" t="s">
        <v>942</v>
      </c>
      <c r="B137" s="770">
        <v>36.200000000000003</v>
      </c>
      <c r="C137">
        <v>148.9</v>
      </c>
      <c r="D137" s="708">
        <v>2562.1</v>
      </c>
      <c r="E137" s="708">
        <v>2715.4</v>
      </c>
      <c r="F137" s="708">
        <v>1526.4</v>
      </c>
      <c r="G137" s="708">
        <v>1506.3</v>
      </c>
      <c r="H137" s="708">
        <v>1203.3</v>
      </c>
      <c r="I137" s="708">
        <v>1901.5</v>
      </c>
      <c r="J137" s="708">
        <v>2612.6</v>
      </c>
      <c r="K137" s="708">
        <v>1315.4</v>
      </c>
    </row>
    <row r="138" spans="1:11" x14ac:dyDescent="0.3">
      <c r="A138" s="770" t="s">
        <v>943</v>
      </c>
      <c r="B138" s="770">
        <v>572.5</v>
      </c>
      <c r="C138" s="708">
        <v>2476.9</v>
      </c>
      <c r="D138" s="708">
        <v>4479.3999999999996</v>
      </c>
      <c r="E138" s="708">
        <v>4474.2</v>
      </c>
      <c r="F138" s="708">
        <v>3698</v>
      </c>
      <c r="G138" s="708">
        <v>3441.6</v>
      </c>
      <c r="H138" s="708">
        <v>7231.8</v>
      </c>
      <c r="I138" s="708">
        <v>6070.9</v>
      </c>
      <c r="J138" s="708">
        <v>5146.3</v>
      </c>
      <c r="K138" s="708">
        <v>6941.6</v>
      </c>
    </row>
    <row r="139" spans="1:11" x14ac:dyDescent="0.3">
      <c r="A139" s="770" t="s">
        <v>944</v>
      </c>
      <c r="B139" s="772">
        <v>1093.5</v>
      </c>
      <c r="C139" s="708">
        <v>2912.8</v>
      </c>
      <c r="D139" s="708">
        <v>10037.6</v>
      </c>
      <c r="E139" s="708">
        <v>9305.5</v>
      </c>
      <c r="F139" s="708">
        <v>8145.4</v>
      </c>
      <c r="G139" s="708">
        <v>7611.8</v>
      </c>
      <c r="H139" s="708">
        <v>10714.8</v>
      </c>
      <c r="I139" s="708">
        <v>10562.3</v>
      </c>
      <c r="J139" s="708">
        <v>11002.3</v>
      </c>
      <c r="K139" s="708">
        <v>12254.5</v>
      </c>
    </row>
    <row r="140" spans="1:11" x14ac:dyDescent="0.3">
      <c r="A140" s="770" t="s">
        <v>945</v>
      </c>
      <c r="B140" s="770">
        <v>29.7</v>
      </c>
      <c r="C140">
        <v>12</v>
      </c>
      <c r="D140">
        <v>4.3</v>
      </c>
      <c r="E140" t="s">
        <v>360</v>
      </c>
      <c r="F140" t="s">
        <v>360</v>
      </c>
      <c r="G140" t="s">
        <v>360</v>
      </c>
      <c r="H140" t="s">
        <v>360</v>
      </c>
      <c r="I140" t="s">
        <v>360</v>
      </c>
      <c r="J140" t="s">
        <v>360</v>
      </c>
      <c r="K140" t="s">
        <v>360</v>
      </c>
    </row>
    <row r="141" spans="1:11" x14ac:dyDescent="0.3">
      <c r="A141" s="770" t="s">
        <v>946</v>
      </c>
      <c r="B141" s="770">
        <v>25</v>
      </c>
      <c r="C141" t="s">
        <v>360</v>
      </c>
      <c r="D141" t="s">
        <v>360</v>
      </c>
      <c r="E141" t="s">
        <v>360</v>
      </c>
      <c r="F141" t="s">
        <v>360</v>
      </c>
      <c r="G141" t="s">
        <v>360</v>
      </c>
      <c r="H141" t="s">
        <v>360</v>
      </c>
      <c r="I141" t="s">
        <v>360</v>
      </c>
      <c r="J141" t="s">
        <v>360</v>
      </c>
      <c r="K141" t="s">
        <v>360</v>
      </c>
    </row>
    <row r="142" spans="1:11" x14ac:dyDescent="0.3">
      <c r="A142" s="770" t="s">
        <v>947</v>
      </c>
      <c r="B142" s="770">
        <v>7.5</v>
      </c>
      <c r="C142" t="s">
        <v>360</v>
      </c>
      <c r="D142" t="s">
        <v>360</v>
      </c>
      <c r="E142" t="s">
        <v>360</v>
      </c>
      <c r="F142" t="s">
        <v>360</v>
      </c>
      <c r="G142" t="s">
        <v>360</v>
      </c>
      <c r="H142" t="s">
        <v>360</v>
      </c>
      <c r="I142" t="s">
        <v>360</v>
      </c>
      <c r="J142" t="s">
        <v>360</v>
      </c>
      <c r="K142" t="s">
        <v>360</v>
      </c>
    </row>
    <row r="143" spans="1:11" ht="28" x14ac:dyDescent="0.3">
      <c r="A143" s="770" t="s">
        <v>948</v>
      </c>
      <c r="B143" s="770" t="s">
        <v>360</v>
      </c>
      <c r="C143" t="s">
        <v>360</v>
      </c>
      <c r="D143" t="s">
        <v>360</v>
      </c>
      <c r="E143" t="s">
        <v>360</v>
      </c>
      <c r="F143" t="s">
        <v>360</v>
      </c>
      <c r="G143">
        <v>328.4</v>
      </c>
      <c r="H143">
        <v>348.4</v>
      </c>
      <c r="I143">
        <v>390.9</v>
      </c>
      <c r="J143">
        <v>425.2</v>
      </c>
      <c r="K143">
        <v>386.7</v>
      </c>
    </row>
    <row r="144" spans="1:11" x14ac:dyDescent="0.3">
      <c r="A144" s="770" t="s">
        <v>949</v>
      </c>
      <c r="B144" s="770">
        <v>0</v>
      </c>
      <c r="C144">
        <v>0</v>
      </c>
      <c r="D144" s="708">
        <v>1937.5</v>
      </c>
      <c r="E144" s="708">
        <v>1108</v>
      </c>
      <c r="F144" s="708">
        <v>1775</v>
      </c>
      <c r="G144" s="708">
        <v>1825</v>
      </c>
      <c r="H144">
        <v>500</v>
      </c>
      <c r="I144">
        <v>900</v>
      </c>
      <c r="J144">
        <v>400</v>
      </c>
      <c r="K144" t="s">
        <v>360</v>
      </c>
    </row>
    <row r="145" spans="1:11" x14ac:dyDescent="0.3">
      <c r="A145" s="770" t="s">
        <v>950</v>
      </c>
      <c r="B145" s="770">
        <v>0</v>
      </c>
      <c r="C145">
        <v>0</v>
      </c>
      <c r="D145" s="708">
        <v>2212.5</v>
      </c>
      <c r="E145" s="708">
        <v>2250</v>
      </c>
      <c r="F145" s="708">
        <v>1050</v>
      </c>
      <c r="G145">
        <v>950</v>
      </c>
      <c r="H145">
        <v>400</v>
      </c>
      <c r="I145" s="708">
        <v>1400</v>
      </c>
      <c r="J145" s="708">
        <v>2090.1999999999998</v>
      </c>
      <c r="K145" t="s">
        <v>360</v>
      </c>
    </row>
    <row r="146" spans="1:11" ht="28" x14ac:dyDescent="0.3">
      <c r="A146" s="770" t="s">
        <v>951</v>
      </c>
      <c r="B146" s="770">
        <v>0.6</v>
      </c>
      <c r="C146">
        <v>0.6</v>
      </c>
      <c r="D146">
        <v>0.7</v>
      </c>
      <c r="E146">
        <v>0.8</v>
      </c>
      <c r="F146">
        <v>0.8</v>
      </c>
      <c r="G146">
        <v>1</v>
      </c>
      <c r="H146">
        <v>2.7</v>
      </c>
      <c r="I146">
        <v>2.6</v>
      </c>
      <c r="J146">
        <v>4.2</v>
      </c>
      <c r="K146">
        <v>3.3</v>
      </c>
    </row>
    <row r="147" spans="1:11" ht="28" x14ac:dyDescent="0.3">
      <c r="A147" s="770" t="s">
        <v>952</v>
      </c>
      <c r="B147" s="770">
        <v>10.38</v>
      </c>
      <c r="C147">
        <v>12.67</v>
      </c>
      <c r="D147">
        <v>17.12</v>
      </c>
      <c r="E147">
        <v>20.82</v>
      </c>
      <c r="F147">
        <v>23.29</v>
      </c>
      <c r="G147">
        <v>18.809999999999999</v>
      </c>
      <c r="H147">
        <v>33.35</v>
      </c>
      <c r="I147" t="s">
        <v>360</v>
      </c>
      <c r="J147" t="s">
        <v>360</v>
      </c>
      <c r="K147" t="s">
        <v>360</v>
      </c>
    </row>
    <row r="148" spans="1:11" ht="28" x14ac:dyDescent="0.3">
      <c r="A148" s="770" t="s">
        <v>953</v>
      </c>
      <c r="B148" s="770">
        <v>1.6</v>
      </c>
      <c r="C148">
        <v>1.4</v>
      </c>
      <c r="D148">
        <v>2.1</v>
      </c>
      <c r="E148">
        <v>2.6</v>
      </c>
      <c r="F148">
        <v>2.4</v>
      </c>
      <c r="G148">
        <v>0.7</v>
      </c>
      <c r="H148">
        <v>0.8</v>
      </c>
      <c r="I148" t="s">
        <v>360</v>
      </c>
      <c r="J148" t="s">
        <v>360</v>
      </c>
      <c r="K148" t="s">
        <v>360</v>
      </c>
    </row>
    <row r="149" spans="1:11" ht="28" x14ac:dyDescent="0.3">
      <c r="A149" s="770" t="s">
        <v>954</v>
      </c>
      <c r="B149" s="770">
        <v>5.3</v>
      </c>
      <c r="C149">
        <v>5.0999999999999996</v>
      </c>
      <c r="D149">
        <v>5.0999999999999996</v>
      </c>
      <c r="E149">
        <v>5</v>
      </c>
      <c r="F149">
        <v>5</v>
      </c>
      <c r="G149">
        <v>5</v>
      </c>
      <c r="H149">
        <v>5</v>
      </c>
      <c r="I149" t="s">
        <v>360</v>
      </c>
      <c r="J149" t="s">
        <v>360</v>
      </c>
      <c r="K149" t="s">
        <v>360</v>
      </c>
    </row>
    <row r="150" spans="1:11" ht="28" x14ac:dyDescent="0.3">
      <c r="A150" s="770" t="s">
        <v>955</v>
      </c>
      <c r="B150" s="770">
        <v>25.9</v>
      </c>
      <c r="C150">
        <v>34</v>
      </c>
      <c r="D150">
        <v>26.4</v>
      </c>
      <c r="E150">
        <v>27.7</v>
      </c>
      <c r="F150">
        <v>26.4</v>
      </c>
      <c r="G150">
        <v>29.5</v>
      </c>
      <c r="H150">
        <v>35.299999999999997</v>
      </c>
      <c r="I150" t="s">
        <v>360</v>
      </c>
      <c r="J150" t="s">
        <v>360</v>
      </c>
      <c r="K150" t="s">
        <v>360</v>
      </c>
    </row>
    <row r="151" spans="1:11" ht="28" x14ac:dyDescent="0.3">
      <c r="A151" s="770" t="s">
        <v>956</v>
      </c>
      <c r="B151" s="770">
        <v>2.8</v>
      </c>
      <c r="C151">
        <v>3</v>
      </c>
      <c r="D151">
        <v>2.2000000000000002</v>
      </c>
      <c r="E151">
        <v>2.1</v>
      </c>
      <c r="F151">
        <v>2</v>
      </c>
      <c r="G151">
        <v>2.6</v>
      </c>
      <c r="H151">
        <v>1.9</v>
      </c>
      <c r="I151" t="s">
        <v>360</v>
      </c>
      <c r="J151" t="s">
        <v>360</v>
      </c>
      <c r="K151" t="s">
        <v>360</v>
      </c>
    </row>
    <row r="152" spans="1:11" ht="28" x14ac:dyDescent="0.3">
      <c r="A152" s="770" t="s">
        <v>957</v>
      </c>
      <c r="B152" s="770">
        <v>34.11</v>
      </c>
      <c r="C152">
        <v>37.9</v>
      </c>
      <c r="D152">
        <v>42.09</v>
      </c>
      <c r="E152">
        <v>48.93</v>
      </c>
      <c r="F152">
        <v>55.23</v>
      </c>
      <c r="G152">
        <v>61.23</v>
      </c>
      <c r="H152">
        <v>66.44</v>
      </c>
      <c r="I152">
        <v>73.930000000000007</v>
      </c>
      <c r="J152">
        <v>81.040000000000006</v>
      </c>
      <c r="K152">
        <v>95.65</v>
      </c>
    </row>
    <row r="153" spans="1:11" x14ac:dyDescent="0.3">
      <c r="A153" s="770" t="s">
        <v>958</v>
      </c>
      <c r="B153" s="770">
        <v>41.6</v>
      </c>
      <c r="C153">
        <v>44.43</v>
      </c>
      <c r="D153">
        <v>52.27</v>
      </c>
      <c r="E153">
        <v>58.42</v>
      </c>
      <c r="F153">
        <v>65.97</v>
      </c>
      <c r="G153">
        <v>70.73</v>
      </c>
      <c r="H153">
        <v>85.22</v>
      </c>
      <c r="I153">
        <v>89.13</v>
      </c>
      <c r="J153">
        <v>96.33</v>
      </c>
      <c r="K153">
        <v>105.95</v>
      </c>
    </row>
    <row r="154" spans="1:11" x14ac:dyDescent="0.3">
      <c r="A154" s="770" t="s">
        <v>959</v>
      </c>
      <c r="B154" s="770">
        <v>6.4</v>
      </c>
      <c r="C154">
        <v>6.6</v>
      </c>
      <c r="D154">
        <v>4.9000000000000004</v>
      </c>
      <c r="E154">
        <v>4.0999999999999996</v>
      </c>
      <c r="F154">
        <v>2.9</v>
      </c>
      <c r="G154">
        <v>2.7</v>
      </c>
      <c r="H154">
        <v>2.4</v>
      </c>
      <c r="I154">
        <v>2.4</v>
      </c>
      <c r="J154">
        <v>1.7</v>
      </c>
      <c r="K154">
        <v>1.3</v>
      </c>
    </row>
    <row r="155" spans="1:11" ht="28" x14ac:dyDescent="0.3">
      <c r="A155" s="770" t="s">
        <v>960</v>
      </c>
      <c r="B155" s="770">
        <v>52.7</v>
      </c>
      <c r="C155">
        <v>67.099999999999994</v>
      </c>
      <c r="D155">
        <v>53.8</v>
      </c>
      <c r="E155">
        <v>82.3</v>
      </c>
      <c r="F155">
        <v>116.3</v>
      </c>
      <c r="G155">
        <v>154.1</v>
      </c>
      <c r="H155">
        <v>315.39999999999998</v>
      </c>
      <c r="I155">
        <v>339.1</v>
      </c>
      <c r="J155">
        <v>332.5</v>
      </c>
      <c r="K155">
        <v>343.1</v>
      </c>
    </row>
    <row r="156" spans="1:11" x14ac:dyDescent="0.3">
      <c r="A156" s="770" t="s">
        <v>961</v>
      </c>
      <c r="B156" s="772">
        <v>5600</v>
      </c>
      <c r="C156" s="708">
        <v>6200</v>
      </c>
      <c r="D156" s="708">
        <v>6200</v>
      </c>
      <c r="E156" s="708">
        <v>8200</v>
      </c>
      <c r="F156" s="708">
        <v>8200</v>
      </c>
      <c r="G156" s="708">
        <v>2000</v>
      </c>
      <c r="H156" s="708">
        <v>8800</v>
      </c>
      <c r="I156" s="708">
        <v>16700</v>
      </c>
      <c r="J156" s="708">
        <v>16700</v>
      </c>
      <c r="K156" s="708">
        <v>16700</v>
      </c>
    </row>
    <row r="157" spans="1:11" ht="28" x14ac:dyDescent="0.3">
      <c r="A157" s="770" t="s">
        <v>962</v>
      </c>
      <c r="B157" s="770">
        <v>544.5</v>
      </c>
      <c r="C157">
        <v>792.5</v>
      </c>
      <c r="D157">
        <v>792.5</v>
      </c>
      <c r="E157" s="708">
        <v>2617.5</v>
      </c>
      <c r="F157" s="708">
        <v>2070.9</v>
      </c>
      <c r="G157" s="708">
        <v>1893.1</v>
      </c>
      <c r="H157" s="708">
        <v>7386.1</v>
      </c>
      <c r="I157" s="708">
        <v>4929.7</v>
      </c>
      <c r="J157" s="708">
        <v>2130.1</v>
      </c>
      <c r="K157" s="708">
        <v>1652.4</v>
      </c>
    </row>
    <row r="158" spans="1:11" x14ac:dyDescent="0.3">
      <c r="A158" s="770" t="s">
        <v>963</v>
      </c>
      <c r="B158" s="770">
        <v>198.9</v>
      </c>
      <c r="C158">
        <v>277.60000000000002</v>
      </c>
      <c r="D158">
        <v>512.9</v>
      </c>
      <c r="E158">
        <v>0</v>
      </c>
      <c r="F158" t="s">
        <v>360</v>
      </c>
      <c r="G158" t="s">
        <v>360</v>
      </c>
      <c r="H158" t="s">
        <v>360</v>
      </c>
      <c r="I158" t="s">
        <v>360</v>
      </c>
      <c r="J158" t="s">
        <v>360</v>
      </c>
      <c r="K158" t="s">
        <v>360</v>
      </c>
    </row>
    <row r="159" spans="1:11" x14ac:dyDescent="0.3">
      <c r="A159" s="770" t="s">
        <v>964</v>
      </c>
      <c r="B159" s="770">
        <v>0</v>
      </c>
      <c r="C159">
        <v>0</v>
      </c>
      <c r="D159">
        <v>0</v>
      </c>
      <c r="E159">
        <v>394.1</v>
      </c>
      <c r="F159">
        <v>416.9</v>
      </c>
      <c r="G159">
        <v>816.3</v>
      </c>
      <c r="H159">
        <v>663</v>
      </c>
      <c r="I159">
        <v>454.5</v>
      </c>
      <c r="J159">
        <v>316</v>
      </c>
      <c r="K159">
        <v>592.6</v>
      </c>
    </row>
    <row r="160" spans="1:11" x14ac:dyDescent="0.3">
      <c r="A160" s="770" t="s">
        <v>965</v>
      </c>
      <c r="B160" s="770">
        <v>0</v>
      </c>
      <c r="C160">
        <v>0</v>
      </c>
      <c r="D160" t="s">
        <v>360</v>
      </c>
      <c r="E160" t="s">
        <v>360</v>
      </c>
      <c r="F160" t="s">
        <v>360</v>
      </c>
      <c r="G160" t="s">
        <v>360</v>
      </c>
      <c r="H160" t="s">
        <v>360</v>
      </c>
      <c r="I160" t="s">
        <v>360</v>
      </c>
      <c r="J160" t="s">
        <v>360</v>
      </c>
      <c r="K160" t="s">
        <v>360</v>
      </c>
    </row>
    <row r="161" spans="1:11" x14ac:dyDescent="0.3">
      <c r="A161" s="770" t="s">
        <v>966</v>
      </c>
      <c r="B161" s="770" t="s">
        <v>360</v>
      </c>
      <c r="C161" t="s">
        <v>360</v>
      </c>
      <c r="D161" t="s">
        <v>360</v>
      </c>
      <c r="E161">
        <v>0</v>
      </c>
      <c r="F161" t="s">
        <v>360</v>
      </c>
      <c r="G161" t="s">
        <v>360</v>
      </c>
      <c r="H161" t="s">
        <v>360</v>
      </c>
      <c r="I161">
        <v>0</v>
      </c>
      <c r="J161">
        <v>0</v>
      </c>
      <c r="K161">
        <v>0</v>
      </c>
    </row>
    <row r="162" spans="1:11" x14ac:dyDescent="0.3">
      <c r="A162" s="770" t="s">
        <v>967</v>
      </c>
      <c r="B162" s="770">
        <v>24.1</v>
      </c>
      <c r="C162">
        <v>26.9</v>
      </c>
      <c r="D162">
        <v>33.5</v>
      </c>
      <c r="E162">
        <v>41</v>
      </c>
      <c r="F162">
        <v>48.3</v>
      </c>
      <c r="G162">
        <v>53</v>
      </c>
      <c r="H162">
        <v>71.3</v>
      </c>
      <c r="I162">
        <v>63.2</v>
      </c>
      <c r="J162">
        <v>78.2</v>
      </c>
      <c r="K162">
        <v>92.7</v>
      </c>
    </row>
    <row r="163" spans="1:11" x14ac:dyDescent="0.3">
      <c r="A163" s="770" t="s">
        <v>968</v>
      </c>
      <c r="B163" s="770">
        <v>0</v>
      </c>
      <c r="C163">
        <v>0</v>
      </c>
      <c r="D163">
        <v>0</v>
      </c>
      <c r="E163">
        <v>204.9</v>
      </c>
      <c r="F163" t="s">
        <v>360</v>
      </c>
      <c r="G163" t="s">
        <v>360</v>
      </c>
      <c r="H163">
        <v>0</v>
      </c>
      <c r="I163" t="s">
        <v>360</v>
      </c>
      <c r="J163" t="s">
        <v>360</v>
      </c>
      <c r="K163">
        <v>0</v>
      </c>
    </row>
    <row r="164" spans="1:11" x14ac:dyDescent="0.3">
      <c r="A164" s="770" t="s">
        <v>969</v>
      </c>
      <c r="B164" s="772">
        <v>2508.5</v>
      </c>
      <c r="C164" s="708">
        <v>2933.8</v>
      </c>
      <c r="D164">
        <v>238.8</v>
      </c>
      <c r="E164">
        <v>0</v>
      </c>
      <c r="F164">
        <v>0</v>
      </c>
      <c r="G164">
        <v>0</v>
      </c>
      <c r="H164" t="s">
        <v>360</v>
      </c>
      <c r="I164">
        <v>0</v>
      </c>
      <c r="J164">
        <v>0</v>
      </c>
      <c r="K164" t="s">
        <v>360</v>
      </c>
    </row>
    <row r="165" spans="1:11" x14ac:dyDescent="0.3">
      <c r="A165" s="770" t="s">
        <v>970</v>
      </c>
      <c r="B165" s="770">
        <v>245.2</v>
      </c>
      <c r="C165">
        <v>591.9</v>
      </c>
      <c r="D165" t="s">
        <v>360</v>
      </c>
      <c r="E165" t="s">
        <v>360</v>
      </c>
      <c r="F165" t="s">
        <v>360</v>
      </c>
      <c r="G165" t="s">
        <v>360</v>
      </c>
      <c r="H165" t="s">
        <v>360</v>
      </c>
      <c r="I165" t="s">
        <v>360</v>
      </c>
      <c r="J165" t="s">
        <v>360</v>
      </c>
      <c r="K165" t="s">
        <v>360</v>
      </c>
    </row>
    <row r="166" spans="1:11" x14ac:dyDescent="0.3">
      <c r="A166" s="770" t="s">
        <v>971</v>
      </c>
      <c r="B166" s="770" t="s">
        <v>360</v>
      </c>
      <c r="C166" t="s">
        <v>360</v>
      </c>
      <c r="D166">
        <v>3</v>
      </c>
      <c r="E166">
        <v>1.4</v>
      </c>
      <c r="F166">
        <v>0</v>
      </c>
      <c r="G166">
        <v>5.4</v>
      </c>
      <c r="H166">
        <v>0</v>
      </c>
      <c r="I166">
        <v>0</v>
      </c>
      <c r="J166">
        <v>1.9</v>
      </c>
      <c r="K166">
        <v>7.3</v>
      </c>
    </row>
    <row r="167" spans="1:11" x14ac:dyDescent="0.3">
      <c r="A167" s="770" t="s">
        <v>972</v>
      </c>
      <c r="B167" s="770">
        <v>0</v>
      </c>
      <c r="C167">
        <v>0</v>
      </c>
      <c r="D167">
        <v>0</v>
      </c>
      <c r="E167">
        <v>0</v>
      </c>
      <c r="F167" t="s">
        <v>360</v>
      </c>
      <c r="G167" t="s">
        <v>360</v>
      </c>
      <c r="H167" t="s">
        <v>360</v>
      </c>
      <c r="I167" t="s">
        <v>360</v>
      </c>
      <c r="J167">
        <v>0</v>
      </c>
      <c r="K167">
        <v>371.8</v>
      </c>
    </row>
    <row r="168" spans="1:11" x14ac:dyDescent="0.3">
      <c r="A168" s="770" t="s">
        <v>973</v>
      </c>
      <c r="B168" s="770">
        <v>0</v>
      </c>
      <c r="C168">
        <v>0</v>
      </c>
      <c r="D168">
        <v>0</v>
      </c>
      <c r="E168" t="s">
        <v>360</v>
      </c>
      <c r="F168" t="s">
        <v>360</v>
      </c>
      <c r="G168" t="s">
        <v>360</v>
      </c>
      <c r="H168" t="s">
        <v>360</v>
      </c>
      <c r="I168" t="s">
        <v>360</v>
      </c>
      <c r="J168" t="s">
        <v>360</v>
      </c>
      <c r="K168" t="s">
        <v>360</v>
      </c>
    </row>
    <row r="169" spans="1:11" x14ac:dyDescent="0.3">
      <c r="A169" s="770" t="s">
        <v>974</v>
      </c>
      <c r="B169" s="770">
        <v>0</v>
      </c>
      <c r="C169">
        <v>0</v>
      </c>
      <c r="D169">
        <v>0</v>
      </c>
      <c r="E169" t="s">
        <v>360</v>
      </c>
      <c r="F169" t="s">
        <v>360</v>
      </c>
      <c r="G169" t="s">
        <v>360</v>
      </c>
      <c r="H169" t="s">
        <v>360</v>
      </c>
      <c r="I169" t="s">
        <v>360</v>
      </c>
      <c r="J169" t="s">
        <v>360</v>
      </c>
      <c r="K169" t="s">
        <v>360</v>
      </c>
    </row>
    <row r="170" spans="1:11" x14ac:dyDescent="0.3">
      <c r="A170" s="770" t="s">
        <v>975</v>
      </c>
      <c r="B170" s="770">
        <v>0</v>
      </c>
      <c r="C170">
        <v>0</v>
      </c>
      <c r="D170" t="s">
        <v>360</v>
      </c>
      <c r="E170" t="s">
        <v>360</v>
      </c>
      <c r="F170" t="s">
        <v>360</v>
      </c>
      <c r="G170" t="s">
        <v>360</v>
      </c>
      <c r="H170" t="s">
        <v>360</v>
      </c>
      <c r="I170" t="s">
        <v>360</v>
      </c>
      <c r="J170" t="s">
        <v>360</v>
      </c>
      <c r="K170" t="s">
        <v>360</v>
      </c>
    </row>
    <row r="171" spans="1:11" x14ac:dyDescent="0.3">
      <c r="A171" s="770" t="s">
        <v>976</v>
      </c>
      <c r="B171" s="770" t="s">
        <v>360</v>
      </c>
      <c r="C171" t="s">
        <v>360</v>
      </c>
      <c r="D171">
        <v>0</v>
      </c>
      <c r="E171" t="s">
        <v>360</v>
      </c>
      <c r="F171" t="s">
        <v>360</v>
      </c>
      <c r="G171" t="s">
        <v>360</v>
      </c>
      <c r="H171" t="s">
        <v>360</v>
      </c>
      <c r="I171" t="s">
        <v>360</v>
      </c>
      <c r="J171" t="s">
        <v>360</v>
      </c>
      <c r="K171" t="s">
        <v>360</v>
      </c>
    </row>
    <row r="172" spans="1:11" x14ac:dyDescent="0.3">
      <c r="A172" s="770" t="s">
        <v>977</v>
      </c>
      <c r="B172" s="770">
        <v>0</v>
      </c>
      <c r="C172">
        <v>0</v>
      </c>
      <c r="D172">
        <v>0</v>
      </c>
      <c r="E172" t="s">
        <v>360</v>
      </c>
      <c r="F172" t="s">
        <v>360</v>
      </c>
      <c r="G172" t="s">
        <v>360</v>
      </c>
      <c r="H172" t="s">
        <v>360</v>
      </c>
      <c r="I172" t="s">
        <v>360</v>
      </c>
      <c r="J172" t="s">
        <v>360</v>
      </c>
      <c r="K172" t="s">
        <v>360</v>
      </c>
    </row>
    <row r="173" spans="1:11" x14ac:dyDescent="0.3">
      <c r="A173" s="770" t="s">
        <v>978</v>
      </c>
      <c r="B173" s="772">
        <v>2952.5</v>
      </c>
      <c r="C173" s="708">
        <v>3803.3</v>
      </c>
      <c r="D173">
        <v>751.7</v>
      </c>
      <c r="E173">
        <v>599</v>
      </c>
      <c r="F173">
        <v>416.9</v>
      </c>
      <c r="G173">
        <v>816.3</v>
      </c>
      <c r="H173">
        <v>663</v>
      </c>
      <c r="I173" t="s">
        <v>360</v>
      </c>
      <c r="J173">
        <v>316</v>
      </c>
      <c r="K173">
        <v>592.6</v>
      </c>
    </row>
    <row r="174" spans="1:11" x14ac:dyDescent="0.3">
      <c r="A174" s="770" t="s">
        <v>979</v>
      </c>
      <c r="B174" s="770" t="s">
        <v>360</v>
      </c>
      <c r="C174" t="s">
        <v>360</v>
      </c>
      <c r="D174">
        <v>3</v>
      </c>
      <c r="E174">
        <v>1.4</v>
      </c>
      <c r="F174">
        <v>48.3</v>
      </c>
      <c r="G174">
        <v>5.4</v>
      </c>
      <c r="H174" t="s">
        <v>360</v>
      </c>
      <c r="I174" t="s">
        <v>360</v>
      </c>
      <c r="J174">
        <v>1.9</v>
      </c>
      <c r="K174">
        <v>7.3</v>
      </c>
    </row>
    <row r="175" spans="1:11" x14ac:dyDescent="0.3">
      <c r="A175" s="770" t="s">
        <v>980</v>
      </c>
      <c r="B175" s="770">
        <v>24.1</v>
      </c>
      <c r="C175">
        <v>26.9</v>
      </c>
      <c r="D175">
        <v>33.5</v>
      </c>
      <c r="E175">
        <v>41</v>
      </c>
      <c r="F175" t="s">
        <v>360</v>
      </c>
      <c r="G175">
        <v>53</v>
      </c>
      <c r="H175">
        <v>71.3</v>
      </c>
      <c r="I175">
        <v>0</v>
      </c>
      <c r="J175">
        <v>78.2</v>
      </c>
      <c r="K175">
        <v>464.5</v>
      </c>
    </row>
    <row r="176" spans="1:11" x14ac:dyDescent="0.3">
      <c r="A176" s="770" t="s">
        <v>981</v>
      </c>
      <c r="B176" s="770">
        <v>0</v>
      </c>
      <c r="C176">
        <v>0</v>
      </c>
      <c r="D176">
        <v>0</v>
      </c>
      <c r="E176">
        <v>0</v>
      </c>
      <c r="F176">
        <v>0</v>
      </c>
      <c r="G176">
        <v>0</v>
      </c>
      <c r="H176">
        <v>0</v>
      </c>
      <c r="I176" t="s">
        <v>360</v>
      </c>
      <c r="J176">
        <v>0</v>
      </c>
      <c r="K176">
        <v>0</v>
      </c>
    </row>
    <row r="177" spans="1:11" x14ac:dyDescent="0.3">
      <c r="A177" s="770" t="s">
        <v>982</v>
      </c>
      <c r="B177" s="770">
        <v>0</v>
      </c>
      <c r="C177">
        <v>0</v>
      </c>
      <c r="D177">
        <v>0</v>
      </c>
      <c r="E177" t="s">
        <v>360</v>
      </c>
      <c r="F177" t="s">
        <v>360</v>
      </c>
      <c r="G177" t="s">
        <v>360</v>
      </c>
      <c r="H177" t="s">
        <v>360</v>
      </c>
      <c r="I177" t="s">
        <v>360</v>
      </c>
      <c r="J177" t="s">
        <v>360</v>
      </c>
      <c r="K177" t="s">
        <v>360</v>
      </c>
    </row>
    <row r="178" spans="1:11" x14ac:dyDescent="0.3">
      <c r="A178" s="770" t="s">
        <v>983</v>
      </c>
      <c r="B178" s="770">
        <v>35.799999999999997</v>
      </c>
      <c r="C178">
        <v>5.2</v>
      </c>
      <c r="D178">
        <v>1.5</v>
      </c>
      <c r="E178">
        <v>7.2</v>
      </c>
      <c r="F178">
        <v>138.80000000000001</v>
      </c>
      <c r="G178">
        <v>214.6</v>
      </c>
      <c r="H178" t="s">
        <v>360</v>
      </c>
      <c r="I178">
        <v>0</v>
      </c>
      <c r="J178">
        <v>95.1</v>
      </c>
      <c r="K178">
        <v>53.1</v>
      </c>
    </row>
    <row r="179" spans="1:11" x14ac:dyDescent="0.3">
      <c r="A179" s="770" t="s">
        <v>984</v>
      </c>
      <c r="B179" s="770" t="s">
        <v>360</v>
      </c>
      <c r="C179" t="s">
        <v>360</v>
      </c>
      <c r="D179" t="s">
        <v>360</v>
      </c>
      <c r="E179" t="s">
        <v>360</v>
      </c>
      <c r="F179" t="s">
        <v>360</v>
      </c>
      <c r="G179" t="s">
        <v>360</v>
      </c>
      <c r="H179">
        <v>8.1</v>
      </c>
      <c r="I179" t="s">
        <v>360</v>
      </c>
      <c r="J179" t="s">
        <v>360</v>
      </c>
      <c r="K179" t="s">
        <v>360</v>
      </c>
    </row>
    <row r="180" spans="1:11" x14ac:dyDescent="0.3">
      <c r="A180" s="770" t="s">
        <v>985</v>
      </c>
      <c r="B180" s="770">
        <v>0</v>
      </c>
      <c r="C180">
        <v>0</v>
      </c>
      <c r="D180">
        <v>0</v>
      </c>
      <c r="E180" t="s">
        <v>360</v>
      </c>
      <c r="F180" t="s">
        <v>360</v>
      </c>
      <c r="G180" t="s">
        <v>360</v>
      </c>
      <c r="H180" t="s">
        <v>360</v>
      </c>
      <c r="I180" t="s">
        <v>360</v>
      </c>
      <c r="J180" t="s">
        <v>360</v>
      </c>
      <c r="K180" t="s">
        <v>360</v>
      </c>
    </row>
    <row r="181" spans="1:11" x14ac:dyDescent="0.3">
      <c r="A181" s="770" t="s">
        <v>986</v>
      </c>
      <c r="B181" s="770">
        <v>0</v>
      </c>
      <c r="C181">
        <v>0</v>
      </c>
      <c r="D181">
        <v>0</v>
      </c>
      <c r="E181" t="s">
        <v>360</v>
      </c>
      <c r="F181" t="s">
        <v>360</v>
      </c>
      <c r="G181" t="s">
        <v>360</v>
      </c>
      <c r="H181" t="s">
        <v>360</v>
      </c>
      <c r="I181" t="s">
        <v>360</v>
      </c>
      <c r="J181" t="s">
        <v>360</v>
      </c>
      <c r="K181" t="s">
        <v>360</v>
      </c>
    </row>
    <row r="182" spans="1:11" x14ac:dyDescent="0.3">
      <c r="A182" s="770" t="s">
        <v>987</v>
      </c>
      <c r="B182" s="770">
        <v>2.8</v>
      </c>
      <c r="C182">
        <v>7.6</v>
      </c>
      <c r="D182">
        <v>7.9</v>
      </c>
      <c r="E182" t="s">
        <v>360</v>
      </c>
      <c r="F182" t="s">
        <v>360</v>
      </c>
      <c r="G182" t="s">
        <v>360</v>
      </c>
      <c r="H182" t="s">
        <v>360</v>
      </c>
      <c r="I182" t="s">
        <v>360</v>
      </c>
      <c r="J182" t="s">
        <v>360</v>
      </c>
      <c r="K182" t="s">
        <v>360</v>
      </c>
    </row>
    <row r="183" spans="1:11" x14ac:dyDescent="0.3">
      <c r="A183" s="770" t="s">
        <v>988</v>
      </c>
      <c r="B183" s="770">
        <v>35.799999999999997</v>
      </c>
      <c r="C183">
        <v>5.2</v>
      </c>
      <c r="D183" t="s">
        <v>360</v>
      </c>
      <c r="E183">
        <v>7.2</v>
      </c>
      <c r="F183">
        <v>138.80000000000001</v>
      </c>
      <c r="G183">
        <v>214.6</v>
      </c>
      <c r="H183">
        <v>8.1</v>
      </c>
      <c r="I183">
        <v>17</v>
      </c>
      <c r="J183">
        <v>95.1</v>
      </c>
      <c r="K183">
        <v>53.1</v>
      </c>
    </row>
    <row r="184" spans="1:11" x14ac:dyDescent="0.3">
      <c r="A184" s="770" t="s">
        <v>989</v>
      </c>
      <c r="B184" s="770" t="s">
        <v>360</v>
      </c>
      <c r="C184" t="s">
        <v>360</v>
      </c>
      <c r="D184">
        <v>1.5</v>
      </c>
      <c r="E184" t="s">
        <v>360</v>
      </c>
      <c r="F184" t="s">
        <v>360</v>
      </c>
      <c r="G184" t="s">
        <v>360</v>
      </c>
      <c r="H184" t="s">
        <v>360</v>
      </c>
      <c r="I184" t="s">
        <v>360</v>
      </c>
      <c r="J184" t="s">
        <v>360</v>
      </c>
      <c r="K184" t="s">
        <v>360</v>
      </c>
    </row>
    <row r="185" spans="1:11" x14ac:dyDescent="0.3">
      <c r="A185" s="770" t="s">
        <v>990</v>
      </c>
      <c r="B185" s="770">
        <v>2.8</v>
      </c>
      <c r="C185">
        <v>7.6</v>
      </c>
      <c r="D185">
        <v>7.9</v>
      </c>
      <c r="E185" t="s">
        <v>360</v>
      </c>
      <c r="F185" t="s">
        <v>360</v>
      </c>
      <c r="G185" t="s">
        <v>360</v>
      </c>
      <c r="H185" t="s">
        <v>360</v>
      </c>
      <c r="I185" t="s">
        <v>360</v>
      </c>
      <c r="J185" t="s">
        <v>360</v>
      </c>
      <c r="K185" t="s">
        <v>360</v>
      </c>
    </row>
    <row r="186" spans="1:11" ht="28" x14ac:dyDescent="0.3">
      <c r="A186" s="770" t="s">
        <v>991</v>
      </c>
      <c r="B186" s="770" t="s">
        <v>360</v>
      </c>
      <c r="C186" t="s">
        <v>360</v>
      </c>
      <c r="D186">
        <v>11.2</v>
      </c>
      <c r="E186">
        <v>6</v>
      </c>
      <c r="F186">
        <v>5.3</v>
      </c>
      <c r="G186">
        <v>8.5</v>
      </c>
      <c r="H186">
        <v>62.9</v>
      </c>
      <c r="I186">
        <v>43.7</v>
      </c>
      <c r="J186">
        <v>42.8</v>
      </c>
      <c r="K186">
        <v>41.3</v>
      </c>
    </row>
    <row r="187" spans="1:11" ht="28" x14ac:dyDescent="0.3">
      <c r="A187" s="770" t="s">
        <v>992</v>
      </c>
      <c r="B187" s="770" t="s">
        <v>360</v>
      </c>
      <c r="C187" t="s">
        <v>360</v>
      </c>
      <c r="D187" t="s">
        <v>360</v>
      </c>
      <c r="E187" t="s">
        <v>360</v>
      </c>
      <c r="F187" t="s">
        <v>360</v>
      </c>
      <c r="G187">
        <v>163.5</v>
      </c>
      <c r="H187">
        <v>295.3</v>
      </c>
      <c r="I187">
        <v>327.7</v>
      </c>
      <c r="J187">
        <v>313.89999999999998</v>
      </c>
      <c r="K187">
        <v>318.5</v>
      </c>
    </row>
    <row r="188" spans="1:11" x14ac:dyDescent="0.3">
      <c r="A188" s="770" t="s">
        <v>993</v>
      </c>
      <c r="B188" s="770">
        <v>14.2</v>
      </c>
      <c r="C188">
        <v>12.2</v>
      </c>
      <c r="D188">
        <v>11.7</v>
      </c>
      <c r="E188">
        <v>9.3000000000000007</v>
      </c>
      <c r="F188">
        <v>7.3</v>
      </c>
      <c r="G188">
        <v>5.2</v>
      </c>
      <c r="H188">
        <v>4.2</v>
      </c>
      <c r="I188">
        <v>3.7</v>
      </c>
      <c r="J188">
        <v>3.2</v>
      </c>
      <c r="K188">
        <v>2.4</v>
      </c>
    </row>
    <row r="189" spans="1:11" x14ac:dyDescent="0.3">
      <c r="A189" s="770" t="s">
        <v>994</v>
      </c>
      <c r="B189" s="770">
        <v>55.68</v>
      </c>
      <c r="C189">
        <v>55.98</v>
      </c>
      <c r="D189">
        <v>81.290000000000006</v>
      </c>
      <c r="E189">
        <v>90.82</v>
      </c>
      <c r="F189">
        <v>100.02</v>
      </c>
      <c r="G189">
        <v>122.06</v>
      </c>
      <c r="H189">
        <v>161.53</v>
      </c>
      <c r="I189">
        <v>794.94</v>
      </c>
      <c r="J189">
        <v>178.53</v>
      </c>
      <c r="K189">
        <v>195.76</v>
      </c>
    </row>
    <row r="190" spans="1:11" ht="28" x14ac:dyDescent="0.3">
      <c r="A190" s="770" t="s">
        <v>995</v>
      </c>
      <c r="B190" s="770" t="s">
        <v>360</v>
      </c>
      <c r="C190" t="s">
        <v>360</v>
      </c>
      <c r="D190" t="s">
        <v>360</v>
      </c>
      <c r="E190" t="s">
        <v>360</v>
      </c>
      <c r="F190" t="s">
        <v>360</v>
      </c>
      <c r="G190" s="708">
        <v>1479.9</v>
      </c>
      <c r="H190" s="708">
        <v>2002</v>
      </c>
      <c r="I190" s="708">
        <v>1975.1</v>
      </c>
      <c r="J190" s="708">
        <v>1955.8</v>
      </c>
      <c r="K190" s="708">
        <v>1871.2</v>
      </c>
    </row>
    <row r="191" spans="1:11" x14ac:dyDescent="0.3">
      <c r="A191" s="770" t="s">
        <v>996</v>
      </c>
      <c r="B191" s="770">
        <v>65.5</v>
      </c>
      <c r="C191">
        <v>71.8</v>
      </c>
      <c r="D191">
        <v>68.5</v>
      </c>
      <c r="E191">
        <v>37.9</v>
      </c>
      <c r="F191">
        <v>13.3</v>
      </c>
      <c r="G191">
        <v>34.299999999999997</v>
      </c>
      <c r="H191">
        <v>21.3</v>
      </c>
      <c r="I191">
        <v>132.5</v>
      </c>
      <c r="J191">
        <v>165.3</v>
      </c>
      <c r="K191">
        <v>187.4</v>
      </c>
    </row>
    <row r="192" spans="1:11" x14ac:dyDescent="0.3">
      <c r="A192" s="770" t="s">
        <v>997</v>
      </c>
      <c r="B192" s="770">
        <v>71.8</v>
      </c>
      <c r="C192">
        <v>68.5</v>
      </c>
      <c r="D192">
        <v>37.9</v>
      </c>
      <c r="E192">
        <v>13.3</v>
      </c>
      <c r="F192">
        <v>34.299999999999997</v>
      </c>
      <c r="G192">
        <v>21.3</v>
      </c>
      <c r="H192">
        <v>132.5</v>
      </c>
      <c r="I192">
        <v>165.3</v>
      </c>
      <c r="J192">
        <v>187.4</v>
      </c>
      <c r="K192">
        <v>162.69999999999999</v>
      </c>
    </row>
    <row r="193" spans="1:11" ht="28" x14ac:dyDescent="0.3">
      <c r="A193" s="770" t="s">
        <v>998</v>
      </c>
      <c r="B193" s="770">
        <v>0.5</v>
      </c>
      <c r="C193">
        <v>2.5</v>
      </c>
      <c r="D193">
        <v>14.1</v>
      </c>
      <c r="E193">
        <v>1.3</v>
      </c>
      <c r="F193">
        <v>3.4</v>
      </c>
      <c r="G193">
        <v>3.3</v>
      </c>
      <c r="H193">
        <v>4.7</v>
      </c>
      <c r="I193">
        <v>11.8</v>
      </c>
      <c r="J193">
        <v>5.9</v>
      </c>
      <c r="K193">
        <v>5.8</v>
      </c>
    </row>
    <row r="194" spans="1:11" ht="28" x14ac:dyDescent="0.3">
      <c r="A194" s="770" t="s">
        <v>999</v>
      </c>
      <c r="B194" s="770">
        <v>9.8000000000000007</v>
      </c>
      <c r="C194">
        <v>-4.5</v>
      </c>
      <c r="D194" t="s">
        <v>360</v>
      </c>
      <c r="E194" t="s">
        <v>360</v>
      </c>
      <c r="F194">
        <v>18.600000000000001</v>
      </c>
      <c r="G194">
        <v>16.2</v>
      </c>
      <c r="H194">
        <v>19.8</v>
      </c>
      <c r="I194">
        <v>9.6999999999999993</v>
      </c>
      <c r="J194">
        <v>17.100000000000001</v>
      </c>
      <c r="K194">
        <v>27.5</v>
      </c>
    </row>
    <row r="195" spans="1:11" ht="28" x14ac:dyDescent="0.3">
      <c r="A195" s="770" t="s">
        <v>1000</v>
      </c>
      <c r="B195" s="770">
        <v>-2.7</v>
      </c>
      <c r="C195" t="s">
        <v>360</v>
      </c>
      <c r="D195">
        <v>-43.2</v>
      </c>
      <c r="E195">
        <v>-0.3</v>
      </c>
      <c r="F195" t="s">
        <v>360</v>
      </c>
      <c r="G195" t="s">
        <v>360</v>
      </c>
      <c r="H195" t="s">
        <v>360</v>
      </c>
      <c r="I195" t="s">
        <v>360</v>
      </c>
      <c r="J195" t="s">
        <v>360</v>
      </c>
      <c r="K195" t="s">
        <v>360</v>
      </c>
    </row>
    <row r="196" spans="1:11" x14ac:dyDescent="0.3">
      <c r="A196" s="770" t="s">
        <v>1001</v>
      </c>
      <c r="B196" s="770">
        <v>-1.3</v>
      </c>
      <c r="C196">
        <v>-1.3</v>
      </c>
      <c r="D196">
        <v>-1.6</v>
      </c>
      <c r="E196">
        <v>-25.6</v>
      </c>
      <c r="F196">
        <v>-0.9</v>
      </c>
      <c r="G196">
        <v>0.2</v>
      </c>
      <c r="H196">
        <v>-4.5</v>
      </c>
      <c r="I196">
        <v>-4</v>
      </c>
      <c r="J196">
        <v>-0.9</v>
      </c>
      <c r="K196">
        <v>3</v>
      </c>
    </row>
    <row r="197" spans="1:11" x14ac:dyDescent="0.3">
      <c r="A197" s="770" t="s">
        <v>1002</v>
      </c>
      <c r="B197" s="770" t="s">
        <v>360</v>
      </c>
      <c r="C197" t="s">
        <v>360</v>
      </c>
      <c r="D197" t="s">
        <v>360</v>
      </c>
      <c r="E197" t="s">
        <v>360</v>
      </c>
      <c r="F197" t="s">
        <v>360</v>
      </c>
      <c r="G197" t="s">
        <v>360</v>
      </c>
      <c r="H197">
        <v>91.2</v>
      </c>
      <c r="I197">
        <v>15.3</v>
      </c>
      <c r="J197" t="s">
        <v>360</v>
      </c>
      <c r="K197" t="s">
        <v>360</v>
      </c>
    </row>
    <row r="198" spans="1:11" x14ac:dyDescent="0.3">
      <c r="A198" s="770" t="s">
        <v>1003</v>
      </c>
      <c r="B198" s="772">
        <v>4400</v>
      </c>
      <c r="C198" s="708">
        <v>5100</v>
      </c>
      <c r="D198" s="708">
        <v>6300</v>
      </c>
      <c r="E198" t="s">
        <v>360</v>
      </c>
      <c r="F198" t="s">
        <v>360</v>
      </c>
      <c r="G198" t="s">
        <v>360</v>
      </c>
      <c r="H198" t="s">
        <v>360</v>
      </c>
      <c r="I198" t="s">
        <v>360</v>
      </c>
      <c r="J198" t="s">
        <v>360</v>
      </c>
      <c r="K198" t="s">
        <v>360</v>
      </c>
    </row>
    <row r="199" spans="1:11" ht="28" x14ac:dyDescent="0.3">
      <c r="A199" s="770" t="s">
        <v>1004</v>
      </c>
      <c r="B199" s="770">
        <v>2.7</v>
      </c>
      <c r="C199">
        <v>2.7</v>
      </c>
      <c r="D199">
        <v>5.7</v>
      </c>
      <c r="E199">
        <v>5.3</v>
      </c>
      <c r="F199">
        <v>4.4000000000000004</v>
      </c>
      <c r="G199">
        <v>3.6</v>
      </c>
      <c r="H199">
        <v>5.9</v>
      </c>
      <c r="I199">
        <v>5.3</v>
      </c>
      <c r="J199">
        <v>5</v>
      </c>
      <c r="K199">
        <v>4.5</v>
      </c>
    </row>
    <row r="200" spans="1:11" ht="28" x14ac:dyDescent="0.3">
      <c r="A200" s="770" t="s">
        <v>1005</v>
      </c>
      <c r="B200" s="770">
        <v>47.59</v>
      </c>
      <c r="C200">
        <v>50.11</v>
      </c>
      <c r="D200">
        <v>71.88</v>
      </c>
      <c r="E200">
        <v>77.540000000000006</v>
      </c>
      <c r="F200">
        <v>87.18</v>
      </c>
      <c r="G200">
        <v>91.54</v>
      </c>
      <c r="H200">
        <v>132.59</v>
      </c>
      <c r="I200">
        <v>142.54</v>
      </c>
      <c r="J200">
        <v>162.19999999999999</v>
      </c>
      <c r="K200">
        <v>186.81</v>
      </c>
    </row>
    <row r="201" spans="1:11" x14ac:dyDescent="0.3">
      <c r="A201" s="770" t="s">
        <v>1006</v>
      </c>
      <c r="B201" s="770" t="s">
        <v>360</v>
      </c>
      <c r="C201" t="s">
        <v>360</v>
      </c>
      <c r="D201" t="s">
        <v>360</v>
      </c>
      <c r="E201" t="s">
        <v>360</v>
      </c>
      <c r="F201" t="s">
        <v>360</v>
      </c>
      <c r="G201" t="s">
        <v>360</v>
      </c>
      <c r="H201" t="s">
        <v>360</v>
      </c>
      <c r="I201" t="s">
        <v>360</v>
      </c>
      <c r="J201" s="708">
        <v>1952.8</v>
      </c>
      <c r="K201" s="708">
        <v>1952.3</v>
      </c>
    </row>
    <row r="202" spans="1:11" x14ac:dyDescent="0.3">
      <c r="A202" s="770" t="s">
        <v>1007</v>
      </c>
      <c r="B202" s="772">
        <v>9700</v>
      </c>
      <c r="C202" s="708">
        <v>10000</v>
      </c>
      <c r="D202" s="708">
        <v>15300</v>
      </c>
      <c r="E202" s="708">
        <v>15800</v>
      </c>
      <c r="F202" s="708">
        <v>16400</v>
      </c>
      <c r="G202" s="708">
        <v>15900</v>
      </c>
      <c r="H202" s="708">
        <v>24700</v>
      </c>
      <c r="I202" s="708">
        <v>24450</v>
      </c>
      <c r="J202" s="708">
        <v>26000</v>
      </c>
      <c r="K202" s="708">
        <v>24000</v>
      </c>
    </row>
    <row r="203" spans="1:11" ht="28" x14ac:dyDescent="0.3">
      <c r="A203" s="770" t="s">
        <v>1008</v>
      </c>
      <c r="B203" s="772">
        <v>2342.1999999999998</v>
      </c>
      <c r="C203" s="708">
        <v>3374.2</v>
      </c>
      <c r="D203">
        <v>620.79999999999995</v>
      </c>
      <c r="E203">
        <v>433.1</v>
      </c>
      <c r="F203">
        <v>352.6</v>
      </c>
      <c r="G203">
        <v>814</v>
      </c>
      <c r="H203" s="708">
        <v>1101.4000000000001</v>
      </c>
      <c r="I203" s="708">
        <v>1163.2</v>
      </c>
      <c r="J203">
        <v>757</v>
      </c>
      <c r="K203" s="708">
        <v>1100</v>
      </c>
    </row>
    <row r="204" spans="1:11" ht="28" x14ac:dyDescent="0.3">
      <c r="A204" s="770" t="s">
        <v>1009</v>
      </c>
      <c r="B204" s="770" t="s">
        <v>360</v>
      </c>
      <c r="C204" t="s">
        <v>360</v>
      </c>
      <c r="D204" t="s">
        <v>360</v>
      </c>
      <c r="E204" t="s">
        <v>360</v>
      </c>
      <c r="F204" t="s">
        <v>360</v>
      </c>
      <c r="G204" t="s">
        <v>360</v>
      </c>
      <c r="H204" t="s">
        <v>360</v>
      </c>
      <c r="I204" t="s">
        <v>360</v>
      </c>
      <c r="J204" s="708">
        <v>2500</v>
      </c>
      <c r="K204" s="708">
        <v>2500</v>
      </c>
    </row>
    <row r="205" spans="1:11" ht="28" x14ac:dyDescent="0.3">
      <c r="A205" s="770" t="s">
        <v>1010</v>
      </c>
      <c r="B205" s="770">
        <v>3.7</v>
      </c>
      <c r="C205">
        <v>6.3</v>
      </c>
      <c r="D205">
        <v>0</v>
      </c>
      <c r="E205">
        <v>1.9</v>
      </c>
      <c r="F205">
        <v>1.6</v>
      </c>
      <c r="G205">
        <v>0.1</v>
      </c>
      <c r="H205">
        <v>15.5</v>
      </c>
      <c r="I205">
        <v>18</v>
      </c>
      <c r="J205">
        <v>15.7</v>
      </c>
      <c r="K205">
        <v>2.5</v>
      </c>
    </row>
    <row r="206" spans="1:11" ht="28" x14ac:dyDescent="0.3">
      <c r="A206" s="770" t="s">
        <v>636</v>
      </c>
      <c r="B206" s="770" t="s">
        <v>637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9DBF-3AF9-4C68-A04D-6FFC06696D57}">
  <sheetPr codeName="Sheet19"/>
  <dimension ref="A1:K57"/>
  <sheetViews>
    <sheetView workbookViewId="0"/>
  </sheetViews>
  <sheetFormatPr defaultColWidth="8.83203125" defaultRowHeight="14" x14ac:dyDescent="0.3"/>
  <cols>
    <col min="1" max="2" width="36" bestFit="1" customWidth="1"/>
    <col min="3" max="4" width="10.08203125" bestFit="1" customWidth="1"/>
    <col min="5" max="6" width="9.08203125" bestFit="1" customWidth="1"/>
    <col min="7" max="10" width="10.08203125" bestFit="1" customWidth="1"/>
    <col min="11" max="11" width="9.58203125" bestFit="1" customWidth="1"/>
  </cols>
  <sheetData>
    <row r="1" spans="1:11" x14ac:dyDescent="0.3">
      <c r="A1" s="770"/>
      <c r="B1" s="770"/>
    </row>
    <row r="2" spans="1:11" x14ac:dyDescent="0.3">
      <c r="A2" s="770" t="s">
        <v>695</v>
      </c>
      <c r="B2" s="770"/>
    </row>
    <row r="3" spans="1:11" x14ac:dyDescent="0.3">
      <c r="A3" s="770"/>
      <c r="B3" s="770"/>
    </row>
    <row r="4" spans="1:11" x14ac:dyDescent="0.3">
      <c r="A4" s="770" t="s">
        <v>606</v>
      </c>
      <c r="B4" s="770" t="s">
        <v>607</v>
      </c>
      <c r="C4" t="s">
        <v>608</v>
      </c>
      <c r="D4" t="s">
        <v>609</v>
      </c>
      <c r="E4" t="s">
        <v>610</v>
      </c>
      <c r="F4" t="s">
        <v>611</v>
      </c>
      <c r="G4" t="s">
        <v>612</v>
      </c>
      <c r="H4" t="s">
        <v>613</v>
      </c>
      <c r="I4" t="s">
        <v>614</v>
      </c>
      <c r="J4" t="s">
        <v>615</v>
      </c>
      <c r="K4" t="s">
        <v>616</v>
      </c>
    </row>
    <row r="5" spans="1:11" x14ac:dyDescent="0.3">
      <c r="A5" s="770" t="s">
        <v>617</v>
      </c>
      <c r="B5" s="771">
        <v>42308</v>
      </c>
      <c r="C5" s="769">
        <v>42672</v>
      </c>
      <c r="D5" s="769">
        <v>43036</v>
      </c>
      <c r="E5" s="769">
        <v>43407</v>
      </c>
      <c r="F5" s="769">
        <v>43771</v>
      </c>
      <c r="G5" s="769">
        <v>44135</v>
      </c>
      <c r="H5" s="769">
        <v>44499</v>
      </c>
      <c r="I5" s="769">
        <v>44863</v>
      </c>
      <c r="J5" s="769">
        <v>45227</v>
      </c>
      <c r="K5" s="769">
        <v>45598</v>
      </c>
    </row>
    <row r="6" spans="1:11" x14ac:dyDescent="0.3">
      <c r="A6" s="827" t="s">
        <v>1011</v>
      </c>
      <c r="B6" s="770"/>
    </row>
    <row r="7" spans="1:11" x14ac:dyDescent="0.3">
      <c r="A7" s="827" t="s">
        <v>1012</v>
      </c>
      <c r="B7" s="770"/>
    </row>
    <row r="8" spans="1:11" x14ac:dyDescent="0.3">
      <c r="A8" s="770" t="s">
        <v>1013</v>
      </c>
      <c r="B8" s="770">
        <v>696.9</v>
      </c>
      <c r="C8">
        <v>861.7</v>
      </c>
      <c r="D8">
        <v>727.3</v>
      </c>
      <c r="E8" s="708">
        <v>1507</v>
      </c>
      <c r="F8" s="708">
        <v>1363</v>
      </c>
      <c r="G8" s="708">
        <v>1220.8</v>
      </c>
      <c r="H8" s="708">
        <v>1390.4</v>
      </c>
      <c r="I8" s="708">
        <v>2748.6</v>
      </c>
      <c r="J8" s="708">
        <v>3314.6</v>
      </c>
      <c r="K8" s="828">
        <v>1635.3</v>
      </c>
    </row>
    <row r="9" spans="1:11" x14ac:dyDescent="0.3">
      <c r="A9" s="770" t="s">
        <v>1014</v>
      </c>
      <c r="B9" s="770">
        <v>130.1</v>
      </c>
      <c r="C9">
        <v>134.5</v>
      </c>
      <c r="D9">
        <v>194.7</v>
      </c>
      <c r="E9">
        <v>228.5</v>
      </c>
      <c r="F9">
        <v>240.7</v>
      </c>
      <c r="G9">
        <v>233.8</v>
      </c>
      <c r="H9">
        <v>231.3</v>
      </c>
      <c r="I9">
        <v>283.3</v>
      </c>
      <c r="J9">
        <v>334.7</v>
      </c>
      <c r="K9" s="829">
        <v>362.8</v>
      </c>
    </row>
    <row r="10" spans="1:11" x14ac:dyDescent="0.3">
      <c r="A10" s="770" t="s">
        <v>1015</v>
      </c>
      <c r="B10" s="770">
        <v>-52.2</v>
      </c>
      <c r="C10">
        <v>8.1</v>
      </c>
      <c r="D10">
        <v>-825.9</v>
      </c>
      <c r="E10">
        <v>-730.4</v>
      </c>
      <c r="F10">
        <v>-91.3</v>
      </c>
      <c r="G10">
        <v>-113.9</v>
      </c>
      <c r="H10">
        <v>-406.9</v>
      </c>
      <c r="I10">
        <v>-326.8</v>
      </c>
      <c r="J10">
        <v>-452.9</v>
      </c>
      <c r="K10">
        <v>-367.6</v>
      </c>
    </row>
    <row r="11" spans="1:11" x14ac:dyDescent="0.3">
      <c r="A11" s="770" t="s">
        <v>1016</v>
      </c>
      <c r="B11" s="770" t="s">
        <v>360</v>
      </c>
      <c r="C11" t="s">
        <v>360</v>
      </c>
      <c r="D11" t="s">
        <v>360</v>
      </c>
      <c r="E11" t="s">
        <v>360</v>
      </c>
      <c r="F11">
        <v>0</v>
      </c>
      <c r="G11" t="s">
        <v>360</v>
      </c>
      <c r="H11">
        <v>-13.6</v>
      </c>
      <c r="I11">
        <v>0</v>
      </c>
      <c r="J11" t="s">
        <v>360</v>
      </c>
      <c r="K11" t="s">
        <v>360</v>
      </c>
    </row>
    <row r="12" spans="1:11" x14ac:dyDescent="0.3">
      <c r="A12" s="770" t="s">
        <v>1017</v>
      </c>
      <c r="B12" s="770">
        <v>68.900000000000006</v>
      </c>
      <c r="C12">
        <v>63.4</v>
      </c>
      <c r="D12">
        <v>104.2</v>
      </c>
      <c r="E12">
        <v>151.19999999999999</v>
      </c>
      <c r="F12">
        <v>150.30000000000001</v>
      </c>
      <c r="G12">
        <v>149.5</v>
      </c>
      <c r="H12">
        <v>243.6</v>
      </c>
      <c r="I12">
        <v>323.5</v>
      </c>
      <c r="J12">
        <v>299.8</v>
      </c>
      <c r="K12">
        <v>262.7</v>
      </c>
    </row>
    <row r="13" spans="1:11" x14ac:dyDescent="0.3">
      <c r="A13" s="770" t="s">
        <v>1018</v>
      </c>
      <c r="B13" s="770">
        <v>7</v>
      </c>
      <c r="C13">
        <v>24.6</v>
      </c>
      <c r="D13">
        <v>347.9</v>
      </c>
      <c r="E13">
        <v>36.6</v>
      </c>
      <c r="F13">
        <v>55.1</v>
      </c>
      <c r="G13">
        <v>-212.2</v>
      </c>
      <c r="H13">
        <v>326.2</v>
      </c>
      <c r="I13">
        <v>224.3</v>
      </c>
      <c r="J13">
        <v>8.6999999999999993</v>
      </c>
      <c r="K13">
        <v>23.1</v>
      </c>
    </row>
    <row r="14" spans="1:11" x14ac:dyDescent="0.3">
      <c r="A14" s="770" t="s">
        <v>1019</v>
      </c>
      <c r="B14" s="770">
        <v>-35.6</v>
      </c>
      <c r="C14">
        <v>38.200000000000003</v>
      </c>
      <c r="D14">
        <v>-47.4</v>
      </c>
      <c r="E14">
        <v>-34.6</v>
      </c>
      <c r="F14">
        <v>-42.8</v>
      </c>
      <c r="G14">
        <v>1.8</v>
      </c>
      <c r="H14">
        <v>-65.099999999999994</v>
      </c>
      <c r="I14">
        <v>-470.7</v>
      </c>
      <c r="J14">
        <v>-242.3</v>
      </c>
      <c r="K14">
        <v>191.2</v>
      </c>
    </row>
    <row r="15" spans="1:11" x14ac:dyDescent="0.3">
      <c r="A15" s="770" t="s">
        <v>1020</v>
      </c>
      <c r="B15" s="770">
        <v>-71.2</v>
      </c>
      <c r="C15">
        <v>-9.4</v>
      </c>
      <c r="D15">
        <v>-65.7</v>
      </c>
      <c r="E15">
        <v>46</v>
      </c>
      <c r="F15">
        <v>5.9</v>
      </c>
      <c r="G15">
        <v>-101.6</v>
      </c>
      <c r="H15">
        <v>-114.5</v>
      </c>
      <c r="I15">
        <v>-343.9</v>
      </c>
      <c r="J15">
        <v>330.7</v>
      </c>
      <c r="K15">
        <v>133.4</v>
      </c>
    </row>
    <row r="16" spans="1:11" x14ac:dyDescent="0.3">
      <c r="A16" s="770" t="s">
        <v>1021</v>
      </c>
      <c r="B16" s="770">
        <v>7.4</v>
      </c>
      <c r="C16">
        <v>-9.9</v>
      </c>
      <c r="D16">
        <v>0.8</v>
      </c>
      <c r="E16">
        <v>-1.6</v>
      </c>
      <c r="F16">
        <v>-11.8</v>
      </c>
      <c r="G16">
        <v>-3.7</v>
      </c>
      <c r="H16">
        <v>-59.1</v>
      </c>
      <c r="I16">
        <v>-64.599999999999994</v>
      </c>
      <c r="J16">
        <v>4.5</v>
      </c>
      <c r="K16">
        <v>-53</v>
      </c>
    </row>
    <row r="17" spans="1:11" ht="28" x14ac:dyDescent="0.3">
      <c r="A17" s="770" t="s">
        <v>1022</v>
      </c>
      <c r="B17" s="770">
        <v>56.6</v>
      </c>
      <c r="C17">
        <v>85.5</v>
      </c>
      <c r="D17">
        <v>192.2</v>
      </c>
      <c r="E17">
        <v>-18.399999999999999</v>
      </c>
      <c r="F17">
        <v>-6.4</v>
      </c>
      <c r="G17">
        <v>103.1</v>
      </c>
      <c r="H17">
        <v>208.4</v>
      </c>
      <c r="I17">
        <v>171.8</v>
      </c>
      <c r="J17">
        <v>-499.3</v>
      </c>
      <c r="K17">
        <v>-133.80000000000001</v>
      </c>
    </row>
    <row r="18" spans="1:11" ht="28" x14ac:dyDescent="0.3">
      <c r="A18" s="770" t="s">
        <v>1023</v>
      </c>
      <c r="B18" s="770">
        <v>25.1</v>
      </c>
      <c r="C18">
        <v>10</v>
      </c>
      <c r="D18">
        <v>119.6</v>
      </c>
      <c r="E18">
        <v>-8.5</v>
      </c>
      <c r="F18">
        <v>75</v>
      </c>
      <c r="G18">
        <v>29.4</v>
      </c>
      <c r="H18">
        <v>-6.8</v>
      </c>
      <c r="I18">
        <v>-91.9</v>
      </c>
      <c r="J18">
        <v>-263.7</v>
      </c>
      <c r="K18">
        <v>91.6</v>
      </c>
    </row>
    <row r="19" spans="1:11" x14ac:dyDescent="0.3">
      <c r="A19" s="770" t="s">
        <v>1024</v>
      </c>
      <c r="B19" s="770" t="s">
        <v>360</v>
      </c>
      <c r="C19" t="s">
        <v>360</v>
      </c>
      <c r="D19" t="s">
        <v>360</v>
      </c>
      <c r="E19" t="s">
        <v>360</v>
      </c>
      <c r="F19" t="s">
        <v>360</v>
      </c>
      <c r="G19">
        <v>0</v>
      </c>
      <c r="H19">
        <v>-21.7</v>
      </c>
      <c r="I19">
        <v>-14.4</v>
      </c>
      <c r="J19">
        <v>-25.8</v>
      </c>
      <c r="K19">
        <v>-34.5</v>
      </c>
    </row>
    <row r="20" spans="1:11" x14ac:dyDescent="0.3">
      <c r="A20" s="770" t="s">
        <v>1025</v>
      </c>
      <c r="B20" s="770" t="s">
        <v>360</v>
      </c>
      <c r="C20" t="s">
        <v>360</v>
      </c>
      <c r="D20" t="s">
        <v>360</v>
      </c>
      <c r="E20" t="s">
        <v>360</v>
      </c>
      <c r="F20" t="s">
        <v>360</v>
      </c>
      <c r="G20">
        <v>0</v>
      </c>
      <c r="H20">
        <v>0</v>
      </c>
      <c r="I20">
        <v>92</v>
      </c>
      <c r="J20">
        <v>0</v>
      </c>
      <c r="K20">
        <v>0</v>
      </c>
    </row>
    <row r="21" spans="1:11" ht="28" x14ac:dyDescent="0.3">
      <c r="A21" s="770" t="s">
        <v>1026</v>
      </c>
      <c r="B21" s="770">
        <v>-25</v>
      </c>
      <c r="C21">
        <v>-10.5</v>
      </c>
      <c r="D21">
        <v>-41.8</v>
      </c>
      <c r="E21" t="s">
        <v>360</v>
      </c>
      <c r="F21" t="s">
        <v>360</v>
      </c>
      <c r="G21" t="s">
        <v>360</v>
      </c>
      <c r="H21" t="s">
        <v>360</v>
      </c>
      <c r="I21" t="s">
        <v>360</v>
      </c>
      <c r="J21" t="s">
        <v>360</v>
      </c>
      <c r="K21" t="s">
        <v>360</v>
      </c>
    </row>
    <row r="22" spans="1:11" x14ac:dyDescent="0.3">
      <c r="A22" s="770" t="s">
        <v>1027</v>
      </c>
      <c r="B22" s="770">
        <v>92.1</v>
      </c>
      <c r="C22">
        <v>75.3</v>
      </c>
      <c r="D22">
        <v>389.4</v>
      </c>
      <c r="E22">
        <v>570.5</v>
      </c>
      <c r="F22">
        <v>570.6</v>
      </c>
      <c r="G22">
        <v>577.1</v>
      </c>
      <c r="H22">
        <v>843.4</v>
      </c>
      <c r="I22" s="708">
        <v>2014.2</v>
      </c>
      <c r="J22" s="708">
        <v>1958.4</v>
      </c>
      <c r="K22" s="828">
        <v>1741.5</v>
      </c>
    </row>
    <row r="23" spans="1:11" x14ac:dyDescent="0.3">
      <c r="A23" s="770" t="s">
        <v>1028</v>
      </c>
      <c r="B23" s="770">
        <v>10.4</v>
      </c>
      <c r="C23">
        <v>8.5</v>
      </c>
      <c r="D23">
        <v>24.6</v>
      </c>
      <c r="E23">
        <v>703.6</v>
      </c>
      <c r="F23">
        <v>-47.9</v>
      </c>
      <c r="G23">
        <v>124.4</v>
      </c>
      <c r="H23">
        <v>-49.3</v>
      </c>
      <c r="I23">
        <v>-69.900000000000006</v>
      </c>
      <c r="J23">
        <v>50.3</v>
      </c>
      <c r="K23">
        <v>-0.2</v>
      </c>
    </row>
    <row r="24" spans="1:11" s="829" customFormat="1" x14ac:dyDescent="0.3">
      <c r="A24" s="827" t="s">
        <v>1029</v>
      </c>
      <c r="B24" s="827">
        <v>907.8</v>
      </c>
      <c r="C24" s="828">
        <v>1291.3</v>
      </c>
      <c r="D24" s="828">
        <v>1154.4000000000001</v>
      </c>
      <c r="E24" s="828">
        <v>2442.4</v>
      </c>
      <c r="F24" s="828">
        <v>2253.1</v>
      </c>
      <c r="G24" s="828">
        <v>2008.5</v>
      </c>
      <c r="H24" s="828">
        <v>2735.1</v>
      </c>
      <c r="I24" s="828">
        <v>4475.3999999999996</v>
      </c>
      <c r="J24" s="828">
        <v>4817.6000000000004</v>
      </c>
      <c r="K24" s="828">
        <v>3852.5</v>
      </c>
    </row>
    <row r="25" spans="1:11" x14ac:dyDescent="0.3">
      <c r="A25" s="770" t="s">
        <v>1030</v>
      </c>
      <c r="B25" s="770">
        <v>-2.6</v>
      </c>
      <c r="C25">
        <v>-2.4</v>
      </c>
      <c r="D25">
        <v>-7.4</v>
      </c>
      <c r="E25">
        <v>-7.5</v>
      </c>
      <c r="F25">
        <v>-7.3</v>
      </c>
      <c r="G25" t="s">
        <v>360</v>
      </c>
      <c r="H25" t="s">
        <v>360</v>
      </c>
      <c r="I25" t="s">
        <v>360</v>
      </c>
      <c r="J25" t="s">
        <v>360</v>
      </c>
      <c r="K25" t="s">
        <v>360</v>
      </c>
    </row>
    <row r="26" spans="1:11" ht="28" x14ac:dyDescent="0.3">
      <c r="A26" s="770" t="s">
        <v>1031</v>
      </c>
      <c r="B26" s="770" t="s">
        <v>360</v>
      </c>
      <c r="C26" t="s">
        <v>360</v>
      </c>
      <c r="D26" t="s">
        <v>360</v>
      </c>
      <c r="E26" t="s">
        <v>360</v>
      </c>
      <c r="F26" t="s">
        <v>360</v>
      </c>
      <c r="G26">
        <v>-104.2</v>
      </c>
      <c r="H26">
        <v>-86.4</v>
      </c>
      <c r="I26" t="s">
        <v>360</v>
      </c>
      <c r="J26" t="s">
        <v>360</v>
      </c>
      <c r="K26" t="s">
        <v>360</v>
      </c>
    </row>
    <row r="27" spans="1:11" ht="28" x14ac:dyDescent="0.3">
      <c r="A27" s="770" t="s">
        <v>1032</v>
      </c>
      <c r="B27" s="770">
        <v>0</v>
      </c>
      <c r="C27">
        <v>3.3</v>
      </c>
      <c r="D27">
        <v>0</v>
      </c>
      <c r="E27" t="s">
        <v>360</v>
      </c>
      <c r="F27">
        <v>0</v>
      </c>
      <c r="G27">
        <v>0</v>
      </c>
      <c r="H27">
        <v>215.2</v>
      </c>
      <c r="I27">
        <v>0</v>
      </c>
      <c r="J27">
        <v>0</v>
      </c>
      <c r="K27" t="s">
        <v>360</v>
      </c>
    </row>
    <row r="28" spans="1:11" x14ac:dyDescent="0.3">
      <c r="A28" s="827" t="s">
        <v>1033</v>
      </c>
      <c r="B28" s="770"/>
    </row>
    <row r="29" spans="1:11" x14ac:dyDescent="0.3">
      <c r="A29" s="770" t="s">
        <v>1034</v>
      </c>
      <c r="B29" s="770" t="s">
        <v>360</v>
      </c>
      <c r="C29" t="s">
        <v>360</v>
      </c>
      <c r="D29" t="s">
        <v>360</v>
      </c>
      <c r="E29" t="s">
        <v>360</v>
      </c>
      <c r="F29">
        <v>0</v>
      </c>
      <c r="G29" t="s">
        <v>360</v>
      </c>
      <c r="H29">
        <v>35.700000000000003</v>
      </c>
      <c r="I29" t="s">
        <v>360</v>
      </c>
      <c r="J29" t="s">
        <v>360</v>
      </c>
      <c r="K29" t="s">
        <v>360</v>
      </c>
    </row>
    <row r="30" spans="1:11" x14ac:dyDescent="0.3">
      <c r="A30" s="827" t="s">
        <v>1035</v>
      </c>
      <c r="B30" s="770">
        <v>-154</v>
      </c>
      <c r="C30">
        <v>-127.4</v>
      </c>
      <c r="D30">
        <v>-204.1</v>
      </c>
      <c r="E30">
        <v>-254.9</v>
      </c>
      <c r="F30">
        <v>-275.39999999999998</v>
      </c>
      <c r="G30">
        <v>-165.7</v>
      </c>
      <c r="H30">
        <v>-343.7</v>
      </c>
      <c r="I30">
        <v>-699.3</v>
      </c>
      <c r="J30" s="708">
        <v>-1261.5</v>
      </c>
      <c r="K30">
        <v>-730.5</v>
      </c>
    </row>
    <row r="31" spans="1:11" x14ac:dyDescent="0.3">
      <c r="A31" s="770" t="s">
        <v>1036</v>
      </c>
      <c r="B31" s="772">
        <v>6236.2</v>
      </c>
      <c r="C31" s="708">
        <v>6708.1</v>
      </c>
      <c r="D31" s="708">
        <v>3940</v>
      </c>
      <c r="E31" t="s">
        <v>360</v>
      </c>
      <c r="F31" t="s">
        <v>360</v>
      </c>
      <c r="G31" t="s">
        <v>360</v>
      </c>
      <c r="H31" t="s">
        <v>360</v>
      </c>
      <c r="I31" t="s">
        <v>360</v>
      </c>
      <c r="J31" t="s">
        <v>360</v>
      </c>
      <c r="K31">
        <v>69.3</v>
      </c>
    </row>
    <row r="32" spans="1:11" x14ac:dyDescent="0.3">
      <c r="A32" s="770" t="s">
        <v>1037</v>
      </c>
      <c r="B32" s="772">
        <v>-6084</v>
      </c>
      <c r="C32" s="708">
        <v>-7697.3</v>
      </c>
      <c r="D32">
        <v>-705.5</v>
      </c>
      <c r="E32" t="s">
        <v>360</v>
      </c>
      <c r="F32" t="s">
        <v>360</v>
      </c>
      <c r="G32" t="s">
        <v>360</v>
      </c>
      <c r="H32" t="s">
        <v>360</v>
      </c>
      <c r="I32" t="s">
        <v>360</v>
      </c>
      <c r="J32" t="s">
        <v>360</v>
      </c>
      <c r="K32">
        <v>-438.9</v>
      </c>
    </row>
    <row r="33" spans="1:11" x14ac:dyDescent="0.3">
      <c r="A33" s="770" t="s">
        <v>1038</v>
      </c>
      <c r="B33" s="770" t="s">
        <v>360</v>
      </c>
      <c r="C33" t="s">
        <v>360</v>
      </c>
      <c r="D33" t="s">
        <v>360</v>
      </c>
      <c r="E33" t="s">
        <v>360</v>
      </c>
      <c r="F33">
        <v>0</v>
      </c>
      <c r="G33" t="s">
        <v>360</v>
      </c>
      <c r="H33">
        <v>30.1</v>
      </c>
      <c r="I33" t="s">
        <v>360</v>
      </c>
      <c r="J33" t="s">
        <v>360</v>
      </c>
      <c r="K33" t="s">
        <v>360</v>
      </c>
    </row>
    <row r="34" spans="1:11" x14ac:dyDescent="0.3">
      <c r="A34" s="827" t="s">
        <v>1039</v>
      </c>
      <c r="B34" s="770">
        <v>-7.1</v>
      </c>
      <c r="C34">
        <v>-83.2</v>
      </c>
      <c r="D34" s="708">
        <v>-9632.6</v>
      </c>
      <c r="E34">
        <v>-52.8</v>
      </c>
      <c r="F34">
        <v>-11.2</v>
      </c>
      <c r="G34">
        <v>-14.2</v>
      </c>
      <c r="H34">
        <v>-25</v>
      </c>
      <c r="I34" t="s">
        <v>360</v>
      </c>
      <c r="J34">
        <v>0</v>
      </c>
      <c r="K34" t="s">
        <v>360</v>
      </c>
    </row>
    <row r="35" spans="1:11" x14ac:dyDescent="0.3">
      <c r="A35" s="770" t="s">
        <v>1040</v>
      </c>
      <c r="B35" s="770" t="s">
        <v>360</v>
      </c>
      <c r="C35" t="s">
        <v>360</v>
      </c>
      <c r="D35" t="s">
        <v>360</v>
      </c>
      <c r="E35" t="s">
        <v>360</v>
      </c>
      <c r="F35">
        <v>0</v>
      </c>
      <c r="G35">
        <v>-14.8</v>
      </c>
      <c r="H35" s="708">
        <v>2487.1999999999998</v>
      </c>
      <c r="I35">
        <v>41.9</v>
      </c>
      <c r="J35">
        <v>-4.9000000000000004</v>
      </c>
      <c r="K35">
        <v>-4.8</v>
      </c>
    </row>
    <row r="36" spans="1:11" ht="28" x14ac:dyDescent="0.3">
      <c r="A36" s="770" t="s">
        <v>1041</v>
      </c>
      <c r="B36" s="770">
        <v>-8.3000000000000007</v>
      </c>
      <c r="C36">
        <v>-18.5</v>
      </c>
      <c r="D36">
        <v>-15.8</v>
      </c>
      <c r="E36">
        <v>-6.3</v>
      </c>
      <c r="F36">
        <v>-6.6</v>
      </c>
      <c r="G36">
        <v>-0.6</v>
      </c>
      <c r="H36">
        <v>-4.2</v>
      </c>
      <c r="I36" t="s">
        <v>360</v>
      </c>
      <c r="J36" t="s">
        <v>360</v>
      </c>
      <c r="K36" t="s">
        <v>360</v>
      </c>
    </row>
    <row r="37" spans="1:11" x14ac:dyDescent="0.3">
      <c r="A37" s="770" t="s">
        <v>1042</v>
      </c>
      <c r="B37" s="770">
        <v>-17.100000000000001</v>
      </c>
      <c r="C37" s="708">
        <v>-1218.3</v>
      </c>
      <c r="D37" s="708">
        <v>-6618</v>
      </c>
      <c r="E37">
        <v>-314</v>
      </c>
      <c r="F37">
        <v>-293.2</v>
      </c>
      <c r="G37">
        <v>-180.5</v>
      </c>
      <c r="H37" s="708">
        <v>2143.5</v>
      </c>
      <c r="I37">
        <v>-657.4</v>
      </c>
      <c r="J37" s="708">
        <v>-1266.4000000000001</v>
      </c>
      <c r="K37" s="708">
        <v>-1104.9000000000001</v>
      </c>
    </row>
    <row r="38" spans="1:11" x14ac:dyDescent="0.3">
      <c r="A38" s="770" t="s">
        <v>1043</v>
      </c>
      <c r="B38" s="770"/>
    </row>
    <row r="39" spans="1:11" x14ac:dyDescent="0.3">
      <c r="A39" s="770" t="s">
        <v>1044</v>
      </c>
      <c r="B39" s="770">
        <v>-491.1</v>
      </c>
      <c r="C39">
        <v>-513.20000000000005</v>
      </c>
      <c r="D39">
        <v>-602.1</v>
      </c>
      <c r="E39">
        <v>-703.3</v>
      </c>
      <c r="F39">
        <v>-777.5</v>
      </c>
      <c r="G39">
        <v>-886.2</v>
      </c>
      <c r="H39" s="708">
        <v>-1109.3</v>
      </c>
      <c r="I39" s="708">
        <v>-1544.6</v>
      </c>
      <c r="J39" s="708">
        <v>-1679.1</v>
      </c>
      <c r="K39" s="708">
        <v>-1795.5</v>
      </c>
    </row>
    <row r="40" spans="1:11" x14ac:dyDescent="0.3">
      <c r="A40" s="770" t="s">
        <v>1045</v>
      </c>
      <c r="B40" s="770" t="s">
        <v>360</v>
      </c>
      <c r="C40" t="s">
        <v>360</v>
      </c>
      <c r="D40" t="s">
        <v>360</v>
      </c>
      <c r="E40" t="s">
        <v>360</v>
      </c>
      <c r="F40" t="s">
        <v>360</v>
      </c>
      <c r="G40">
        <v>350</v>
      </c>
      <c r="H40">
        <v>400</v>
      </c>
      <c r="I40" t="s">
        <v>360</v>
      </c>
      <c r="J40" t="s">
        <v>360</v>
      </c>
      <c r="K40" t="s">
        <v>360</v>
      </c>
    </row>
    <row r="41" spans="1:11" x14ac:dyDescent="0.3">
      <c r="A41" s="770" t="s">
        <v>1046</v>
      </c>
      <c r="B41" s="770" t="s">
        <v>360</v>
      </c>
      <c r="C41" t="s">
        <v>360</v>
      </c>
      <c r="D41" t="s">
        <v>360</v>
      </c>
      <c r="E41" t="s">
        <v>360</v>
      </c>
      <c r="F41" t="s">
        <v>360</v>
      </c>
      <c r="G41">
        <v>-350</v>
      </c>
      <c r="H41">
        <v>-400</v>
      </c>
      <c r="I41" t="s">
        <v>360</v>
      </c>
      <c r="J41" t="s">
        <v>360</v>
      </c>
      <c r="K41" t="s">
        <v>360</v>
      </c>
    </row>
    <row r="42" spans="1:11" x14ac:dyDescent="0.3">
      <c r="A42" s="770" t="s">
        <v>1047</v>
      </c>
      <c r="B42" s="770">
        <v>0</v>
      </c>
      <c r="C42" s="708">
        <v>1235.3</v>
      </c>
      <c r="D42" s="708">
        <v>11156.2</v>
      </c>
      <c r="E42">
        <v>743.8</v>
      </c>
      <c r="F42" s="708">
        <v>1250</v>
      </c>
      <c r="G42">
        <v>395.6</v>
      </c>
      <c r="H42" s="708">
        <v>3939.6</v>
      </c>
      <c r="I42">
        <v>296.10000000000002</v>
      </c>
      <c r="J42" s="708">
        <v>5287.1</v>
      </c>
      <c r="K42" s="708">
        <v>11272.3</v>
      </c>
    </row>
    <row r="43" spans="1:11" x14ac:dyDescent="0.3">
      <c r="A43" s="770" t="s">
        <v>1048</v>
      </c>
      <c r="B43" s="770">
        <v>0</v>
      </c>
      <c r="C43">
        <v>-378.2</v>
      </c>
      <c r="D43" s="708">
        <v>-5050</v>
      </c>
      <c r="E43" s="708">
        <v>-2275</v>
      </c>
      <c r="F43" s="708">
        <v>-2100</v>
      </c>
      <c r="G43">
        <v>-750</v>
      </c>
      <c r="H43" s="708">
        <v>-3592</v>
      </c>
      <c r="I43">
        <v>-519.1</v>
      </c>
      <c r="J43" s="708">
        <v>-4805.6000000000004</v>
      </c>
      <c r="K43" s="708">
        <v>-10683.9</v>
      </c>
    </row>
    <row r="44" spans="1:11" x14ac:dyDescent="0.3">
      <c r="A44" s="770" t="s">
        <v>1049</v>
      </c>
      <c r="B44" s="770">
        <v>-227</v>
      </c>
      <c r="C44">
        <v>-370.1</v>
      </c>
      <c r="D44">
        <v>-46.5</v>
      </c>
      <c r="E44">
        <v>-226</v>
      </c>
      <c r="F44">
        <v>-613</v>
      </c>
      <c r="G44">
        <v>-244.5</v>
      </c>
      <c r="H44" s="708">
        <v>-3105.1</v>
      </c>
      <c r="I44" s="708">
        <v>-2577</v>
      </c>
      <c r="J44" s="708">
        <v>-2964</v>
      </c>
      <c r="K44">
        <v>-615.6</v>
      </c>
    </row>
    <row r="45" spans="1:11" x14ac:dyDescent="0.3">
      <c r="A45" s="770" t="s">
        <v>1050</v>
      </c>
      <c r="B45" s="770">
        <v>-4</v>
      </c>
      <c r="C45">
        <v>-2.9</v>
      </c>
      <c r="D45">
        <v>3.6</v>
      </c>
      <c r="E45">
        <v>-1.6</v>
      </c>
      <c r="F45">
        <v>-1.4</v>
      </c>
      <c r="G45">
        <v>0.2</v>
      </c>
      <c r="H45">
        <v>3.2</v>
      </c>
      <c r="I45">
        <v>-34.700000000000003</v>
      </c>
      <c r="J45">
        <v>0</v>
      </c>
      <c r="K45">
        <v>0</v>
      </c>
    </row>
    <row r="46" spans="1:11" x14ac:dyDescent="0.3">
      <c r="A46" s="770" t="s">
        <v>1051</v>
      </c>
      <c r="B46" s="770">
        <v>-1.3</v>
      </c>
      <c r="C46">
        <v>-68.8</v>
      </c>
      <c r="D46">
        <v>-4</v>
      </c>
      <c r="E46">
        <v>3.4</v>
      </c>
      <c r="F46">
        <v>-2.8</v>
      </c>
      <c r="G46">
        <v>-4</v>
      </c>
      <c r="H46">
        <v>-155.9</v>
      </c>
      <c r="I46">
        <v>19.899999999999999</v>
      </c>
      <c r="J46">
        <v>-20.8</v>
      </c>
      <c r="K46">
        <v>-13</v>
      </c>
    </row>
    <row r="47" spans="1:11" x14ac:dyDescent="0.3">
      <c r="A47" s="770" t="s">
        <v>1052</v>
      </c>
      <c r="B47" s="770">
        <v>122.6</v>
      </c>
      <c r="C47">
        <v>61.5</v>
      </c>
      <c r="D47">
        <v>133.30000000000001</v>
      </c>
      <c r="E47">
        <v>99</v>
      </c>
      <c r="F47">
        <v>116.5</v>
      </c>
      <c r="G47">
        <v>68.400000000000006</v>
      </c>
      <c r="H47">
        <v>63.1</v>
      </c>
      <c r="I47">
        <v>33.9</v>
      </c>
      <c r="J47">
        <v>118.6</v>
      </c>
      <c r="K47">
        <v>121.2</v>
      </c>
    </row>
    <row r="48" spans="1:11" x14ac:dyDescent="0.3">
      <c r="A48" s="770" t="s">
        <v>1053</v>
      </c>
      <c r="B48" s="770">
        <v>315.10000000000002</v>
      </c>
      <c r="C48">
        <v>36.799999999999997</v>
      </c>
      <c r="D48">
        <v>126.7</v>
      </c>
      <c r="E48">
        <v>-231.2</v>
      </c>
      <c r="F48">
        <v>-168.3</v>
      </c>
      <c r="G48">
        <v>407.5</v>
      </c>
      <c r="H48">
        <v>922.1</v>
      </c>
      <c r="I48">
        <v>-507.4</v>
      </c>
      <c r="J48">
        <v>-512.5</v>
      </c>
      <c r="K48" s="708">
        <v>1033.3</v>
      </c>
    </row>
    <row r="49" spans="1:11" ht="28" x14ac:dyDescent="0.3">
      <c r="A49" s="770" t="s">
        <v>1054</v>
      </c>
      <c r="B49" s="770">
        <v>884.4</v>
      </c>
      <c r="C49">
        <v>921.1</v>
      </c>
      <c r="D49" s="708">
        <v>1047.8</v>
      </c>
      <c r="E49">
        <v>816.6</v>
      </c>
      <c r="F49">
        <v>648.29999999999995</v>
      </c>
      <c r="G49" s="708">
        <v>1055.9000000000001</v>
      </c>
      <c r="H49" s="708">
        <v>1978</v>
      </c>
      <c r="I49" s="708">
        <v>1470.6</v>
      </c>
      <c r="J49">
        <v>958.1</v>
      </c>
      <c r="K49" s="708">
        <v>1991.3</v>
      </c>
    </row>
    <row r="50" spans="1:11" ht="28" x14ac:dyDescent="0.3">
      <c r="A50" s="770" t="s">
        <v>1055</v>
      </c>
      <c r="B50" s="770">
        <v>569.20000000000005</v>
      </c>
      <c r="C50">
        <v>884.4</v>
      </c>
      <c r="D50">
        <v>921.1</v>
      </c>
      <c r="E50" s="708">
        <v>1047.8</v>
      </c>
      <c r="F50">
        <v>816.6</v>
      </c>
      <c r="G50">
        <v>648.29999999999995</v>
      </c>
      <c r="H50" s="708">
        <v>1055.9000000000001</v>
      </c>
      <c r="I50" s="708">
        <v>1978</v>
      </c>
      <c r="J50" s="708">
        <v>1470.6</v>
      </c>
      <c r="K50">
        <v>958.1</v>
      </c>
    </row>
    <row r="51" spans="1:11" ht="28" x14ac:dyDescent="0.3">
      <c r="A51" s="770" t="s">
        <v>1056</v>
      </c>
      <c r="B51" s="770">
        <v>25</v>
      </c>
      <c r="C51">
        <v>10.5</v>
      </c>
      <c r="D51">
        <v>41.8</v>
      </c>
      <c r="E51" t="s">
        <v>360</v>
      </c>
      <c r="F51" t="s">
        <v>360</v>
      </c>
      <c r="G51" t="s">
        <v>360</v>
      </c>
      <c r="H51" t="s">
        <v>360</v>
      </c>
      <c r="I51" t="s">
        <v>360</v>
      </c>
      <c r="J51" t="s">
        <v>360</v>
      </c>
      <c r="K51" t="s">
        <v>360</v>
      </c>
    </row>
    <row r="52" spans="1:11" x14ac:dyDescent="0.3">
      <c r="A52" s="770" t="s">
        <v>1057</v>
      </c>
      <c r="B52" s="770">
        <v>-571.6</v>
      </c>
      <c r="C52">
        <v>-33.4</v>
      </c>
      <c r="D52" s="708">
        <v>5586.8</v>
      </c>
      <c r="E52" s="708">
        <v>-2358</v>
      </c>
      <c r="F52" s="708">
        <v>-2126.8000000000002</v>
      </c>
      <c r="G52" s="708">
        <v>-1420.6</v>
      </c>
      <c r="H52" s="708">
        <v>-3959.7</v>
      </c>
      <c r="I52" s="708">
        <v>-4290.7</v>
      </c>
      <c r="J52" s="708">
        <v>-4063.8</v>
      </c>
      <c r="K52" s="708">
        <v>-1714.4</v>
      </c>
    </row>
    <row r="53" spans="1:11" x14ac:dyDescent="0.3">
      <c r="A53" s="770" t="s">
        <v>729</v>
      </c>
      <c r="B53" s="770"/>
    </row>
    <row r="54" spans="1:11" x14ac:dyDescent="0.3">
      <c r="A54" s="770" t="s">
        <v>1058</v>
      </c>
      <c r="B54" s="770">
        <v>142.9</v>
      </c>
      <c r="C54">
        <v>77.900000000000006</v>
      </c>
      <c r="D54">
        <v>868.5</v>
      </c>
      <c r="E54">
        <v>211.5</v>
      </c>
      <c r="F54">
        <v>205.8</v>
      </c>
      <c r="G54">
        <v>237.7</v>
      </c>
      <c r="H54">
        <v>388.1</v>
      </c>
      <c r="I54">
        <v>821.7</v>
      </c>
      <c r="J54">
        <v>987.2</v>
      </c>
      <c r="K54">
        <v>414.8</v>
      </c>
    </row>
    <row r="55" spans="1:11" x14ac:dyDescent="0.3">
      <c r="A55" s="770" t="s">
        <v>1059</v>
      </c>
      <c r="B55" s="770">
        <v>25.6</v>
      </c>
      <c r="C55">
        <v>41.7</v>
      </c>
      <c r="D55">
        <v>183.1</v>
      </c>
      <c r="E55">
        <v>233.4</v>
      </c>
      <c r="F55">
        <v>216.1</v>
      </c>
      <c r="G55">
        <v>185.9</v>
      </c>
      <c r="H55">
        <v>197.8</v>
      </c>
      <c r="I55">
        <v>173</v>
      </c>
      <c r="J55">
        <v>206.4</v>
      </c>
      <c r="K55">
        <v>268.2</v>
      </c>
    </row>
    <row r="56" spans="1:11" x14ac:dyDescent="0.3">
      <c r="A56" s="770" t="s">
        <v>818</v>
      </c>
      <c r="B56" s="770">
        <v>977.5</v>
      </c>
      <c r="C56" s="708">
        <v>1153.5</v>
      </c>
      <c r="D56" s="708">
        <v>1700.3</v>
      </c>
      <c r="E56" s="708">
        <v>2187.5</v>
      </c>
      <c r="F56" s="708">
        <v>1977.7</v>
      </c>
      <c r="G56" s="708">
        <v>1842.8</v>
      </c>
      <c r="H56" s="708">
        <v>2391.4</v>
      </c>
      <c r="I56" s="708">
        <v>3776.1</v>
      </c>
      <c r="J56" s="708">
        <v>3556.2</v>
      </c>
      <c r="K56" s="708">
        <v>3122.1</v>
      </c>
    </row>
    <row r="57" spans="1:11" ht="28" x14ac:dyDescent="0.3">
      <c r="A57" s="770" t="s">
        <v>636</v>
      </c>
      <c r="B57" s="770" t="s">
        <v>637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538F-85B4-4C1E-999F-241E27E4945D}">
  <sheetPr codeName="Sheet20"/>
  <dimension ref="A1:K96"/>
  <sheetViews>
    <sheetView workbookViewId="0">
      <selection sqref="A1:K96"/>
    </sheetView>
  </sheetViews>
  <sheetFormatPr defaultColWidth="8.83203125" defaultRowHeight="14" x14ac:dyDescent="0.3"/>
  <cols>
    <col min="1" max="1" width="33.08203125" bestFit="1" customWidth="1"/>
    <col min="2" max="2" width="36" bestFit="1" customWidth="1"/>
    <col min="3" max="4" width="10.08203125" bestFit="1" customWidth="1"/>
    <col min="5" max="6" width="9.08203125" bestFit="1" customWidth="1"/>
    <col min="7" max="10" width="10.08203125" bestFit="1" customWidth="1"/>
    <col min="11" max="11" width="9.08203125" bestFit="1" customWidth="1"/>
  </cols>
  <sheetData>
    <row r="1" spans="1:11" x14ac:dyDescent="0.3">
      <c r="B1" s="770"/>
    </row>
    <row r="2" spans="1:11" x14ac:dyDescent="0.3">
      <c r="A2" t="s">
        <v>1060</v>
      </c>
      <c r="B2" s="770"/>
    </row>
    <row r="3" spans="1:11" x14ac:dyDescent="0.3">
      <c r="B3" s="770"/>
    </row>
    <row r="4" spans="1:11" x14ac:dyDescent="0.3">
      <c r="A4" t="s">
        <v>606</v>
      </c>
      <c r="B4" s="770" t="s">
        <v>607</v>
      </c>
      <c r="C4" t="s">
        <v>608</v>
      </c>
      <c r="D4" t="s">
        <v>609</v>
      </c>
      <c r="E4" t="s">
        <v>610</v>
      </c>
      <c r="F4" t="s">
        <v>611</v>
      </c>
      <c r="G4" t="s">
        <v>612</v>
      </c>
      <c r="H4" t="s">
        <v>613</v>
      </c>
      <c r="I4" t="s">
        <v>614</v>
      </c>
      <c r="J4" t="s">
        <v>615</v>
      </c>
      <c r="K4" t="s">
        <v>616</v>
      </c>
    </row>
    <row r="5" spans="1:11" x14ac:dyDescent="0.3">
      <c r="A5" t="s">
        <v>617</v>
      </c>
      <c r="B5" s="771">
        <v>42308</v>
      </c>
      <c r="C5" s="769">
        <v>42672</v>
      </c>
      <c r="D5" s="769">
        <v>43036</v>
      </c>
      <c r="E5" s="769">
        <v>43407</v>
      </c>
      <c r="F5" s="769">
        <v>43771</v>
      </c>
      <c r="G5" s="769">
        <v>44135</v>
      </c>
      <c r="H5" s="769">
        <v>44499</v>
      </c>
      <c r="I5" s="769">
        <v>44863</v>
      </c>
      <c r="J5" s="769">
        <v>45227</v>
      </c>
      <c r="K5" s="769">
        <v>45598</v>
      </c>
    </row>
    <row r="6" spans="1:11" x14ac:dyDescent="0.3">
      <c r="A6" t="s">
        <v>1061</v>
      </c>
      <c r="B6" s="770"/>
    </row>
    <row r="7" spans="1:11" x14ac:dyDescent="0.3">
      <c r="A7" t="s">
        <v>641</v>
      </c>
      <c r="B7" s="770">
        <v>19.91</v>
      </c>
      <c r="C7">
        <v>-0.4</v>
      </c>
      <c r="D7">
        <v>49.28</v>
      </c>
      <c r="E7">
        <v>21.87</v>
      </c>
      <c r="F7">
        <v>-3.75</v>
      </c>
      <c r="G7">
        <v>-6.48</v>
      </c>
      <c r="H7">
        <v>30.61</v>
      </c>
      <c r="I7">
        <v>64.16</v>
      </c>
      <c r="J7">
        <v>2.4300000000000002</v>
      </c>
      <c r="K7">
        <v>-23.39</v>
      </c>
    </row>
    <row r="8" spans="1:11" x14ac:dyDescent="0.3">
      <c r="A8" t="s">
        <v>176</v>
      </c>
      <c r="B8" s="770">
        <v>17.73</v>
      </c>
      <c r="C8">
        <v>17.55</v>
      </c>
      <c r="D8">
        <v>32.42</v>
      </c>
      <c r="E8">
        <v>64.63</v>
      </c>
      <c r="F8">
        <v>-6.55</v>
      </c>
      <c r="G8">
        <v>-6.61</v>
      </c>
      <c r="H8">
        <v>19.64</v>
      </c>
      <c r="I8">
        <v>100.06</v>
      </c>
      <c r="J8">
        <v>9.69</v>
      </c>
      <c r="K8">
        <v>-31.98</v>
      </c>
    </row>
    <row r="9" spans="1:11" x14ac:dyDescent="0.3">
      <c r="A9" t="s">
        <v>619</v>
      </c>
      <c r="B9" s="770">
        <v>10.41</v>
      </c>
      <c r="C9">
        <v>23.74</v>
      </c>
      <c r="D9">
        <v>2.63</v>
      </c>
      <c r="E9">
        <v>80.03</v>
      </c>
      <c r="F9">
        <v>-9.9499999999999993</v>
      </c>
      <c r="G9">
        <v>-12.41</v>
      </c>
      <c r="H9">
        <v>12.95</v>
      </c>
      <c r="I9">
        <v>93.75</v>
      </c>
      <c r="J9">
        <v>16.600000000000001</v>
      </c>
      <c r="K9">
        <v>-46.83</v>
      </c>
    </row>
    <row r="10" spans="1:11" x14ac:dyDescent="0.3">
      <c r="A10" t="s">
        <v>620</v>
      </c>
      <c r="B10" s="770">
        <v>10.74</v>
      </c>
      <c r="C10">
        <v>23.65</v>
      </c>
      <c r="D10">
        <v>-15.6</v>
      </c>
      <c r="E10">
        <v>107.21</v>
      </c>
      <c r="F10">
        <v>-9.77</v>
      </c>
      <c r="G10">
        <v>-10.220000000000001</v>
      </c>
      <c r="H10">
        <v>13.9</v>
      </c>
      <c r="I10">
        <v>97.68</v>
      </c>
      <c r="J10">
        <v>20.59</v>
      </c>
      <c r="K10">
        <v>-50.66</v>
      </c>
    </row>
    <row r="11" spans="1:11" x14ac:dyDescent="0.3">
      <c r="A11" t="s">
        <v>1062</v>
      </c>
      <c r="B11" s="770">
        <v>11.11</v>
      </c>
      <c r="C11">
        <v>25.45</v>
      </c>
      <c r="D11">
        <v>-25</v>
      </c>
      <c r="E11">
        <v>93.24</v>
      </c>
      <c r="F11">
        <v>-8.75</v>
      </c>
      <c r="G11">
        <v>-10.14</v>
      </c>
      <c r="H11">
        <v>5.49</v>
      </c>
      <c r="I11">
        <v>51.73</v>
      </c>
      <c r="J11">
        <v>24.76</v>
      </c>
      <c r="K11">
        <v>-49.92</v>
      </c>
    </row>
    <row r="12" spans="1:11" x14ac:dyDescent="0.3">
      <c r="A12" t="s">
        <v>1063</v>
      </c>
      <c r="B12" s="770">
        <v>11.11</v>
      </c>
      <c r="C12">
        <v>25.45</v>
      </c>
      <c r="D12">
        <v>-25</v>
      </c>
      <c r="E12">
        <v>93.24</v>
      </c>
      <c r="F12">
        <v>-8.75</v>
      </c>
      <c r="G12">
        <v>-10.14</v>
      </c>
      <c r="H12">
        <v>5.49</v>
      </c>
      <c r="I12">
        <v>51.73</v>
      </c>
      <c r="J12">
        <v>24.76</v>
      </c>
      <c r="K12">
        <v>-49.92</v>
      </c>
    </row>
    <row r="13" spans="1:11" x14ac:dyDescent="0.3">
      <c r="A13" t="s">
        <v>1064</v>
      </c>
      <c r="B13" s="770">
        <v>7.11</v>
      </c>
      <c r="C13">
        <v>20.010000000000002</v>
      </c>
      <c r="D13">
        <v>32.47</v>
      </c>
      <c r="E13">
        <v>42.4</v>
      </c>
      <c r="F13">
        <v>-7.9</v>
      </c>
      <c r="G13">
        <v>-2.09</v>
      </c>
      <c r="H13">
        <v>28</v>
      </c>
      <c r="I13">
        <v>51.06</v>
      </c>
      <c r="J13">
        <v>3.59</v>
      </c>
      <c r="K13">
        <v>-36.75</v>
      </c>
    </row>
    <row r="14" spans="1:11" x14ac:dyDescent="0.3">
      <c r="A14" t="s">
        <v>718</v>
      </c>
      <c r="B14" s="770">
        <v>8.2799999999999994</v>
      </c>
      <c r="C14">
        <v>5.73</v>
      </c>
      <c r="D14">
        <v>6.63</v>
      </c>
      <c r="E14">
        <v>6.78</v>
      </c>
      <c r="F14">
        <v>11.11</v>
      </c>
      <c r="G14">
        <v>14.29</v>
      </c>
      <c r="H14">
        <v>12.08</v>
      </c>
      <c r="I14">
        <v>10.41</v>
      </c>
      <c r="J14">
        <v>12.46</v>
      </c>
      <c r="K14">
        <v>8.3800000000000008</v>
      </c>
    </row>
    <row r="15" spans="1:11" x14ac:dyDescent="0.3">
      <c r="B15" s="770"/>
    </row>
    <row r="16" spans="1:11" x14ac:dyDescent="0.3">
      <c r="A16" t="s">
        <v>1065</v>
      </c>
      <c r="B16" s="770">
        <v>17.63</v>
      </c>
      <c r="C16">
        <v>2.38</v>
      </c>
      <c r="D16">
        <v>44.25</v>
      </c>
      <c r="E16">
        <v>-7.15</v>
      </c>
      <c r="F16">
        <v>-0.72</v>
      </c>
      <c r="G16">
        <v>16.12</v>
      </c>
      <c r="H16">
        <v>97.83</v>
      </c>
      <c r="I16">
        <v>23.4</v>
      </c>
      <c r="J16">
        <v>-18.37</v>
      </c>
      <c r="K16">
        <v>-9.08</v>
      </c>
    </row>
    <row r="17" spans="1:11" x14ac:dyDescent="0.3">
      <c r="A17" t="s">
        <v>1066</v>
      </c>
      <c r="B17" s="770">
        <v>12.06</v>
      </c>
      <c r="C17">
        <v>-8.67</v>
      </c>
      <c r="D17">
        <v>46.28</v>
      </c>
      <c r="E17">
        <v>6.53</v>
      </c>
      <c r="F17">
        <v>3.94</v>
      </c>
      <c r="G17">
        <v>-0.27</v>
      </c>
      <c r="H17">
        <v>97.38</v>
      </c>
      <c r="I17">
        <v>16.600000000000001</v>
      </c>
      <c r="J17">
        <v>17.309999999999999</v>
      </c>
      <c r="K17">
        <v>-11.85</v>
      </c>
    </row>
    <row r="18" spans="1:11" x14ac:dyDescent="0.3">
      <c r="A18" t="s">
        <v>1067</v>
      </c>
      <c r="B18" s="770">
        <v>3.48</v>
      </c>
      <c r="C18">
        <v>-1.24</v>
      </c>
      <c r="D18">
        <v>74.069999999999993</v>
      </c>
      <c r="E18">
        <v>4.25</v>
      </c>
      <c r="F18">
        <v>5.69</v>
      </c>
      <c r="G18">
        <v>-8.15</v>
      </c>
      <c r="H18">
        <v>76.61</v>
      </c>
      <c r="I18">
        <v>21.34</v>
      </c>
      <c r="J18">
        <v>45.6</v>
      </c>
      <c r="K18">
        <v>4.63</v>
      </c>
    </row>
    <row r="19" spans="1:11" x14ac:dyDescent="0.3">
      <c r="A19" t="s">
        <v>627</v>
      </c>
      <c r="B19" s="770">
        <v>2.9</v>
      </c>
      <c r="C19">
        <v>12.91</v>
      </c>
      <c r="D19">
        <v>165.25</v>
      </c>
      <c r="E19">
        <v>-3.32</v>
      </c>
      <c r="F19">
        <v>4.67</v>
      </c>
      <c r="G19">
        <v>0.36</v>
      </c>
      <c r="H19">
        <v>143.71</v>
      </c>
      <c r="I19">
        <v>-3.86</v>
      </c>
      <c r="J19">
        <v>-3</v>
      </c>
      <c r="K19">
        <v>-1.1599999999999999</v>
      </c>
    </row>
    <row r="20" spans="1:11" x14ac:dyDescent="0.3">
      <c r="A20" t="s">
        <v>1068</v>
      </c>
      <c r="B20" s="770">
        <v>12.63</v>
      </c>
      <c r="C20">
        <v>-3.1</v>
      </c>
      <c r="D20">
        <v>46.93</v>
      </c>
      <c r="E20">
        <v>-3.75</v>
      </c>
      <c r="F20">
        <v>5.61</v>
      </c>
      <c r="G20">
        <v>9.69</v>
      </c>
      <c r="H20">
        <v>98.14</v>
      </c>
      <c r="I20">
        <v>18.14</v>
      </c>
      <c r="J20">
        <v>0.03</v>
      </c>
      <c r="K20">
        <v>-12.31</v>
      </c>
    </row>
    <row r="21" spans="1:11" x14ac:dyDescent="0.3">
      <c r="A21" t="s">
        <v>1069</v>
      </c>
      <c r="B21" s="770">
        <v>-4.41</v>
      </c>
      <c r="C21">
        <v>41.33</v>
      </c>
      <c r="D21">
        <v>-81.99</v>
      </c>
      <c r="E21">
        <v>40.450000000000003</v>
      </c>
      <c r="F21">
        <v>-55.06</v>
      </c>
      <c r="G21">
        <v>141.91</v>
      </c>
      <c r="H21">
        <v>126.25</v>
      </c>
      <c r="I21">
        <v>-4.32</v>
      </c>
      <c r="J21">
        <v>-52.59</v>
      </c>
      <c r="K21">
        <v>111.01</v>
      </c>
    </row>
    <row r="22" spans="1:11" x14ac:dyDescent="0.3">
      <c r="A22" t="s">
        <v>1070</v>
      </c>
      <c r="B22" s="770">
        <v>1.04</v>
      </c>
      <c r="C22">
        <v>3.09</v>
      </c>
      <c r="D22">
        <v>53</v>
      </c>
      <c r="E22">
        <v>3.27</v>
      </c>
      <c r="F22">
        <v>3.8</v>
      </c>
      <c r="G22">
        <v>-3.05</v>
      </c>
      <c r="H22">
        <v>55.35</v>
      </c>
      <c r="I22">
        <v>-1.01</v>
      </c>
      <c r="J22">
        <v>6.34</v>
      </c>
      <c r="K22">
        <v>-7.69</v>
      </c>
    </row>
    <row r="23" spans="1:11" x14ac:dyDescent="0.3">
      <c r="A23" t="s">
        <v>1071</v>
      </c>
      <c r="B23" s="770">
        <v>25.39</v>
      </c>
      <c r="C23">
        <v>-1.61</v>
      </c>
      <c r="D23">
        <v>38.03</v>
      </c>
      <c r="E23">
        <v>10.27</v>
      </c>
      <c r="F23">
        <v>-13.66</v>
      </c>
      <c r="G23">
        <v>0.89</v>
      </c>
      <c r="H23">
        <v>95.11</v>
      </c>
      <c r="I23">
        <v>31.28</v>
      </c>
      <c r="J23">
        <v>-15.31</v>
      </c>
      <c r="K23">
        <v>-1.1299999999999999</v>
      </c>
    </row>
    <row r="24" spans="1:11" x14ac:dyDescent="0.3">
      <c r="A24" t="s">
        <v>1072</v>
      </c>
      <c r="B24" s="770" t="s">
        <v>360</v>
      </c>
      <c r="C24" t="s">
        <v>360</v>
      </c>
      <c r="D24" t="s">
        <v>360</v>
      </c>
      <c r="E24">
        <v>-77.67</v>
      </c>
      <c r="F24">
        <v>347.26</v>
      </c>
      <c r="G24">
        <v>-86.68</v>
      </c>
      <c r="H24" s="708">
        <v>1325.84</v>
      </c>
      <c r="I24">
        <v>-90.58</v>
      </c>
      <c r="J24" s="708">
        <v>1971.72</v>
      </c>
      <c r="K24">
        <v>-8.6</v>
      </c>
    </row>
    <row r="25" spans="1:11" x14ac:dyDescent="0.3">
      <c r="A25" t="s">
        <v>1073</v>
      </c>
      <c r="B25" s="770">
        <v>-0.33</v>
      </c>
      <c r="C25">
        <v>99.12</v>
      </c>
      <c r="D25">
        <v>353.25</v>
      </c>
      <c r="E25">
        <v>-19.34</v>
      </c>
      <c r="F25">
        <v>-13.28</v>
      </c>
      <c r="G25">
        <v>-0.34</v>
      </c>
      <c r="H25">
        <v>30.05</v>
      </c>
      <c r="I25">
        <v>-2.5099999999999998</v>
      </c>
      <c r="J25">
        <v>6.26</v>
      </c>
      <c r="K25">
        <v>8.06</v>
      </c>
    </row>
    <row r="26" spans="1:11" x14ac:dyDescent="0.3">
      <c r="A26" t="s">
        <v>1074</v>
      </c>
      <c r="B26" s="770">
        <v>6.62</v>
      </c>
      <c r="C26">
        <v>1.83</v>
      </c>
      <c r="D26">
        <v>96.71</v>
      </c>
      <c r="E26">
        <v>10.89</v>
      </c>
      <c r="F26">
        <v>3.91</v>
      </c>
      <c r="G26">
        <v>2.4700000000000002</v>
      </c>
      <c r="H26">
        <v>216.66</v>
      </c>
      <c r="I26">
        <v>-4.0199999999999996</v>
      </c>
      <c r="J26">
        <v>-2.4700000000000002</v>
      </c>
      <c r="K26">
        <v>-1.0900000000000001</v>
      </c>
    </row>
    <row r="27" spans="1:11" x14ac:dyDescent="0.3">
      <c r="A27" t="s">
        <v>1075</v>
      </c>
      <c r="B27" s="770">
        <v>5.54</v>
      </c>
      <c r="C27">
        <v>16.07</v>
      </c>
      <c r="D27">
        <v>161.13999999999999</v>
      </c>
      <c r="E27">
        <v>-2.29</v>
      </c>
      <c r="F27">
        <v>-2.27</v>
      </c>
      <c r="G27">
        <v>1.57</v>
      </c>
      <c r="H27">
        <v>158.19999999999999</v>
      </c>
      <c r="I27">
        <v>-3.78</v>
      </c>
      <c r="J27">
        <v>-1.07</v>
      </c>
      <c r="K27">
        <v>0.48</v>
      </c>
    </row>
    <row r="28" spans="1:11" x14ac:dyDescent="0.3">
      <c r="A28" t="s">
        <v>1076</v>
      </c>
      <c r="B28" s="770">
        <v>6.33</v>
      </c>
      <c r="C28">
        <v>3.11</v>
      </c>
      <c r="D28">
        <v>64.45</v>
      </c>
      <c r="E28">
        <v>10.43</v>
      </c>
      <c r="F28">
        <v>4.4400000000000004</v>
      </c>
      <c r="G28">
        <v>2.14</v>
      </c>
      <c r="H28">
        <v>122.72</v>
      </c>
      <c r="I28">
        <v>-1</v>
      </c>
      <c r="J28">
        <v>0.09</v>
      </c>
      <c r="K28">
        <v>-1.1000000000000001</v>
      </c>
    </row>
    <row r="29" spans="1:11" x14ac:dyDescent="0.3">
      <c r="B29" s="770"/>
    </row>
    <row r="30" spans="1:11" x14ac:dyDescent="0.3">
      <c r="A30" t="s">
        <v>633</v>
      </c>
      <c r="B30" s="770">
        <v>4.1500000000000004</v>
      </c>
      <c r="C30">
        <v>41.1</v>
      </c>
      <c r="D30">
        <v>-13.14</v>
      </c>
      <c r="E30">
        <v>119.52</v>
      </c>
      <c r="F30">
        <v>-7.75</v>
      </c>
      <c r="G30">
        <v>-10.86</v>
      </c>
      <c r="H30">
        <v>36.18</v>
      </c>
      <c r="I30">
        <v>63.63</v>
      </c>
      <c r="J30">
        <v>7.65</v>
      </c>
      <c r="K30">
        <v>-20.03</v>
      </c>
    </row>
    <row r="31" spans="1:11" x14ac:dyDescent="0.3">
      <c r="A31" t="s">
        <v>1077</v>
      </c>
      <c r="B31" s="770">
        <v>-13.46</v>
      </c>
      <c r="C31">
        <v>-17.25</v>
      </c>
      <c r="D31">
        <v>60.21</v>
      </c>
      <c r="E31">
        <v>24.88</v>
      </c>
      <c r="F31">
        <v>8.0399999999999991</v>
      </c>
      <c r="G31">
        <v>-39.83</v>
      </c>
      <c r="H31">
        <v>107.42</v>
      </c>
      <c r="I31">
        <v>103.48</v>
      </c>
      <c r="J31">
        <v>80.39</v>
      </c>
      <c r="K31">
        <v>-42.09</v>
      </c>
    </row>
    <row r="32" spans="1:11" x14ac:dyDescent="0.3">
      <c r="A32" t="s">
        <v>1078</v>
      </c>
      <c r="B32" s="770">
        <v>77.89</v>
      </c>
      <c r="C32">
        <v>-88.33</v>
      </c>
      <c r="D32">
        <v>244.51</v>
      </c>
      <c r="E32" t="s">
        <v>360</v>
      </c>
      <c r="F32">
        <v>27.23</v>
      </c>
      <c r="G32" t="s">
        <v>360</v>
      </c>
      <c r="H32">
        <v>126.26</v>
      </c>
      <c r="I32" t="s">
        <v>360</v>
      </c>
      <c r="J32">
        <v>-1.01</v>
      </c>
      <c r="K32" t="s">
        <v>360</v>
      </c>
    </row>
    <row r="33" spans="1:11" x14ac:dyDescent="0.3">
      <c r="A33" t="s">
        <v>1079</v>
      </c>
      <c r="B33" s="770">
        <v>8.67</v>
      </c>
      <c r="C33">
        <v>53.02</v>
      </c>
      <c r="D33">
        <v>-21.24</v>
      </c>
      <c r="E33">
        <v>140.78</v>
      </c>
      <c r="F33">
        <v>-9.59</v>
      </c>
      <c r="G33">
        <v>-6.82</v>
      </c>
      <c r="H33">
        <v>29.77</v>
      </c>
      <c r="I33">
        <v>57.9</v>
      </c>
      <c r="J33">
        <v>-5.82</v>
      </c>
      <c r="K33">
        <v>-12.21</v>
      </c>
    </row>
    <row r="34" spans="1:11" x14ac:dyDescent="0.3">
      <c r="A34" t="s">
        <v>1080</v>
      </c>
      <c r="B34" s="770">
        <v>3.26</v>
      </c>
      <c r="C34">
        <v>46.16</v>
      </c>
      <c r="D34">
        <v>-2.06</v>
      </c>
      <c r="E34">
        <v>100.57</v>
      </c>
      <c r="F34">
        <v>-7.85</v>
      </c>
      <c r="G34">
        <v>-11.16</v>
      </c>
      <c r="H34" t="s">
        <v>360</v>
      </c>
      <c r="I34" t="s">
        <v>360</v>
      </c>
      <c r="J34">
        <v>8.76</v>
      </c>
      <c r="K34">
        <v>-18.02</v>
      </c>
    </row>
    <row r="35" spans="1:11" x14ac:dyDescent="0.3">
      <c r="A35" t="s">
        <v>1081</v>
      </c>
      <c r="B35" s="770">
        <v>7.38</v>
      </c>
      <c r="C35">
        <v>58.72</v>
      </c>
      <c r="D35">
        <v>-8.49</v>
      </c>
      <c r="E35">
        <v>114.26</v>
      </c>
      <c r="F35">
        <v>-9.5299999999999994</v>
      </c>
      <c r="G35">
        <v>-7.55</v>
      </c>
      <c r="H35" t="s">
        <v>360</v>
      </c>
      <c r="I35" t="s">
        <v>360</v>
      </c>
      <c r="J35">
        <v>-3.91</v>
      </c>
      <c r="K35">
        <v>-10.02</v>
      </c>
    </row>
    <row r="36" spans="1:11" x14ac:dyDescent="0.3">
      <c r="B36" s="770"/>
    </row>
    <row r="37" spans="1:11" x14ac:dyDescent="0.3">
      <c r="A37" t="s">
        <v>1082</v>
      </c>
      <c r="B37" s="770"/>
    </row>
    <row r="38" spans="1:11" x14ac:dyDescent="0.3">
      <c r="A38" t="s">
        <v>641</v>
      </c>
      <c r="B38" s="770">
        <v>4.46</v>
      </c>
      <c r="C38">
        <v>2.71</v>
      </c>
      <c r="D38">
        <v>13.59</v>
      </c>
      <c r="E38">
        <v>18.77</v>
      </c>
      <c r="F38">
        <v>15.9</v>
      </c>
      <c r="G38">
        <v>10.28</v>
      </c>
      <c r="H38">
        <v>16.420000000000002</v>
      </c>
      <c r="I38">
        <v>18.66</v>
      </c>
      <c r="J38">
        <v>14.6</v>
      </c>
      <c r="K38">
        <v>9.49</v>
      </c>
    </row>
    <row r="39" spans="1:11" x14ac:dyDescent="0.3">
      <c r="A39" t="s">
        <v>176</v>
      </c>
      <c r="B39" s="770">
        <v>0.62</v>
      </c>
      <c r="C39">
        <v>0.79</v>
      </c>
      <c r="D39">
        <v>11.91</v>
      </c>
      <c r="E39">
        <v>25.6</v>
      </c>
      <c r="F39">
        <v>23.04</v>
      </c>
      <c r="G39">
        <v>17.46</v>
      </c>
      <c r="H39">
        <v>17.88</v>
      </c>
      <c r="I39">
        <v>28.02</v>
      </c>
      <c r="J39">
        <v>18.04</v>
      </c>
      <c r="K39">
        <v>10.77</v>
      </c>
    </row>
    <row r="40" spans="1:11" x14ac:dyDescent="0.3">
      <c r="A40" t="s">
        <v>619</v>
      </c>
      <c r="B40" s="770">
        <v>-1.59</v>
      </c>
      <c r="C40">
        <v>-0.83</v>
      </c>
      <c r="D40">
        <v>5.07</v>
      </c>
      <c r="E40">
        <v>20.329999999999998</v>
      </c>
      <c r="F40">
        <v>17.850000000000001</v>
      </c>
      <c r="G40">
        <v>12.52</v>
      </c>
      <c r="H40">
        <v>10.48</v>
      </c>
      <c r="I40">
        <v>25.45</v>
      </c>
      <c r="J40">
        <v>15.01</v>
      </c>
      <c r="K40">
        <v>3.51</v>
      </c>
    </row>
    <row r="41" spans="1:11" x14ac:dyDescent="0.3">
      <c r="A41" t="s">
        <v>620</v>
      </c>
      <c r="B41" s="770">
        <v>-0.43</v>
      </c>
      <c r="C41">
        <v>-0.13</v>
      </c>
      <c r="D41">
        <v>2.23</v>
      </c>
      <c r="E41">
        <v>17.48</v>
      </c>
      <c r="F41">
        <v>16.66</v>
      </c>
      <c r="G41">
        <v>11.87</v>
      </c>
      <c r="H41">
        <v>10.039999999999999</v>
      </c>
      <c r="I41">
        <v>30.46</v>
      </c>
      <c r="J41">
        <v>17.079999999999998</v>
      </c>
      <c r="K41">
        <v>3.76</v>
      </c>
    </row>
    <row r="42" spans="1:11" x14ac:dyDescent="0.3">
      <c r="A42" t="s">
        <v>1062</v>
      </c>
      <c r="B42" s="770">
        <v>-1.1399999999999999</v>
      </c>
      <c r="C42">
        <v>-0.36</v>
      </c>
      <c r="D42">
        <v>-0.56999999999999995</v>
      </c>
      <c r="E42">
        <v>13.33</v>
      </c>
      <c r="F42">
        <v>13.01</v>
      </c>
      <c r="G42">
        <v>8.32</v>
      </c>
      <c r="H42">
        <v>4.62</v>
      </c>
      <c r="I42">
        <v>20.46</v>
      </c>
      <c r="J42">
        <v>10.37</v>
      </c>
      <c r="K42">
        <v>-2.12</v>
      </c>
    </row>
    <row r="43" spans="1:11" x14ac:dyDescent="0.3">
      <c r="A43" t="s">
        <v>1063</v>
      </c>
      <c r="B43" s="770">
        <v>-1.1399999999999999</v>
      </c>
      <c r="C43">
        <v>-0.22</v>
      </c>
      <c r="D43">
        <v>-0.56999999999999995</v>
      </c>
      <c r="E43">
        <v>13.33</v>
      </c>
      <c r="F43">
        <v>13.01</v>
      </c>
      <c r="G43">
        <v>8.32</v>
      </c>
      <c r="H43">
        <v>4.62</v>
      </c>
      <c r="I43">
        <v>20.46</v>
      </c>
      <c r="J43">
        <v>10.37</v>
      </c>
      <c r="K43">
        <v>-2.12</v>
      </c>
    </row>
    <row r="44" spans="1:11" x14ac:dyDescent="0.3">
      <c r="A44" t="s">
        <v>1064</v>
      </c>
      <c r="B44" s="770">
        <v>0.85</v>
      </c>
      <c r="C44">
        <v>1.1599999999999999</v>
      </c>
      <c r="D44">
        <v>12.8</v>
      </c>
      <c r="E44">
        <v>20.46</v>
      </c>
      <c r="F44">
        <v>17.43</v>
      </c>
      <c r="G44">
        <v>15.34</v>
      </c>
      <c r="H44">
        <v>16.84</v>
      </c>
      <c r="I44">
        <v>19.95</v>
      </c>
      <c r="J44">
        <v>12.55</v>
      </c>
      <c r="K44">
        <v>4.4000000000000004</v>
      </c>
    </row>
    <row r="45" spans="1:11" x14ac:dyDescent="0.3">
      <c r="A45" t="s">
        <v>718</v>
      </c>
      <c r="B45" s="770">
        <v>13.32</v>
      </c>
      <c r="C45">
        <v>12.05</v>
      </c>
      <c r="D45">
        <v>9.01</v>
      </c>
      <c r="E45">
        <v>7.44</v>
      </c>
      <c r="F45">
        <v>7.69</v>
      </c>
      <c r="G45">
        <v>8.86</v>
      </c>
      <c r="H45">
        <v>10.14</v>
      </c>
      <c r="I45">
        <v>10.91</v>
      </c>
      <c r="J45">
        <v>12.06</v>
      </c>
      <c r="K45">
        <v>11.51</v>
      </c>
    </row>
    <row r="46" spans="1:11" x14ac:dyDescent="0.3">
      <c r="B46" s="770"/>
    </row>
    <row r="47" spans="1:11" x14ac:dyDescent="0.3">
      <c r="A47" t="s">
        <v>1065</v>
      </c>
      <c r="B47" s="770">
        <v>3.8</v>
      </c>
      <c r="C47">
        <v>6.51</v>
      </c>
      <c r="D47">
        <v>15.18</v>
      </c>
      <c r="E47">
        <v>14.49</v>
      </c>
      <c r="F47">
        <v>9.8800000000000008</v>
      </c>
      <c r="G47">
        <v>9.59</v>
      </c>
      <c r="H47">
        <v>25.03</v>
      </c>
      <c r="I47">
        <v>21.18</v>
      </c>
      <c r="J47">
        <v>18.100000000000001</v>
      </c>
      <c r="K47">
        <v>16.04</v>
      </c>
    </row>
    <row r="48" spans="1:11" x14ac:dyDescent="0.3">
      <c r="A48" t="s">
        <v>1066</v>
      </c>
      <c r="B48" s="770">
        <v>8.24</v>
      </c>
      <c r="C48">
        <v>5</v>
      </c>
      <c r="D48">
        <v>11.92</v>
      </c>
      <c r="E48">
        <v>15.67</v>
      </c>
      <c r="F48">
        <v>10.64</v>
      </c>
      <c r="G48">
        <v>8.09</v>
      </c>
      <c r="H48">
        <v>26.1</v>
      </c>
      <c r="I48">
        <v>20.51</v>
      </c>
      <c r="J48">
        <v>22.86</v>
      </c>
      <c r="K48">
        <v>18.87</v>
      </c>
    </row>
    <row r="49" spans="1:11" x14ac:dyDescent="0.3">
      <c r="A49" t="s">
        <v>1067</v>
      </c>
      <c r="B49" s="770">
        <v>6.39</v>
      </c>
      <c r="C49">
        <v>5.84</v>
      </c>
      <c r="D49">
        <v>17.190000000000001</v>
      </c>
      <c r="E49">
        <v>17.829999999999998</v>
      </c>
      <c r="F49">
        <v>14.41</v>
      </c>
      <c r="G49">
        <v>11.71</v>
      </c>
      <c r="H49">
        <v>25.48</v>
      </c>
      <c r="I49">
        <v>16.739999999999998</v>
      </c>
      <c r="J49">
        <v>24.81</v>
      </c>
      <c r="K49">
        <v>24.56</v>
      </c>
    </row>
    <row r="50" spans="1:11" x14ac:dyDescent="0.3">
      <c r="A50" t="s">
        <v>627</v>
      </c>
      <c r="B50" s="770">
        <v>10.27</v>
      </c>
      <c r="C50">
        <v>8.59</v>
      </c>
      <c r="D50">
        <v>30.34</v>
      </c>
      <c r="E50">
        <v>26.21</v>
      </c>
      <c r="F50">
        <v>25.54</v>
      </c>
      <c r="G50">
        <v>24.92</v>
      </c>
      <c r="H50">
        <v>45.69</v>
      </c>
      <c r="I50">
        <v>18.93</v>
      </c>
      <c r="J50">
        <v>19.010000000000002</v>
      </c>
      <c r="K50">
        <v>17.649999999999999</v>
      </c>
    </row>
    <row r="51" spans="1:11" x14ac:dyDescent="0.3">
      <c r="A51" t="s">
        <v>1068</v>
      </c>
      <c r="B51" s="770">
        <v>5.8</v>
      </c>
      <c r="C51">
        <v>5.18</v>
      </c>
      <c r="D51">
        <v>13.33</v>
      </c>
      <c r="E51">
        <v>14.6</v>
      </c>
      <c r="F51">
        <v>10.27</v>
      </c>
      <c r="G51">
        <v>9.68</v>
      </c>
      <c r="H51">
        <v>26.55</v>
      </c>
      <c r="I51">
        <v>21.15</v>
      </c>
      <c r="J51">
        <v>22.09</v>
      </c>
      <c r="K51">
        <v>17.63</v>
      </c>
    </row>
    <row r="52" spans="1:11" x14ac:dyDescent="0.3">
      <c r="A52" t="s">
        <v>1069</v>
      </c>
      <c r="B52" s="770">
        <v>0.9</v>
      </c>
      <c r="C52">
        <v>1.66</v>
      </c>
      <c r="D52">
        <v>-28.95</v>
      </c>
      <c r="E52">
        <v>-26.38</v>
      </c>
      <c r="F52">
        <v>-31.25</v>
      </c>
      <c r="G52">
        <v>-17.22</v>
      </c>
      <c r="H52">
        <v>-9.06</v>
      </c>
      <c r="I52">
        <v>27.01</v>
      </c>
      <c r="J52">
        <v>2.21</v>
      </c>
      <c r="K52">
        <v>39.270000000000003</v>
      </c>
    </row>
    <row r="53" spans="1:11" x14ac:dyDescent="0.3">
      <c r="A53" t="s">
        <v>1070</v>
      </c>
      <c r="B53" s="770">
        <v>2.68</v>
      </c>
      <c r="C53">
        <v>1.68</v>
      </c>
      <c r="D53">
        <v>10.71</v>
      </c>
      <c r="E53">
        <v>11.67</v>
      </c>
      <c r="F53">
        <v>11.31</v>
      </c>
      <c r="G53">
        <v>10.39</v>
      </c>
      <c r="H53">
        <v>19.82</v>
      </c>
      <c r="I53">
        <v>9.83</v>
      </c>
      <c r="J53">
        <v>10.47</v>
      </c>
      <c r="K53">
        <v>7.91</v>
      </c>
    </row>
    <row r="54" spans="1:11" x14ac:dyDescent="0.3">
      <c r="A54" t="s">
        <v>1071</v>
      </c>
      <c r="B54" s="770">
        <v>5.53</v>
      </c>
      <c r="C54">
        <v>8.68</v>
      </c>
      <c r="D54">
        <v>15.12</v>
      </c>
      <c r="E54">
        <v>16.809999999999999</v>
      </c>
      <c r="F54">
        <v>10.14</v>
      </c>
      <c r="G54">
        <v>5.46</v>
      </c>
      <c r="H54">
        <v>20.93</v>
      </c>
      <c r="I54">
        <v>19.73</v>
      </c>
      <c r="J54">
        <v>13.57</v>
      </c>
      <c r="K54">
        <v>16.690000000000001</v>
      </c>
    </row>
    <row r="55" spans="1:11" x14ac:dyDescent="0.3">
      <c r="A55" t="s">
        <v>1072</v>
      </c>
      <c r="B55" s="770" t="s">
        <v>360</v>
      </c>
      <c r="C55">
        <v>-100</v>
      </c>
      <c r="D55">
        <v>83.3</v>
      </c>
      <c r="E55" t="s">
        <v>360</v>
      </c>
      <c r="F55" t="s">
        <v>360</v>
      </c>
      <c r="G55">
        <v>-36.1</v>
      </c>
      <c r="H55" t="s">
        <v>360</v>
      </c>
      <c r="I55">
        <v>-29.13</v>
      </c>
      <c r="J55">
        <v>75.36</v>
      </c>
      <c r="K55">
        <v>27.65</v>
      </c>
    </row>
    <row r="56" spans="1:11" x14ac:dyDescent="0.3">
      <c r="A56" t="s">
        <v>1073</v>
      </c>
      <c r="B56" s="770">
        <v>16.77</v>
      </c>
      <c r="C56">
        <v>14.34</v>
      </c>
      <c r="D56">
        <v>57.06</v>
      </c>
      <c r="E56">
        <v>48.66</v>
      </c>
      <c r="F56">
        <v>44.47</v>
      </c>
      <c r="G56">
        <v>44.46</v>
      </c>
      <c r="H56">
        <v>32.659999999999997</v>
      </c>
      <c r="I56">
        <v>-2.44</v>
      </c>
      <c r="J56">
        <v>3.09</v>
      </c>
      <c r="K56">
        <v>7.73</v>
      </c>
    </row>
    <row r="57" spans="1:11" x14ac:dyDescent="0.3">
      <c r="A57" t="s">
        <v>1074</v>
      </c>
      <c r="B57" s="770">
        <v>9.66</v>
      </c>
      <c r="C57">
        <v>6.36</v>
      </c>
      <c r="D57">
        <v>19.53</v>
      </c>
      <c r="E57">
        <v>18.91</v>
      </c>
      <c r="F57">
        <v>19.739999999999998</v>
      </c>
      <c r="G57">
        <v>18.79</v>
      </c>
      <c r="H57">
        <v>49.04</v>
      </c>
      <c r="I57">
        <v>29.12</v>
      </c>
      <c r="J57">
        <v>25.84</v>
      </c>
      <c r="K57">
        <v>24.61</v>
      </c>
    </row>
    <row r="58" spans="1:11" x14ac:dyDescent="0.3">
      <c r="A58" t="s">
        <v>1083</v>
      </c>
      <c r="B58" s="770">
        <v>10.54</v>
      </c>
      <c r="C58">
        <v>8.06</v>
      </c>
      <c r="D58">
        <v>29.29</v>
      </c>
      <c r="E58">
        <v>25.69</v>
      </c>
      <c r="F58">
        <v>25.03</v>
      </c>
      <c r="G58">
        <v>24.07</v>
      </c>
      <c r="H58">
        <v>45.58</v>
      </c>
      <c r="I58">
        <v>19.23</v>
      </c>
      <c r="J58">
        <v>19.53</v>
      </c>
      <c r="K58">
        <v>20.190000000000001</v>
      </c>
    </row>
    <row r="59" spans="1:11" x14ac:dyDescent="0.3">
      <c r="A59" t="s">
        <v>1076</v>
      </c>
      <c r="B59" s="770">
        <v>8.6999999999999993</v>
      </c>
      <c r="C59">
        <v>5.64</v>
      </c>
      <c r="D59">
        <v>14.81</v>
      </c>
      <c r="E59">
        <v>14.84</v>
      </c>
      <c r="F59">
        <v>15.77</v>
      </c>
      <c r="G59">
        <v>14.84</v>
      </c>
      <c r="H59">
        <v>33.96</v>
      </c>
      <c r="I59">
        <v>21.03</v>
      </c>
      <c r="J59">
        <v>18.68</v>
      </c>
      <c r="K59">
        <v>17.39</v>
      </c>
    </row>
    <row r="60" spans="1:11" x14ac:dyDescent="0.3">
      <c r="B60" s="770"/>
    </row>
    <row r="61" spans="1:11" x14ac:dyDescent="0.3">
      <c r="A61" t="s">
        <v>633</v>
      </c>
      <c r="B61" s="770">
        <v>-1.74</v>
      </c>
      <c r="C61">
        <v>7.3</v>
      </c>
      <c r="D61">
        <v>6.44</v>
      </c>
      <c r="E61">
        <v>21.77</v>
      </c>
      <c r="F61">
        <v>20.92</v>
      </c>
      <c r="G61">
        <v>17.21</v>
      </c>
      <c r="H61">
        <v>16.38</v>
      </c>
      <c r="I61">
        <v>32.1</v>
      </c>
      <c r="J61">
        <v>14.55</v>
      </c>
      <c r="K61">
        <v>11.33</v>
      </c>
    </row>
    <row r="62" spans="1:11" x14ac:dyDescent="0.3">
      <c r="A62" t="s">
        <v>1079</v>
      </c>
      <c r="B62" s="770">
        <v>-3.04</v>
      </c>
      <c r="C62">
        <v>8.2100000000000009</v>
      </c>
      <c r="D62">
        <v>5.89</v>
      </c>
      <c r="E62">
        <v>22.62</v>
      </c>
      <c r="F62">
        <v>23.31</v>
      </c>
      <c r="G62">
        <v>19.57</v>
      </c>
      <c r="H62">
        <v>15.7</v>
      </c>
      <c r="I62">
        <v>32.97</v>
      </c>
      <c r="J62">
        <v>10.210000000000001</v>
      </c>
      <c r="K62">
        <v>9.56</v>
      </c>
    </row>
    <row r="63" spans="1:11" x14ac:dyDescent="0.3">
      <c r="A63" t="s">
        <v>1080</v>
      </c>
      <c r="B63" s="770">
        <v>-1.41</v>
      </c>
      <c r="C63">
        <v>8.24</v>
      </c>
      <c r="D63">
        <v>9.7799999999999994</v>
      </c>
      <c r="E63">
        <v>23.39</v>
      </c>
      <c r="F63">
        <v>22.26</v>
      </c>
      <c r="G63">
        <v>18.64</v>
      </c>
      <c r="H63" t="s">
        <v>360</v>
      </c>
      <c r="I63" t="s">
        <v>360</v>
      </c>
      <c r="J63" t="s">
        <v>360</v>
      </c>
      <c r="K63" t="s">
        <v>360</v>
      </c>
    </row>
    <row r="64" spans="1:11" x14ac:dyDescent="0.3">
      <c r="A64" t="s">
        <v>1081</v>
      </c>
      <c r="B64" s="770">
        <v>-2.63</v>
      </c>
      <c r="C64">
        <v>9.23</v>
      </c>
      <c r="D64">
        <v>9.92</v>
      </c>
      <c r="E64">
        <v>24.4</v>
      </c>
      <c r="F64">
        <v>24.77</v>
      </c>
      <c r="G64">
        <v>21.09</v>
      </c>
      <c r="H64" t="s">
        <v>360</v>
      </c>
      <c r="I64" t="s">
        <v>360</v>
      </c>
      <c r="J64" t="s">
        <v>360</v>
      </c>
      <c r="K64" t="s">
        <v>360</v>
      </c>
    </row>
    <row r="65" spans="1:11" x14ac:dyDescent="0.3">
      <c r="B65" s="770"/>
    </row>
    <row r="66" spans="1:11" x14ac:dyDescent="0.3">
      <c r="A66" t="s">
        <v>1084</v>
      </c>
      <c r="B66" s="770"/>
    </row>
    <row r="67" spans="1:11" x14ac:dyDescent="0.3">
      <c r="A67" t="s">
        <v>641</v>
      </c>
      <c r="B67" s="770">
        <v>19.91</v>
      </c>
      <c r="C67">
        <v>-0.4</v>
      </c>
      <c r="D67">
        <v>49.28</v>
      </c>
      <c r="E67">
        <v>21.87</v>
      </c>
      <c r="F67">
        <v>-3.75</v>
      </c>
      <c r="G67">
        <v>-6.48</v>
      </c>
      <c r="H67">
        <v>30.61</v>
      </c>
      <c r="I67">
        <v>64.16</v>
      </c>
      <c r="J67">
        <v>2.4300000000000002</v>
      </c>
      <c r="K67">
        <v>-23.39</v>
      </c>
    </row>
    <row r="68" spans="1:11" x14ac:dyDescent="0.3">
      <c r="A68" t="s">
        <v>176</v>
      </c>
      <c r="B68" s="770">
        <v>17.73</v>
      </c>
      <c r="C68">
        <v>17.55</v>
      </c>
      <c r="D68">
        <v>32.42</v>
      </c>
      <c r="E68">
        <v>64.63</v>
      </c>
      <c r="F68">
        <v>-6.55</v>
      </c>
      <c r="G68">
        <v>-6.61</v>
      </c>
      <c r="H68">
        <v>19.64</v>
      </c>
      <c r="I68">
        <v>100.06</v>
      </c>
      <c r="J68">
        <v>9.69</v>
      </c>
      <c r="K68">
        <v>-31.98</v>
      </c>
    </row>
    <row r="69" spans="1:11" x14ac:dyDescent="0.3">
      <c r="A69" t="s">
        <v>619</v>
      </c>
      <c r="B69" s="770">
        <v>10.41</v>
      </c>
      <c r="C69">
        <v>23.74</v>
      </c>
      <c r="D69">
        <v>2.63</v>
      </c>
      <c r="E69">
        <v>80.03</v>
      </c>
      <c r="F69">
        <v>-9.9499999999999993</v>
      </c>
      <c r="G69">
        <v>-12.41</v>
      </c>
      <c r="H69">
        <v>12.95</v>
      </c>
      <c r="I69">
        <v>93.75</v>
      </c>
      <c r="J69">
        <v>16.600000000000001</v>
      </c>
      <c r="K69">
        <v>-46.83</v>
      </c>
    </row>
    <row r="70" spans="1:11" x14ac:dyDescent="0.3">
      <c r="A70" t="s">
        <v>620</v>
      </c>
      <c r="B70" s="770">
        <v>10.74</v>
      </c>
      <c r="C70">
        <v>23.65</v>
      </c>
      <c r="D70">
        <v>-15.6</v>
      </c>
      <c r="E70">
        <v>107.21</v>
      </c>
      <c r="F70">
        <v>-9.77</v>
      </c>
      <c r="G70">
        <v>-10.220000000000001</v>
      </c>
      <c r="H70">
        <v>13.9</v>
      </c>
      <c r="I70">
        <v>97.68</v>
      </c>
      <c r="J70">
        <v>20.59</v>
      </c>
      <c r="K70">
        <v>-50.66</v>
      </c>
    </row>
    <row r="71" spans="1:11" x14ac:dyDescent="0.3">
      <c r="A71" t="s">
        <v>1062</v>
      </c>
      <c r="B71" s="770">
        <v>11.11</v>
      </c>
      <c r="C71">
        <v>25.45</v>
      </c>
      <c r="D71">
        <v>-25</v>
      </c>
      <c r="E71">
        <v>93.24</v>
      </c>
      <c r="F71">
        <v>-8.75</v>
      </c>
      <c r="G71">
        <v>-10.14</v>
      </c>
      <c r="H71">
        <v>5.49</v>
      </c>
      <c r="I71">
        <v>51.73</v>
      </c>
      <c r="J71">
        <v>24.76</v>
      </c>
      <c r="K71">
        <v>-49.92</v>
      </c>
    </row>
    <row r="72" spans="1:11" x14ac:dyDescent="0.3">
      <c r="A72" t="s">
        <v>1063</v>
      </c>
      <c r="B72" s="770">
        <v>11.11</v>
      </c>
      <c r="C72">
        <v>25.45</v>
      </c>
      <c r="D72">
        <v>-25</v>
      </c>
      <c r="E72">
        <v>93.24</v>
      </c>
      <c r="F72">
        <v>-8.75</v>
      </c>
      <c r="G72">
        <v>-10.14</v>
      </c>
      <c r="H72">
        <v>5.49</v>
      </c>
      <c r="I72">
        <v>51.73</v>
      </c>
      <c r="J72">
        <v>24.76</v>
      </c>
      <c r="K72">
        <v>-49.92</v>
      </c>
    </row>
    <row r="73" spans="1:11" x14ac:dyDescent="0.3">
      <c r="A73" t="s">
        <v>1064</v>
      </c>
      <c r="B73" s="770">
        <v>7.11</v>
      </c>
      <c r="C73">
        <v>20.010000000000002</v>
      </c>
      <c r="D73">
        <v>32.47</v>
      </c>
      <c r="E73">
        <v>42.4</v>
      </c>
      <c r="F73">
        <v>-7.9</v>
      </c>
      <c r="G73">
        <v>-2.09</v>
      </c>
      <c r="H73">
        <v>28</v>
      </c>
      <c r="I73">
        <v>51.06</v>
      </c>
      <c r="J73">
        <v>3.59</v>
      </c>
      <c r="K73">
        <v>-36.75</v>
      </c>
    </row>
    <row r="74" spans="1:11" x14ac:dyDescent="0.3">
      <c r="A74" t="s">
        <v>718</v>
      </c>
      <c r="B74" s="770">
        <v>8.2799999999999994</v>
      </c>
      <c r="C74">
        <v>5.73</v>
      </c>
      <c r="D74">
        <v>6.63</v>
      </c>
      <c r="E74">
        <v>6.78</v>
      </c>
      <c r="F74">
        <v>11.11</v>
      </c>
      <c r="G74">
        <v>14.29</v>
      </c>
      <c r="H74">
        <v>12.08</v>
      </c>
      <c r="I74">
        <v>10.41</v>
      </c>
      <c r="J74">
        <v>12.46</v>
      </c>
      <c r="K74">
        <v>8.3800000000000008</v>
      </c>
    </row>
    <row r="75" spans="1:11" x14ac:dyDescent="0.3">
      <c r="B75" s="770"/>
    </row>
    <row r="76" spans="1:11" x14ac:dyDescent="0.3">
      <c r="A76" t="s">
        <v>1065</v>
      </c>
      <c r="B76" s="770">
        <v>17.63</v>
      </c>
      <c r="C76">
        <v>2.38</v>
      </c>
      <c r="D76">
        <v>44.25</v>
      </c>
      <c r="E76">
        <v>-7.15</v>
      </c>
      <c r="F76">
        <v>-0.72</v>
      </c>
      <c r="G76">
        <v>16.12</v>
      </c>
      <c r="H76">
        <v>97.83</v>
      </c>
      <c r="I76">
        <v>23.4</v>
      </c>
      <c r="J76">
        <v>-18.37</v>
      </c>
      <c r="K76">
        <v>-9.08</v>
      </c>
    </row>
    <row r="77" spans="1:11" x14ac:dyDescent="0.3">
      <c r="A77" t="s">
        <v>1066</v>
      </c>
      <c r="B77" s="770">
        <v>12.06</v>
      </c>
      <c r="C77">
        <v>-8.67</v>
      </c>
      <c r="D77">
        <v>46.28</v>
      </c>
      <c r="E77">
        <v>6.53</v>
      </c>
      <c r="F77">
        <v>3.94</v>
      </c>
      <c r="G77">
        <v>-0.27</v>
      </c>
      <c r="H77">
        <v>97.38</v>
      </c>
      <c r="I77">
        <v>16.600000000000001</v>
      </c>
      <c r="J77">
        <v>17.309999999999999</v>
      </c>
      <c r="K77">
        <v>-11.85</v>
      </c>
    </row>
    <row r="78" spans="1:11" x14ac:dyDescent="0.3">
      <c r="A78" t="s">
        <v>1067</v>
      </c>
      <c r="B78" s="770">
        <v>3.48</v>
      </c>
      <c r="C78">
        <v>-1.24</v>
      </c>
      <c r="D78">
        <v>74.069999999999993</v>
      </c>
      <c r="E78">
        <v>4.25</v>
      </c>
      <c r="F78">
        <v>5.69</v>
      </c>
      <c r="G78">
        <v>-8.15</v>
      </c>
      <c r="H78">
        <v>76.61</v>
      </c>
      <c r="I78">
        <v>21.34</v>
      </c>
      <c r="J78">
        <v>45.6</v>
      </c>
      <c r="K78">
        <v>4.63</v>
      </c>
    </row>
    <row r="79" spans="1:11" x14ac:dyDescent="0.3">
      <c r="A79" t="s">
        <v>627</v>
      </c>
      <c r="B79" s="770">
        <v>2.9</v>
      </c>
      <c r="C79">
        <v>12.91</v>
      </c>
      <c r="D79">
        <v>165.25</v>
      </c>
      <c r="E79">
        <v>-3.32</v>
      </c>
      <c r="F79">
        <v>4.67</v>
      </c>
      <c r="G79">
        <v>0.36</v>
      </c>
      <c r="H79">
        <v>143.71</v>
      </c>
      <c r="I79">
        <v>-3.86</v>
      </c>
      <c r="J79">
        <v>-3</v>
      </c>
      <c r="K79">
        <v>-1.1599999999999999</v>
      </c>
    </row>
    <row r="80" spans="1:11" x14ac:dyDescent="0.3">
      <c r="A80" t="s">
        <v>1068</v>
      </c>
      <c r="B80" s="770">
        <v>12.63</v>
      </c>
      <c r="C80">
        <v>-3.1</v>
      </c>
      <c r="D80">
        <v>46.93</v>
      </c>
      <c r="E80">
        <v>-3.75</v>
      </c>
      <c r="F80">
        <v>5.61</v>
      </c>
      <c r="G80">
        <v>9.69</v>
      </c>
      <c r="H80">
        <v>98.14</v>
      </c>
      <c r="I80">
        <v>18.14</v>
      </c>
      <c r="J80">
        <v>0.03</v>
      </c>
      <c r="K80">
        <v>-12.31</v>
      </c>
    </row>
    <row r="81" spans="1:11" x14ac:dyDescent="0.3">
      <c r="A81" t="s">
        <v>1069</v>
      </c>
      <c r="B81" s="770">
        <v>-4.41</v>
      </c>
      <c r="C81">
        <v>41.33</v>
      </c>
      <c r="D81">
        <v>-81.99</v>
      </c>
      <c r="E81">
        <v>40.450000000000003</v>
      </c>
      <c r="F81">
        <v>-55.06</v>
      </c>
      <c r="G81">
        <v>141.91</v>
      </c>
      <c r="H81">
        <v>126.25</v>
      </c>
      <c r="I81">
        <v>-4.32</v>
      </c>
      <c r="J81">
        <v>-52.59</v>
      </c>
      <c r="K81">
        <v>111.01</v>
      </c>
    </row>
    <row r="82" spans="1:11" x14ac:dyDescent="0.3">
      <c r="A82" t="s">
        <v>1070</v>
      </c>
      <c r="B82" s="770">
        <v>1.04</v>
      </c>
      <c r="C82">
        <v>3.09</v>
      </c>
      <c r="D82">
        <v>53</v>
      </c>
      <c r="E82">
        <v>3.27</v>
      </c>
      <c r="F82">
        <v>3.8</v>
      </c>
      <c r="G82">
        <v>-3.05</v>
      </c>
      <c r="H82">
        <v>55.35</v>
      </c>
      <c r="I82">
        <v>-1.01</v>
      </c>
      <c r="J82">
        <v>6.34</v>
      </c>
      <c r="K82">
        <v>-7.69</v>
      </c>
    </row>
    <row r="83" spans="1:11" x14ac:dyDescent="0.3">
      <c r="A83" t="s">
        <v>1071</v>
      </c>
      <c r="B83" s="770">
        <v>25.39</v>
      </c>
      <c r="C83">
        <v>-1.61</v>
      </c>
      <c r="D83">
        <v>38.03</v>
      </c>
      <c r="E83">
        <v>10.27</v>
      </c>
      <c r="F83">
        <v>-13.66</v>
      </c>
      <c r="G83">
        <v>0.89</v>
      </c>
      <c r="H83">
        <v>95.11</v>
      </c>
      <c r="I83">
        <v>31.28</v>
      </c>
      <c r="J83">
        <v>-15.31</v>
      </c>
      <c r="K83">
        <v>-1.1299999999999999</v>
      </c>
    </row>
    <row r="84" spans="1:11" x14ac:dyDescent="0.3">
      <c r="A84" t="s">
        <v>1072</v>
      </c>
      <c r="B84" s="770" t="s">
        <v>360</v>
      </c>
      <c r="C84">
        <v>-100</v>
      </c>
      <c r="D84" t="s">
        <v>360</v>
      </c>
      <c r="E84">
        <v>-77.67</v>
      </c>
      <c r="F84">
        <v>347.26</v>
      </c>
      <c r="G84">
        <v>-86.68</v>
      </c>
      <c r="H84" s="708">
        <v>1325.84</v>
      </c>
      <c r="I84">
        <v>-90.58</v>
      </c>
      <c r="J84" s="708">
        <v>1971.72</v>
      </c>
      <c r="K84">
        <v>-8.6</v>
      </c>
    </row>
    <row r="85" spans="1:11" x14ac:dyDescent="0.3">
      <c r="A85" t="s">
        <v>1073</v>
      </c>
      <c r="B85" s="770">
        <v>-0.33</v>
      </c>
      <c r="C85">
        <v>99.12</v>
      </c>
      <c r="D85">
        <v>353.25</v>
      </c>
      <c r="E85">
        <v>-19.34</v>
      </c>
      <c r="F85">
        <v>-13.28</v>
      </c>
      <c r="G85">
        <v>-0.34</v>
      </c>
      <c r="H85">
        <v>30.05</v>
      </c>
      <c r="I85">
        <v>-2.5099999999999998</v>
      </c>
      <c r="J85">
        <v>6.26</v>
      </c>
      <c r="K85">
        <v>8.06</v>
      </c>
    </row>
    <row r="86" spans="1:11" x14ac:dyDescent="0.3">
      <c r="A86" t="s">
        <v>1074</v>
      </c>
      <c r="B86" s="770">
        <v>6.62</v>
      </c>
      <c r="C86">
        <v>1.83</v>
      </c>
      <c r="D86">
        <v>96.71</v>
      </c>
      <c r="E86">
        <v>10.89</v>
      </c>
      <c r="F86">
        <v>3.91</v>
      </c>
      <c r="G86">
        <v>2.4700000000000002</v>
      </c>
      <c r="H86">
        <v>216.66</v>
      </c>
      <c r="I86">
        <v>-4.0199999999999996</v>
      </c>
      <c r="J86">
        <v>-2.4700000000000002</v>
      </c>
      <c r="K86">
        <v>-1.0900000000000001</v>
      </c>
    </row>
    <row r="87" spans="1:11" x14ac:dyDescent="0.3">
      <c r="A87" t="s">
        <v>1075</v>
      </c>
      <c r="B87" s="770">
        <v>5.54</v>
      </c>
      <c r="C87">
        <v>16.07</v>
      </c>
      <c r="D87">
        <v>161.13999999999999</v>
      </c>
      <c r="E87">
        <v>-2.29</v>
      </c>
      <c r="F87">
        <v>-2.27</v>
      </c>
      <c r="G87">
        <v>1.57</v>
      </c>
      <c r="H87">
        <v>158.19999999999999</v>
      </c>
      <c r="I87">
        <v>-3.78</v>
      </c>
      <c r="J87">
        <v>-1.07</v>
      </c>
      <c r="K87">
        <v>0.48</v>
      </c>
    </row>
    <row r="88" spans="1:11" x14ac:dyDescent="0.3">
      <c r="A88" t="s">
        <v>1076</v>
      </c>
      <c r="B88" s="770">
        <v>6.33</v>
      </c>
      <c r="C88">
        <v>3.11</v>
      </c>
      <c r="D88">
        <v>64.45</v>
      </c>
      <c r="E88">
        <v>10.43</v>
      </c>
      <c r="F88">
        <v>4.4400000000000004</v>
      </c>
      <c r="G88">
        <v>2.14</v>
      </c>
      <c r="H88">
        <v>122.72</v>
      </c>
      <c r="I88">
        <v>-1</v>
      </c>
      <c r="J88">
        <v>0.09</v>
      </c>
      <c r="K88">
        <v>-1.1000000000000001</v>
      </c>
    </row>
    <row r="89" spans="1:11" x14ac:dyDescent="0.3">
      <c r="B89" s="770"/>
    </row>
    <row r="90" spans="1:11" x14ac:dyDescent="0.3">
      <c r="A90" t="s">
        <v>633</v>
      </c>
      <c r="B90" s="770">
        <v>4.1500000000000004</v>
      </c>
      <c r="C90">
        <v>41.1</v>
      </c>
      <c r="D90">
        <v>-13.14</v>
      </c>
      <c r="E90">
        <v>119.52</v>
      </c>
      <c r="F90">
        <v>-7.75</v>
      </c>
      <c r="G90">
        <v>-10.86</v>
      </c>
      <c r="H90">
        <v>36.18</v>
      </c>
      <c r="I90">
        <v>63.63</v>
      </c>
      <c r="J90">
        <v>7.65</v>
      </c>
      <c r="K90">
        <v>-20.03</v>
      </c>
    </row>
    <row r="91" spans="1:11" x14ac:dyDescent="0.3">
      <c r="A91" t="s">
        <v>1077</v>
      </c>
      <c r="B91" s="770">
        <v>-13.46</v>
      </c>
      <c r="C91">
        <v>-17.25</v>
      </c>
      <c r="D91">
        <v>60.21</v>
      </c>
      <c r="E91">
        <v>24.88</v>
      </c>
      <c r="F91">
        <v>8.0399999999999991</v>
      </c>
      <c r="G91">
        <v>-39.83</v>
      </c>
      <c r="H91">
        <v>107.42</v>
      </c>
      <c r="I91">
        <v>103.48</v>
      </c>
      <c r="J91">
        <v>80.39</v>
      </c>
      <c r="K91">
        <v>-42.09</v>
      </c>
    </row>
    <row r="92" spans="1:11" x14ac:dyDescent="0.3">
      <c r="A92" t="s">
        <v>1078</v>
      </c>
      <c r="B92" s="770">
        <v>77.89</v>
      </c>
      <c r="C92">
        <v>-88.33</v>
      </c>
      <c r="D92">
        <v>244.51</v>
      </c>
      <c r="E92">
        <v>-282.51</v>
      </c>
      <c r="F92" t="s">
        <v>360</v>
      </c>
      <c r="G92" t="s">
        <v>360</v>
      </c>
      <c r="H92">
        <v>126.26</v>
      </c>
      <c r="I92">
        <v>-155.03</v>
      </c>
      <c r="J92" t="s">
        <v>360</v>
      </c>
      <c r="K92" t="s">
        <v>360</v>
      </c>
    </row>
    <row r="93" spans="1:11" x14ac:dyDescent="0.3">
      <c r="A93" t="s">
        <v>1079</v>
      </c>
      <c r="B93" s="770">
        <v>8.67</v>
      </c>
      <c r="C93">
        <v>53.02</v>
      </c>
      <c r="D93">
        <v>-21.24</v>
      </c>
      <c r="E93">
        <v>140.78</v>
      </c>
      <c r="F93">
        <v>-9.59</v>
      </c>
      <c r="G93">
        <v>-6.82</v>
      </c>
      <c r="H93">
        <v>29.77</v>
      </c>
      <c r="I93">
        <v>57.9</v>
      </c>
      <c r="J93">
        <v>-5.82</v>
      </c>
      <c r="K93">
        <v>-12.21</v>
      </c>
    </row>
    <row r="94" spans="1:11" x14ac:dyDescent="0.3">
      <c r="A94" t="s">
        <v>1080</v>
      </c>
      <c r="B94" s="770">
        <v>3.26</v>
      </c>
      <c r="C94">
        <v>46.16</v>
      </c>
      <c r="D94">
        <v>-2.06</v>
      </c>
      <c r="E94">
        <v>100.57</v>
      </c>
      <c r="F94">
        <v>-7.85</v>
      </c>
      <c r="G94">
        <v>-11.16</v>
      </c>
      <c r="H94" t="s">
        <v>360</v>
      </c>
      <c r="I94" t="s">
        <v>360</v>
      </c>
      <c r="J94">
        <v>8.76</v>
      </c>
      <c r="K94">
        <v>-18.02</v>
      </c>
    </row>
    <row r="95" spans="1:11" x14ac:dyDescent="0.3">
      <c r="A95" t="s">
        <v>1081</v>
      </c>
      <c r="B95" s="770">
        <v>7.38</v>
      </c>
      <c r="C95">
        <v>58.72</v>
      </c>
      <c r="D95">
        <v>-8.49</v>
      </c>
      <c r="E95">
        <v>114.26</v>
      </c>
      <c r="F95">
        <v>-9.5299999999999994</v>
      </c>
      <c r="G95">
        <v>-7.55</v>
      </c>
      <c r="H95" t="s">
        <v>360</v>
      </c>
      <c r="I95" t="s">
        <v>360</v>
      </c>
      <c r="J95">
        <v>-3.91</v>
      </c>
      <c r="K95">
        <v>-10.02</v>
      </c>
    </row>
    <row r="96" spans="1:11" ht="28" x14ac:dyDescent="0.3">
      <c r="A96" t="s">
        <v>636</v>
      </c>
      <c r="B96" s="770" t="s">
        <v>637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77BBB-8B40-4096-822E-5676951BD996}">
  <sheetPr codeName="Sheet21"/>
  <dimension ref="A1:K44"/>
  <sheetViews>
    <sheetView workbookViewId="0">
      <selection activeCell="B49" sqref="B49"/>
    </sheetView>
  </sheetViews>
  <sheetFormatPr defaultColWidth="8.83203125" defaultRowHeight="14" x14ac:dyDescent="0.3"/>
  <cols>
    <col min="1" max="1" width="30.08203125" bestFit="1" customWidth="1"/>
    <col min="2" max="2" width="36" bestFit="1" customWidth="1"/>
  </cols>
  <sheetData>
    <row r="1" spans="1:11" ht="14.5" x14ac:dyDescent="0.35">
      <c r="A1" s="773" t="s">
        <v>539</v>
      </c>
      <c r="B1" s="792" t="s">
        <v>539</v>
      </c>
      <c r="C1" s="773" t="s">
        <v>539</v>
      </c>
      <c r="D1" s="773" t="s">
        <v>539</v>
      </c>
      <c r="E1" s="773" t="s">
        <v>539</v>
      </c>
      <c r="F1" s="773" t="s">
        <v>539</v>
      </c>
      <c r="G1" s="773" t="s">
        <v>539</v>
      </c>
      <c r="H1" s="773" t="s">
        <v>539</v>
      </c>
      <c r="I1" s="773" t="s">
        <v>539</v>
      </c>
      <c r="J1" s="773" t="s">
        <v>539</v>
      </c>
      <c r="K1" s="773" t="s">
        <v>539</v>
      </c>
    </row>
    <row r="2" spans="1:11" ht="20" x14ac:dyDescent="0.4">
      <c r="A2" s="774" t="s">
        <v>1085</v>
      </c>
      <c r="B2" s="793" t="s">
        <v>539</v>
      </c>
      <c r="C2" s="774" t="s">
        <v>539</v>
      </c>
      <c r="D2" s="774" t="s">
        <v>539</v>
      </c>
      <c r="E2" s="774" t="s">
        <v>539</v>
      </c>
      <c r="F2" s="774" t="s">
        <v>539</v>
      </c>
      <c r="G2" s="774" t="s">
        <v>539</v>
      </c>
      <c r="H2" s="774" t="s">
        <v>539</v>
      </c>
      <c r="I2" s="774" t="s">
        <v>539</v>
      </c>
      <c r="J2" s="774" t="s">
        <v>539</v>
      </c>
      <c r="K2" s="774" t="s">
        <v>539</v>
      </c>
    </row>
    <row r="3" spans="1:11" x14ac:dyDescent="0.3">
      <c r="A3" s="776" t="s">
        <v>539</v>
      </c>
      <c r="B3" s="794" t="s">
        <v>539</v>
      </c>
      <c r="C3" s="776" t="s">
        <v>539</v>
      </c>
      <c r="D3" s="776" t="s">
        <v>539</v>
      </c>
      <c r="E3" s="776" t="s">
        <v>539</v>
      </c>
      <c r="F3" s="776" t="s">
        <v>539</v>
      </c>
      <c r="G3" s="776" t="s">
        <v>539</v>
      </c>
      <c r="H3" s="776" t="s">
        <v>539</v>
      </c>
      <c r="I3" s="776" t="s">
        <v>539</v>
      </c>
      <c r="J3" s="776" t="s">
        <v>539</v>
      </c>
      <c r="K3" s="776" t="s">
        <v>539</v>
      </c>
    </row>
    <row r="4" spans="1:11" x14ac:dyDescent="0.3">
      <c r="A4" s="777" t="s">
        <v>606</v>
      </c>
      <c r="B4" s="801" t="s">
        <v>607</v>
      </c>
      <c r="C4" s="778" t="s">
        <v>608</v>
      </c>
      <c r="D4" s="778" t="s">
        <v>609</v>
      </c>
      <c r="E4" s="778" t="s">
        <v>610</v>
      </c>
      <c r="F4" s="778" t="s">
        <v>611</v>
      </c>
      <c r="G4" s="778" t="s">
        <v>612</v>
      </c>
      <c r="H4" s="778" t="s">
        <v>613</v>
      </c>
      <c r="I4" s="778" t="s">
        <v>614</v>
      </c>
      <c r="J4" s="778" t="s">
        <v>615</v>
      </c>
      <c r="K4" s="778" t="s">
        <v>616</v>
      </c>
    </row>
    <row r="5" spans="1:11" x14ac:dyDescent="0.3">
      <c r="A5" s="779" t="s">
        <v>617</v>
      </c>
      <c r="B5" s="802">
        <v>42308</v>
      </c>
      <c r="C5" s="781">
        <v>42672</v>
      </c>
      <c r="D5" s="781">
        <v>43036</v>
      </c>
      <c r="E5" s="781">
        <v>43407</v>
      </c>
      <c r="F5" s="781">
        <v>43771</v>
      </c>
      <c r="G5" s="781">
        <v>44135</v>
      </c>
      <c r="H5" s="781">
        <v>44499</v>
      </c>
      <c r="I5" s="781">
        <v>44863</v>
      </c>
      <c r="J5" s="781">
        <v>45227</v>
      </c>
      <c r="K5" s="781">
        <v>45598</v>
      </c>
    </row>
    <row r="6" spans="1:11" x14ac:dyDescent="0.3">
      <c r="A6" s="784" t="s">
        <v>678</v>
      </c>
      <c r="B6" s="805" t="s">
        <v>679</v>
      </c>
      <c r="C6" s="785" t="s">
        <v>679</v>
      </c>
      <c r="D6" s="785" t="s">
        <v>679</v>
      </c>
      <c r="E6" s="785" t="s">
        <v>679</v>
      </c>
      <c r="F6" s="785" t="s">
        <v>680</v>
      </c>
      <c r="G6" s="785" t="s">
        <v>680</v>
      </c>
      <c r="H6" s="785" t="s">
        <v>680</v>
      </c>
      <c r="I6" s="785" t="s">
        <v>680</v>
      </c>
      <c r="J6" s="785" t="s">
        <v>680</v>
      </c>
      <c r="K6" s="785" t="s">
        <v>680</v>
      </c>
    </row>
    <row r="7" spans="1:11" x14ac:dyDescent="0.3">
      <c r="A7" s="784" t="s">
        <v>539</v>
      </c>
      <c r="B7" s="804" t="s">
        <v>539</v>
      </c>
      <c r="C7" s="785" t="s">
        <v>539</v>
      </c>
      <c r="D7" s="785" t="s">
        <v>539</v>
      </c>
      <c r="E7" s="785" t="s">
        <v>539</v>
      </c>
      <c r="F7" s="785" t="s">
        <v>539</v>
      </c>
      <c r="G7" s="785" t="s">
        <v>539</v>
      </c>
      <c r="H7" s="785" t="s">
        <v>539</v>
      </c>
      <c r="I7" s="785" t="s">
        <v>539</v>
      </c>
      <c r="J7" s="785" t="s">
        <v>539</v>
      </c>
      <c r="K7" s="785" t="s">
        <v>539</v>
      </c>
    </row>
    <row r="8" spans="1:11" x14ac:dyDescent="0.3">
      <c r="A8" s="784" t="s">
        <v>1086</v>
      </c>
      <c r="B8" s="805">
        <v>869.9</v>
      </c>
      <c r="C8" s="787">
        <v>1732.2</v>
      </c>
      <c r="D8" s="787">
        <v>7851.1</v>
      </c>
      <c r="E8" s="787">
        <v>6332.7</v>
      </c>
      <c r="F8" s="787">
        <v>5491.9</v>
      </c>
      <c r="G8" s="787">
        <v>5473.5</v>
      </c>
      <c r="H8" s="787">
        <v>7118.2</v>
      </c>
      <c r="I8" s="787">
        <v>6939.5</v>
      </c>
      <c r="J8" s="787">
        <v>7373.9</v>
      </c>
      <c r="K8" s="787">
        <v>7968.4</v>
      </c>
    </row>
    <row r="9" spans="1:11" x14ac:dyDescent="0.3">
      <c r="A9" s="784" t="s">
        <v>1087</v>
      </c>
      <c r="B9" s="805">
        <v>374.6</v>
      </c>
      <c r="C9" s="785">
        <v>0</v>
      </c>
      <c r="D9" s="785">
        <v>300</v>
      </c>
      <c r="E9" s="785">
        <v>67</v>
      </c>
      <c r="F9" s="785">
        <v>299.7</v>
      </c>
      <c r="G9" s="785">
        <v>39.9</v>
      </c>
      <c r="H9" s="785">
        <v>569.20000000000005</v>
      </c>
      <c r="I9" s="785">
        <v>53.6</v>
      </c>
      <c r="J9" s="787">
        <v>1111</v>
      </c>
      <c r="K9" s="787">
        <v>1015.5</v>
      </c>
    </row>
    <row r="10" spans="1:11" x14ac:dyDescent="0.3">
      <c r="A10" s="784" t="s">
        <v>1088</v>
      </c>
      <c r="B10" s="805">
        <v>495.3</v>
      </c>
      <c r="C10" s="787">
        <v>1732.2</v>
      </c>
      <c r="D10" s="787">
        <v>7551.1</v>
      </c>
      <c r="E10" s="787">
        <v>6265.7</v>
      </c>
      <c r="F10" s="787">
        <v>5192.3</v>
      </c>
      <c r="G10" s="787">
        <v>5433.6</v>
      </c>
      <c r="H10" s="787">
        <v>6549</v>
      </c>
      <c r="I10" s="787">
        <v>6885.9</v>
      </c>
      <c r="J10" s="787">
        <v>6262.9</v>
      </c>
      <c r="K10" s="787">
        <v>6952.9</v>
      </c>
    </row>
    <row r="11" spans="1:11" x14ac:dyDescent="0.3">
      <c r="A11" s="784" t="s">
        <v>539</v>
      </c>
      <c r="B11" s="804" t="s">
        <v>539</v>
      </c>
      <c r="C11" s="785" t="s">
        <v>539</v>
      </c>
      <c r="D11" s="785" t="s">
        <v>539</v>
      </c>
      <c r="E11" s="785" t="s">
        <v>539</v>
      </c>
      <c r="F11" s="785" t="s">
        <v>539</v>
      </c>
      <c r="G11" s="785" t="s">
        <v>539</v>
      </c>
      <c r="H11" s="785" t="s">
        <v>539</v>
      </c>
      <c r="I11" s="785" t="s">
        <v>539</v>
      </c>
      <c r="J11" s="785" t="s">
        <v>539</v>
      </c>
      <c r="K11" s="785" t="s">
        <v>539</v>
      </c>
    </row>
    <row r="12" spans="1:11" x14ac:dyDescent="0.3">
      <c r="A12" s="784" t="s">
        <v>1089</v>
      </c>
      <c r="B12" s="805">
        <v>0.83</v>
      </c>
      <c r="C12" s="785">
        <v>1.4</v>
      </c>
      <c r="D12" s="785">
        <v>4.79</v>
      </c>
      <c r="E12" s="785">
        <v>2.35</v>
      </c>
      <c r="F12" s="785">
        <v>2.1800000000000002</v>
      </c>
      <c r="G12" s="785">
        <v>2.3199999999999998</v>
      </c>
      <c r="H12" s="785">
        <v>2.5299999999999998</v>
      </c>
      <c r="I12" s="785">
        <v>1.23</v>
      </c>
      <c r="J12" s="785">
        <v>1.19</v>
      </c>
      <c r="K12" s="785">
        <v>1.89</v>
      </c>
    </row>
    <row r="13" spans="1:11" x14ac:dyDescent="0.3">
      <c r="A13" s="784" t="s">
        <v>1090</v>
      </c>
      <c r="B13" s="805">
        <v>-2.0499999999999998</v>
      </c>
      <c r="C13" s="785">
        <v>-1.88</v>
      </c>
      <c r="D13" s="785">
        <v>4.1500000000000004</v>
      </c>
      <c r="E13" s="785">
        <v>2.04</v>
      </c>
      <c r="F13" s="785">
        <v>1.92</v>
      </c>
      <c r="G13" s="785">
        <v>1.88</v>
      </c>
      <c r="H13" s="785">
        <v>1.82</v>
      </c>
      <c r="I13" s="785">
        <v>0.97</v>
      </c>
      <c r="J13" s="785">
        <v>1.04</v>
      </c>
      <c r="K13" s="785">
        <v>1.33</v>
      </c>
    </row>
    <row r="14" spans="1:11" x14ac:dyDescent="0.3">
      <c r="A14" s="784" t="s">
        <v>539</v>
      </c>
      <c r="B14" s="804" t="s">
        <v>539</v>
      </c>
      <c r="C14" s="785" t="s">
        <v>539</v>
      </c>
      <c r="D14" s="785" t="s">
        <v>539</v>
      </c>
      <c r="E14" s="785" t="s">
        <v>539</v>
      </c>
      <c r="F14" s="785" t="s">
        <v>539</v>
      </c>
      <c r="G14" s="785" t="s">
        <v>539</v>
      </c>
      <c r="H14" s="785" t="s">
        <v>539</v>
      </c>
      <c r="I14" s="785" t="s">
        <v>539</v>
      </c>
      <c r="J14" s="785" t="s">
        <v>539</v>
      </c>
      <c r="K14" s="785" t="s">
        <v>539</v>
      </c>
    </row>
    <row r="15" spans="1:11" x14ac:dyDescent="0.3">
      <c r="A15" s="784" t="s">
        <v>1091</v>
      </c>
      <c r="B15" s="805">
        <v>1.05</v>
      </c>
      <c r="C15" s="785">
        <v>1.68</v>
      </c>
      <c r="D15" s="785">
        <v>7.44</v>
      </c>
      <c r="E15" s="785">
        <v>3.33</v>
      </c>
      <c r="F15" s="785">
        <v>3.21</v>
      </c>
      <c r="G15" s="785">
        <v>3.63</v>
      </c>
      <c r="H15" s="785">
        <v>4.18</v>
      </c>
      <c r="I15" s="785">
        <v>2.11</v>
      </c>
      <c r="J15" s="785">
        <v>1.92</v>
      </c>
      <c r="K15" s="785">
        <v>3.89</v>
      </c>
    </row>
    <row r="16" spans="1:11" x14ac:dyDescent="0.3">
      <c r="A16" s="784" t="s">
        <v>1092</v>
      </c>
      <c r="B16" s="805">
        <v>-2.6</v>
      </c>
      <c r="C16" s="785">
        <v>-2.2599999999999998</v>
      </c>
      <c r="D16" s="785">
        <v>6.45</v>
      </c>
      <c r="E16" s="785">
        <v>2.9</v>
      </c>
      <c r="F16" s="785">
        <v>2.83</v>
      </c>
      <c r="G16" s="785">
        <v>2.93</v>
      </c>
      <c r="H16" s="785">
        <v>3.02</v>
      </c>
      <c r="I16" s="785">
        <v>1.66</v>
      </c>
      <c r="J16" s="785">
        <v>1.67</v>
      </c>
      <c r="K16" s="785">
        <v>2.74</v>
      </c>
    </row>
    <row r="17" spans="1:11" x14ac:dyDescent="0.3">
      <c r="A17" s="784" t="s">
        <v>539</v>
      </c>
      <c r="B17" s="804" t="s">
        <v>539</v>
      </c>
      <c r="C17" s="785" t="s">
        <v>539</v>
      </c>
      <c r="D17" s="785" t="s">
        <v>539</v>
      </c>
      <c r="E17" s="785" t="s">
        <v>539</v>
      </c>
      <c r="F17" s="785" t="s">
        <v>539</v>
      </c>
      <c r="G17" s="785" t="s">
        <v>539</v>
      </c>
      <c r="H17" s="785" t="s">
        <v>539</v>
      </c>
      <c r="I17" s="785" t="s">
        <v>539</v>
      </c>
      <c r="J17" s="785" t="s">
        <v>539</v>
      </c>
      <c r="K17" s="785" t="s">
        <v>539</v>
      </c>
    </row>
    <row r="18" spans="1:11" x14ac:dyDescent="0.3">
      <c r="A18" s="784" t="s">
        <v>1093</v>
      </c>
      <c r="B18" s="805">
        <v>38.96</v>
      </c>
      <c r="C18" s="785">
        <v>13.95</v>
      </c>
      <c r="D18" s="785">
        <v>6.53</v>
      </c>
      <c r="E18" s="785">
        <v>10.64</v>
      </c>
      <c r="F18" s="785">
        <v>11.01</v>
      </c>
      <c r="G18" s="785">
        <v>12.18</v>
      </c>
      <c r="H18" s="785">
        <v>15.24</v>
      </c>
      <c r="I18" s="785">
        <v>28.13</v>
      </c>
      <c r="J18" s="785">
        <v>23.36</v>
      </c>
      <c r="K18" s="785">
        <v>13.05</v>
      </c>
    </row>
    <row r="19" spans="1:11" x14ac:dyDescent="0.3">
      <c r="A19" s="784" t="s">
        <v>1094</v>
      </c>
      <c r="B19" s="805">
        <v>33.26</v>
      </c>
      <c r="C19" s="785">
        <v>12.51</v>
      </c>
      <c r="D19" s="785">
        <v>5.72</v>
      </c>
      <c r="E19" s="785">
        <v>9.64</v>
      </c>
      <c r="F19" s="785">
        <v>9.81</v>
      </c>
      <c r="G19" s="785">
        <v>11.33</v>
      </c>
      <c r="H19" s="785">
        <v>13.39</v>
      </c>
      <c r="I19" s="785">
        <v>24.64</v>
      </c>
      <c r="J19" s="785">
        <v>18.600000000000001</v>
      </c>
      <c r="K19" s="785">
        <v>10.78</v>
      </c>
    </row>
    <row r="20" spans="1:11" x14ac:dyDescent="0.3">
      <c r="A20" s="784" t="s">
        <v>1095</v>
      </c>
      <c r="B20" s="805">
        <v>30.74</v>
      </c>
      <c r="C20" s="785">
        <v>11.58</v>
      </c>
      <c r="D20" s="785">
        <v>4.21</v>
      </c>
      <c r="E20" s="785">
        <v>7.49</v>
      </c>
      <c r="F20" s="785">
        <v>7.47</v>
      </c>
      <c r="G20" s="785">
        <v>7.75</v>
      </c>
      <c r="H20" s="785">
        <v>9.16</v>
      </c>
      <c r="I20" s="785">
        <v>16.36</v>
      </c>
      <c r="J20" s="785">
        <v>14.45</v>
      </c>
      <c r="K20" s="785">
        <v>6.31</v>
      </c>
    </row>
    <row r="21" spans="1:11" x14ac:dyDescent="0.3">
      <c r="A21" s="784" t="s">
        <v>539</v>
      </c>
      <c r="B21" s="804" t="s">
        <v>539</v>
      </c>
      <c r="C21" s="785" t="s">
        <v>539</v>
      </c>
      <c r="D21" s="785" t="s">
        <v>539</v>
      </c>
      <c r="E21" s="785" t="s">
        <v>539</v>
      </c>
      <c r="F21" s="785" t="s">
        <v>539</v>
      </c>
      <c r="G21" s="785" t="s">
        <v>539</v>
      </c>
      <c r="H21" s="785" t="s">
        <v>539</v>
      </c>
      <c r="I21" s="785" t="s">
        <v>539</v>
      </c>
      <c r="J21" s="785" t="s">
        <v>539</v>
      </c>
      <c r="K21" s="785" t="s">
        <v>539</v>
      </c>
    </row>
    <row r="22" spans="1:11" x14ac:dyDescent="0.3">
      <c r="A22" s="784" t="s">
        <v>1096</v>
      </c>
      <c r="B22" s="805">
        <v>41.1</v>
      </c>
      <c r="C22" s="785">
        <v>29.69</v>
      </c>
      <c r="D22" s="785">
        <v>8.9499999999999993</v>
      </c>
      <c r="E22" s="785">
        <v>11.56</v>
      </c>
      <c r="F22" s="785">
        <v>11.67</v>
      </c>
      <c r="G22" s="785">
        <v>12.67</v>
      </c>
      <c r="H22" s="785">
        <v>14.24</v>
      </c>
      <c r="I22" s="785">
        <v>32.590000000000003</v>
      </c>
      <c r="J22" s="785">
        <v>29.95</v>
      </c>
      <c r="K22" s="785">
        <v>15.68</v>
      </c>
    </row>
    <row r="23" spans="1:11" x14ac:dyDescent="0.3">
      <c r="A23" s="784" t="s">
        <v>1097</v>
      </c>
      <c r="B23" s="805">
        <v>35.090000000000003</v>
      </c>
      <c r="C23" s="785">
        <v>26.63</v>
      </c>
      <c r="D23" s="785">
        <v>7.84</v>
      </c>
      <c r="E23" s="785">
        <v>10.47</v>
      </c>
      <c r="F23" s="785">
        <v>10.39</v>
      </c>
      <c r="G23" s="785">
        <v>11.78</v>
      </c>
      <c r="H23" s="785">
        <v>12.5</v>
      </c>
      <c r="I23" s="785">
        <v>28.55</v>
      </c>
      <c r="J23" s="785">
        <v>23.84</v>
      </c>
      <c r="K23" s="785">
        <v>12.96</v>
      </c>
    </row>
    <row r="24" spans="1:11" x14ac:dyDescent="0.3">
      <c r="A24" s="784" t="s">
        <v>1098</v>
      </c>
      <c r="B24" s="805">
        <v>32.42</v>
      </c>
      <c r="C24" s="785">
        <v>24.65</v>
      </c>
      <c r="D24" s="785">
        <v>5.76</v>
      </c>
      <c r="E24" s="785">
        <v>8.14</v>
      </c>
      <c r="F24" s="785">
        <v>7.91</v>
      </c>
      <c r="G24" s="785">
        <v>8.06</v>
      </c>
      <c r="H24" s="785">
        <v>8.5500000000000007</v>
      </c>
      <c r="I24" s="785">
        <v>18.96</v>
      </c>
      <c r="J24" s="785">
        <v>18.52</v>
      </c>
      <c r="K24" s="785">
        <v>7.58</v>
      </c>
    </row>
    <row r="25" spans="1:11" x14ac:dyDescent="0.3">
      <c r="A25" s="784" t="s">
        <v>539</v>
      </c>
      <c r="B25" s="804" t="s">
        <v>539</v>
      </c>
      <c r="C25" s="785" t="s">
        <v>539</v>
      </c>
      <c r="D25" s="785" t="s">
        <v>539</v>
      </c>
      <c r="E25" s="785" t="s">
        <v>539</v>
      </c>
      <c r="F25" s="785" t="s">
        <v>539</v>
      </c>
      <c r="G25" s="785" t="s">
        <v>539</v>
      </c>
      <c r="H25" s="785" t="s">
        <v>539</v>
      </c>
      <c r="I25" s="785" t="s">
        <v>539</v>
      </c>
      <c r="J25" s="785" t="s">
        <v>539</v>
      </c>
      <c r="K25" s="785" t="s">
        <v>539</v>
      </c>
    </row>
    <row r="26" spans="1:11" x14ac:dyDescent="0.3">
      <c r="A26" s="784" t="s">
        <v>1099</v>
      </c>
      <c r="B26" s="805">
        <v>25.6</v>
      </c>
      <c r="C26" s="785">
        <v>41.7</v>
      </c>
      <c r="D26" s="785">
        <v>183.1</v>
      </c>
      <c r="E26" s="785">
        <v>233.4</v>
      </c>
      <c r="F26" s="785">
        <v>216.1</v>
      </c>
      <c r="G26" s="785">
        <v>185.9</v>
      </c>
      <c r="H26" s="785">
        <v>197.8</v>
      </c>
      <c r="I26" s="785">
        <v>173</v>
      </c>
      <c r="J26" s="785">
        <v>206.4</v>
      </c>
      <c r="K26" s="785">
        <v>268.2</v>
      </c>
    </row>
    <row r="27" spans="1:11" x14ac:dyDescent="0.3">
      <c r="A27" s="784" t="s">
        <v>710</v>
      </c>
      <c r="B27" s="805">
        <v>27</v>
      </c>
      <c r="C27" s="785">
        <v>88.8</v>
      </c>
      <c r="D27" s="785">
        <v>250.8</v>
      </c>
      <c r="E27" s="785">
        <v>253.6</v>
      </c>
      <c r="F27" s="785">
        <v>229.1</v>
      </c>
      <c r="G27" s="785">
        <v>193.3</v>
      </c>
      <c r="H27" s="785">
        <v>184.8</v>
      </c>
      <c r="I27" s="785">
        <v>200.4</v>
      </c>
      <c r="J27" s="785">
        <v>264.60000000000002</v>
      </c>
      <c r="K27" s="785">
        <v>322.2</v>
      </c>
    </row>
    <row r="28" spans="1:11" x14ac:dyDescent="0.3">
      <c r="A28" s="784" t="s">
        <v>539</v>
      </c>
      <c r="B28" s="804" t="s">
        <v>539</v>
      </c>
      <c r="C28" s="785" t="s">
        <v>539</v>
      </c>
      <c r="D28" s="785" t="s">
        <v>539</v>
      </c>
      <c r="E28" s="785" t="s">
        <v>539</v>
      </c>
      <c r="F28" s="785" t="s">
        <v>539</v>
      </c>
      <c r="G28" s="785" t="s">
        <v>539</v>
      </c>
      <c r="H28" s="785" t="s">
        <v>539</v>
      </c>
      <c r="I28" s="785" t="s">
        <v>539</v>
      </c>
      <c r="J28" s="785" t="s">
        <v>539</v>
      </c>
      <c r="K28" s="785" t="s">
        <v>539</v>
      </c>
    </row>
    <row r="29" spans="1:11" x14ac:dyDescent="0.3">
      <c r="A29" s="784" t="s">
        <v>1100</v>
      </c>
      <c r="B29" s="805">
        <v>71.87</v>
      </c>
      <c r="C29" s="785">
        <v>64.81</v>
      </c>
      <c r="D29" s="785">
        <v>48.06</v>
      </c>
      <c r="E29" s="785">
        <v>55.13</v>
      </c>
      <c r="F29" s="785">
        <v>54.73</v>
      </c>
      <c r="G29" s="785">
        <v>55.89</v>
      </c>
      <c r="H29" s="785">
        <v>72.61</v>
      </c>
      <c r="I29" s="785">
        <v>72.489999999999995</v>
      </c>
      <c r="J29" s="785">
        <v>72.89</v>
      </c>
      <c r="K29" s="785">
        <v>72.94</v>
      </c>
    </row>
    <row r="30" spans="1:11" x14ac:dyDescent="0.3">
      <c r="A30" s="784" t="s">
        <v>1101</v>
      </c>
      <c r="B30" s="805">
        <v>9.76</v>
      </c>
      <c r="C30" s="785">
        <v>33.53</v>
      </c>
      <c r="D30" s="785">
        <v>74.31</v>
      </c>
      <c r="E30" s="785">
        <v>55.61</v>
      </c>
      <c r="F30" s="785">
        <v>44.34</v>
      </c>
      <c r="G30" s="785">
        <v>45.29</v>
      </c>
      <c r="H30" s="785">
        <v>17.239999999999998</v>
      </c>
      <c r="I30" s="785">
        <v>18.88</v>
      </c>
      <c r="J30" s="785">
        <v>17.61</v>
      </c>
      <c r="K30" s="785">
        <v>19.77</v>
      </c>
    </row>
    <row r="31" spans="1:11" x14ac:dyDescent="0.3">
      <c r="A31" s="784" t="s">
        <v>1102</v>
      </c>
      <c r="B31" s="805">
        <v>8.34</v>
      </c>
      <c r="C31" s="785">
        <v>25.11</v>
      </c>
      <c r="D31" s="785">
        <v>41.92</v>
      </c>
      <c r="E31" s="785">
        <v>35.6</v>
      </c>
      <c r="F31" s="785">
        <v>30.19</v>
      </c>
      <c r="G31" s="785">
        <v>31.1</v>
      </c>
      <c r="H31" s="785">
        <v>14.52</v>
      </c>
      <c r="I31" s="785">
        <v>15.86</v>
      </c>
      <c r="J31" s="785">
        <v>14.59</v>
      </c>
      <c r="K31" s="785">
        <v>16.12</v>
      </c>
    </row>
    <row r="32" spans="1:11" x14ac:dyDescent="0.3">
      <c r="A32" s="784" t="s">
        <v>1103</v>
      </c>
      <c r="B32" s="805">
        <v>7.02</v>
      </c>
      <c r="C32" s="785">
        <v>21.73</v>
      </c>
      <c r="D32" s="785">
        <v>35.72</v>
      </c>
      <c r="E32" s="785">
        <v>30.66</v>
      </c>
      <c r="F32" s="785">
        <v>24.27</v>
      </c>
      <c r="G32" s="785">
        <v>25.31</v>
      </c>
      <c r="H32" s="785">
        <v>12.52</v>
      </c>
      <c r="I32" s="785">
        <v>13.69</v>
      </c>
      <c r="J32" s="785">
        <v>12.84</v>
      </c>
      <c r="K32" s="785">
        <v>14.42</v>
      </c>
    </row>
    <row r="33" spans="1:11" x14ac:dyDescent="0.3">
      <c r="A33" s="784" t="s">
        <v>539</v>
      </c>
      <c r="B33" s="804" t="s">
        <v>539</v>
      </c>
      <c r="C33" s="785" t="s">
        <v>539</v>
      </c>
      <c r="D33" s="785" t="s">
        <v>539</v>
      </c>
      <c r="E33" s="785" t="s">
        <v>539</v>
      </c>
      <c r="F33" s="785" t="s">
        <v>539</v>
      </c>
      <c r="G33" s="785" t="s">
        <v>539</v>
      </c>
      <c r="H33" s="785" t="s">
        <v>539</v>
      </c>
      <c r="I33" s="785" t="s">
        <v>539</v>
      </c>
      <c r="J33" s="785" t="s">
        <v>539</v>
      </c>
      <c r="K33" s="785" t="s">
        <v>539</v>
      </c>
    </row>
    <row r="34" spans="1:11" x14ac:dyDescent="0.3">
      <c r="A34" s="784" t="s">
        <v>1104</v>
      </c>
      <c r="B34" s="805">
        <v>17.149999999999999</v>
      </c>
      <c r="C34" s="785">
        <v>33.53</v>
      </c>
      <c r="D34" s="785">
        <v>77.260000000000005</v>
      </c>
      <c r="E34" s="785">
        <v>56.2</v>
      </c>
      <c r="F34" s="785">
        <v>46.9</v>
      </c>
      <c r="G34" s="785">
        <v>45.62</v>
      </c>
      <c r="H34" s="785">
        <v>18.739999999999998</v>
      </c>
      <c r="I34" s="785">
        <v>19.03</v>
      </c>
      <c r="J34" s="785">
        <v>20.73</v>
      </c>
      <c r="K34" s="785">
        <v>22.65</v>
      </c>
    </row>
    <row r="35" spans="1:11" x14ac:dyDescent="0.3">
      <c r="A35" s="784" t="s">
        <v>1105</v>
      </c>
      <c r="B35" s="805">
        <v>14.64</v>
      </c>
      <c r="C35" s="785">
        <v>25.11</v>
      </c>
      <c r="D35" s="785">
        <v>43.59</v>
      </c>
      <c r="E35" s="785">
        <v>35.979999999999997</v>
      </c>
      <c r="F35" s="785">
        <v>31.93</v>
      </c>
      <c r="G35" s="785">
        <v>31.33</v>
      </c>
      <c r="H35" s="785">
        <v>15.78</v>
      </c>
      <c r="I35" s="785">
        <v>15.99</v>
      </c>
      <c r="J35" s="785">
        <v>17.170000000000002</v>
      </c>
      <c r="K35" s="785">
        <v>18.47</v>
      </c>
    </row>
    <row r="36" spans="1:11" x14ac:dyDescent="0.3">
      <c r="A36" s="784" t="s">
        <v>1106</v>
      </c>
      <c r="B36" s="805">
        <v>12.32</v>
      </c>
      <c r="C36" s="785">
        <v>21.73</v>
      </c>
      <c r="D36" s="785">
        <v>37.14</v>
      </c>
      <c r="E36" s="785">
        <v>30.98</v>
      </c>
      <c r="F36" s="785">
        <v>25.67</v>
      </c>
      <c r="G36" s="785">
        <v>25.5</v>
      </c>
      <c r="H36" s="785">
        <v>13.6</v>
      </c>
      <c r="I36" s="785">
        <v>13.8</v>
      </c>
      <c r="J36" s="785">
        <v>15.11</v>
      </c>
      <c r="K36" s="785">
        <v>16.52</v>
      </c>
    </row>
    <row r="37" spans="1:11" x14ac:dyDescent="0.3">
      <c r="A37" s="784" t="s">
        <v>539</v>
      </c>
      <c r="B37" s="804" t="s">
        <v>539</v>
      </c>
      <c r="C37" s="785" t="s">
        <v>539</v>
      </c>
      <c r="D37" s="785" t="s">
        <v>539</v>
      </c>
      <c r="E37" s="785" t="s">
        <v>539</v>
      </c>
      <c r="F37" s="785" t="s">
        <v>539</v>
      </c>
      <c r="G37" s="785" t="s">
        <v>539</v>
      </c>
      <c r="H37" s="785" t="s">
        <v>539</v>
      </c>
      <c r="I37" s="785" t="s">
        <v>539</v>
      </c>
      <c r="J37" s="785" t="s">
        <v>539</v>
      </c>
      <c r="K37" s="785" t="s">
        <v>539</v>
      </c>
    </row>
    <row r="38" spans="1:11" x14ac:dyDescent="0.3">
      <c r="A38" s="784" t="s">
        <v>1107</v>
      </c>
      <c r="B38" s="805">
        <v>-42.56</v>
      </c>
      <c r="C38" s="785">
        <v>-44.98</v>
      </c>
      <c r="D38" s="785">
        <v>66.95</v>
      </c>
      <c r="E38" s="785">
        <v>48.95</v>
      </c>
      <c r="F38" s="785">
        <v>41.37</v>
      </c>
      <c r="G38" s="785">
        <v>36.82</v>
      </c>
      <c r="H38" s="785">
        <v>13.53</v>
      </c>
      <c r="I38" s="785">
        <v>15</v>
      </c>
      <c r="J38" s="785">
        <v>18.04</v>
      </c>
      <c r="K38" s="785">
        <v>15.93</v>
      </c>
    </row>
    <row r="39" spans="1:11" x14ac:dyDescent="0.3">
      <c r="A39" s="784" t="s">
        <v>1108</v>
      </c>
      <c r="B39" s="805">
        <v>-74.09</v>
      </c>
      <c r="C39" s="785">
        <v>-81.760000000000005</v>
      </c>
      <c r="D39" s="785">
        <v>40.1</v>
      </c>
      <c r="E39" s="785">
        <v>32.86</v>
      </c>
      <c r="F39" s="785">
        <v>29.26</v>
      </c>
      <c r="G39" s="785">
        <v>26.91</v>
      </c>
      <c r="H39" s="785">
        <v>11.92</v>
      </c>
      <c r="I39" s="785">
        <v>13.04</v>
      </c>
      <c r="J39" s="785">
        <v>15.28</v>
      </c>
      <c r="K39" s="785">
        <v>13.74</v>
      </c>
    </row>
    <row r="40" spans="1:11" x14ac:dyDescent="0.3">
      <c r="A40" s="784" t="s">
        <v>539</v>
      </c>
      <c r="B40" s="804" t="s">
        <v>539</v>
      </c>
      <c r="C40" s="785" t="s">
        <v>539</v>
      </c>
      <c r="D40" s="785" t="s">
        <v>539</v>
      </c>
      <c r="E40" s="785" t="s">
        <v>539</v>
      </c>
      <c r="F40" s="785" t="s">
        <v>539</v>
      </c>
      <c r="G40" s="785" t="s">
        <v>539</v>
      </c>
      <c r="H40" s="785" t="s">
        <v>539</v>
      </c>
      <c r="I40" s="785" t="s">
        <v>539</v>
      </c>
      <c r="J40" s="785" t="s">
        <v>539</v>
      </c>
      <c r="K40" s="785" t="s">
        <v>539</v>
      </c>
    </row>
    <row r="41" spans="1:11" x14ac:dyDescent="0.3">
      <c r="A41" s="784" t="s">
        <v>176</v>
      </c>
      <c r="B41" s="806">
        <v>1053.0999999999999</v>
      </c>
      <c r="C41" s="787">
        <v>1237.9000000000001</v>
      </c>
      <c r="D41" s="787">
        <v>1639.2</v>
      </c>
      <c r="E41" s="787">
        <v>2698.7</v>
      </c>
      <c r="F41" s="787">
        <v>2521.9</v>
      </c>
      <c r="G41" s="787">
        <v>2355.1</v>
      </c>
      <c r="H41" s="787">
        <v>2817.6</v>
      </c>
      <c r="I41" s="787">
        <v>5636.9</v>
      </c>
      <c r="J41" s="787">
        <v>6183</v>
      </c>
      <c r="K41" s="787">
        <v>4205.3999999999996</v>
      </c>
    </row>
    <row r="42" spans="1:11" x14ac:dyDescent="0.3">
      <c r="A42" s="784" t="s">
        <v>1109</v>
      </c>
      <c r="B42" s="805">
        <v>899.1</v>
      </c>
      <c r="C42" s="787">
        <v>1110.5</v>
      </c>
      <c r="D42" s="787">
        <v>1435.1</v>
      </c>
      <c r="E42" s="787">
        <v>2443.8000000000002</v>
      </c>
      <c r="F42" s="787">
        <v>2246.5</v>
      </c>
      <c r="G42" s="787">
        <v>2189.4</v>
      </c>
      <c r="H42" s="787">
        <v>2474</v>
      </c>
      <c r="I42" s="787">
        <v>4937.6000000000004</v>
      </c>
      <c r="J42" s="787">
        <v>4921.6000000000004</v>
      </c>
      <c r="K42" s="787">
        <v>3475</v>
      </c>
    </row>
    <row r="43" spans="1:11" x14ac:dyDescent="0.3">
      <c r="A43" s="784" t="s">
        <v>379</v>
      </c>
      <c r="B43" s="805">
        <v>830.8</v>
      </c>
      <c r="C43" s="787">
        <v>1028.0999999999999</v>
      </c>
      <c r="D43" s="787">
        <v>1055.0999999999999</v>
      </c>
      <c r="E43" s="787">
        <v>1899.6</v>
      </c>
      <c r="F43" s="787">
        <v>1710.6</v>
      </c>
      <c r="G43" s="787">
        <v>1498.2</v>
      </c>
      <c r="H43" s="787">
        <v>1692.2</v>
      </c>
      <c r="I43" s="787">
        <v>3278.7</v>
      </c>
      <c r="J43" s="787">
        <v>3823.1</v>
      </c>
      <c r="K43" s="787">
        <v>2032.8</v>
      </c>
    </row>
    <row r="44" spans="1:11" ht="26" x14ac:dyDescent="0.3">
      <c r="A44" s="790" t="s">
        <v>636</v>
      </c>
      <c r="B44" s="799" t="s">
        <v>637</v>
      </c>
      <c r="C44" s="791"/>
      <c r="D44" s="791"/>
      <c r="E44" s="791"/>
      <c r="F44" s="791"/>
      <c r="G44" s="791"/>
      <c r="H44" s="790" t="s">
        <v>539</v>
      </c>
      <c r="I44" s="790" t="s">
        <v>539</v>
      </c>
      <c r="J44" s="790" t="s">
        <v>539</v>
      </c>
      <c r="K44" s="790" t="s">
        <v>539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CB045-5329-41F9-A4FB-E426A4DD3C91}">
  <sheetPr codeName="Sheet22"/>
  <dimension ref="A1:K29"/>
  <sheetViews>
    <sheetView workbookViewId="0">
      <selection sqref="A1:K29"/>
    </sheetView>
  </sheetViews>
  <sheetFormatPr defaultColWidth="8.83203125" defaultRowHeight="14" x14ac:dyDescent="0.3"/>
  <cols>
    <col min="1" max="1" width="31.58203125" bestFit="1" customWidth="1"/>
    <col min="2" max="2" width="36" bestFit="1" customWidth="1"/>
    <col min="3" max="4" width="10.08203125" bestFit="1" customWidth="1"/>
    <col min="5" max="6" width="9.08203125" bestFit="1" customWidth="1"/>
    <col min="7" max="10" width="10.08203125" bestFit="1" customWidth="1"/>
    <col min="11" max="11" width="9.08203125" bestFit="1" customWidth="1"/>
  </cols>
  <sheetData>
    <row r="1" spans="1:11" x14ac:dyDescent="0.3">
      <c r="B1" s="770"/>
    </row>
    <row r="2" spans="1:11" x14ac:dyDescent="0.3">
      <c r="A2" t="s">
        <v>1110</v>
      </c>
      <c r="B2" s="770"/>
    </row>
    <row r="3" spans="1:11" x14ac:dyDescent="0.3">
      <c r="B3" s="770"/>
    </row>
    <row r="4" spans="1:11" x14ac:dyDescent="0.3">
      <c r="A4" t="s">
        <v>606</v>
      </c>
      <c r="B4" s="770" t="s">
        <v>607</v>
      </c>
      <c r="C4" t="s">
        <v>608</v>
      </c>
      <c r="D4" t="s">
        <v>609</v>
      </c>
      <c r="E4" t="s">
        <v>610</v>
      </c>
      <c r="F4" t="s">
        <v>611</v>
      </c>
      <c r="G4" t="s">
        <v>612</v>
      </c>
      <c r="H4" t="s">
        <v>613</v>
      </c>
      <c r="I4" t="s">
        <v>614</v>
      </c>
      <c r="J4" t="s">
        <v>615</v>
      </c>
      <c r="K4" t="s">
        <v>616</v>
      </c>
    </row>
    <row r="5" spans="1:11" x14ac:dyDescent="0.3">
      <c r="A5" t="s">
        <v>617</v>
      </c>
      <c r="B5" s="771">
        <v>42308</v>
      </c>
      <c r="C5" s="769">
        <v>42672</v>
      </c>
      <c r="D5" s="769">
        <v>43036</v>
      </c>
      <c r="E5" s="769">
        <v>43407</v>
      </c>
      <c r="F5" s="769">
        <v>43771</v>
      </c>
      <c r="G5" s="769">
        <v>44135</v>
      </c>
      <c r="H5" s="769">
        <v>44499</v>
      </c>
      <c r="I5" s="769">
        <v>44863</v>
      </c>
      <c r="J5" s="769">
        <v>45227</v>
      </c>
      <c r="K5" s="769">
        <v>45598</v>
      </c>
    </row>
    <row r="6" spans="1:11" x14ac:dyDescent="0.3">
      <c r="A6" t="s">
        <v>1111</v>
      </c>
      <c r="B6" s="770">
        <v>2.72</v>
      </c>
      <c r="C6">
        <v>5.18</v>
      </c>
      <c r="D6">
        <v>0.66</v>
      </c>
      <c r="E6">
        <v>0.78</v>
      </c>
      <c r="F6">
        <v>0.43</v>
      </c>
      <c r="G6">
        <v>0.77</v>
      </c>
      <c r="H6">
        <v>0.71</v>
      </c>
      <c r="I6">
        <v>0.6</v>
      </c>
      <c r="J6">
        <v>0.3</v>
      </c>
      <c r="K6">
        <v>0.79</v>
      </c>
    </row>
    <row r="7" spans="1:11" x14ac:dyDescent="0.3">
      <c r="A7" t="s">
        <v>1112</v>
      </c>
      <c r="B7" s="770">
        <v>3.66</v>
      </c>
      <c r="C7">
        <v>6.35</v>
      </c>
      <c r="D7">
        <v>1.47</v>
      </c>
      <c r="E7">
        <v>2.0099999999999998</v>
      </c>
      <c r="F7">
        <v>1.32</v>
      </c>
      <c r="G7">
        <v>1.84</v>
      </c>
      <c r="H7">
        <v>1.94</v>
      </c>
      <c r="I7">
        <v>2.02</v>
      </c>
      <c r="J7">
        <v>1.37</v>
      </c>
      <c r="K7">
        <v>1.84</v>
      </c>
    </row>
    <row r="8" spans="1:11" x14ac:dyDescent="0.3">
      <c r="A8" t="s">
        <v>1113</v>
      </c>
      <c r="B8" s="770">
        <v>3.14</v>
      </c>
      <c r="C8">
        <v>5.79</v>
      </c>
      <c r="D8">
        <v>1.0900000000000001</v>
      </c>
      <c r="E8">
        <v>1.38</v>
      </c>
      <c r="F8">
        <v>0.85</v>
      </c>
      <c r="G8">
        <v>1.31</v>
      </c>
      <c r="H8">
        <v>1.24</v>
      </c>
      <c r="I8">
        <v>1.34</v>
      </c>
      <c r="J8">
        <v>0.76</v>
      </c>
      <c r="K8">
        <v>1.24</v>
      </c>
    </row>
    <row r="9" spans="1:11" x14ac:dyDescent="0.3">
      <c r="A9" t="s">
        <v>1114</v>
      </c>
      <c r="B9" s="770">
        <v>1</v>
      </c>
      <c r="C9">
        <v>1.35</v>
      </c>
      <c r="D9">
        <v>0.94</v>
      </c>
      <c r="E9">
        <v>1.84</v>
      </c>
      <c r="F9">
        <v>1.76</v>
      </c>
      <c r="G9">
        <v>1.4</v>
      </c>
      <c r="H9">
        <v>1.32</v>
      </c>
      <c r="I9">
        <v>1.72</v>
      </c>
      <c r="J9">
        <v>1.71</v>
      </c>
      <c r="K9">
        <v>1.24</v>
      </c>
    </row>
    <row r="10" spans="1:11" x14ac:dyDescent="0.3">
      <c r="A10" t="s">
        <v>1100</v>
      </c>
      <c r="B10" s="770">
        <v>71.87</v>
      </c>
      <c r="C10">
        <v>64.81</v>
      </c>
      <c r="D10">
        <v>48.06</v>
      </c>
      <c r="E10">
        <v>55.13</v>
      </c>
      <c r="F10">
        <v>54.73</v>
      </c>
      <c r="G10">
        <v>55.89</v>
      </c>
      <c r="H10">
        <v>72.61</v>
      </c>
      <c r="I10">
        <v>72.489999999999995</v>
      </c>
      <c r="J10">
        <v>72.89</v>
      </c>
      <c r="K10">
        <v>72.94</v>
      </c>
    </row>
    <row r="11" spans="1:11" x14ac:dyDescent="0.3">
      <c r="B11" s="770"/>
    </row>
    <row r="12" spans="1:11" x14ac:dyDescent="0.3">
      <c r="A12" t="s">
        <v>1101</v>
      </c>
      <c r="B12" s="770">
        <v>9.76</v>
      </c>
      <c r="C12">
        <v>33.53</v>
      </c>
      <c r="D12">
        <v>74.31</v>
      </c>
      <c r="E12">
        <v>55.61</v>
      </c>
      <c r="F12">
        <v>44.34</v>
      </c>
      <c r="G12">
        <v>45.29</v>
      </c>
      <c r="H12">
        <v>17.239999999999998</v>
      </c>
      <c r="I12">
        <v>18.88</v>
      </c>
      <c r="J12">
        <v>17.61</v>
      </c>
      <c r="K12">
        <v>19.77</v>
      </c>
    </row>
    <row r="13" spans="1:11" x14ac:dyDescent="0.3">
      <c r="A13" t="s">
        <v>1102</v>
      </c>
      <c r="B13" s="770">
        <v>8.34</v>
      </c>
      <c r="C13">
        <v>25.11</v>
      </c>
      <c r="D13">
        <v>41.92</v>
      </c>
      <c r="E13">
        <v>35.6</v>
      </c>
      <c r="F13">
        <v>30.19</v>
      </c>
      <c r="G13">
        <v>31.1</v>
      </c>
      <c r="H13">
        <v>14.52</v>
      </c>
      <c r="I13">
        <v>15.86</v>
      </c>
      <c r="J13">
        <v>14.59</v>
      </c>
      <c r="K13">
        <v>16.12</v>
      </c>
    </row>
    <row r="14" spans="1:11" x14ac:dyDescent="0.3">
      <c r="A14" t="s">
        <v>1103</v>
      </c>
      <c r="B14" s="770">
        <v>7.02</v>
      </c>
      <c r="C14">
        <v>21.73</v>
      </c>
      <c r="D14">
        <v>35.72</v>
      </c>
      <c r="E14">
        <v>30.66</v>
      </c>
      <c r="F14">
        <v>24.27</v>
      </c>
      <c r="G14">
        <v>25.31</v>
      </c>
      <c r="H14">
        <v>12.52</v>
      </c>
      <c r="I14">
        <v>13.69</v>
      </c>
      <c r="J14">
        <v>12.84</v>
      </c>
      <c r="K14">
        <v>14.42</v>
      </c>
    </row>
    <row r="15" spans="1:11" x14ac:dyDescent="0.3">
      <c r="B15" s="770"/>
    </row>
    <row r="16" spans="1:11" x14ac:dyDescent="0.3">
      <c r="A16" t="s">
        <v>1104</v>
      </c>
      <c r="B16" s="770">
        <v>17.149999999999999</v>
      </c>
      <c r="C16">
        <v>33.53</v>
      </c>
      <c r="D16">
        <v>77.260000000000005</v>
      </c>
      <c r="E16">
        <v>56.2</v>
      </c>
      <c r="F16">
        <v>46.9</v>
      </c>
      <c r="G16">
        <v>45.62</v>
      </c>
      <c r="H16">
        <v>18.739999999999998</v>
      </c>
      <c r="I16">
        <v>19.03</v>
      </c>
      <c r="J16">
        <v>20.73</v>
      </c>
      <c r="K16">
        <v>22.65</v>
      </c>
    </row>
    <row r="17" spans="1:11" x14ac:dyDescent="0.3">
      <c r="A17" t="s">
        <v>1105</v>
      </c>
      <c r="B17" s="770">
        <v>14.64</v>
      </c>
      <c r="C17">
        <v>25.11</v>
      </c>
      <c r="D17">
        <v>43.59</v>
      </c>
      <c r="E17">
        <v>35.979999999999997</v>
      </c>
      <c r="F17">
        <v>31.93</v>
      </c>
      <c r="G17">
        <v>31.33</v>
      </c>
      <c r="H17">
        <v>15.78</v>
      </c>
      <c r="I17">
        <v>15.99</v>
      </c>
      <c r="J17">
        <v>17.170000000000002</v>
      </c>
      <c r="K17">
        <v>18.47</v>
      </c>
    </row>
    <row r="18" spans="1:11" x14ac:dyDescent="0.3">
      <c r="A18" t="s">
        <v>1106</v>
      </c>
      <c r="B18" s="770">
        <v>12.32</v>
      </c>
      <c r="C18">
        <v>21.73</v>
      </c>
      <c r="D18">
        <v>37.14</v>
      </c>
      <c r="E18">
        <v>30.98</v>
      </c>
      <c r="F18">
        <v>25.67</v>
      </c>
      <c r="G18">
        <v>25.5</v>
      </c>
      <c r="H18">
        <v>13.6</v>
      </c>
      <c r="I18">
        <v>13.8</v>
      </c>
      <c r="J18">
        <v>15.11</v>
      </c>
      <c r="K18">
        <v>16.52</v>
      </c>
    </row>
    <row r="19" spans="1:11" x14ac:dyDescent="0.3">
      <c r="B19" s="770"/>
    </row>
    <row r="20" spans="1:11" x14ac:dyDescent="0.3">
      <c r="A20" t="s">
        <v>1115</v>
      </c>
      <c r="B20" s="770">
        <v>45.71</v>
      </c>
      <c r="C20">
        <v>45.67</v>
      </c>
      <c r="D20">
        <v>10.130000000000001</v>
      </c>
      <c r="E20">
        <v>26.63</v>
      </c>
      <c r="F20">
        <v>23.27</v>
      </c>
      <c r="G20">
        <v>21.21</v>
      </c>
      <c r="H20">
        <v>19.09</v>
      </c>
      <c r="I20">
        <v>32.340000000000003</v>
      </c>
      <c r="J20">
        <v>36.42</v>
      </c>
      <c r="K20">
        <v>29.52</v>
      </c>
    </row>
    <row r="21" spans="1:11" x14ac:dyDescent="0.3">
      <c r="A21" t="s">
        <v>1116</v>
      </c>
      <c r="B21" s="770">
        <v>5.9</v>
      </c>
      <c r="C21">
        <v>10.050000000000001</v>
      </c>
      <c r="D21">
        <v>5.45</v>
      </c>
      <c r="E21">
        <v>9.58</v>
      </c>
      <c r="F21">
        <v>8.18</v>
      </c>
      <c r="G21">
        <v>12.12</v>
      </c>
      <c r="H21">
        <v>7.96</v>
      </c>
      <c r="I21">
        <v>6.4</v>
      </c>
      <c r="J21">
        <v>3.82</v>
      </c>
      <c r="K21">
        <v>5.27</v>
      </c>
    </row>
    <row r="22" spans="1:11" x14ac:dyDescent="0.3">
      <c r="A22" t="s">
        <v>1117</v>
      </c>
      <c r="B22" s="770">
        <v>8.99</v>
      </c>
      <c r="C22">
        <v>7.41</v>
      </c>
      <c r="D22">
        <v>6.37</v>
      </c>
      <c r="E22">
        <v>8.6199999999999992</v>
      </c>
      <c r="F22">
        <v>6.95</v>
      </c>
      <c r="G22">
        <v>6.76</v>
      </c>
      <c r="H22">
        <v>6.52</v>
      </c>
      <c r="I22">
        <v>6.99</v>
      </c>
      <c r="J22">
        <v>7.49</v>
      </c>
      <c r="K22">
        <v>7.99</v>
      </c>
    </row>
    <row r="23" spans="1:11" x14ac:dyDescent="0.3">
      <c r="B23" s="770"/>
    </row>
    <row r="24" spans="1:11" x14ac:dyDescent="0.3">
      <c r="A24" t="s">
        <v>898</v>
      </c>
      <c r="B24" s="770">
        <v>750</v>
      </c>
      <c r="C24" s="708">
        <v>1000</v>
      </c>
      <c r="D24" s="708">
        <v>1000</v>
      </c>
      <c r="E24" s="708">
        <v>1000</v>
      </c>
      <c r="F24" s="708">
        <v>1250</v>
      </c>
      <c r="G24" s="708">
        <v>1250</v>
      </c>
      <c r="H24" s="708">
        <v>1250</v>
      </c>
      <c r="I24" s="708">
        <v>2500</v>
      </c>
      <c r="J24" s="708">
        <v>2500</v>
      </c>
      <c r="K24" s="708">
        <v>2500</v>
      </c>
    </row>
    <row r="25" spans="1:11" x14ac:dyDescent="0.3">
      <c r="A25" t="s">
        <v>1118</v>
      </c>
      <c r="B25" s="770">
        <v>750</v>
      </c>
      <c r="C25" s="708">
        <v>1000</v>
      </c>
      <c r="D25" s="708">
        <v>1000</v>
      </c>
      <c r="E25" s="708">
        <v>1000</v>
      </c>
      <c r="F25" s="708">
        <v>1250</v>
      </c>
      <c r="G25" s="708">
        <v>1250</v>
      </c>
      <c r="H25" s="708">
        <v>1250</v>
      </c>
      <c r="I25" s="708">
        <v>2500</v>
      </c>
      <c r="J25" s="708">
        <v>2500</v>
      </c>
      <c r="K25" s="708">
        <v>2500</v>
      </c>
    </row>
    <row r="26" spans="1:11" x14ac:dyDescent="0.3">
      <c r="A26" t="s">
        <v>1119</v>
      </c>
      <c r="B26" s="770">
        <v>0</v>
      </c>
      <c r="C26">
        <v>0</v>
      </c>
      <c r="D26">
        <v>0</v>
      </c>
      <c r="E26">
        <v>0</v>
      </c>
      <c r="F26">
        <v>0</v>
      </c>
      <c r="G26">
        <v>0</v>
      </c>
      <c r="H26">
        <v>0</v>
      </c>
      <c r="I26">
        <v>0</v>
      </c>
      <c r="J26">
        <v>0</v>
      </c>
      <c r="K26">
        <v>0</v>
      </c>
    </row>
    <row r="27" spans="1:11" x14ac:dyDescent="0.3">
      <c r="B27" s="770"/>
    </row>
    <row r="28" spans="1:11" x14ac:dyDescent="0.3">
      <c r="A28" t="s">
        <v>1120</v>
      </c>
      <c r="B28" s="770" t="s">
        <v>360</v>
      </c>
      <c r="C28" t="s">
        <v>360</v>
      </c>
      <c r="D28" t="s">
        <v>360</v>
      </c>
      <c r="E28" t="s">
        <v>360</v>
      </c>
      <c r="F28" t="s">
        <v>360</v>
      </c>
      <c r="G28" t="s">
        <v>360</v>
      </c>
      <c r="H28" t="s">
        <v>360</v>
      </c>
      <c r="I28" t="s">
        <v>360</v>
      </c>
      <c r="J28">
        <v>547.20000000000005</v>
      </c>
      <c r="K28">
        <v>547.70000000000005</v>
      </c>
    </row>
    <row r="29" spans="1:11" ht="28" x14ac:dyDescent="0.3">
      <c r="A29" t="s">
        <v>636</v>
      </c>
      <c r="B29" s="770" t="s">
        <v>637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5ED04-6CC9-4164-9E98-413E1C628FA6}">
  <sheetPr codeName="Sheet23"/>
  <dimension ref="A1:L44"/>
  <sheetViews>
    <sheetView workbookViewId="0">
      <selection activeCell="B10" sqref="B10"/>
    </sheetView>
  </sheetViews>
  <sheetFormatPr defaultColWidth="8.83203125" defaultRowHeight="14" x14ac:dyDescent="0.3"/>
  <cols>
    <col min="1" max="2" width="36" bestFit="1" customWidth="1"/>
    <col min="10" max="11" width="9.83203125" bestFit="1" customWidth="1"/>
  </cols>
  <sheetData>
    <row r="1" spans="1:12" ht="14.5" x14ac:dyDescent="0.35">
      <c r="A1" s="792" t="s">
        <v>539</v>
      </c>
      <c r="B1" s="792" t="s">
        <v>539</v>
      </c>
      <c r="C1" s="773" t="s">
        <v>539</v>
      </c>
      <c r="D1" s="773" t="s">
        <v>539</v>
      </c>
      <c r="E1" s="773" t="s">
        <v>539</v>
      </c>
      <c r="F1" s="773" t="s">
        <v>539</v>
      </c>
      <c r="G1" s="773" t="s">
        <v>539</v>
      </c>
      <c r="H1" s="773" t="s">
        <v>539</v>
      </c>
      <c r="I1" s="773" t="s">
        <v>539</v>
      </c>
      <c r="J1" s="773" t="s">
        <v>539</v>
      </c>
      <c r="K1" s="773" t="s">
        <v>539</v>
      </c>
    </row>
    <row r="2" spans="1:12" ht="40" x14ac:dyDescent="0.4">
      <c r="A2" s="793" t="s">
        <v>1121</v>
      </c>
      <c r="B2" s="800"/>
      <c r="C2" s="775"/>
      <c r="D2" s="775"/>
      <c r="E2" s="774" t="s">
        <v>539</v>
      </c>
      <c r="F2" s="774" t="s">
        <v>539</v>
      </c>
      <c r="G2" s="774" t="s">
        <v>539</v>
      </c>
      <c r="H2" s="774" t="s">
        <v>539</v>
      </c>
      <c r="I2" s="774" t="s">
        <v>539</v>
      </c>
      <c r="J2" s="774" t="s">
        <v>539</v>
      </c>
      <c r="K2" s="774" t="s">
        <v>539</v>
      </c>
      <c r="L2" s="774" t="s">
        <v>539</v>
      </c>
    </row>
    <row r="3" spans="1:12" x14ac:dyDescent="0.3">
      <c r="A3" s="794" t="s">
        <v>539</v>
      </c>
      <c r="B3" s="794" t="s">
        <v>539</v>
      </c>
      <c r="C3" s="776" t="s">
        <v>539</v>
      </c>
      <c r="D3" s="776" t="s">
        <v>539</v>
      </c>
      <c r="E3" s="776" t="s">
        <v>539</v>
      </c>
      <c r="F3" s="776" t="s">
        <v>539</v>
      </c>
      <c r="G3" s="776" t="s">
        <v>539</v>
      </c>
      <c r="H3" s="776" t="s">
        <v>539</v>
      </c>
      <c r="I3" s="776" t="s">
        <v>539</v>
      </c>
      <c r="J3" s="776" t="s">
        <v>539</v>
      </c>
      <c r="K3" s="776" t="s">
        <v>539</v>
      </c>
    </row>
    <row r="4" spans="1:12" x14ac:dyDescent="0.3">
      <c r="A4" s="795" t="s">
        <v>606</v>
      </c>
      <c r="B4" s="801" t="s">
        <v>609</v>
      </c>
      <c r="C4" s="778" t="s">
        <v>610</v>
      </c>
      <c r="D4" s="778" t="s">
        <v>611</v>
      </c>
      <c r="E4" s="778" t="s">
        <v>612</v>
      </c>
      <c r="F4" s="778" t="s">
        <v>613</v>
      </c>
      <c r="G4" s="778" t="s">
        <v>614</v>
      </c>
      <c r="H4" s="778" t="s">
        <v>615</v>
      </c>
      <c r="I4" s="778" t="s">
        <v>616</v>
      </c>
      <c r="J4" s="778" t="s">
        <v>639</v>
      </c>
      <c r="K4" s="778" t="s">
        <v>640</v>
      </c>
    </row>
    <row r="5" spans="1:12" x14ac:dyDescent="0.3">
      <c r="A5" s="796" t="s">
        <v>617</v>
      </c>
      <c r="B5" s="802">
        <v>43036</v>
      </c>
      <c r="C5" s="781">
        <v>43407</v>
      </c>
      <c r="D5" s="781">
        <v>43771</v>
      </c>
      <c r="E5" s="781">
        <v>44135</v>
      </c>
      <c r="F5" s="781">
        <v>44499</v>
      </c>
      <c r="G5" s="781">
        <v>44863</v>
      </c>
      <c r="H5" s="781">
        <v>45227</v>
      </c>
      <c r="I5" s="781">
        <v>45598</v>
      </c>
      <c r="J5" s="781">
        <v>45961</v>
      </c>
      <c r="K5" s="781">
        <v>46326</v>
      </c>
    </row>
    <row r="6" spans="1:12" x14ac:dyDescent="0.3">
      <c r="A6" s="797" t="s">
        <v>1122</v>
      </c>
      <c r="B6" s="803" t="s">
        <v>539</v>
      </c>
      <c r="C6" s="783" t="s">
        <v>539</v>
      </c>
      <c r="D6" s="783" t="s">
        <v>539</v>
      </c>
      <c r="E6" s="783" t="s">
        <v>539</v>
      </c>
      <c r="F6" s="783" t="s">
        <v>539</v>
      </c>
      <c r="G6" s="783" t="s">
        <v>539</v>
      </c>
      <c r="H6" s="783" t="s">
        <v>539</v>
      </c>
      <c r="I6" s="783" t="s">
        <v>539</v>
      </c>
      <c r="J6" s="783" t="s">
        <v>539</v>
      </c>
      <c r="K6" s="783" t="s">
        <v>539</v>
      </c>
    </row>
    <row r="7" spans="1:12" x14ac:dyDescent="0.3">
      <c r="A7" s="811" t="s">
        <v>1123</v>
      </c>
      <c r="B7" s="806">
        <v>1112.5999999999999</v>
      </c>
      <c r="C7" s="787">
        <v>2442.4</v>
      </c>
      <c r="D7" s="787">
        <v>2253.1</v>
      </c>
      <c r="E7" s="787">
        <v>2008.5</v>
      </c>
      <c r="F7" s="787">
        <v>2735.1</v>
      </c>
      <c r="G7" s="787">
        <v>4475.3999999999996</v>
      </c>
      <c r="H7" s="787">
        <v>4817.6000000000004</v>
      </c>
      <c r="I7" s="787">
        <v>3852.5</v>
      </c>
      <c r="J7" s="787">
        <v>4117.2</v>
      </c>
      <c r="K7" s="787">
        <v>4984</v>
      </c>
    </row>
    <row r="8" spans="1:12" x14ac:dyDescent="0.3">
      <c r="A8" s="811" t="s">
        <v>1124</v>
      </c>
      <c r="B8" s="805">
        <v>-204.1</v>
      </c>
      <c r="C8" s="785">
        <v>-254.9</v>
      </c>
      <c r="D8" s="785">
        <v>-275.39999999999998</v>
      </c>
      <c r="E8" s="785">
        <v>-165.7</v>
      </c>
      <c r="F8" s="785">
        <v>-343.7</v>
      </c>
      <c r="G8" s="785">
        <v>-699.3</v>
      </c>
      <c r="H8" s="787">
        <v>-1261.5</v>
      </c>
      <c r="I8" s="785">
        <v>-730.5</v>
      </c>
      <c r="J8" s="785" t="s">
        <v>539</v>
      </c>
      <c r="K8" s="785" t="s">
        <v>539</v>
      </c>
    </row>
    <row r="9" spans="1:12" x14ac:dyDescent="0.3">
      <c r="A9" s="797" t="s">
        <v>1079</v>
      </c>
      <c r="B9" s="808">
        <v>908.5</v>
      </c>
      <c r="C9" s="789">
        <v>2187.5</v>
      </c>
      <c r="D9" s="789">
        <v>1977.7</v>
      </c>
      <c r="E9" s="789">
        <v>1842.8</v>
      </c>
      <c r="F9" s="789">
        <v>2391.4</v>
      </c>
      <c r="G9" s="789">
        <v>3776.1</v>
      </c>
      <c r="H9" s="789">
        <v>3556.2</v>
      </c>
      <c r="I9" s="789">
        <v>3122.1</v>
      </c>
      <c r="J9" s="789">
        <v>3541.4</v>
      </c>
      <c r="K9" s="789">
        <v>4356</v>
      </c>
    </row>
    <row r="10" spans="1:12" x14ac:dyDescent="0.3">
      <c r="A10" s="812" t="s">
        <v>659</v>
      </c>
      <c r="B10" s="813">
        <v>33623.300000000003</v>
      </c>
      <c r="C10" s="810">
        <v>32270.5</v>
      </c>
      <c r="D10" s="810">
        <v>40281.199999999997</v>
      </c>
      <c r="E10" s="810">
        <v>43795</v>
      </c>
      <c r="F10" s="810">
        <v>91139.6</v>
      </c>
      <c r="G10" s="810">
        <v>73786.8</v>
      </c>
      <c r="H10" s="810">
        <v>79684.7</v>
      </c>
      <c r="I10" s="810">
        <v>111905</v>
      </c>
      <c r="J10" s="809" t="s">
        <v>539</v>
      </c>
      <c r="K10" s="809" t="s">
        <v>539</v>
      </c>
    </row>
    <row r="11" spans="1:12" x14ac:dyDescent="0.3">
      <c r="A11" s="797" t="s">
        <v>1125</v>
      </c>
      <c r="B11" s="808">
        <v>2.88</v>
      </c>
      <c r="C11" s="783">
        <v>6.77</v>
      </c>
      <c r="D11" s="783">
        <v>4.9000000000000004</v>
      </c>
      <c r="E11" s="783">
        <v>4.22</v>
      </c>
      <c r="F11" s="783">
        <v>3.47</v>
      </c>
      <c r="G11" s="783">
        <v>5.0199999999999996</v>
      </c>
      <c r="H11" s="783">
        <v>4.41</v>
      </c>
      <c r="I11" s="783">
        <v>2.79</v>
      </c>
      <c r="J11" s="783" t="s">
        <v>539</v>
      </c>
      <c r="K11" s="783" t="s">
        <v>539</v>
      </c>
    </row>
    <row r="12" spans="1:12" x14ac:dyDescent="0.3">
      <c r="A12" s="797" t="s">
        <v>539</v>
      </c>
      <c r="B12" s="803" t="s">
        <v>539</v>
      </c>
      <c r="C12" s="783" t="s">
        <v>539</v>
      </c>
      <c r="D12" s="783" t="s">
        <v>539</v>
      </c>
      <c r="E12" s="783" t="s">
        <v>539</v>
      </c>
      <c r="F12" s="783" t="s">
        <v>539</v>
      </c>
      <c r="G12" s="783" t="s">
        <v>539</v>
      </c>
      <c r="H12" s="783" t="s">
        <v>539</v>
      </c>
      <c r="I12" s="783" t="s">
        <v>539</v>
      </c>
      <c r="J12" s="783" t="s">
        <v>539</v>
      </c>
      <c r="K12" s="783" t="s">
        <v>539</v>
      </c>
    </row>
    <row r="13" spans="1:12" x14ac:dyDescent="0.3">
      <c r="A13" s="798" t="s">
        <v>1044</v>
      </c>
      <c r="B13" s="805">
        <v>-602.1</v>
      </c>
      <c r="C13" s="785">
        <v>-703.3</v>
      </c>
      <c r="D13" s="785">
        <v>-777.5</v>
      </c>
      <c r="E13" s="785">
        <v>-886.2</v>
      </c>
      <c r="F13" s="787">
        <v>-1109.3</v>
      </c>
      <c r="G13" s="787">
        <v>-1544.6</v>
      </c>
      <c r="H13" s="787">
        <v>-1679.1</v>
      </c>
      <c r="I13" s="787">
        <v>-1795.5</v>
      </c>
      <c r="J13" s="785" t="s">
        <v>539</v>
      </c>
      <c r="K13" s="785" t="s">
        <v>539</v>
      </c>
    </row>
    <row r="14" spans="1:12" x14ac:dyDescent="0.3">
      <c r="A14" s="798" t="s">
        <v>1126</v>
      </c>
      <c r="B14" s="805">
        <v>128.5</v>
      </c>
      <c r="C14" s="785">
        <v>-127</v>
      </c>
      <c r="D14" s="785">
        <v>-496.5</v>
      </c>
      <c r="E14" s="785">
        <v>-176.1</v>
      </c>
      <c r="F14" s="787">
        <v>-3042</v>
      </c>
      <c r="G14" s="787">
        <v>-2543.1</v>
      </c>
      <c r="H14" s="787">
        <v>-2845.3</v>
      </c>
      <c r="I14" s="785">
        <v>-494.4</v>
      </c>
      <c r="J14" s="785" t="s">
        <v>539</v>
      </c>
      <c r="K14" s="785" t="s">
        <v>539</v>
      </c>
    </row>
    <row r="15" spans="1:12" x14ac:dyDescent="0.3">
      <c r="A15" s="798" t="s">
        <v>1127</v>
      </c>
      <c r="B15" s="805">
        <v>0</v>
      </c>
      <c r="C15" s="785">
        <v>0</v>
      </c>
      <c r="D15" s="785">
        <v>0</v>
      </c>
      <c r="E15" s="785">
        <v>0</v>
      </c>
      <c r="F15" s="785">
        <v>0</v>
      </c>
      <c r="G15" s="785">
        <v>0</v>
      </c>
      <c r="H15" s="785">
        <v>0</v>
      </c>
      <c r="I15" s="785">
        <v>0</v>
      </c>
      <c r="J15" s="785" t="s">
        <v>539</v>
      </c>
      <c r="K15" s="785" t="s">
        <v>539</v>
      </c>
    </row>
    <row r="16" spans="1:12" x14ac:dyDescent="0.3">
      <c r="A16" s="798" t="s">
        <v>1128</v>
      </c>
      <c r="B16" s="806">
        <v>6106.2</v>
      </c>
      <c r="C16" s="787">
        <v>-1531.2</v>
      </c>
      <c r="D16" s="785">
        <v>-850</v>
      </c>
      <c r="E16" s="785">
        <v>-354.4</v>
      </c>
      <c r="F16" s="785">
        <v>347.7</v>
      </c>
      <c r="G16" s="785">
        <v>-223</v>
      </c>
      <c r="H16" s="785">
        <v>481.5</v>
      </c>
      <c r="I16" s="785">
        <v>588.4</v>
      </c>
      <c r="J16" s="785" t="s">
        <v>539</v>
      </c>
      <c r="K16" s="785" t="s">
        <v>539</v>
      </c>
    </row>
    <row r="17" spans="1:11" x14ac:dyDescent="0.3">
      <c r="A17" s="798" t="s">
        <v>1129</v>
      </c>
      <c r="B17" s="805">
        <v>-0.5</v>
      </c>
      <c r="C17" s="785">
        <v>1.9</v>
      </c>
      <c r="D17" s="785">
        <v>-4.2</v>
      </c>
      <c r="E17" s="785">
        <v>-3.8</v>
      </c>
      <c r="F17" s="785">
        <v>-152.80000000000001</v>
      </c>
      <c r="G17" s="785">
        <v>-14.8</v>
      </c>
      <c r="H17" s="785">
        <v>-20.8</v>
      </c>
      <c r="I17" s="785">
        <v>-13</v>
      </c>
      <c r="J17" s="785" t="s">
        <v>539</v>
      </c>
      <c r="K17" s="785" t="s">
        <v>539</v>
      </c>
    </row>
    <row r="18" spans="1:11" x14ac:dyDescent="0.3">
      <c r="A18" s="797" t="s">
        <v>1130</v>
      </c>
      <c r="B18" s="807">
        <v>5632.1</v>
      </c>
      <c r="C18" s="789">
        <v>-2359.6</v>
      </c>
      <c r="D18" s="789">
        <v>-2128.1999999999998</v>
      </c>
      <c r="E18" s="789">
        <v>-1420.4</v>
      </c>
      <c r="F18" s="789">
        <v>-3956.5</v>
      </c>
      <c r="G18" s="789">
        <v>-4325.3999999999996</v>
      </c>
      <c r="H18" s="789">
        <v>-4063.8</v>
      </c>
      <c r="I18" s="789">
        <v>-1714.4</v>
      </c>
      <c r="J18" s="783" t="s">
        <v>539</v>
      </c>
      <c r="K18" s="783" t="s">
        <v>539</v>
      </c>
    </row>
    <row r="19" spans="1:11" x14ac:dyDescent="0.3">
      <c r="A19" s="812" t="s">
        <v>659</v>
      </c>
      <c r="B19" s="813">
        <v>33623.300000000003</v>
      </c>
      <c r="C19" s="810">
        <v>32270.5</v>
      </c>
      <c r="D19" s="810">
        <v>40281.199999999997</v>
      </c>
      <c r="E19" s="810">
        <v>43795</v>
      </c>
      <c r="F19" s="810">
        <v>91139.6</v>
      </c>
      <c r="G19" s="810">
        <v>73786.8</v>
      </c>
      <c r="H19" s="810">
        <v>79684.7</v>
      </c>
      <c r="I19" s="810">
        <v>111905</v>
      </c>
      <c r="J19" s="809" t="s">
        <v>539</v>
      </c>
      <c r="K19" s="809" t="s">
        <v>539</v>
      </c>
    </row>
    <row r="20" spans="1:11" x14ac:dyDescent="0.3">
      <c r="A20" s="797" t="s">
        <v>1131</v>
      </c>
      <c r="B20" s="808">
        <v>-16.75</v>
      </c>
      <c r="C20" s="783">
        <v>7.31</v>
      </c>
      <c r="D20" s="783">
        <v>5.28</v>
      </c>
      <c r="E20" s="783">
        <v>3.24</v>
      </c>
      <c r="F20" s="783">
        <v>4.34</v>
      </c>
      <c r="G20" s="783">
        <v>5.86</v>
      </c>
      <c r="H20" s="783">
        <v>5.0999999999999996</v>
      </c>
      <c r="I20" s="783">
        <v>1.53</v>
      </c>
      <c r="J20" s="783" t="s">
        <v>539</v>
      </c>
      <c r="K20" s="783" t="s">
        <v>539</v>
      </c>
    </row>
    <row r="21" spans="1:11" x14ac:dyDescent="0.3">
      <c r="A21" s="797" t="s">
        <v>539</v>
      </c>
      <c r="B21" s="803" t="s">
        <v>539</v>
      </c>
      <c r="C21" s="783" t="s">
        <v>539</v>
      </c>
      <c r="D21" s="783" t="s">
        <v>539</v>
      </c>
      <c r="E21" s="783" t="s">
        <v>539</v>
      </c>
      <c r="F21" s="783" t="s">
        <v>539</v>
      </c>
      <c r="G21" s="783" t="s">
        <v>539</v>
      </c>
      <c r="H21" s="783" t="s">
        <v>539</v>
      </c>
      <c r="I21" s="783" t="s">
        <v>539</v>
      </c>
      <c r="J21" s="783" t="s">
        <v>539</v>
      </c>
      <c r="K21" s="783" t="s">
        <v>539</v>
      </c>
    </row>
    <row r="22" spans="1:11" x14ac:dyDescent="0.3">
      <c r="A22" s="811" t="s">
        <v>1132</v>
      </c>
      <c r="B22" s="805">
        <v>-602.1</v>
      </c>
      <c r="C22" s="785">
        <v>-703.3</v>
      </c>
      <c r="D22" s="785">
        <v>-777.5</v>
      </c>
      <c r="E22" s="785">
        <v>-886.2</v>
      </c>
      <c r="F22" s="787">
        <v>-1109.3</v>
      </c>
      <c r="G22" s="787">
        <v>-1544.6</v>
      </c>
      <c r="H22" s="787">
        <v>-1679.1</v>
      </c>
      <c r="I22" s="787">
        <v>-1795.5</v>
      </c>
      <c r="J22" s="785" t="s">
        <v>539</v>
      </c>
      <c r="K22" s="785" t="s">
        <v>539</v>
      </c>
    </row>
    <row r="23" spans="1:11" x14ac:dyDescent="0.3">
      <c r="A23" s="811" t="s">
        <v>1133</v>
      </c>
      <c r="B23" s="805">
        <v>128.5</v>
      </c>
      <c r="C23" s="785">
        <v>-127</v>
      </c>
      <c r="D23" s="785">
        <v>-496.5</v>
      </c>
      <c r="E23" s="785">
        <v>-176.1</v>
      </c>
      <c r="F23" s="787">
        <v>-3042</v>
      </c>
      <c r="G23" s="787">
        <v>-2543.1</v>
      </c>
      <c r="H23" s="787">
        <v>-2845.3</v>
      </c>
      <c r="I23" s="785">
        <v>-494.4</v>
      </c>
      <c r="J23" s="785" t="s">
        <v>539</v>
      </c>
      <c r="K23" s="785" t="s">
        <v>539</v>
      </c>
    </row>
    <row r="24" spans="1:11" x14ac:dyDescent="0.3">
      <c r="A24" s="797" t="s">
        <v>1134</v>
      </c>
      <c r="B24" s="808">
        <v>473.6</v>
      </c>
      <c r="C24" s="783">
        <v>830.3</v>
      </c>
      <c r="D24" s="789">
        <v>1274</v>
      </c>
      <c r="E24" s="789">
        <v>1062.2</v>
      </c>
      <c r="F24" s="789">
        <v>4151.3999999999996</v>
      </c>
      <c r="G24" s="789">
        <v>4087.7</v>
      </c>
      <c r="H24" s="789">
        <v>4524.5</v>
      </c>
      <c r="I24" s="789">
        <v>2289.8000000000002</v>
      </c>
      <c r="J24" s="783" t="s">
        <v>539</v>
      </c>
      <c r="K24" s="783" t="s">
        <v>539</v>
      </c>
    </row>
    <row r="25" spans="1:11" x14ac:dyDescent="0.3">
      <c r="A25" s="812" t="s">
        <v>659</v>
      </c>
      <c r="B25" s="813">
        <v>33623.300000000003</v>
      </c>
      <c r="C25" s="810">
        <v>32270.5</v>
      </c>
      <c r="D25" s="810">
        <v>40281.199999999997</v>
      </c>
      <c r="E25" s="810">
        <v>43795</v>
      </c>
      <c r="F25" s="810">
        <v>91139.6</v>
      </c>
      <c r="G25" s="810">
        <v>73786.8</v>
      </c>
      <c r="H25" s="810">
        <v>79684.7</v>
      </c>
      <c r="I25" s="810">
        <v>111905</v>
      </c>
      <c r="J25" s="809" t="s">
        <v>539</v>
      </c>
      <c r="K25" s="809" t="s">
        <v>539</v>
      </c>
    </row>
    <row r="26" spans="1:11" x14ac:dyDescent="0.3">
      <c r="A26" s="797" t="s">
        <v>1135</v>
      </c>
      <c r="B26" s="808">
        <v>1.41</v>
      </c>
      <c r="C26" s="783">
        <v>2.57</v>
      </c>
      <c r="D26" s="783">
        <v>3.16</v>
      </c>
      <c r="E26" s="783">
        <v>2.4300000000000002</v>
      </c>
      <c r="F26" s="783">
        <v>4.5599999999999996</v>
      </c>
      <c r="G26" s="783">
        <v>5.54</v>
      </c>
      <c r="H26" s="783">
        <v>5.68</v>
      </c>
      <c r="I26" s="783">
        <v>2.0499999999999998</v>
      </c>
      <c r="J26" s="783" t="s">
        <v>539</v>
      </c>
      <c r="K26" s="783" t="s">
        <v>539</v>
      </c>
    </row>
    <row r="27" spans="1:11" x14ac:dyDescent="0.3">
      <c r="A27" s="797" t="s">
        <v>539</v>
      </c>
      <c r="B27" s="803" t="s">
        <v>539</v>
      </c>
      <c r="C27" s="783" t="s">
        <v>539</v>
      </c>
      <c r="D27" s="783" t="s">
        <v>539</v>
      </c>
      <c r="E27" s="783" t="s">
        <v>539</v>
      </c>
      <c r="F27" s="783" t="s">
        <v>539</v>
      </c>
      <c r="G27" s="783" t="s">
        <v>539</v>
      </c>
      <c r="H27" s="783" t="s">
        <v>539</v>
      </c>
      <c r="I27" s="783" t="s">
        <v>539</v>
      </c>
      <c r="J27" s="783" t="s">
        <v>539</v>
      </c>
      <c r="K27" s="783" t="s">
        <v>539</v>
      </c>
    </row>
    <row r="28" spans="1:11" x14ac:dyDescent="0.3">
      <c r="A28" s="797" t="s">
        <v>1136</v>
      </c>
      <c r="B28" s="803" t="s">
        <v>539</v>
      </c>
      <c r="C28" s="783" t="s">
        <v>539</v>
      </c>
      <c r="D28" s="783" t="s">
        <v>539</v>
      </c>
      <c r="E28" s="783" t="s">
        <v>539</v>
      </c>
      <c r="F28" s="783" t="s">
        <v>539</v>
      </c>
      <c r="G28" s="783" t="s">
        <v>539</v>
      </c>
      <c r="H28" s="783" t="s">
        <v>539</v>
      </c>
      <c r="I28" s="783" t="s">
        <v>539</v>
      </c>
      <c r="J28" s="783" t="s">
        <v>539</v>
      </c>
      <c r="K28" s="783" t="s">
        <v>539</v>
      </c>
    </row>
    <row r="29" spans="1:11" x14ac:dyDescent="0.3">
      <c r="A29" s="811" t="s">
        <v>1123</v>
      </c>
      <c r="B29" s="806">
        <v>1112.5999999999999</v>
      </c>
      <c r="C29" s="787">
        <v>2442.4</v>
      </c>
      <c r="D29" s="787">
        <v>2253.1</v>
      </c>
      <c r="E29" s="787">
        <v>2008.5</v>
      </c>
      <c r="F29" s="787">
        <v>2735.1</v>
      </c>
      <c r="G29" s="787">
        <v>4475.3999999999996</v>
      </c>
      <c r="H29" s="787">
        <v>4817.6000000000004</v>
      </c>
      <c r="I29" s="787">
        <v>3852.5</v>
      </c>
      <c r="J29" s="787">
        <v>4117.2</v>
      </c>
      <c r="K29" s="787">
        <v>4984</v>
      </c>
    </row>
    <row r="30" spans="1:11" x14ac:dyDescent="0.3">
      <c r="A30" s="811" t="s">
        <v>1124</v>
      </c>
      <c r="B30" s="805">
        <v>-204.1</v>
      </c>
      <c r="C30" s="785">
        <v>-254.9</v>
      </c>
      <c r="D30" s="785">
        <v>-275.39999999999998</v>
      </c>
      <c r="E30" s="785">
        <v>-165.7</v>
      </c>
      <c r="F30" s="785">
        <v>-343.7</v>
      </c>
      <c r="G30" s="785">
        <v>-699.3</v>
      </c>
      <c r="H30" s="787">
        <v>-1261.5</v>
      </c>
      <c r="I30" s="785">
        <v>-730.5</v>
      </c>
      <c r="J30" s="785" t="s">
        <v>539</v>
      </c>
      <c r="K30" s="785" t="s">
        <v>539</v>
      </c>
    </row>
    <row r="31" spans="1:11" x14ac:dyDescent="0.3">
      <c r="A31" s="811" t="s">
        <v>1137</v>
      </c>
      <c r="B31" s="805">
        <v>220.2</v>
      </c>
      <c r="C31" s="785">
        <v>230.9</v>
      </c>
      <c r="D31" s="785">
        <v>210.2</v>
      </c>
      <c r="E31" s="785">
        <v>179.9</v>
      </c>
      <c r="F31" s="785" t="s">
        <v>360</v>
      </c>
      <c r="G31" s="785">
        <v>177.8</v>
      </c>
      <c r="H31" s="785">
        <v>243.1</v>
      </c>
      <c r="I31" s="785">
        <v>296.5</v>
      </c>
      <c r="J31" s="785" t="s">
        <v>539</v>
      </c>
      <c r="K31" s="785" t="s">
        <v>539</v>
      </c>
    </row>
    <row r="32" spans="1:11" x14ac:dyDescent="0.3">
      <c r="A32" s="797" t="s">
        <v>1138</v>
      </c>
      <c r="B32" s="807">
        <v>1128.7</v>
      </c>
      <c r="C32" s="789">
        <v>2418.3000000000002</v>
      </c>
      <c r="D32" s="789">
        <v>2187.9</v>
      </c>
      <c r="E32" s="789">
        <v>2022.7</v>
      </c>
      <c r="F32" s="783" t="s">
        <v>360</v>
      </c>
      <c r="G32" s="789">
        <v>3953.9</v>
      </c>
      <c r="H32" s="789">
        <v>3799.3</v>
      </c>
      <c r="I32" s="789">
        <v>3418.5</v>
      </c>
      <c r="J32" s="783" t="s">
        <v>539</v>
      </c>
      <c r="K32" s="783" t="s">
        <v>539</v>
      </c>
    </row>
    <row r="33" spans="1:11" x14ac:dyDescent="0.3">
      <c r="A33" s="812" t="s">
        <v>1139</v>
      </c>
      <c r="B33" s="813">
        <v>40426.5</v>
      </c>
      <c r="C33" s="810">
        <v>37786.6</v>
      </c>
      <c r="D33" s="810">
        <v>45124.800000000003</v>
      </c>
      <c r="E33" s="810">
        <v>48212.7</v>
      </c>
      <c r="F33" s="810">
        <v>96279.9</v>
      </c>
      <c r="G33" s="810">
        <v>79255.8</v>
      </c>
      <c r="H33" s="810">
        <v>86100.6</v>
      </c>
      <c r="I33" s="810">
        <v>117510.2</v>
      </c>
      <c r="J33" s="809" t="s">
        <v>539</v>
      </c>
      <c r="K33" s="809" t="s">
        <v>539</v>
      </c>
    </row>
    <row r="34" spans="1:11" x14ac:dyDescent="0.3">
      <c r="A34" s="797" t="s">
        <v>1140</v>
      </c>
      <c r="B34" s="808">
        <v>2.79</v>
      </c>
      <c r="C34" s="783">
        <v>6.4</v>
      </c>
      <c r="D34" s="783">
        <v>4.8499999999999996</v>
      </c>
      <c r="E34" s="783">
        <v>4.3099999999999996</v>
      </c>
      <c r="F34" s="783" t="s">
        <v>360</v>
      </c>
      <c r="G34" s="783">
        <v>5.08</v>
      </c>
      <c r="H34" s="783">
        <v>4.51</v>
      </c>
      <c r="I34" s="783">
        <v>2.99</v>
      </c>
      <c r="J34" s="783" t="s">
        <v>539</v>
      </c>
      <c r="K34" s="783" t="s">
        <v>539</v>
      </c>
    </row>
    <row r="35" spans="1:11" x14ac:dyDescent="0.3">
      <c r="A35" s="797" t="s">
        <v>539</v>
      </c>
      <c r="B35" s="803" t="s">
        <v>539</v>
      </c>
      <c r="C35" s="783" t="s">
        <v>539</v>
      </c>
      <c r="D35" s="783" t="s">
        <v>539</v>
      </c>
      <c r="E35" s="783" t="s">
        <v>539</v>
      </c>
      <c r="F35" s="783" t="s">
        <v>539</v>
      </c>
      <c r="G35" s="783" t="s">
        <v>539</v>
      </c>
      <c r="H35" s="783" t="s">
        <v>539</v>
      </c>
      <c r="I35" s="783" t="s">
        <v>539</v>
      </c>
      <c r="J35" s="783" t="s">
        <v>539</v>
      </c>
      <c r="K35" s="783" t="s">
        <v>539</v>
      </c>
    </row>
    <row r="36" spans="1:11" x14ac:dyDescent="0.3">
      <c r="A36" s="811" t="s">
        <v>1132</v>
      </c>
      <c r="B36" s="805">
        <v>-602.1</v>
      </c>
      <c r="C36" s="785">
        <v>-703.3</v>
      </c>
      <c r="D36" s="785">
        <v>-777.5</v>
      </c>
      <c r="E36" s="785">
        <v>-886.2</v>
      </c>
      <c r="F36" s="787">
        <v>-1109.3</v>
      </c>
      <c r="G36" s="787">
        <v>-1544.6</v>
      </c>
      <c r="H36" s="787">
        <v>-1679.1</v>
      </c>
      <c r="I36" s="787">
        <v>-1795.5</v>
      </c>
      <c r="J36" s="785" t="s">
        <v>539</v>
      </c>
      <c r="K36" s="785" t="s">
        <v>539</v>
      </c>
    </row>
    <row r="37" spans="1:11" x14ac:dyDescent="0.3">
      <c r="A37" s="811" t="s">
        <v>1133</v>
      </c>
      <c r="B37" s="805">
        <v>128.5</v>
      </c>
      <c r="C37" s="785">
        <v>-127</v>
      </c>
      <c r="D37" s="785">
        <v>-496.5</v>
      </c>
      <c r="E37" s="785">
        <v>-176.1</v>
      </c>
      <c r="F37" s="787">
        <v>-3042</v>
      </c>
      <c r="G37" s="787">
        <v>-2543.1</v>
      </c>
      <c r="H37" s="787">
        <v>-2845.3</v>
      </c>
      <c r="I37" s="785">
        <v>-494.4</v>
      </c>
      <c r="J37" s="785" t="s">
        <v>539</v>
      </c>
      <c r="K37" s="785" t="s">
        <v>539</v>
      </c>
    </row>
    <row r="38" spans="1:11" x14ac:dyDescent="0.3">
      <c r="A38" s="811" t="s">
        <v>1141</v>
      </c>
      <c r="B38" s="805">
        <v>0</v>
      </c>
      <c r="C38" s="785">
        <v>0</v>
      </c>
      <c r="D38" s="785">
        <v>0</v>
      </c>
      <c r="E38" s="785">
        <v>0</v>
      </c>
      <c r="F38" s="785">
        <v>0</v>
      </c>
      <c r="G38" s="785">
        <v>0</v>
      </c>
      <c r="H38" s="785">
        <v>0</v>
      </c>
      <c r="I38" s="785">
        <v>0</v>
      </c>
      <c r="J38" s="785" t="s">
        <v>539</v>
      </c>
      <c r="K38" s="785" t="s">
        <v>539</v>
      </c>
    </row>
    <row r="39" spans="1:11" x14ac:dyDescent="0.3">
      <c r="A39" s="811" t="s">
        <v>1142</v>
      </c>
      <c r="B39" s="806">
        <v>6106.2</v>
      </c>
      <c r="C39" s="787">
        <v>-1531.2</v>
      </c>
      <c r="D39" s="785">
        <v>-850</v>
      </c>
      <c r="E39" s="785">
        <v>-354.4</v>
      </c>
      <c r="F39" s="785">
        <v>347.7</v>
      </c>
      <c r="G39" s="785">
        <v>-223</v>
      </c>
      <c r="H39" s="785">
        <v>481.5</v>
      </c>
      <c r="I39" s="785">
        <v>588.4</v>
      </c>
      <c r="J39" s="785" t="s">
        <v>539</v>
      </c>
      <c r="K39" s="785" t="s">
        <v>539</v>
      </c>
    </row>
    <row r="40" spans="1:11" x14ac:dyDescent="0.3">
      <c r="A40" s="811" t="s">
        <v>1143</v>
      </c>
      <c r="B40" s="805">
        <v>-0.5</v>
      </c>
      <c r="C40" s="785">
        <v>1.9</v>
      </c>
      <c r="D40" s="785">
        <v>-4.2</v>
      </c>
      <c r="E40" s="785">
        <v>-3.8</v>
      </c>
      <c r="F40" s="785">
        <v>-152.80000000000001</v>
      </c>
      <c r="G40" s="785">
        <v>-14.8</v>
      </c>
      <c r="H40" s="785">
        <v>-20.8</v>
      </c>
      <c r="I40" s="785">
        <v>-13</v>
      </c>
      <c r="J40" s="785" t="s">
        <v>539</v>
      </c>
      <c r="K40" s="785" t="s">
        <v>539</v>
      </c>
    </row>
    <row r="41" spans="1:11" x14ac:dyDescent="0.3">
      <c r="A41" s="797" t="s">
        <v>1130</v>
      </c>
      <c r="B41" s="807">
        <v>5632.1</v>
      </c>
      <c r="C41" s="789">
        <v>-2359.6</v>
      </c>
      <c r="D41" s="789">
        <v>-2128.1999999999998</v>
      </c>
      <c r="E41" s="789">
        <v>-1420.4</v>
      </c>
      <c r="F41" s="789">
        <v>-3956.5</v>
      </c>
      <c r="G41" s="789">
        <v>-4325.3999999999996</v>
      </c>
      <c r="H41" s="789">
        <v>-4063.8</v>
      </c>
      <c r="I41" s="789">
        <v>-1714.4</v>
      </c>
      <c r="J41" s="783" t="s">
        <v>539</v>
      </c>
      <c r="K41" s="783" t="s">
        <v>539</v>
      </c>
    </row>
    <row r="42" spans="1:11" x14ac:dyDescent="0.3">
      <c r="A42" s="812" t="s">
        <v>1139</v>
      </c>
      <c r="B42" s="813">
        <v>40426.5</v>
      </c>
      <c r="C42" s="810">
        <v>37786.6</v>
      </c>
      <c r="D42" s="810">
        <v>45124.800000000003</v>
      </c>
      <c r="E42" s="810">
        <v>48212.7</v>
      </c>
      <c r="F42" s="810">
        <v>96279.9</v>
      </c>
      <c r="G42" s="810">
        <v>79255.8</v>
      </c>
      <c r="H42" s="810">
        <v>86100.6</v>
      </c>
      <c r="I42" s="810">
        <v>117510.2</v>
      </c>
      <c r="J42" s="809" t="s">
        <v>539</v>
      </c>
      <c r="K42" s="809" t="s">
        <v>539</v>
      </c>
    </row>
    <row r="43" spans="1:11" x14ac:dyDescent="0.3">
      <c r="A43" s="797" t="s">
        <v>1144</v>
      </c>
      <c r="B43" s="808">
        <v>-13.93</v>
      </c>
      <c r="C43" s="783">
        <v>6.24</v>
      </c>
      <c r="D43" s="783">
        <v>4.72</v>
      </c>
      <c r="E43" s="783">
        <v>2.95</v>
      </c>
      <c r="F43" s="783">
        <v>4.1100000000000003</v>
      </c>
      <c r="G43" s="783">
        <v>5.46</v>
      </c>
      <c r="H43" s="783">
        <v>4.72</v>
      </c>
      <c r="I43" s="783">
        <v>1.46</v>
      </c>
      <c r="J43" s="783" t="s">
        <v>539</v>
      </c>
      <c r="K43" s="783" t="s">
        <v>539</v>
      </c>
    </row>
    <row r="44" spans="1:11" ht="26" x14ac:dyDescent="0.3">
      <c r="A44" s="799" t="s">
        <v>636</v>
      </c>
      <c r="B44" s="799" t="s">
        <v>637</v>
      </c>
      <c r="C44" s="791"/>
      <c r="D44" s="791"/>
      <c r="E44" s="791"/>
      <c r="F44" s="791"/>
      <c r="G44" s="791"/>
      <c r="H44" s="790" t="s">
        <v>539</v>
      </c>
      <c r="I44" s="790" t="s">
        <v>539</v>
      </c>
      <c r="J44" s="790" t="s">
        <v>539</v>
      </c>
      <c r="K44" s="790" t="s">
        <v>539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CB07-D5CE-479A-BDDC-7C309CFAF743}">
  <sheetPr codeName="Sheet24"/>
  <dimension ref="A1:L24"/>
  <sheetViews>
    <sheetView workbookViewId="0">
      <selection activeCell="B7" sqref="B7"/>
    </sheetView>
  </sheetViews>
  <sheetFormatPr defaultColWidth="8.83203125" defaultRowHeight="14" x14ac:dyDescent="0.3"/>
  <cols>
    <col min="1" max="1" width="34" bestFit="1" customWidth="1"/>
    <col min="2" max="2" width="36" bestFit="1" customWidth="1"/>
  </cols>
  <sheetData>
    <row r="1" spans="1:12" ht="14.5" x14ac:dyDescent="0.35">
      <c r="A1" s="773" t="s">
        <v>539</v>
      </c>
      <c r="B1" s="792" t="s">
        <v>539</v>
      </c>
      <c r="C1" s="773" t="s">
        <v>539</v>
      </c>
      <c r="D1" s="773" t="s">
        <v>539</v>
      </c>
      <c r="E1" s="773" t="s">
        <v>539</v>
      </c>
      <c r="F1" s="773" t="s">
        <v>539</v>
      </c>
      <c r="G1" s="773" t="s">
        <v>539</v>
      </c>
      <c r="H1" s="773" t="s">
        <v>539</v>
      </c>
      <c r="I1" s="773" t="s">
        <v>539</v>
      </c>
      <c r="J1" s="773" t="s">
        <v>539</v>
      </c>
      <c r="K1" s="773" t="s">
        <v>539</v>
      </c>
    </row>
    <row r="2" spans="1:12" ht="20" x14ac:dyDescent="0.4">
      <c r="A2" s="774" t="s">
        <v>1145</v>
      </c>
      <c r="B2" s="800"/>
      <c r="C2" s="775"/>
      <c r="D2" s="774" t="s">
        <v>539</v>
      </c>
      <c r="E2" s="774" t="s">
        <v>539</v>
      </c>
      <c r="F2" s="774" t="s">
        <v>539</v>
      </c>
      <c r="G2" s="774" t="s">
        <v>539</v>
      </c>
      <c r="H2" s="774" t="s">
        <v>539</v>
      </c>
      <c r="I2" s="774" t="s">
        <v>539</v>
      </c>
      <c r="J2" s="774" t="s">
        <v>539</v>
      </c>
      <c r="K2" s="774" t="s">
        <v>539</v>
      </c>
      <c r="L2" s="774" t="s">
        <v>539</v>
      </c>
    </row>
    <row r="3" spans="1:12" x14ac:dyDescent="0.3">
      <c r="A3" s="776" t="s">
        <v>539</v>
      </c>
      <c r="B3" s="794" t="s">
        <v>539</v>
      </c>
      <c r="C3" s="776" t="s">
        <v>539</v>
      </c>
      <c r="D3" s="776" t="s">
        <v>539</v>
      </c>
      <c r="E3" s="776" t="s">
        <v>539</v>
      </c>
      <c r="F3" s="776" t="s">
        <v>539</v>
      </c>
      <c r="G3" s="776" t="s">
        <v>539</v>
      </c>
      <c r="H3" s="776" t="s">
        <v>539</v>
      </c>
      <c r="I3" s="776" t="s">
        <v>539</v>
      </c>
      <c r="J3" s="776" t="s">
        <v>539</v>
      </c>
      <c r="K3" s="776" t="s">
        <v>539</v>
      </c>
    </row>
    <row r="4" spans="1:12" x14ac:dyDescent="0.3">
      <c r="A4" s="777" t="s">
        <v>606</v>
      </c>
      <c r="B4" s="801" t="s">
        <v>607</v>
      </c>
      <c r="C4" s="778" t="s">
        <v>608</v>
      </c>
      <c r="D4" s="778" t="s">
        <v>609</v>
      </c>
      <c r="E4" s="778" t="s">
        <v>610</v>
      </c>
      <c r="F4" s="778" t="s">
        <v>611</v>
      </c>
      <c r="G4" s="778" t="s">
        <v>612</v>
      </c>
      <c r="H4" s="778" t="s">
        <v>613</v>
      </c>
      <c r="I4" s="778" t="s">
        <v>614</v>
      </c>
      <c r="J4" s="778" t="s">
        <v>615</v>
      </c>
      <c r="K4" s="778" t="s">
        <v>616</v>
      </c>
    </row>
    <row r="5" spans="1:12" x14ac:dyDescent="0.3">
      <c r="A5" s="779" t="s">
        <v>617</v>
      </c>
      <c r="B5" s="802">
        <v>42308</v>
      </c>
      <c r="C5" s="781">
        <v>42672</v>
      </c>
      <c r="D5" s="781">
        <v>43036</v>
      </c>
      <c r="E5" s="781">
        <v>43407</v>
      </c>
      <c r="F5" s="781">
        <v>43771</v>
      </c>
      <c r="G5" s="781">
        <v>44135</v>
      </c>
      <c r="H5" s="781">
        <v>44499</v>
      </c>
      <c r="I5" s="781">
        <v>44863</v>
      </c>
      <c r="J5" s="781">
        <v>45227</v>
      </c>
      <c r="K5" s="781">
        <v>45598</v>
      </c>
    </row>
    <row r="6" spans="1:12" x14ac:dyDescent="0.3">
      <c r="A6" s="782" t="s">
        <v>1146</v>
      </c>
      <c r="B6" s="803" t="s">
        <v>539</v>
      </c>
      <c r="C6" s="783" t="s">
        <v>539</v>
      </c>
      <c r="D6" s="783" t="s">
        <v>539</v>
      </c>
      <c r="E6" s="783" t="s">
        <v>539</v>
      </c>
      <c r="F6" s="783" t="s">
        <v>539</v>
      </c>
      <c r="G6" s="783" t="s">
        <v>539</v>
      </c>
      <c r="H6" s="783" t="s">
        <v>539</v>
      </c>
      <c r="I6" s="783" t="s">
        <v>539</v>
      </c>
      <c r="J6" s="783" t="s">
        <v>539</v>
      </c>
      <c r="K6" s="783" t="s">
        <v>539</v>
      </c>
    </row>
    <row r="7" spans="1:12" x14ac:dyDescent="0.3">
      <c r="A7" s="784" t="s">
        <v>1147</v>
      </c>
      <c r="B7" s="805">
        <v>86.02</v>
      </c>
      <c r="C7" s="785">
        <v>90.05</v>
      </c>
      <c r="D7" s="785">
        <v>87.78</v>
      </c>
      <c r="E7" s="785">
        <v>91.04</v>
      </c>
      <c r="F7" s="785">
        <v>91.52</v>
      </c>
      <c r="G7" s="785">
        <v>93.07</v>
      </c>
      <c r="H7" s="785">
        <v>104.64</v>
      </c>
      <c r="I7" s="785">
        <v>88.7</v>
      </c>
      <c r="J7" s="785">
        <v>91.87</v>
      </c>
      <c r="K7" s="785">
        <v>92.01</v>
      </c>
    </row>
    <row r="8" spans="1:12" x14ac:dyDescent="0.3">
      <c r="A8" s="782" t="s">
        <v>1148</v>
      </c>
      <c r="B8" s="803" t="s">
        <v>539</v>
      </c>
      <c r="C8" s="783" t="s">
        <v>539</v>
      </c>
      <c r="D8" s="783" t="s">
        <v>539</v>
      </c>
      <c r="E8" s="783" t="s">
        <v>539</v>
      </c>
      <c r="F8" s="783" t="s">
        <v>539</v>
      </c>
      <c r="G8" s="783" t="s">
        <v>539</v>
      </c>
      <c r="H8" s="783" t="s">
        <v>539</v>
      </c>
      <c r="I8" s="783" t="s">
        <v>539</v>
      </c>
      <c r="J8" s="783" t="s">
        <v>539</v>
      </c>
      <c r="K8" s="783" t="s">
        <v>539</v>
      </c>
    </row>
    <row r="9" spans="1:12" x14ac:dyDescent="0.3">
      <c r="A9" s="784" t="s">
        <v>1149</v>
      </c>
      <c r="B9" s="805">
        <v>1.1200000000000001</v>
      </c>
      <c r="C9" s="785">
        <v>1.07</v>
      </c>
      <c r="D9" s="785">
        <v>1.89</v>
      </c>
      <c r="E9" s="785">
        <v>1.39</v>
      </c>
      <c r="F9" s="785">
        <v>1.41</v>
      </c>
      <c r="G9" s="785">
        <v>1.54</v>
      </c>
      <c r="H9" s="785">
        <v>1.86</v>
      </c>
      <c r="I9" s="785">
        <v>1.85</v>
      </c>
      <c r="J9" s="785">
        <v>1.54</v>
      </c>
      <c r="K9" s="785">
        <v>1.95</v>
      </c>
    </row>
    <row r="10" spans="1:12" x14ac:dyDescent="0.3">
      <c r="A10" s="782" t="s">
        <v>1150</v>
      </c>
      <c r="B10" s="803" t="s">
        <v>539</v>
      </c>
      <c r="C10" s="783" t="s">
        <v>539</v>
      </c>
      <c r="D10" s="783" t="s">
        <v>539</v>
      </c>
      <c r="E10" s="783" t="s">
        <v>539</v>
      </c>
      <c r="F10" s="783" t="s">
        <v>539</v>
      </c>
      <c r="G10" s="783" t="s">
        <v>539</v>
      </c>
      <c r="H10" s="783" t="s">
        <v>539</v>
      </c>
      <c r="I10" s="783" t="s">
        <v>539</v>
      </c>
      <c r="J10" s="783" t="s">
        <v>539</v>
      </c>
      <c r="K10" s="783" t="s">
        <v>539</v>
      </c>
    </row>
    <row r="11" spans="1:12" x14ac:dyDescent="0.3">
      <c r="A11" s="784" t="s">
        <v>1151</v>
      </c>
      <c r="B11" s="805">
        <v>96.77</v>
      </c>
      <c r="C11" s="785">
        <v>91.51</v>
      </c>
      <c r="D11" s="785">
        <v>76.760000000000005</v>
      </c>
      <c r="E11" s="785">
        <v>86.72</v>
      </c>
      <c r="F11" s="785">
        <v>86.64</v>
      </c>
      <c r="G11" s="785">
        <v>87.16</v>
      </c>
      <c r="H11" s="785">
        <v>87.79</v>
      </c>
      <c r="I11" s="785">
        <v>93.93</v>
      </c>
      <c r="J11" s="785">
        <v>93.17</v>
      </c>
      <c r="K11" s="785">
        <v>84.65</v>
      </c>
    </row>
    <row r="12" spans="1:12" x14ac:dyDescent="0.3">
      <c r="A12" s="782" t="s">
        <v>1152</v>
      </c>
      <c r="B12" s="803" t="s">
        <v>539</v>
      </c>
      <c r="C12" s="783" t="s">
        <v>539</v>
      </c>
      <c r="D12" s="783" t="s">
        <v>539</v>
      </c>
      <c r="E12" s="783" t="s">
        <v>539</v>
      </c>
      <c r="F12" s="783" t="s">
        <v>539</v>
      </c>
      <c r="G12" s="783" t="s">
        <v>539</v>
      </c>
      <c r="H12" s="783" t="s">
        <v>539</v>
      </c>
      <c r="I12" s="783" t="s">
        <v>539</v>
      </c>
      <c r="J12" s="783" t="s">
        <v>539</v>
      </c>
      <c r="K12" s="783" t="s">
        <v>539</v>
      </c>
    </row>
    <row r="13" spans="1:12" x14ac:dyDescent="0.3">
      <c r="A13" s="784" t="s">
        <v>1153</v>
      </c>
      <c r="B13" s="805">
        <v>24.37</v>
      </c>
      <c r="C13" s="785">
        <v>30.56</v>
      </c>
      <c r="D13" s="785">
        <v>21.13</v>
      </c>
      <c r="E13" s="785">
        <v>30.67</v>
      </c>
      <c r="F13" s="785">
        <v>28.62</v>
      </c>
      <c r="G13" s="785">
        <v>26.86</v>
      </c>
      <c r="H13" s="785">
        <v>20.68</v>
      </c>
      <c r="I13" s="785">
        <v>27.46</v>
      </c>
      <c r="J13" s="785">
        <v>31.47</v>
      </c>
      <c r="K13" s="785">
        <v>22.27</v>
      </c>
    </row>
    <row r="14" spans="1:12" x14ac:dyDescent="0.3">
      <c r="A14" s="782" t="s">
        <v>1154</v>
      </c>
      <c r="B14" s="803" t="s">
        <v>539</v>
      </c>
      <c r="C14" s="783" t="s">
        <v>539</v>
      </c>
      <c r="D14" s="783" t="s">
        <v>539</v>
      </c>
      <c r="E14" s="783" t="s">
        <v>539</v>
      </c>
      <c r="F14" s="783" t="s">
        <v>539</v>
      </c>
      <c r="G14" s="783" t="s">
        <v>539</v>
      </c>
      <c r="H14" s="783" t="s">
        <v>539</v>
      </c>
      <c r="I14" s="783" t="s">
        <v>539</v>
      </c>
      <c r="J14" s="783" t="s">
        <v>539</v>
      </c>
      <c r="K14" s="783" t="s">
        <v>539</v>
      </c>
    </row>
    <row r="15" spans="1:12" x14ac:dyDescent="0.3">
      <c r="A15" s="784" t="s">
        <v>1155</v>
      </c>
      <c r="B15" s="805">
        <v>0.49</v>
      </c>
      <c r="C15" s="785">
        <v>0.46</v>
      </c>
      <c r="D15" s="785">
        <v>0.35</v>
      </c>
      <c r="E15" s="785">
        <v>0.3</v>
      </c>
      <c r="F15" s="785">
        <v>0.28999999999999998</v>
      </c>
      <c r="G15" s="785">
        <v>0.26</v>
      </c>
      <c r="H15" s="785">
        <v>0.2</v>
      </c>
      <c r="I15" s="785">
        <v>0.23</v>
      </c>
      <c r="J15" s="785">
        <v>0.25</v>
      </c>
      <c r="K15" s="785">
        <v>0.19</v>
      </c>
    </row>
    <row r="16" spans="1:12" x14ac:dyDescent="0.3">
      <c r="A16" s="782" t="s">
        <v>1156</v>
      </c>
      <c r="B16" s="803" t="s">
        <v>539</v>
      </c>
      <c r="C16" s="783" t="s">
        <v>539</v>
      </c>
      <c r="D16" s="783" t="s">
        <v>539</v>
      </c>
      <c r="E16" s="783" t="s">
        <v>539</v>
      </c>
      <c r="F16" s="783" t="s">
        <v>539</v>
      </c>
      <c r="G16" s="783" t="s">
        <v>539</v>
      </c>
      <c r="H16" s="783" t="s">
        <v>539</v>
      </c>
      <c r="I16" s="783" t="s">
        <v>539</v>
      </c>
      <c r="J16" s="783" t="s">
        <v>539</v>
      </c>
      <c r="K16" s="783" t="s">
        <v>539</v>
      </c>
    </row>
    <row r="17" spans="1:11" x14ac:dyDescent="0.3">
      <c r="A17" s="784" t="s">
        <v>1157</v>
      </c>
      <c r="B17" s="805">
        <v>1.42</v>
      </c>
      <c r="C17" s="785">
        <v>1.47</v>
      </c>
      <c r="D17" s="785">
        <v>1.9</v>
      </c>
      <c r="E17" s="785">
        <v>1.94</v>
      </c>
      <c r="F17" s="785">
        <v>1.82</v>
      </c>
      <c r="G17" s="785">
        <v>1.81</v>
      </c>
      <c r="H17" s="785">
        <v>1.48</v>
      </c>
      <c r="I17" s="785">
        <v>1.38</v>
      </c>
      <c r="J17" s="785">
        <v>1.38</v>
      </c>
      <c r="K17" s="785">
        <v>1.37</v>
      </c>
    </row>
    <row r="18" spans="1:11" x14ac:dyDescent="0.3">
      <c r="A18" s="784" t="s">
        <v>539</v>
      </c>
      <c r="B18" s="804" t="s">
        <v>539</v>
      </c>
      <c r="C18" s="785" t="s">
        <v>539</v>
      </c>
      <c r="D18" s="785" t="s">
        <v>539</v>
      </c>
      <c r="E18" s="785" t="s">
        <v>539</v>
      </c>
      <c r="F18" s="785" t="s">
        <v>539</v>
      </c>
      <c r="G18" s="785" t="s">
        <v>539</v>
      </c>
      <c r="H18" s="785" t="s">
        <v>539</v>
      </c>
      <c r="I18" s="785" t="s">
        <v>539</v>
      </c>
      <c r="J18" s="785" t="s">
        <v>539</v>
      </c>
      <c r="K18" s="785" t="s">
        <v>539</v>
      </c>
    </row>
    <row r="19" spans="1:11" x14ac:dyDescent="0.3">
      <c r="A19" s="784" t="s">
        <v>1158</v>
      </c>
      <c r="B19" s="805">
        <v>15.9</v>
      </c>
      <c r="C19" s="785">
        <v>18.059999999999999</v>
      </c>
      <c r="D19" s="785">
        <v>17.96</v>
      </c>
      <c r="E19" s="785">
        <v>19.61</v>
      </c>
      <c r="F19" s="785">
        <v>16.68</v>
      </c>
      <c r="G19" s="785">
        <v>15.81</v>
      </c>
      <c r="H19" s="785">
        <v>10.36</v>
      </c>
      <c r="I19" s="785">
        <v>13.69</v>
      </c>
      <c r="J19" s="785">
        <v>14.17</v>
      </c>
      <c r="K19" s="785">
        <v>8.99</v>
      </c>
    </row>
    <row r="20" spans="1:11" x14ac:dyDescent="0.3">
      <c r="A20" s="784" t="s">
        <v>539</v>
      </c>
      <c r="B20" s="804" t="s">
        <v>539</v>
      </c>
      <c r="C20" s="785" t="s">
        <v>539</v>
      </c>
      <c r="D20" s="785" t="s">
        <v>539</v>
      </c>
      <c r="E20" s="785" t="s">
        <v>539</v>
      </c>
      <c r="F20" s="785" t="s">
        <v>539</v>
      </c>
      <c r="G20" s="785" t="s">
        <v>539</v>
      </c>
      <c r="H20" s="785" t="s">
        <v>539</v>
      </c>
      <c r="I20" s="785" t="s">
        <v>539</v>
      </c>
      <c r="J20" s="785" t="s">
        <v>539</v>
      </c>
      <c r="K20" s="785" t="s">
        <v>539</v>
      </c>
    </row>
    <row r="21" spans="1:11" x14ac:dyDescent="0.3">
      <c r="A21" s="784" t="s">
        <v>1159</v>
      </c>
      <c r="B21" s="805">
        <v>17.61</v>
      </c>
      <c r="C21" s="785">
        <v>16.29</v>
      </c>
      <c r="D21" s="785">
        <v>16.579999999999998</v>
      </c>
      <c r="E21" s="785">
        <v>17.39</v>
      </c>
      <c r="F21" s="785">
        <v>17.64</v>
      </c>
      <c r="G21" s="785">
        <v>17.62</v>
      </c>
      <c r="H21" s="785">
        <v>16.079999999999998</v>
      </c>
      <c r="I21" s="785">
        <v>15.23</v>
      </c>
      <c r="J21" s="785">
        <v>14.14</v>
      </c>
      <c r="K21" s="785">
        <v>12.6</v>
      </c>
    </row>
    <row r="22" spans="1:11" x14ac:dyDescent="0.3">
      <c r="A22" s="784" t="s">
        <v>1160</v>
      </c>
      <c r="B22" s="805">
        <v>70.44</v>
      </c>
      <c r="C22" s="785">
        <v>59.48</v>
      </c>
      <c r="D22" s="785">
        <v>84.3</v>
      </c>
      <c r="E22" s="785">
        <v>46.46</v>
      </c>
      <c r="F22" s="785">
        <v>57.18</v>
      </c>
      <c r="G22" s="785">
        <v>72.59</v>
      </c>
      <c r="H22" s="785">
        <v>79.78</v>
      </c>
      <c r="I22" s="785">
        <v>56.19</v>
      </c>
      <c r="J22" s="785">
        <v>50.66</v>
      </c>
      <c r="K22" s="785">
        <v>109.8</v>
      </c>
    </row>
    <row r="23" spans="1:11" x14ac:dyDescent="0.3">
      <c r="A23" s="784" t="s">
        <v>1161</v>
      </c>
      <c r="B23" s="805">
        <v>4.1900000000000004</v>
      </c>
      <c r="C23" s="785">
        <v>6.82</v>
      </c>
      <c r="D23" s="785">
        <v>1.49</v>
      </c>
      <c r="E23" s="785">
        <v>7.53</v>
      </c>
      <c r="F23" s="785">
        <v>5.07</v>
      </c>
      <c r="G23" s="785">
        <v>2.82</v>
      </c>
      <c r="H23" s="785">
        <v>1.1200000000000001</v>
      </c>
      <c r="I23" s="785">
        <v>3.23</v>
      </c>
      <c r="J23" s="785">
        <v>4.54</v>
      </c>
      <c r="K23" s="785">
        <v>-0.45</v>
      </c>
    </row>
    <row r="24" spans="1:11" ht="26" x14ac:dyDescent="0.3">
      <c r="A24" s="790" t="s">
        <v>636</v>
      </c>
      <c r="B24" s="799" t="s">
        <v>637</v>
      </c>
      <c r="C24" s="791"/>
      <c r="D24" s="791"/>
      <c r="E24" s="791"/>
      <c r="F24" s="791"/>
      <c r="G24" s="791"/>
      <c r="H24" s="790" t="s">
        <v>539</v>
      </c>
      <c r="I24" s="790" t="s">
        <v>539</v>
      </c>
      <c r="J24" s="790" t="s">
        <v>539</v>
      </c>
      <c r="K24" s="790" t="s">
        <v>539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5C00D-B4D4-45ED-A7BA-DDAA47D8DA58}">
  <sheetPr codeName="Sheet25"/>
  <dimension ref="A2:U24"/>
  <sheetViews>
    <sheetView workbookViewId="0"/>
  </sheetViews>
  <sheetFormatPr defaultColWidth="8.83203125" defaultRowHeight="14" x14ac:dyDescent="0.3"/>
  <cols>
    <col min="1" max="1" width="31.58203125" bestFit="1" customWidth="1"/>
    <col min="2" max="2" width="10.08203125" bestFit="1" customWidth="1"/>
    <col min="4" max="4" width="10.08203125" bestFit="1" customWidth="1"/>
    <col min="6" max="6" width="10.08203125" bestFit="1" customWidth="1"/>
    <col min="8" max="8" width="9.08203125" bestFit="1" customWidth="1"/>
    <col min="10" max="10" width="9.08203125" bestFit="1" customWidth="1"/>
    <col min="12" max="12" width="10.08203125" bestFit="1" customWidth="1"/>
    <col min="14" max="14" width="10.08203125" bestFit="1" customWidth="1"/>
    <col min="16" max="16" width="10.08203125" bestFit="1" customWidth="1"/>
    <col min="18" max="18" width="10.08203125" bestFit="1" customWidth="1"/>
    <col min="20" max="20" width="9.08203125" bestFit="1" customWidth="1"/>
  </cols>
  <sheetData>
    <row r="2" spans="1:21" x14ac:dyDescent="0.3">
      <c r="A2" t="s">
        <v>1162</v>
      </c>
    </row>
    <row r="4" spans="1:21" x14ac:dyDescent="0.3">
      <c r="A4" t="s">
        <v>606</v>
      </c>
      <c r="B4" t="s">
        <v>607</v>
      </c>
      <c r="D4" t="s">
        <v>608</v>
      </c>
      <c r="F4" t="s">
        <v>609</v>
      </c>
      <c r="H4" t="s">
        <v>610</v>
      </c>
      <c r="J4" t="s">
        <v>611</v>
      </c>
      <c r="L4" t="s">
        <v>612</v>
      </c>
      <c r="N4" t="s">
        <v>613</v>
      </c>
      <c r="P4" t="s">
        <v>614</v>
      </c>
      <c r="R4" t="s">
        <v>615</v>
      </c>
      <c r="T4" t="s">
        <v>616</v>
      </c>
    </row>
    <row r="5" spans="1:21" x14ac:dyDescent="0.3">
      <c r="A5" t="s">
        <v>617</v>
      </c>
      <c r="B5" s="769">
        <v>42308</v>
      </c>
      <c r="D5" s="769">
        <v>42672</v>
      </c>
      <c r="F5" s="769">
        <v>43036</v>
      </c>
      <c r="H5" s="769">
        <v>43407</v>
      </c>
      <c r="J5" s="769">
        <v>43771</v>
      </c>
      <c r="L5" s="769">
        <v>44135</v>
      </c>
      <c r="N5" s="769">
        <v>44499</v>
      </c>
      <c r="P5" s="769">
        <v>44863</v>
      </c>
      <c r="R5" s="769">
        <v>45227</v>
      </c>
      <c r="T5" s="769">
        <v>45598</v>
      </c>
    </row>
    <row r="6" spans="1:21" x14ac:dyDescent="0.3">
      <c r="A6" t="s">
        <v>641</v>
      </c>
      <c r="B6" s="708">
        <v>3435.1</v>
      </c>
      <c r="C6" s="32">
        <v>1</v>
      </c>
      <c r="D6" s="708">
        <v>3421.4</v>
      </c>
      <c r="E6" s="32">
        <v>1</v>
      </c>
      <c r="F6" s="708">
        <v>5107.5</v>
      </c>
      <c r="G6" s="32">
        <v>1</v>
      </c>
      <c r="H6" s="708">
        <v>6224.7</v>
      </c>
      <c r="I6" s="32">
        <v>1</v>
      </c>
      <c r="J6" s="708">
        <v>5991.1</v>
      </c>
      <c r="K6" s="32">
        <v>1</v>
      </c>
      <c r="L6" s="708">
        <v>5603.1</v>
      </c>
      <c r="M6" s="32">
        <v>1</v>
      </c>
      <c r="N6" s="708">
        <v>7318.3</v>
      </c>
      <c r="O6" s="32">
        <v>1</v>
      </c>
      <c r="P6" s="708">
        <v>12014</v>
      </c>
      <c r="Q6" s="32">
        <v>1</v>
      </c>
      <c r="R6" s="708">
        <v>12305.5</v>
      </c>
      <c r="S6" s="32">
        <v>1</v>
      </c>
      <c r="T6" s="708">
        <v>9427.2000000000007</v>
      </c>
      <c r="U6" s="32">
        <v>1</v>
      </c>
    </row>
    <row r="7" spans="1:21" x14ac:dyDescent="0.3">
      <c r="A7" t="s">
        <v>1163</v>
      </c>
      <c r="B7" s="708">
        <v>1495.9</v>
      </c>
      <c r="C7" s="32">
        <v>0.435</v>
      </c>
      <c r="D7" s="708">
        <v>1478.5</v>
      </c>
      <c r="E7" s="32">
        <v>0.432</v>
      </c>
      <c r="F7" s="708">
        <v>2342.4</v>
      </c>
      <c r="G7" s="32">
        <v>0.45900000000000002</v>
      </c>
      <c r="H7" s="708">
        <v>3143.6</v>
      </c>
      <c r="I7" s="32">
        <v>0.505</v>
      </c>
      <c r="J7" s="708">
        <v>3014.9</v>
      </c>
      <c r="K7" s="32">
        <v>0.503</v>
      </c>
      <c r="L7" s="708">
        <v>2998.3</v>
      </c>
      <c r="M7" s="32">
        <v>0.53500000000000003</v>
      </c>
      <c r="N7" s="708">
        <v>4026.9</v>
      </c>
      <c r="O7" s="32">
        <v>0.55000000000000004</v>
      </c>
      <c r="P7" s="708">
        <v>6069.3</v>
      </c>
      <c r="Q7" s="32">
        <v>0.505</v>
      </c>
      <c r="R7" s="708">
        <v>6555.2</v>
      </c>
      <c r="S7" s="32">
        <v>0.53300000000000003</v>
      </c>
      <c r="T7" s="708">
        <v>4314.3</v>
      </c>
      <c r="U7" s="32">
        <v>0.45800000000000002</v>
      </c>
    </row>
    <row r="8" spans="1:21" x14ac:dyDescent="0.3">
      <c r="A8" t="s">
        <v>1164</v>
      </c>
      <c r="B8">
        <v>526.5</v>
      </c>
      <c r="C8" s="32">
        <v>0.153</v>
      </c>
      <c r="D8">
        <v>558.6</v>
      </c>
      <c r="E8" s="32">
        <v>0.16300000000000001</v>
      </c>
      <c r="F8">
        <v>803.2</v>
      </c>
      <c r="G8" s="32">
        <v>0.157</v>
      </c>
      <c r="H8" s="708">
        <v>1006.9</v>
      </c>
      <c r="I8" s="32">
        <v>0.16200000000000001</v>
      </c>
      <c r="J8">
        <v>929.7</v>
      </c>
      <c r="K8" s="32">
        <v>0.155</v>
      </c>
      <c r="L8">
        <v>778.3</v>
      </c>
      <c r="M8" s="32">
        <v>0.13900000000000001</v>
      </c>
      <c r="N8" s="708">
        <v>1248.2</v>
      </c>
      <c r="O8" s="32">
        <v>0.17100000000000001</v>
      </c>
      <c r="P8" s="708">
        <v>2515.5</v>
      </c>
      <c r="Q8" s="32">
        <v>0.20899999999999999</v>
      </c>
      <c r="R8" s="708">
        <v>2915.2</v>
      </c>
      <c r="S8" s="32">
        <v>0.23699999999999999</v>
      </c>
      <c r="T8" s="708">
        <v>2827.4</v>
      </c>
      <c r="U8" s="32">
        <v>0.3</v>
      </c>
    </row>
    <row r="9" spans="1:21" x14ac:dyDescent="0.3">
      <c r="A9" t="s">
        <v>1165</v>
      </c>
      <c r="B9">
        <v>727.6</v>
      </c>
      <c r="C9" s="32">
        <v>0.21199999999999999</v>
      </c>
      <c r="D9">
        <v>688.2</v>
      </c>
      <c r="E9" s="32">
        <v>0.20100000000000001</v>
      </c>
      <c r="F9" s="708">
        <v>1044.7</v>
      </c>
      <c r="G9" s="32">
        <v>0.20499999999999999</v>
      </c>
      <c r="H9">
        <v>918.4</v>
      </c>
      <c r="I9" s="32">
        <v>0.14799999999999999</v>
      </c>
      <c r="J9">
        <v>752.3</v>
      </c>
      <c r="K9" s="32">
        <v>0.126</v>
      </c>
      <c r="L9">
        <v>635.29999999999995</v>
      </c>
      <c r="M9" s="32">
        <v>0.113</v>
      </c>
      <c r="N9">
        <v>836.3</v>
      </c>
      <c r="O9" s="32">
        <v>0.114</v>
      </c>
      <c r="P9" s="708">
        <v>1548.4</v>
      </c>
      <c r="Q9" s="32">
        <v>0.129</v>
      </c>
      <c r="R9" s="708">
        <v>1215.5999999999999</v>
      </c>
      <c r="S9" s="32">
        <v>9.9000000000000005E-2</v>
      </c>
      <c r="T9" s="708">
        <v>1204.9000000000001</v>
      </c>
      <c r="U9" s="32">
        <v>0.128</v>
      </c>
    </row>
    <row r="10" spans="1:21" x14ac:dyDescent="0.3">
      <c r="A10" t="s">
        <v>1166</v>
      </c>
      <c r="B10">
        <v>685.1</v>
      </c>
      <c r="C10" s="32">
        <v>0.19900000000000001</v>
      </c>
      <c r="D10">
        <v>696.2</v>
      </c>
      <c r="E10" s="32">
        <v>0.20300000000000001</v>
      </c>
      <c r="F10">
        <v>917.2</v>
      </c>
      <c r="G10" s="32">
        <v>0.18</v>
      </c>
      <c r="H10" s="708">
        <v>1155.8</v>
      </c>
      <c r="I10" s="32">
        <v>0.186</v>
      </c>
      <c r="J10" s="708">
        <v>1294.2</v>
      </c>
      <c r="K10" s="32">
        <v>0.216</v>
      </c>
      <c r="L10" s="708">
        <v>1191.2</v>
      </c>
      <c r="M10" s="32">
        <v>0.21299999999999999</v>
      </c>
      <c r="N10" s="708">
        <v>1206.9000000000001</v>
      </c>
      <c r="O10" s="32">
        <v>0.16500000000000001</v>
      </c>
      <c r="P10" s="708">
        <v>1880.7</v>
      </c>
      <c r="Q10" s="32">
        <v>0.157</v>
      </c>
      <c r="R10" s="708">
        <v>1619.5</v>
      </c>
      <c r="S10" s="32">
        <v>0.13200000000000001</v>
      </c>
      <c r="T10" s="708">
        <v>1080.5</v>
      </c>
      <c r="U10" s="32">
        <v>0.115</v>
      </c>
    </row>
    <row r="11" spans="1:21" x14ac:dyDescent="0.3">
      <c r="A11" t="s">
        <v>1167</v>
      </c>
      <c r="B11" t="s">
        <v>360</v>
      </c>
      <c r="D11" t="s">
        <v>360</v>
      </c>
      <c r="F11" t="s">
        <v>360</v>
      </c>
      <c r="H11" s="708">
        <v>6224.7</v>
      </c>
      <c r="I11" s="32">
        <v>1</v>
      </c>
      <c r="J11" s="708">
        <v>5991.1</v>
      </c>
      <c r="K11" s="32">
        <v>1</v>
      </c>
      <c r="L11" s="708">
        <v>5603.1</v>
      </c>
      <c r="M11" s="32">
        <v>1</v>
      </c>
      <c r="N11" s="708">
        <v>7318.3</v>
      </c>
      <c r="O11" s="32">
        <v>1</v>
      </c>
      <c r="P11" s="708">
        <v>12014</v>
      </c>
      <c r="Q11" s="32">
        <v>1</v>
      </c>
      <c r="R11" s="708">
        <v>12305.5</v>
      </c>
      <c r="S11" s="32">
        <v>1</v>
      </c>
      <c r="T11" s="708">
        <v>9427.2000000000007</v>
      </c>
      <c r="U11" s="32">
        <v>1</v>
      </c>
    </row>
    <row r="12" spans="1:21" x14ac:dyDescent="0.3">
      <c r="A12" t="s">
        <v>1168</v>
      </c>
      <c r="B12" t="s">
        <v>360</v>
      </c>
      <c r="D12" t="s">
        <v>360</v>
      </c>
      <c r="F12" t="s">
        <v>360</v>
      </c>
      <c r="H12" s="708">
        <v>3424.1</v>
      </c>
      <c r="I12" s="32">
        <v>0.55000000000000004</v>
      </c>
      <c r="J12" s="708">
        <v>3409.2</v>
      </c>
      <c r="K12" s="32">
        <v>0.56899999999999995</v>
      </c>
      <c r="L12" s="708">
        <v>3216.3</v>
      </c>
      <c r="M12" s="32">
        <v>0.57399999999999995</v>
      </c>
      <c r="N12" s="708">
        <v>4589.8999999999996</v>
      </c>
      <c r="O12" s="32">
        <v>0.627</v>
      </c>
      <c r="P12" s="708">
        <v>7458.5</v>
      </c>
      <c r="Q12" s="32">
        <v>0.621</v>
      </c>
      <c r="R12" s="708">
        <v>7534.9</v>
      </c>
      <c r="S12" s="32">
        <v>0.61199999999999999</v>
      </c>
      <c r="T12" s="708">
        <v>5505.8</v>
      </c>
      <c r="U12" s="32">
        <v>0.58399999999999996</v>
      </c>
    </row>
    <row r="13" spans="1:21" x14ac:dyDescent="0.3">
      <c r="A13" t="s">
        <v>1169</v>
      </c>
      <c r="B13" t="s">
        <v>360</v>
      </c>
      <c r="D13" t="s">
        <v>360</v>
      </c>
      <c r="F13" t="s">
        <v>360</v>
      </c>
      <c r="H13" s="708">
        <v>2721.9</v>
      </c>
      <c r="I13" s="32">
        <v>0.437</v>
      </c>
      <c r="J13" s="708">
        <v>2506.1</v>
      </c>
      <c r="K13" s="32">
        <v>0.41799999999999998</v>
      </c>
      <c r="L13" s="708">
        <v>2300.5</v>
      </c>
      <c r="M13" s="32">
        <v>0.41099999999999998</v>
      </c>
      <c r="N13" s="708">
        <v>2600.4</v>
      </c>
      <c r="O13" s="32">
        <v>0.35499999999999998</v>
      </c>
      <c r="P13" s="708">
        <v>4423.8999999999996</v>
      </c>
      <c r="Q13" s="32">
        <v>0.36799999999999999</v>
      </c>
      <c r="R13" s="708">
        <v>4603.2</v>
      </c>
      <c r="S13" s="32">
        <v>0.374</v>
      </c>
      <c r="T13" s="708">
        <v>3772.9</v>
      </c>
      <c r="U13" s="32">
        <v>0.4</v>
      </c>
    </row>
    <row r="14" spans="1:21" x14ac:dyDescent="0.3">
      <c r="A14" t="s">
        <v>1170</v>
      </c>
      <c r="B14" t="s">
        <v>360</v>
      </c>
      <c r="D14" t="s">
        <v>360</v>
      </c>
      <c r="F14" t="s">
        <v>360</v>
      </c>
      <c r="H14">
        <v>78.7</v>
      </c>
      <c r="I14" s="32">
        <v>1.2999999999999999E-2</v>
      </c>
      <c r="J14">
        <v>75.8</v>
      </c>
      <c r="K14" s="32">
        <v>1.2999999999999999E-2</v>
      </c>
      <c r="L14">
        <v>86.3</v>
      </c>
      <c r="M14" s="32">
        <v>1.4999999999999999E-2</v>
      </c>
      <c r="N14">
        <v>128</v>
      </c>
      <c r="O14" s="32">
        <v>1.7000000000000001E-2</v>
      </c>
      <c r="P14">
        <v>131.6</v>
      </c>
      <c r="Q14" s="32">
        <v>1.0999999999999999E-2</v>
      </c>
      <c r="R14">
        <v>167.5</v>
      </c>
      <c r="S14" s="32">
        <v>1.4E-2</v>
      </c>
      <c r="T14">
        <v>148.4</v>
      </c>
      <c r="U14" s="32">
        <v>1.6E-2</v>
      </c>
    </row>
    <row r="15" spans="1:21" x14ac:dyDescent="0.3">
      <c r="A15" t="s">
        <v>1171</v>
      </c>
      <c r="B15" t="s">
        <v>360</v>
      </c>
      <c r="D15" t="s">
        <v>360</v>
      </c>
      <c r="F15" t="s">
        <v>360</v>
      </c>
      <c r="H15" t="s">
        <v>360</v>
      </c>
      <c r="J15" t="s">
        <v>360</v>
      </c>
      <c r="L15" t="s">
        <v>360</v>
      </c>
      <c r="N15" t="s">
        <v>360</v>
      </c>
      <c r="P15" t="s">
        <v>360</v>
      </c>
      <c r="R15" t="s">
        <v>360</v>
      </c>
      <c r="T15" t="s">
        <v>360</v>
      </c>
    </row>
    <row r="16" spans="1:21" x14ac:dyDescent="0.3">
      <c r="A16" t="s">
        <v>1163</v>
      </c>
      <c r="B16">
        <v>44</v>
      </c>
      <c r="D16">
        <v>44</v>
      </c>
      <c r="F16">
        <v>46</v>
      </c>
      <c r="H16">
        <v>50</v>
      </c>
      <c r="J16">
        <v>50</v>
      </c>
      <c r="L16">
        <v>54</v>
      </c>
      <c r="N16">
        <v>55</v>
      </c>
      <c r="P16">
        <v>51</v>
      </c>
      <c r="R16">
        <v>53</v>
      </c>
      <c r="T16">
        <v>46</v>
      </c>
    </row>
    <row r="17" spans="1:20" x14ac:dyDescent="0.3">
      <c r="A17" t="s">
        <v>1164</v>
      </c>
      <c r="B17">
        <v>15</v>
      </c>
      <c r="D17">
        <v>16</v>
      </c>
      <c r="F17">
        <v>16</v>
      </c>
      <c r="H17">
        <v>16</v>
      </c>
      <c r="J17">
        <v>16</v>
      </c>
      <c r="L17">
        <v>14</v>
      </c>
      <c r="N17">
        <v>17</v>
      </c>
      <c r="P17">
        <v>21</v>
      </c>
      <c r="R17">
        <v>24</v>
      </c>
      <c r="T17">
        <v>30</v>
      </c>
    </row>
    <row r="18" spans="1:20" x14ac:dyDescent="0.3">
      <c r="A18" t="s">
        <v>1165</v>
      </c>
      <c r="B18">
        <v>21</v>
      </c>
      <c r="D18">
        <v>20</v>
      </c>
      <c r="F18">
        <v>20</v>
      </c>
      <c r="H18">
        <v>15</v>
      </c>
      <c r="J18">
        <v>13</v>
      </c>
      <c r="L18">
        <v>11</v>
      </c>
      <c r="N18">
        <v>12</v>
      </c>
      <c r="P18">
        <v>13</v>
      </c>
      <c r="R18">
        <v>10</v>
      </c>
      <c r="T18">
        <v>13</v>
      </c>
    </row>
    <row r="19" spans="1:20" x14ac:dyDescent="0.3">
      <c r="A19" t="s">
        <v>1166</v>
      </c>
      <c r="B19">
        <v>20</v>
      </c>
      <c r="D19">
        <v>20</v>
      </c>
      <c r="F19">
        <v>18</v>
      </c>
      <c r="H19">
        <v>19</v>
      </c>
      <c r="J19">
        <v>22</v>
      </c>
      <c r="L19">
        <v>21</v>
      </c>
      <c r="N19">
        <v>16</v>
      </c>
      <c r="P19">
        <v>16</v>
      </c>
      <c r="R19">
        <v>13</v>
      </c>
      <c r="T19">
        <v>11</v>
      </c>
    </row>
    <row r="20" spans="1:20" x14ac:dyDescent="0.3">
      <c r="A20" t="s">
        <v>1172</v>
      </c>
      <c r="B20" t="s">
        <v>360</v>
      </c>
      <c r="D20" t="s">
        <v>360</v>
      </c>
      <c r="F20" t="s">
        <v>360</v>
      </c>
      <c r="H20" t="s">
        <v>360</v>
      </c>
      <c r="J20" t="s">
        <v>360</v>
      </c>
      <c r="L20" t="s">
        <v>360</v>
      </c>
      <c r="N20" t="s">
        <v>360</v>
      </c>
      <c r="P20" t="s">
        <v>360</v>
      </c>
      <c r="R20" t="s">
        <v>360</v>
      </c>
      <c r="T20" t="s">
        <v>360</v>
      </c>
    </row>
    <row r="21" spans="1:20" x14ac:dyDescent="0.3">
      <c r="A21" t="s">
        <v>1165</v>
      </c>
      <c r="B21">
        <v>123</v>
      </c>
      <c r="D21">
        <v>-6</v>
      </c>
      <c r="F21">
        <v>52</v>
      </c>
      <c r="H21">
        <v>-26</v>
      </c>
      <c r="J21">
        <v>-18</v>
      </c>
      <c r="L21">
        <v>-16</v>
      </c>
      <c r="N21">
        <v>35</v>
      </c>
      <c r="P21">
        <v>85</v>
      </c>
      <c r="R21">
        <v>-20</v>
      </c>
      <c r="T21">
        <v>-1</v>
      </c>
    </row>
    <row r="22" spans="1:20" x14ac:dyDescent="0.3">
      <c r="A22" t="s">
        <v>1164</v>
      </c>
      <c r="B22">
        <v>0</v>
      </c>
      <c r="D22">
        <v>3</v>
      </c>
      <c r="F22">
        <v>45</v>
      </c>
      <c r="H22">
        <v>33</v>
      </c>
      <c r="J22">
        <v>-8</v>
      </c>
      <c r="L22">
        <v>-16</v>
      </c>
      <c r="N22">
        <v>60</v>
      </c>
      <c r="P22">
        <v>102</v>
      </c>
      <c r="R22">
        <v>19</v>
      </c>
      <c r="T22">
        <v>-2</v>
      </c>
    </row>
    <row r="23" spans="1:20" x14ac:dyDescent="0.3">
      <c r="A23" t="s">
        <v>1166</v>
      </c>
      <c r="B23">
        <v>2</v>
      </c>
      <c r="D23">
        <v>1</v>
      </c>
      <c r="F23">
        <v>32</v>
      </c>
      <c r="H23">
        <v>27</v>
      </c>
      <c r="J23">
        <v>12</v>
      </c>
      <c r="L23">
        <v>-8</v>
      </c>
      <c r="N23">
        <v>1</v>
      </c>
      <c r="P23">
        <v>56</v>
      </c>
      <c r="R23">
        <v>-13</v>
      </c>
      <c r="T23">
        <v>-33</v>
      </c>
    </row>
    <row r="24" spans="1:20" x14ac:dyDescent="0.3">
      <c r="A24" t="s">
        <v>1163</v>
      </c>
      <c r="B24">
        <v>11</v>
      </c>
      <c r="D24">
        <v>0</v>
      </c>
      <c r="F24">
        <v>58</v>
      </c>
      <c r="H24">
        <v>35</v>
      </c>
      <c r="J24">
        <v>-4</v>
      </c>
      <c r="L24">
        <v>-1</v>
      </c>
      <c r="N24">
        <v>34</v>
      </c>
      <c r="P24">
        <v>51</v>
      </c>
      <c r="R24">
        <v>6</v>
      </c>
      <c r="T24">
        <v>-35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8588-079E-49AE-8940-8DE9A036AEBD}">
  <sheetPr codeName="Sheet26"/>
  <dimension ref="A1:V41"/>
  <sheetViews>
    <sheetView workbookViewId="0"/>
  </sheetViews>
  <sheetFormatPr defaultColWidth="8.83203125" defaultRowHeight="14" x14ac:dyDescent="0.3"/>
  <cols>
    <col min="1" max="1" width="36" bestFit="1" customWidth="1"/>
  </cols>
  <sheetData>
    <row r="1" spans="1:22" ht="14.5" x14ac:dyDescent="0.35">
      <c r="A1" s="792" t="s">
        <v>539</v>
      </c>
      <c r="B1" s="773" t="s">
        <v>539</v>
      </c>
      <c r="C1" s="773" t="s">
        <v>539</v>
      </c>
      <c r="D1" s="773" t="s">
        <v>539</v>
      </c>
      <c r="E1" s="773" t="s">
        <v>539</v>
      </c>
      <c r="F1" s="773" t="s">
        <v>539</v>
      </c>
      <c r="G1" s="773" t="s">
        <v>539</v>
      </c>
      <c r="H1" s="773" t="s">
        <v>539</v>
      </c>
      <c r="I1" s="773" t="s">
        <v>539</v>
      </c>
      <c r="J1" s="773" t="s">
        <v>539</v>
      </c>
      <c r="K1" s="773" t="s">
        <v>539</v>
      </c>
      <c r="L1" s="773" t="s">
        <v>539</v>
      </c>
      <c r="M1" s="773" t="s">
        <v>539</v>
      </c>
      <c r="N1" s="773" t="s">
        <v>539</v>
      </c>
      <c r="O1" s="773" t="s">
        <v>539</v>
      </c>
      <c r="P1" s="773" t="s">
        <v>539</v>
      </c>
      <c r="Q1" s="773" t="s">
        <v>539</v>
      </c>
      <c r="R1" s="773" t="s">
        <v>539</v>
      </c>
      <c r="S1" s="773" t="s">
        <v>539</v>
      </c>
      <c r="T1" s="773" t="s">
        <v>539</v>
      </c>
      <c r="U1" s="773" t="s">
        <v>539</v>
      </c>
    </row>
    <row r="2" spans="1:22" ht="40" x14ac:dyDescent="0.4">
      <c r="A2" s="793" t="s">
        <v>1173</v>
      </c>
      <c r="B2" s="775"/>
      <c r="C2" s="775"/>
      <c r="D2" s="774" t="s">
        <v>539</v>
      </c>
      <c r="E2" s="774" t="s">
        <v>539</v>
      </c>
      <c r="F2" s="774" t="s">
        <v>539</v>
      </c>
      <c r="G2" s="774" t="s">
        <v>539</v>
      </c>
      <c r="H2" s="774" t="s">
        <v>539</v>
      </c>
      <c r="I2" s="774" t="s">
        <v>539</v>
      </c>
      <c r="J2" s="774" t="s">
        <v>539</v>
      </c>
      <c r="K2" s="774" t="s">
        <v>539</v>
      </c>
      <c r="L2" s="774" t="s">
        <v>539</v>
      </c>
      <c r="M2" s="774" t="s">
        <v>539</v>
      </c>
      <c r="N2" s="774" t="s">
        <v>539</v>
      </c>
      <c r="O2" s="774" t="s">
        <v>539</v>
      </c>
      <c r="P2" s="774" t="s">
        <v>539</v>
      </c>
      <c r="Q2" s="774" t="s">
        <v>539</v>
      </c>
      <c r="R2" s="774" t="s">
        <v>539</v>
      </c>
      <c r="S2" s="774" t="s">
        <v>539</v>
      </c>
      <c r="T2" s="774" t="s">
        <v>539</v>
      </c>
      <c r="U2" s="774" t="s">
        <v>539</v>
      </c>
      <c r="V2" s="774" t="s">
        <v>539</v>
      </c>
    </row>
    <row r="3" spans="1:22" x14ac:dyDescent="0.3">
      <c r="A3" s="794" t="s">
        <v>539</v>
      </c>
      <c r="B3" s="776" t="s">
        <v>539</v>
      </c>
      <c r="C3" s="776" t="s">
        <v>539</v>
      </c>
      <c r="D3" s="776" t="s">
        <v>539</v>
      </c>
      <c r="E3" s="776" t="s">
        <v>539</v>
      </c>
      <c r="F3" s="776" t="s">
        <v>539</v>
      </c>
      <c r="G3" s="776" t="s">
        <v>539</v>
      </c>
      <c r="H3" s="776" t="s">
        <v>539</v>
      </c>
      <c r="I3" s="776" t="s">
        <v>539</v>
      </c>
      <c r="J3" s="776" t="s">
        <v>539</v>
      </c>
      <c r="K3" s="776" t="s">
        <v>539</v>
      </c>
      <c r="L3" s="776" t="s">
        <v>539</v>
      </c>
      <c r="M3" s="776" t="s">
        <v>539</v>
      </c>
      <c r="N3" s="776" t="s">
        <v>539</v>
      </c>
      <c r="O3" s="776" t="s">
        <v>539</v>
      </c>
      <c r="P3" s="776" t="s">
        <v>539</v>
      </c>
      <c r="Q3" s="776" t="s">
        <v>539</v>
      </c>
      <c r="R3" s="776" t="s">
        <v>539</v>
      </c>
      <c r="S3" s="776" t="s">
        <v>539</v>
      </c>
      <c r="T3" s="776" t="s">
        <v>539</v>
      </c>
      <c r="U3" s="776" t="s">
        <v>539</v>
      </c>
    </row>
    <row r="4" spans="1:22" x14ac:dyDescent="0.3">
      <c r="A4" s="795" t="s">
        <v>606</v>
      </c>
      <c r="B4" s="777" t="s">
        <v>607</v>
      </c>
      <c r="C4" s="778" t="s">
        <v>539</v>
      </c>
      <c r="D4" s="778" t="s">
        <v>608</v>
      </c>
      <c r="E4" s="778" t="s">
        <v>539</v>
      </c>
      <c r="F4" s="778" t="s">
        <v>609</v>
      </c>
      <c r="G4" s="778" t="s">
        <v>539</v>
      </c>
      <c r="H4" s="778" t="s">
        <v>610</v>
      </c>
      <c r="I4" s="778" t="s">
        <v>539</v>
      </c>
      <c r="J4" s="778" t="s">
        <v>611</v>
      </c>
      <c r="K4" s="778" t="s">
        <v>539</v>
      </c>
      <c r="L4" s="778" t="s">
        <v>612</v>
      </c>
      <c r="M4" s="778" t="s">
        <v>539</v>
      </c>
      <c r="N4" s="778" t="s">
        <v>613</v>
      </c>
      <c r="O4" s="778" t="s">
        <v>539</v>
      </c>
      <c r="P4" s="778" t="s">
        <v>614</v>
      </c>
      <c r="Q4" s="778" t="s">
        <v>539</v>
      </c>
      <c r="R4" s="778" t="s">
        <v>615</v>
      </c>
      <c r="S4" s="778" t="s">
        <v>539</v>
      </c>
      <c r="T4" s="778" t="s">
        <v>616</v>
      </c>
      <c r="U4" s="778" t="s">
        <v>539</v>
      </c>
    </row>
    <row r="5" spans="1:22" x14ac:dyDescent="0.3">
      <c r="A5" s="796" t="s">
        <v>617</v>
      </c>
      <c r="B5" s="814">
        <v>42308</v>
      </c>
      <c r="C5" s="780" t="s">
        <v>539</v>
      </c>
      <c r="D5" s="781">
        <v>42672</v>
      </c>
      <c r="E5" s="780" t="s">
        <v>539</v>
      </c>
      <c r="F5" s="781">
        <v>43036</v>
      </c>
      <c r="G5" s="780" t="s">
        <v>539</v>
      </c>
      <c r="H5" s="781">
        <v>43407</v>
      </c>
      <c r="I5" s="780" t="s">
        <v>539</v>
      </c>
      <c r="J5" s="781">
        <v>43771</v>
      </c>
      <c r="K5" s="780" t="s">
        <v>539</v>
      </c>
      <c r="L5" s="781">
        <v>44135</v>
      </c>
      <c r="M5" s="780" t="s">
        <v>539</v>
      </c>
      <c r="N5" s="781">
        <v>44499</v>
      </c>
      <c r="O5" s="780" t="s">
        <v>539</v>
      </c>
      <c r="P5" s="781">
        <v>44863</v>
      </c>
      <c r="Q5" s="780" t="s">
        <v>539</v>
      </c>
      <c r="R5" s="781">
        <v>45227</v>
      </c>
      <c r="S5" s="780" t="s">
        <v>539</v>
      </c>
      <c r="T5" s="781">
        <v>45598</v>
      </c>
      <c r="U5" s="780" t="s">
        <v>539</v>
      </c>
    </row>
    <row r="6" spans="1:22" x14ac:dyDescent="0.3">
      <c r="A6" s="797" t="s">
        <v>641</v>
      </c>
      <c r="B6" s="815">
        <v>3435.1</v>
      </c>
      <c r="C6" s="816">
        <v>1</v>
      </c>
      <c r="D6" s="818">
        <v>3421.4</v>
      </c>
      <c r="E6" s="816">
        <v>1</v>
      </c>
      <c r="F6" s="818">
        <v>5107.5</v>
      </c>
      <c r="G6" s="816">
        <v>1</v>
      </c>
      <c r="H6" s="818">
        <v>6224.7</v>
      </c>
      <c r="I6" s="816">
        <v>1</v>
      </c>
      <c r="J6" s="818">
        <v>5991.1</v>
      </c>
      <c r="K6" s="816">
        <v>1</v>
      </c>
      <c r="L6" s="818">
        <v>5603.1</v>
      </c>
      <c r="M6" s="816">
        <v>1</v>
      </c>
      <c r="N6" s="818">
        <v>7318.3</v>
      </c>
      <c r="O6" s="816">
        <v>1</v>
      </c>
      <c r="P6" s="818">
        <v>12014</v>
      </c>
      <c r="Q6" s="816">
        <v>1</v>
      </c>
      <c r="R6" s="818">
        <v>12305.5</v>
      </c>
      <c r="S6" s="816">
        <v>1</v>
      </c>
      <c r="T6" s="818">
        <v>9427.2000000000007</v>
      </c>
      <c r="U6" s="816">
        <v>1</v>
      </c>
    </row>
    <row r="7" spans="1:22" x14ac:dyDescent="0.3">
      <c r="A7" s="798" t="s">
        <v>1174</v>
      </c>
      <c r="B7" s="820">
        <v>2109.8000000000002</v>
      </c>
      <c r="C7" s="821">
        <v>0.61399999999999999</v>
      </c>
      <c r="D7" s="823">
        <v>2121.8000000000002</v>
      </c>
      <c r="E7" s="821">
        <v>0.62</v>
      </c>
      <c r="F7" s="823">
        <v>3108.5</v>
      </c>
      <c r="G7" s="821">
        <v>0.60899999999999999</v>
      </c>
      <c r="H7" s="823">
        <v>3947.6</v>
      </c>
      <c r="I7" s="821">
        <v>0.63400000000000001</v>
      </c>
      <c r="J7" s="823">
        <v>3970.2</v>
      </c>
      <c r="K7" s="821">
        <v>0.66300000000000003</v>
      </c>
      <c r="L7" s="823">
        <v>3715.6</v>
      </c>
      <c r="M7" s="821">
        <v>0.66300000000000003</v>
      </c>
      <c r="N7" s="823">
        <v>4928.8</v>
      </c>
      <c r="O7" s="821">
        <v>0.67300000000000004</v>
      </c>
      <c r="P7" s="823">
        <v>7988.6</v>
      </c>
      <c r="Q7" s="821">
        <v>0.66500000000000004</v>
      </c>
      <c r="R7" s="823">
        <v>8140.2</v>
      </c>
      <c r="S7" s="821">
        <v>0.66200000000000003</v>
      </c>
      <c r="T7" s="823">
        <v>6586.7</v>
      </c>
      <c r="U7" s="821">
        <v>0.69899999999999995</v>
      </c>
    </row>
    <row r="8" spans="1:22" x14ac:dyDescent="0.3">
      <c r="A8" s="798" t="s">
        <v>1175</v>
      </c>
      <c r="B8" s="819">
        <v>511.4</v>
      </c>
      <c r="C8" s="821">
        <v>0.14899999999999999</v>
      </c>
      <c r="D8" s="822">
        <v>575.70000000000005</v>
      </c>
      <c r="E8" s="821">
        <v>0.16800000000000001</v>
      </c>
      <c r="F8" s="822">
        <v>842.5</v>
      </c>
      <c r="G8" s="821">
        <v>0.16500000000000001</v>
      </c>
      <c r="H8" s="823">
        <v>1215.9000000000001</v>
      </c>
      <c r="I8" s="821">
        <v>0.19500000000000001</v>
      </c>
      <c r="J8" s="823">
        <v>1316.3</v>
      </c>
      <c r="K8" s="821">
        <v>0.22</v>
      </c>
      <c r="L8" s="823">
        <v>1348</v>
      </c>
      <c r="M8" s="821">
        <v>0.24099999999999999</v>
      </c>
      <c r="N8" s="823">
        <v>1614.4</v>
      </c>
      <c r="O8" s="821">
        <v>0.221</v>
      </c>
      <c r="P8" s="823">
        <v>2563.5</v>
      </c>
      <c r="Q8" s="821">
        <v>0.21299999999999999</v>
      </c>
      <c r="R8" s="823">
        <v>2229.6</v>
      </c>
      <c r="S8" s="821">
        <v>0.18099999999999999</v>
      </c>
      <c r="T8" s="823">
        <v>2128.8000000000002</v>
      </c>
      <c r="U8" s="821">
        <v>0.22600000000000001</v>
      </c>
    </row>
    <row r="9" spans="1:22" x14ac:dyDescent="0.3">
      <c r="A9" s="798" t="s">
        <v>1176</v>
      </c>
      <c r="B9" s="819">
        <v>939.2</v>
      </c>
      <c r="C9" s="821">
        <v>0.27300000000000002</v>
      </c>
      <c r="D9" s="822">
        <v>924.8</v>
      </c>
      <c r="E9" s="821">
        <v>0.27</v>
      </c>
      <c r="F9" s="823">
        <v>1211.4000000000001</v>
      </c>
      <c r="G9" s="821">
        <v>0.23699999999999999</v>
      </c>
      <c r="H9" s="823">
        <v>1405.7</v>
      </c>
      <c r="I9" s="821">
        <v>0.22600000000000001</v>
      </c>
      <c r="J9" s="823">
        <v>1374.7</v>
      </c>
      <c r="K9" s="821">
        <v>0.22900000000000001</v>
      </c>
      <c r="L9" s="823">
        <v>1245.7</v>
      </c>
      <c r="M9" s="821">
        <v>0.222</v>
      </c>
      <c r="N9" s="823">
        <v>1593</v>
      </c>
      <c r="O9" s="821">
        <v>0.218</v>
      </c>
      <c r="P9" s="823">
        <v>2534.4</v>
      </c>
      <c r="Q9" s="821">
        <v>0.21099999999999999</v>
      </c>
      <c r="R9" s="823">
        <v>3001.9</v>
      </c>
      <c r="S9" s="821">
        <v>0.24399999999999999</v>
      </c>
      <c r="T9" s="823">
        <v>2109.5</v>
      </c>
      <c r="U9" s="821">
        <v>0.224</v>
      </c>
    </row>
    <row r="10" spans="1:22" x14ac:dyDescent="0.3">
      <c r="A10" s="798" t="s">
        <v>1177</v>
      </c>
      <c r="B10" s="819">
        <v>242.5</v>
      </c>
      <c r="C10" s="821">
        <v>7.0999999999999994E-2</v>
      </c>
      <c r="D10" s="822">
        <v>233.6</v>
      </c>
      <c r="E10" s="821">
        <v>6.8000000000000005E-2</v>
      </c>
      <c r="F10" s="822">
        <v>445.3</v>
      </c>
      <c r="G10" s="821">
        <v>8.6999999999999994E-2</v>
      </c>
      <c r="H10" s="822">
        <v>564.79999999999995</v>
      </c>
      <c r="I10" s="821">
        <v>9.0999999999999998E-2</v>
      </c>
      <c r="J10" s="822">
        <v>566.5</v>
      </c>
      <c r="K10" s="821">
        <v>9.5000000000000001E-2</v>
      </c>
      <c r="L10" s="822">
        <v>558.9</v>
      </c>
      <c r="M10" s="821">
        <v>0.1</v>
      </c>
      <c r="N10" s="822">
        <v>890.7</v>
      </c>
      <c r="O10" s="821">
        <v>0.122</v>
      </c>
      <c r="P10" s="823">
        <v>1596.6</v>
      </c>
      <c r="Q10" s="821">
        <v>0.13300000000000001</v>
      </c>
      <c r="R10" s="823">
        <v>1423</v>
      </c>
      <c r="S10" s="821">
        <v>0.11600000000000001</v>
      </c>
      <c r="T10" s="823">
        <v>1200.4000000000001</v>
      </c>
      <c r="U10" s="821">
        <v>0.127</v>
      </c>
    </row>
    <row r="11" spans="1:22" x14ac:dyDescent="0.3">
      <c r="A11" s="798" t="s">
        <v>1178</v>
      </c>
      <c r="B11" s="819">
        <v>319.60000000000002</v>
      </c>
      <c r="C11" s="821">
        <v>9.2999999999999999E-2</v>
      </c>
      <c r="D11" s="822">
        <v>291.60000000000002</v>
      </c>
      <c r="E11" s="821">
        <v>8.5000000000000006E-2</v>
      </c>
      <c r="F11" s="822">
        <v>506.1</v>
      </c>
      <c r="G11" s="821">
        <v>9.9000000000000005E-2</v>
      </c>
      <c r="H11" s="822">
        <v>714.8</v>
      </c>
      <c r="I11" s="821">
        <v>0.115</v>
      </c>
      <c r="J11" s="822">
        <v>657.6</v>
      </c>
      <c r="K11" s="821">
        <v>0.11</v>
      </c>
      <c r="L11" s="822">
        <v>521.70000000000005</v>
      </c>
      <c r="M11" s="821">
        <v>9.2999999999999999E-2</v>
      </c>
      <c r="N11" s="822">
        <v>788</v>
      </c>
      <c r="O11" s="821">
        <v>0.108</v>
      </c>
      <c r="P11" s="823">
        <v>1221.5</v>
      </c>
      <c r="Q11" s="821">
        <v>0.10199999999999999</v>
      </c>
      <c r="R11" s="823">
        <v>1397.1</v>
      </c>
      <c r="S11" s="821">
        <v>0.114</v>
      </c>
      <c r="T11" s="823">
        <v>1085.5999999999999</v>
      </c>
      <c r="U11" s="821">
        <v>0.115</v>
      </c>
    </row>
    <row r="12" spans="1:22" x14ac:dyDescent="0.3">
      <c r="A12" s="798" t="s">
        <v>1179</v>
      </c>
      <c r="B12" s="819">
        <v>97.2</v>
      </c>
      <c r="C12" s="821">
        <v>2.8000000000000001E-2</v>
      </c>
      <c r="D12" s="822">
        <v>96</v>
      </c>
      <c r="E12" s="821">
        <v>2.8000000000000001E-2</v>
      </c>
      <c r="F12" s="822">
        <v>103.1</v>
      </c>
      <c r="G12" s="821">
        <v>0.02</v>
      </c>
      <c r="H12" s="822">
        <v>46.3</v>
      </c>
      <c r="I12" s="821">
        <v>7.0000000000000001E-3</v>
      </c>
      <c r="J12" s="822">
        <v>55.1</v>
      </c>
      <c r="K12" s="821">
        <v>8.9999999999999993E-3</v>
      </c>
      <c r="L12" s="822">
        <v>41.3</v>
      </c>
      <c r="M12" s="821">
        <v>7.0000000000000001E-3</v>
      </c>
      <c r="N12" s="822">
        <v>42.8</v>
      </c>
      <c r="O12" s="821">
        <v>6.0000000000000001E-3</v>
      </c>
      <c r="P12" s="822">
        <v>72.5</v>
      </c>
      <c r="Q12" s="821">
        <v>6.0000000000000001E-3</v>
      </c>
      <c r="R12" s="822">
        <v>88.6</v>
      </c>
      <c r="S12" s="821">
        <v>7.0000000000000001E-3</v>
      </c>
      <c r="T12" s="822">
        <v>62.3</v>
      </c>
      <c r="U12" s="821">
        <v>7.0000000000000001E-3</v>
      </c>
    </row>
    <row r="13" spans="1:22" x14ac:dyDescent="0.3">
      <c r="A13" s="798" t="s">
        <v>1180</v>
      </c>
      <c r="B13" s="820">
        <v>1325.3</v>
      </c>
      <c r="C13" s="821">
        <v>0.38600000000000001</v>
      </c>
      <c r="D13" s="823">
        <v>1299.5999999999999</v>
      </c>
      <c r="E13" s="821">
        <v>0.38</v>
      </c>
      <c r="F13" s="823">
        <v>1999</v>
      </c>
      <c r="G13" s="821">
        <v>0.39100000000000001</v>
      </c>
      <c r="H13" s="823">
        <v>2277.1</v>
      </c>
      <c r="I13" s="821">
        <v>0.36599999999999999</v>
      </c>
      <c r="J13" s="823">
        <v>2020.9</v>
      </c>
      <c r="K13" s="821">
        <v>0.33700000000000002</v>
      </c>
      <c r="L13" s="823">
        <v>1887.4</v>
      </c>
      <c r="M13" s="821">
        <v>0.33700000000000002</v>
      </c>
      <c r="N13" s="823">
        <v>2389.4</v>
      </c>
      <c r="O13" s="821">
        <v>0.32700000000000001</v>
      </c>
      <c r="P13" s="823">
        <v>4025.4</v>
      </c>
      <c r="Q13" s="821">
        <v>0.33500000000000002</v>
      </c>
      <c r="R13" s="823">
        <v>4165.3</v>
      </c>
      <c r="S13" s="821">
        <v>0.33800000000000002</v>
      </c>
      <c r="T13" s="823">
        <v>2840.4</v>
      </c>
      <c r="U13" s="821">
        <v>0.30099999999999999</v>
      </c>
    </row>
    <row r="14" spans="1:22" x14ac:dyDescent="0.3">
      <c r="A14" s="797" t="s">
        <v>1171</v>
      </c>
      <c r="B14" s="782" t="s">
        <v>360</v>
      </c>
      <c r="C14" s="783" t="s">
        <v>539</v>
      </c>
      <c r="D14" s="817" t="s">
        <v>360</v>
      </c>
      <c r="E14" s="783" t="s">
        <v>539</v>
      </c>
      <c r="F14" s="817" t="s">
        <v>360</v>
      </c>
      <c r="G14" s="783" t="s">
        <v>539</v>
      </c>
      <c r="H14" s="817" t="s">
        <v>360</v>
      </c>
      <c r="I14" s="783" t="s">
        <v>539</v>
      </c>
      <c r="J14" s="817" t="s">
        <v>360</v>
      </c>
      <c r="K14" s="783" t="s">
        <v>539</v>
      </c>
      <c r="L14" s="817" t="s">
        <v>360</v>
      </c>
      <c r="M14" s="783" t="s">
        <v>539</v>
      </c>
      <c r="N14" s="817" t="s">
        <v>360</v>
      </c>
      <c r="O14" s="783" t="s">
        <v>539</v>
      </c>
      <c r="P14" s="817" t="s">
        <v>360</v>
      </c>
      <c r="Q14" s="783" t="s">
        <v>539</v>
      </c>
      <c r="R14" s="817" t="s">
        <v>360</v>
      </c>
      <c r="S14" s="783" t="s">
        <v>539</v>
      </c>
      <c r="T14" s="817" t="s">
        <v>360</v>
      </c>
      <c r="U14" s="783" t="s">
        <v>539</v>
      </c>
    </row>
    <row r="15" spans="1:22" x14ac:dyDescent="0.3">
      <c r="A15" s="798" t="s">
        <v>1174</v>
      </c>
      <c r="B15" s="819">
        <v>61</v>
      </c>
      <c r="C15" s="785" t="s">
        <v>539</v>
      </c>
      <c r="D15" s="822">
        <v>62</v>
      </c>
      <c r="E15" s="785" t="s">
        <v>539</v>
      </c>
      <c r="F15" s="822">
        <v>61</v>
      </c>
      <c r="G15" s="785" t="s">
        <v>539</v>
      </c>
      <c r="H15" s="822" t="s">
        <v>360</v>
      </c>
      <c r="I15" s="785" t="s">
        <v>539</v>
      </c>
      <c r="J15" s="822" t="s">
        <v>360</v>
      </c>
      <c r="K15" s="785" t="s">
        <v>539</v>
      </c>
      <c r="L15" s="822" t="s">
        <v>360</v>
      </c>
      <c r="M15" s="785" t="s">
        <v>539</v>
      </c>
      <c r="N15" s="822" t="s">
        <v>360</v>
      </c>
      <c r="O15" s="785" t="s">
        <v>539</v>
      </c>
      <c r="P15" s="822" t="s">
        <v>360</v>
      </c>
      <c r="Q15" s="785" t="s">
        <v>539</v>
      </c>
      <c r="R15" s="822" t="s">
        <v>360</v>
      </c>
      <c r="S15" s="785" t="s">
        <v>539</v>
      </c>
      <c r="T15" s="822" t="s">
        <v>360</v>
      </c>
      <c r="U15" s="785" t="s">
        <v>539</v>
      </c>
    </row>
    <row r="16" spans="1:22" x14ac:dyDescent="0.3">
      <c r="A16" s="798" t="s">
        <v>1175</v>
      </c>
      <c r="B16" s="819">
        <v>15</v>
      </c>
      <c r="C16" s="785" t="s">
        <v>539</v>
      </c>
      <c r="D16" s="822">
        <v>17</v>
      </c>
      <c r="E16" s="785" t="s">
        <v>539</v>
      </c>
      <c r="F16" s="822">
        <v>16</v>
      </c>
      <c r="G16" s="785" t="s">
        <v>539</v>
      </c>
      <c r="H16" s="822" t="s">
        <v>360</v>
      </c>
      <c r="I16" s="785" t="s">
        <v>539</v>
      </c>
      <c r="J16" s="822" t="s">
        <v>360</v>
      </c>
      <c r="K16" s="785" t="s">
        <v>539</v>
      </c>
      <c r="L16" s="822" t="s">
        <v>360</v>
      </c>
      <c r="M16" s="785" t="s">
        <v>539</v>
      </c>
      <c r="N16" s="822" t="s">
        <v>360</v>
      </c>
      <c r="O16" s="785" t="s">
        <v>539</v>
      </c>
      <c r="P16" s="822" t="s">
        <v>360</v>
      </c>
      <c r="Q16" s="785" t="s">
        <v>539</v>
      </c>
      <c r="R16" s="822" t="s">
        <v>360</v>
      </c>
      <c r="S16" s="785" t="s">
        <v>539</v>
      </c>
      <c r="T16" s="822" t="s">
        <v>360</v>
      </c>
      <c r="U16" s="785" t="s">
        <v>539</v>
      </c>
    </row>
    <row r="17" spans="1:21" x14ac:dyDescent="0.3">
      <c r="A17" s="798" t="s">
        <v>1179</v>
      </c>
      <c r="B17" s="819">
        <v>3</v>
      </c>
      <c r="C17" s="785" t="s">
        <v>539</v>
      </c>
      <c r="D17" s="822">
        <v>3</v>
      </c>
      <c r="E17" s="785" t="s">
        <v>539</v>
      </c>
      <c r="F17" s="822">
        <v>2</v>
      </c>
      <c r="G17" s="785" t="s">
        <v>539</v>
      </c>
      <c r="H17" s="822" t="s">
        <v>360</v>
      </c>
      <c r="I17" s="785" t="s">
        <v>539</v>
      </c>
      <c r="J17" s="822" t="s">
        <v>360</v>
      </c>
      <c r="K17" s="785" t="s">
        <v>539</v>
      </c>
      <c r="L17" s="822" t="s">
        <v>360</v>
      </c>
      <c r="M17" s="785" t="s">
        <v>539</v>
      </c>
      <c r="N17" s="822" t="s">
        <v>360</v>
      </c>
      <c r="O17" s="785" t="s">
        <v>539</v>
      </c>
      <c r="P17" s="822" t="s">
        <v>360</v>
      </c>
      <c r="Q17" s="785" t="s">
        <v>539</v>
      </c>
      <c r="R17" s="822" t="s">
        <v>360</v>
      </c>
      <c r="S17" s="785" t="s">
        <v>539</v>
      </c>
      <c r="T17" s="822" t="s">
        <v>360</v>
      </c>
      <c r="U17" s="785" t="s">
        <v>539</v>
      </c>
    </row>
    <row r="18" spans="1:21" x14ac:dyDescent="0.3">
      <c r="A18" s="798" t="s">
        <v>1177</v>
      </c>
      <c r="B18" s="819">
        <v>7</v>
      </c>
      <c r="C18" s="785" t="s">
        <v>539</v>
      </c>
      <c r="D18" s="822">
        <v>6</v>
      </c>
      <c r="E18" s="785" t="s">
        <v>539</v>
      </c>
      <c r="F18" s="822">
        <v>9</v>
      </c>
      <c r="G18" s="785" t="s">
        <v>539</v>
      </c>
      <c r="H18" s="822" t="s">
        <v>360</v>
      </c>
      <c r="I18" s="785" t="s">
        <v>539</v>
      </c>
      <c r="J18" s="822" t="s">
        <v>360</v>
      </c>
      <c r="K18" s="785" t="s">
        <v>539</v>
      </c>
      <c r="L18" s="822" t="s">
        <v>360</v>
      </c>
      <c r="M18" s="785" t="s">
        <v>539</v>
      </c>
      <c r="N18" s="822" t="s">
        <v>360</v>
      </c>
      <c r="O18" s="785" t="s">
        <v>539</v>
      </c>
      <c r="P18" s="822" t="s">
        <v>360</v>
      </c>
      <c r="Q18" s="785" t="s">
        <v>539</v>
      </c>
      <c r="R18" s="822" t="s">
        <v>360</v>
      </c>
      <c r="S18" s="785" t="s">
        <v>539</v>
      </c>
      <c r="T18" s="822" t="s">
        <v>360</v>
      </c>
      <c r="U18" s="785" t="s">
        <v>539</v>
      </c>
    </row>
    <row r="19" spans="1:21" x14ac:dyDescent="0.3">
      <c r="A19" s="798" t="s">
        <v>1178</v>
      </c>
      <c r="B19" s="819">
        <v>9</v>
      </c>
      <c r="C19" s="785" t="s">
        <v>539</v>
      </c>
      <c r="D19" s="822">
        <v>9</v>
      </c>
      <c r="E19" s="785" t="s">
        <v>539</v>
      </c>
      <c r="F19" s="822">
        <v>10</v>
      </c>
      <c r="G19" s="785" t="s">
        <v>539</v>
      </c>
      <c r="H19" s="822" t="s">
        <v>360</v>
      </c>
      <c r="I19" s="785" t="s">
        <v>539</v>
      </c>
      <c r="J19" s="822" t="s">
        <v>360</v>
      </c>
      <c r="K19" s="785" t="s">
        <v>539</v>
      </c>
      <c r="L19" s="822" t="s">
        <v>360</v>
      </c>
      <c r="M19" s="785" t="s">
        <v>539</v>
      </c>
      <c r="N19" s="822" t="s">
        <v>360</v>
      </c>
      <c r="O19" s="785" t="s">
        <v>539</v>
      </c>
      <c r="P19" s="822" t="s">
        <v>360</v>
      </c>
      <c r="Q19" s="785" t="s">
        <v>539</v>
      </c>
      <c r="R19" s="822" t="s">
        <v>360</v>
      </c>
      <c r="S19" s="785" t="s">
        <v>539</v>
      </c>
      <c r="T19" s="822" t="s">
        <v>360</v>
      </c>
      <c r="U19" s="785" t="s">
        <v>539</v>
      </c>
    </row>
    <row r="20" spans="1:21" x14ac:dyDescent="0.3">
      <c r="A20" s="798" t="s">
        <v>1176</v>
      </c>
      <c r="B20" s="819">
        <v>27</v>
      </c>
      <c r="C20" s="785" t="s">
        <v>539</v>
      </c>
      <c r="D20" s="822">
        <v>27</v>
      </c>
      <c r="E20" s="785" t="s">
        <v>539</v>
      </c>
      <c r="F20" s="822">
        <v>24</v>
      </c>
      <c r="G20" s="785" t="s">
        <v>539</v>
      </c>
      <c r="H20" s="822" t="s">
        <v>360</v>
      </c>
      <c r="I20" s="785" t="s">
        <v>539</v>
      </c>
      <c r="J20" s="822" t="s">
        <v>360</v>
      </c>
      <c r="K20" s="785" t="s">
        <v>539</v>
      </c>
      <c r="L20" s="822" t="s">
        <v>360</v>
      </c>
      <c r="M20" s="785" t="s">
        <v>539</v>
      </c>
      <c r="N20" s="822" t="s">
        <v>360</v>
      </c>
      <c r="O20" s="785" t="s">
        <v>539</v>
      </c>
      <c r="P20" s="822" t="s">
        <v>360</v>
      </c>
      <c r="Q20" s="785" t="s">
        <v>539</v>
      </c>
      <c r="R20" s="822" t="s">
        <v>360</v>
      </c>
      <c r="S20" s="785" t="s">
        <v>539</v>
      </c>
      <c r="T20" s="822" t="s">
        <v>360</v>
      </c>
      <c r="U20" s="785" t="s">
        <v>539</v>
      </c>
    </row>
    <row r="21" spans="1:21" x14ac:dyDescent="0.3">
      <c r="A21" s="798" t="s">
        <v>1180</v>
      </c>
      <c r="B21" s="819">
        <v>39</v>
      </c>
      <c r="C21" s="785" t="s">
        <v>539</v>
      </c>
      <c r="D21" s="822">
        <v>38</v>
      </c>
      <c r="E21" s="785" t="s">
        <v>539</v>
      </c>
      <c r="F21" s="822">
        <v>39</v>
      </c>
      <c r="G21" s="785" t="s">
        <v>539</v>
      </c>
      <c r="H21" s="822" t="s">
        <v>360</v>
      </c>
      <c r="I21" s="785" t="s">
        <v>539</v>
      </c>
      <c r="J21" s="822" t="s">
        <v>360</v>
      </c>
      <c r="K21" s="785" t="s">
        <v>539</v>
      </c>
      <c r="L21" s="822" t="s">
        <v>360</v>
      </c>
      <c r="M21" s="785" t="s">
        <v>539</v>
      </c>
      <c r="N21" s="822" t="s">
        <v>360</v>
      </c>
      <c r="O21" s="785" t="s">
        <v>539</v>
      </c>
      <c r="P21" s="822" t="s">
        <v>360</v>
      </c>
      <c r="Q21" s="785" t="s">
        <v>539</v>
      </c>
      <c r="R21" s="822" t="s">
        <v>360</v>
      </c>
      <c r="S21" s="785" t="s">
        <v>539</v>
      </c>
      <c r="T21" s="822" t="s">
        <v>360</v>
      </c>
      <c r="U21" s="785" t="s">
        <v>539</v>
      </c>
    </row>
    <row r="22" spans="1:21" x14ac:dyDescent="0.3">
      <c r="A22" s="797" t="s">
        <v>1181</v>
      </c>
      <c r="B22" s="782">
        <v>810.1</v>
      </c>
      <c r="C22" s="816">
        <v>1</v>
      </c>
      <c r="D22" s="817">
        <v>956.9</v>
      </c>
      <c r="E22" s="816">
        <v>1</v>
      </c>
      <c r="F22" s="817">
        <v>828.5</v>
      </c>
      <c r="G22" s="816">
        <v>1</v>
      </c>
      <c r="H22" s="818">
        <v>1655.3</v>
      </c>
      <c r="I22" s="816">
        <v>1</v>
      </c>
      <c r="J22" s="818">
        <v>1485.7</v>
      </c>
      <c r="K22" s="816">
        <v>1</v>
      </c>
      <c r="L22" s="818">
        <v>1311.6</v>
      </c>
      <c r="M22" s="816">
        <v>1</v>
      </c>
      <c r="N22" s="818">
        <v>1328.7</v>
      </c>
      <c r="O22" s="816">
        <v>1</v>
      </c>
      <c r="P22" s="818">
        <v>3098.7</v>
      </c>
      <c r="Q22" s="816">
        <v>1</v>
      </c>
      <c r="R22" s="818">
        <v>3608</v>
      </c>
      <c r="S22" s="816">
        <v>1</v>
      </c>
      <c r="T22" s="818">
        <v>1777.3</v>
      </c>
      <c r="U22" s="816">
        <v>1</v>
      </c>
    </row>
    <row r="23" spans="1:21" x14ac:dyDescent="0.3">
      <c r="A23" s="798" t="s">
        <v>1174</v>
      </c>
      <c r="B23" s="819">
        <v>699.4</v>
      </c>
      <c r="C23" s="821">
        <v>0.86299999999999999</v>
      </c>
      <c r="D23" s="822">
        <v>954.3</v>
      </c>
      <c r="E23" s="821">
        <v>0.997</v>
      </c>
      <c r="F23" s="822">
        <v>718.9</v>
      </c>
      <c r="G23" s="821">
        <v>0.86799999999999999</v>
      </c>
      <c r="H23" s="823">
        <v>1040.0999999999999</v>
      </c>
      <c r="I23" s="821">
        <v>0.628</v>
      </c>
      <c r="J23" s="823">
        <v>1000.9</v>
      </c>
      <c r="K23" s="821">
        <v>0.67400000000000004</v>
      </c>
      <c r="L23" s="822">
        <v>956.2</v>
      </c>
      <c r="M23" s="821">
        <v>0.72899999999999998</v>
      </c>
      <c r="N23" s="822">
        <v>820.6</v>
      </c>
      <c r="O23" s="821">
        <v>0.61799999999999999</v>
      </c>
      <c r="P23" s="823">
        <v>2140.3000000000002</v>
      </c>
      <c r="Q23" s="821">
        <v>0.69099999999999995</v>
      </c>
      <c r="R23" s="823">
        <v>2761.4</v>
      </c>
      <c r="S23" s="821">
        <v>0.76500000000000001</v>
      </c>
      <c r="T23" s="823">
        <v>1259.8</v>
      </c>
      <c r="U23" s="821">
        <v>0.70899999999999996</v>
      </c>
    </row>
    <row r="24" spans="1:21" x14ac:dyDescent="0.3">
      <c r="A24" s="798" t="s">
        <v>1180</v>
      </c>
      <c r="B24" s="819">
        <v>110.7</v>
      </c>
      <c r="C24" s="821">
        <v>0.13700000000000001</v>
      </c>
      <c r="D24" s="822">
        <v>2.6</v>
      </c>
      <c r="E24" s="821">
        <v>3.0000000000000001E-3</v>
      </c>
      <c r="F24" s="822">
        <v>109.6</v>
      </c>
      <c r="G24" s="821">
        <v>0.13200000000000001</v>
      </c>
      <c r="H24" s="822">
        <v>615.20000000000005</v>
      </c>
      <c r="I24" s="821">
        <v>0.372</v>
      </c>
      <c r="J24" s="822">
        <v>484.9</v>
      </c>
      <c r="K24" s="821">
        <v>0.32600000000000001</v>
      </c>
      <c r="L24" s="822">
        <v>355.4</v>
      </c>
      <c r="M24" s="821">
        <v>0.27100000000000002</v>
      </c>
      <c r="N24" s="822">
        <v>508.1</v>
      </c>
      <c r="O24" s="821">
        <v>0.38200000000000001</v>
      </c>
      <c r="P24" s="822">
        <v>958.5</v>
      </c>
      <c r="Q24" s="821">
        <v>0.309</v>
      </c>
      <c r="R24" s="822">
        <v>846.6</v>
      </c>
      <c r="S24" s="821">
        <v>0.23499999999999999</v>
      </c>
      <c r="T24" s="822">
        <v>517.6</v>
      </c>
      <c r="U24" s="821">
        <v>0.29099999999999998</v>
      </c>
    </row>
    <row r="25" spans="1:21" x14ac:dyDescent="0.3">
      <c r="A25" s="797" t="s">
        <v>1172</v>
      </c>
      <c r="B25" s="782" t="s">
        <v>360</v>
      </c>
      <c r="C25" s="783" t="s">
        <v>539</v>
      </c>
      <c r="D25" s="817" t="s">
        <v>360</v>
      </c>
      <c r="E25" s="783" t="s">
        <v>539</v>
      </c>
      <c r="F25" s="817" t="s">
        <v>360</v>
      </c>
      <c r="G25" s="783" t="s">
        <v>539</v>
      </c>
      <c r="H25" s="817" t="s">
        <v>360</v>
      </c>
      <c r="I25" s="783" t="s">
        <v>539</v>
      </c>
      <c r="J25" s="817" t="s">
        <v>360</v>
      </c>
      <c r="K25" s="783" t="s">
        <v>539</v>
      </c>
      <c r="L25" s="817" t="s">
        <v>360</v>
      </c>
      <c r="M25" s="783" t="s">
        <v>539</v>
      </c>
      <c r="N25" s="817" t="s">
        <v>360</v>
      </c>
      <c r="O25" s="783" t="s">
        <v>539</v>
      </c>
      <c r="P25" s="817" t="s">
        <v>360</v>
      </c>
      <c r="Q25" s="783" t="s">
        <v>539</v>
      </c>
      <c r="R25" s="817" t="s">
        <v>360</v>
      </c>
      <c r="S25" s="783" t="s">
        <v>539</v>
      </c>
      <c r="T25" s="817" t="s">
        <v>360</v>
      </c>
      <c r="U25" s="783" t="s">
        <v>539</v>
      </c>
    </row>
    <row r="26" spans="1:21" x14ac:dyDescent="0.3">
      <c r="A26" s="798" t="s">
        <v>1182</v>
      </c>
      <c r="B26" s="819">
        <v>11</v>
      </c>
      <c r="C26" s="785" t="s">
        <v>539</v>
      </c>
      <c r="D26" s="822">
        <v>13</v>
      </c>
      <c r="E26" s="785" t="s">
        <v>539</v>
      </c>
      <c r="F26" s="822">
        <v>46</v>
      </c>
      <c r="G26" s="785" t="s">
        <v>539</v>
      </c>
      <c r="H26" s="822">
        <v>35</v>
      </c>
      <c r="I26" s="785" t="s">
        <v>539</v>
      </c>
      <c r="J26" s="822">
        <v>8</v>
      </c>
      <c r="K26" s="785" t="s">
        <v>539</v>
      </c>
      <c r="L26" s="822">
        <v>2</v>
      </c>
      <c r="M26" s="785" t="s">
        <v>539</v>
      </c>
      <c r="N26" s="822">
        <v>20</v>
      </c>
      <c r="O26" s="785" t="s">
        <v>539</v>
      </c>
      <c r="P26" s="822">
        <v>59</v>
      </c>
      <c r="Q26" s="785" t="s">
        <v>539</v>
      </c>
      <c r="R26" s="822">
        <v>-13</v>
      </c>
      <c r="S26" s="785" t="s">
        <v>539</v>
      </c>
      <c r="T26" s="822">
        <v>-5</v>
      </c>
      <c r="U26" s="785" t="s">
        <v>539</v>
      </c>
    </row>
    <row r="27" spans="1:21" x14ac:dyDescent="0.3">
      <c r="A27" s="798" t="s">
        <v>1183</v>
      </c>
      <c r="B27" s="819">
        <v>-5</v>
      </c>
      <c r="C27" s="785" t="s">
        <v>539</v>
      </c>
      <c r="D27" s="822">
        <v>-4</v>
      </c>
      <c r="E27" s="785" t="s">
        <v>539</v>
      </c>
      <c r="F27" s="822">
        <v>91</v>
      </c>
      <c r="G27" s="785" t="s">
        <v>539</v>
      </c>
      <c r="H27" s="822">
        <v>29</v>
      </c>
      <c r="I27" s="785" t="s">
        <v>539</v>
      </c>
      <c r="J27" s="822">
        <v>0</v>
      </c>
      <c r="K27" s="785" t="s">
        <v>539</v>
      </c>
      <c r="L27" s="822">
        <v>-1</v>
      </c>
      <c r="M27" s="785" t="s">
        <v>539</v>
      </c>
      <c r="N27" s="822">
        <v>59</v>
      </c>
      <c r="O27" s="785" t="s">
        <v>539</v>
      </c>
      <c r="P27" s="822">
        <v>79</v>
      </c>
      <c r="Q27" s="785" t="s">
        <v>539</v>
      </c>
      <c r="R27" s="822">
        <v>-11</v>
      </c>
      <c r="S27" s="785" t="s">
        <v>539</v>
      </c>
      <c r="T27" s="822">
        <v>-16</v>
      </c>
      <c r="U27" s="785" t="s">
        <v>539</v>
      </c>
    </row>
    <row r="28" spans="1:21" x14ac:dyDescent="0.3">
      <c r="A28" s="798" t="s">
        <v>1184</v>
      </c>
      <c r="B28" s="819">
        <v>4</v>
      </c>
      <c r="C28" s="785" t="s">
        <v>539</v>
      </c>
      <c r="D28" s="822">
        <v>-9</v>
      </c>
      <c r="E28" s="785" t="s">
        <v>539</v>
      </c>
      <c r="F28" s="822">
        <v>74</v>
      </c>
      <c r="G28" s="785" t="s">
        <v>539</v>
      </c>
      <c r="H28" s="822">
        <v>22</v>
      </c>
      <c r="I28" s="785" t="s">
        <v>539</v>
      </c>
      <c r="J28" s="822">
        <v>-8</v>
      </c>
      <c r="K28" s="785" t="s">
        <v>539</v>
      </c>
      <c r="L28" s="822">
        <v>-21</v>
      </c>
      <c r="M28" s="785" t="s">
        <v>539</v>
      </c>
      <c r="N28" s="822">
        <v>51</v>
      </c>
      <c r="O28" s="785" t="s">
        <v>539</v>
      </c>
      <c r="P28" s="822">
        <v>55</v>
      </c>
      <c r="Q28" s="785" t="s">
        <v>539</v>
      </c>
      <c r="R28" s="822">
        <v>14</v>
      </c>
      <c r="S28" s="785" t="s">
        <v>539</v>
      </c>
      <c r="T28" s="822">
        <v>-22</v>
      </c>
      <c r="U28" s="785" t="s">
        <v>539</v>
      </c>
    </row>
    <row r="29" spans="1:21" x14ac:dyDescent="0.3">
      <c r="A29" s="798" t="s">
        <v>1185</v>
      </c>
      <c r="B29" s="819">
        <v>0</v>
      </c>
      <c r="C29" s="785" t="s">
        <v>539</v>
      </c>
      <c r="D29" s="822">
        <v>-1</v>
      </c>
      <c r="E29" s="785" t="s">
        <v>539</v>
      </c>
      <c r="F29" s="822">
        <v>7</v>
      </c>
      <c r="G29" s="785" t="s">
        <v>539</v>
      </c>
      <c r="H29" s="822">
        <v>-5</v>
      </c>
      <c r="I29" s="785" t="s">
        <v>539</v>
      </c>
      <c r="J29" s="822">
        <v>19</v>
      </c>
      <c r="K29" s="785" t="s">
        <v>539</v>
      </c>
      <c r="L29" s="822">
        <v>-25</v>
      </c>
      <c r="M29" s="785" t="s">
        <v>539</v>
      </c>
      <c r="N29" s="822">
        <v>4</v>
      </c>
      <c r="O29" s="785" t="s">
        <v>539</v>
      </c>
      <c r="P29" s="822">
        <v>69</v>
      </c>
      <c r="Q29" s="785" t="s">
        <v>539</v>
      </c>
      <c r="R29" s="822">
        <v>22</v>
      </c>
      <c r="S29" s="785" t="s">
        <v>539</v>
      </c>
      <c r="T29" s="822">
        <v>-30</v>
      </c>
      <c r="U29" s="785" t="s">
        <v>539</v>
      </c>
    </row>
    <row r="30" spans="1:21" x14ac:dyDescent="0.3">
      <c r="A30" s="798" t="s">
        <v>1186</v>
      </c>
      <c r="B30" s="819">
        <v>2</v>
      </c>
      <c r="C30" s="785" t="s">
        <v>539</v>
      </c>
      <c r="D30" s="822">
        <v>-2</v>
      </c>
      <c r="E30" s="785" t="s">
        <v>539</v>
      </c>
      <c r="F30" s="822">
        <v>31</v>
      </c>
      <c r="G30" s="785" t="s">
        <v>539</v>
      </c>
      <c r="H30" s="822">
        <v>21</v>
      </c>
      <c r="I30" s="785" t="s">
        <v>539</v>
      </c>
      <c r="J30" s="822">
        <v>-2</v>
      </c>
      <c r="K30" s="785" t="s">
        <v>539</v>
      </c>
      <c r="L30" s="822">
        <v>-9</v>
      </c>
      <c r="M30" s="785" t="s">
        <v>539</v>
      </c>
      <c r="N30" s="822">
        <v>28</v>
      </c>
      <c r="O30" s="785" t="s">
        <v>539</v>
      </c>
      <c r="P30" s="822">
        <v>59</v>
      </c>
      <c r="Q30" s="785" t="s">
        <v>539</v>
      </c>
      <c r="R30" s="822">
        <v>18</v>
      </c>
      <c r="S30" s="785" t="s">
        <v>539</v>
      </c>
      <c r="T30" s="822">
        <v>-30</v>
      </c>
      <c r="U30" s="785" t="s">
        <v>539</v>
      </c>
    </row>
    <row r="31" spans="1:21" x14ac:dyDescent="0.3">
      <c r="A31" s="798" t="s">
        <v>1180</v>
      </c>
      <c r="B31" s="819">
        <v>61</v>
      </c>
      <c r="C31" s="785" t="s">
        <v>539</v>
      </c>
      <c r="D31" s="822">
        <v>-2</v>
      </c>
      <c r="E31" s="785" t="s">
        <v>539</v>
      </c>
      <c r="F31" s="822">
        <v>54</v>
      </c>
      <c r="G31" s="785" t="s">
        <v>539</v>
      </c>
      <c r="H31" s="822">
        <v>8</v>
      </c>
      <c r="I31" s="785" t="s">
        <v>539</v>
      </c>
      <c r="J31" s="822">
        <v>-11</v>
      </c>
      <c r="K31" s="785" t="s">
        <v>539</v>
      </c>
      <c r="L31" s="822">
        <v>-7</v>
      </c>
      <c r="M31" s="785" t="s">
        <v>539</v>
      </c>
      <c r="N31" s="822">
        <v>27</v>
      </c>
      <c r="O31" s="785" t="s">
        <v>539</v>
      </c>
      <c r="P31" s="822">
        <v>68</v>
      </c>
      <c r="Q31" s="785" t="s">
        <v>539</v>
      </c>
      <c r="R31" s="822">
        <v>3</v>
      </c>
      <c r="S31" s="785" t="s">
        <v>539</v>
      </c>
      <c r="T31" s="822">
        <v>-32</v>
      </c>
      <c r="U31" s="785" t="s">
        <v>539</v>
      </c>
    </row>
    <row r="32" spans="1:21" x14ac:dyDescent="0.3">
      <c r="A32" s="797" t="s">
        <v>1187</v>
      </c>
      <c r="B32" s="782">
        <v>644.1</v>
      </c>
      <c r="C32" s="816">
        <v>1</v>
      </c>
      <c r="D32" s="817">
        <v>636.1</v>
      </c>
      <c r="E32" s="816">
        <v>1</v>
      </c>
      <c r="F32" s="818">
        <v>1107.3</v>
      </c>
      <c r="G32" s="816">
        <v>1</v>
      </c>
      <c r="H32" s="818">
        <v>1154.3</v>
      </c>
      <c r="I32" s="816">
        <v>1</v>
      </c>
      <c r="J32" s="818">
        <v>1220</v>
      </c>
      <c r="K32" s="816">
        <v>1</v>
      </c>
      <c r="L32" s="818">
        <v>1120.5999999999999</v>
      </c>
      <c r="M32" s="816">
        <v>1</v>
      </c>
      <c r="N32" s="818">
        <v>1979.1</v>
      </c>
      <c r="O32" s="816">
        <v>1</v>
      </c>
      <c r="P32" s="818">
        <v>2281.6</v>
      </c>
      <c r="Q32" s="816">
        <v>1</v>
      </c>
      <c r="R32" s="818">
        <v>3219.2</v>
      </c>
      <c r="S32" s="816">
        <v>1</v>
      </c>
      <c r="T32" s="818">
        <v>3415.6</v>
      </c>
      <c r="U32" s="816">
        <v>1</v>
      </c>
    </row>
    <row r="33" spans="1:21" x14ac:dyDescent="0.3">
      <c r="A33" s="798" t="s">
        <v>1180</v>
      </c>
      <c r="B33" s="819">
        <v>253.4</v>
      </c>
      <c r="C33" s="821">
        <v>0.39300000000000002</v>
      </c>
      <c r="D33" s="822">
        <v>236.6</v>
      </c>
      <c r="E33" s="821">
        <v>0.372</v>
      </c>
      <c r="F33" s="822">
        <v>505</v>
      </c>
      <c r="G33" s="821">
        <v>0.45600000000000002</v>
      </c>
      <c r="H33" s="822">
        <v>505.6</v>
      </c>
      <c r="I33" s="821">
        <v>0.438</v>
      </c>
      <c r="J33" s="822">
        <v>592.6</v>
      </c>
      <c r="K33" s="821">
        <v>0.48599999999999999</v>
      </c>
      <c r="L33" s="822">
        <v>579.79999999999995</v>
      </c>
      <c r="M33" s="821">
        <v>0.51700000000000002</v>
      </c>
      <c r="N33" s="822">
        <v>956.6</v>
      </c>
      <c r="O33" s="821">
        <v>0.48299999999999998</v>
      </c>
      <c r="P33" s="823">
        <v>1117.4000000000001</v>
      </c>
      <c r="Q33" s="821">
        <v>0.49</v>
      </c>
      <c r="R33" s="823">
        <v>1577.9</v>
      </c>
      <c r="S33" s="821">
        <v>0.49</v>
      </c>
      <c r="T33" s="823">
        <v>1907.5</v>
      </c>
      <c r="U33" s="821">
        <v>0.55800000000000005</v>
      </c>
    </row>
    <row r="34" spans="1:21" x14ac:dyDescent="0.3">
      <c r="A34" s="798" t="s">
        <v>1174</v>
      </c>
      <c r="B34" s="819">
        <v>390.7</v>
      </c>
      <c r="C34" s="821">
        <v>0.60699999999999998</v>
      </c>
      <c r="D34" s="822">
        <v>399.5</v>
      </c>
      <c r="E34" s="821">
        <v>0.628</v>
      </c>
      <c r="F34" s="822">
        <v>602.29999999999995</v>
      </c>
      <c r="G34" s="821">
        <v>0.54400000000000004</v>
      </c>
      <c r="H34" s="822">
        <v>648.70000000000005</v>
      </c>
      <c r="I34" s="821">
        <v>0.56200000000000006</v>
      </c>
      <c r="J34" s="822">
        <v>627.4</v>
      </c>
      <c r="K34" s="821">
        <v>0.51400000000000001</v>
      </c>
      <c r="L34" s="822">
        <v>540.79999999999995</v>
      </c>
      <c r="M34" s="821">
        <v>0.48299999999999998</v>
      </c>
      <c r="N34" s="823">
        <v>1022.4</v>
      </c>
      <c r="O34" s="821">
        <v>0.51700000000000002</v>
      </c>
      <c r="P34" s="823">
        <v>1164.2</v>
      </c>
      <c r="Q34" s="821">
        <v>0.51</v>
      </c>
      <c r="R34" s="823">
        <v>1641.2</v>
      </c>
      <c r="S34" s="821">
        <v>0.51</v>
      </c>
      <c r="T34" s="823">
        <v>1508</v>
      </c>
      <c r="U34" s="821">
        <v>0.442</v>
      </c>
    </row>
    <row r="35" spans="1:21" x14ac:dyDescent="0.3">
      <c r="A35" s="798" t="s">
        <v>1188</v>
      </c>
      <c r="B35" s="819">
        <v>173.7</v>
      </c>
      <c r="C35" s="821">
        <v>0.27</v>
      </c>
      <c r="D35" s="822">
        <v>175</v>
      </c>
      <c r="E35" s="821">
        <v>0.27500000000000002</v>
      </c>
      <c r="F35" s="822">
        <v>188.7</v>
      </c>
      <c r="G35" s="821">
        <v>0.17</v>
      </c>
      <c r="H35" s="822">
        <v>202.6</v>
      </c>
      <c r="I35" s="821">
        <v>0.17599999999999999</v>
      </c>
      <c r="J35" s="822">
        <v>184.8</v>
      </c>
      <c r="K35" s="821">
        <v>0.151</v>
      </c>
      <c r="L35" s="822">
        <v>170</v>
      </c>
      <c r="M35" s="821">
        <v>0.152</v>
      </c>
      <c r="N35" s="822">
        <v>206.4</v>
      </c>
      <c r="O35" s="821">
        <v>0.104</v>
      </c>
      <c r="P35" s="822">
        <v>343.7</v>
      </c>
      <c r="Q35" s="821">
        <v>0.151</v>
      </c>
      <c r="R35" s="822">
        <v>573.70000000000005</v>
      </c>
      <c r="S35" s="821">
        <v>0.17799999999999999</v>
      </c>
      <c r="T35" s="822">
        <v>625.70000000000005</v>
      </c>
      <c r="U35" s="821">
        <v>0.183</v>
      </c>
    </row>
    <row r="36" spans="1:21" x14ac:dyDescent="0.3">
      <c r="A36" s="798" t="s">
        <v>1189</v>
      </c>
      <c r="B36" s="819">
        <v>195.7</v>
      </c>
      <c r="C36" s="821">
        <v>0.30399999999999999</v>
      </c>
      <c r="D36" s="822">
        <v>194.6</v>
      </c>
      <c r="E36" s="821">
        <v>0.30599999999999999</v>
      </c>
      <c r="F36" s="822">
        <v>228.6</v>
      </c>
      <c r="G36" s="821">
        <v>0.20599999999999999</v>
      </c>
      <c r="H36" s="822">
        <v>260.39999999999998</v>
      </c>
      <c r="I36" s="821">
        <v>0.22600000000000001</v>
      </c>
      <c r="J36" s="822">
        <v>247.8</v>
      </c>
      <c r="K36" s="821">
        <v>0.20300000000000001</v>
      </c>
      <c r="L36" s="822">
        <v>256.5</v>
      </c>
      <c r="M36" s="821">
        <v>0.22900000000000001</v>
      </c>
      <c r="N36" s="822">
        <v>524.1</v>
      </c>
      <c r="O36" s="821">
        <v>0.26500000000000001</v>
      </c>
      <c r="P36" s="822">
        <v>608.5</v>
      </c>
      <c r="Q36" s="821">
        <v>0.26700000000000002</v>
      </c>
      <c r="R36" s="822">
        <v>620.5</v>
      </c>
      <c r="S36" s="821">
        <v>0.193</v>
      </c>
      <c r="T36" s="822">
        <v>468.9</v>
      </c>
      <c r="U36" s="821">
        <v>0.13700000000000001</v>
      </c>
    </row>
    <row r="37" spans="1:21" x14ac:dyDescent="0.3">
      <c r="A37" s="798" t="s">
        <v>1190</v>
      </c>
      <c r="B37" s="819" t="s">
        <v>360</v>
      </c>
      <c r="C37" s="785" t="s">
        <v>539</v>
      </c>
      <c r="D37" s="822" t="s">
        <v>360</v>
      </c>
      <c r="E37" s="785" t="s">
        <v>539</v>
      </c>
      <c r="F37" s="822" t="s">
        <v>360</v>
      </c>
      <c r="G37" s="785" t="s">
        <v>539</v>
      </c>
      <c r="H37" s="822" t="s">
        <v>360</v>
      </c>
      <c r="I37" s="785" t="s">
        <v>539</v>
      </c>
      <c r="J37" s="822" t="s">
        <v>360</v>
      </c>
      <c r="K37" s="785" t="s">
        <v>539</v>
      </c>
      <c r="L37" s="822">
        <v>0</v>
      </c>
      <c r="M37" s="785" t="s">
        <v>539</v>
      </c>
      <c r="N37" s="822">
        <v>126</v>
      </c>
      <c r="O37" s="821">
        <v>6.4000000000000001E-2</v>
      </c>
      <c r="P37" s="822">
        <v>143.6</v>
      </c>
      <c r="Q37" s="821">
        <v>6.3E-2</v>
      </c>
      <c r="R37" s="822">
        <v>209.7</v>
      </c>
      <c r="S37" s="821">
        <v>6.5000000000000002E-2</v>
      </c>
      <c r="T37" s="822">
        <v>195.2</v>
      </c>
      <c r="U37" s="821">
        <v>5.7000000000000002E-2</v>
      </c>
    </row>
    <row r="38" spans="1:21" x14ac:dyDescent="0.3">
      <c r="A38" s="798" t="s">
        <v>1191</v>
      </c>
      <c r="B38" s="819">
        <v>21.3</v>
      </c>
      <c r="C38" s="821">
        <v>3.3000000000000002E-2</v>
      </c>
      <c r="D38" s="822">
        <v>30</v>
      </c>
      <c r="E38" s="821">
        <v>4.7E-2</v>
      </c>
      <c r="F38" s="822">
        <v>36.200000000000003</v>
      </c>
      <c r="G38" s="821">
        <v>3.3000000000000002E-2</v>
      </c>
      <c r="H38" s="822">
        <v>47.8</v>
      </c>
      <c r="I38" s="821">
        <v>4.1000000000000002E-2</v>
      </c>
      <c r="J38" s="822">
        <v>50.1</v>
      </c>
      <c r="K38" s="821">
        <v>4.1000000000000002E-2</v>
      </c>
      <c r="L38" s="822">
        <v>42.2</v>
      </c>
      <c r="M38" s="821">
        <v>3.7999999999999999E-2</v>
      </c>
      <c r="N38" s="822">
        <v>80.900000000000006</v>
      </c>
      <c r="O38" s="821">
        <v>4.1000000000000002E-2</v>
      </c>
      <c r="P38" s="822" t="s">
        <v>360</v>
      </c>
      <c r="Q38" s="785" t="s">
        <v>539</v>
      </c>
      <c r="R38" s="822">
        <v>113.9</v>
      </c>
      <c r="S38" s="821">
        <v>3.5000000000000003E-2</v>
      </c>
      <c r="T38" s="822">
        <v>110</v>
      </c>
      <c r="U38" s="821">
        <v>3.2000000000000001E-2</v>
      </c>
    </row>
    <row r="39" spans="1:21" x14ac:dyDescent="0.3">
      <c r="A39" s="798" t="s">
        <v>1192</v>
      </c>
      <c r="B39" s="819">
        <v>0</v>
      </c>
      <c r="C39" s="785" t="s">
        <v>539</v>
      </c>
      <c r="D39" s="822">
        <v>0</v>
      </c>
      <c r="E39" s="785" t="s">
        <v>539</v>
      </c>
      <c r="F39" s="822">
        <v>71.8</v>
      </c>
      <c r="G39" s="821">
        <v>6.5000000000000002E-2</v>
      </c>
      <c r="H39" s="822">
        <v>57.5</v>
      </c>
      <c r="I39" s="821">
        <v>0.05</v>
      </c>
      <c r="J39" s="822">
        <v>56.3</v>
      </c>
      <c r="K39" s="821">
        <v>4.5999999999999999E-2</v>
      </c>
      <c r="L39" s="822">
        <v>53.6</v>
      </c>
      <c r="M39" s="821">
        <v>4.8000000000000001E-2</v>
      </c>
      <c r="N39" s="822">
        <v>85</v>
      </c>
      <c r="O39" s="821">
        <v>4.2999999999999997E-2</v>
      </c>
      <c r="P39" s="822">
        <v>68.5</v>
      </c>
      <c r="Q39" s="821">
        <v>0.03</v>
      </c>
      <c r="R39" s="822">
        <v>123.6</v>
      </c>
      <c r="S39" s="821">
        <v>3.7999999999999999E-2</v>
      </c>
      <c r="T39" s="822">
        <v>108.3</v>
      </c>
      <c r="U39" s="821">
        <v>3.2000000000000001E-2</v>
      </c>
    </row>
    <row r="40" spans="1:21" x14ac:dyDescent="0.3">
      <c r="A40" s="798" t="s">
        <v>1193</v>
      </c>
      <c r="B40" s="819">
        <v>0</v>
      </c>
      <c r="C40" s="785" t="s">
        <v>539</v>
      </c>
      <c r="D40" s="822">
        <v>0</v>
      </c>
      <c r="E40" s="785" t="s">
        <v>539</v>
      </c>
      <c r="F40" s="822">
        <v>77</v>
      </c>
      <c r="G40" s="821">
        <v>7.0000000000000007E-2</v>
      </c>
      <c r="H40" s="822">
        <v>80.400000000000006</v>
      </c>
      <c r="I40" s="821">
        <v>7.0000000000000007E-2</v>
      </c>
      <c r="J40" s="822">
        <v>88.4</v>
      </c>
      <c r="K40" s="821">
        <v>7.1999999999999995E-2</v>
      </c>
      <c r="L40" s="822">
        <v>18.5</v>
      </c>
      <c r="M40" s="821">
        <v>1.7000000000000001E-2</v>
      </c>
      <c r="N40" s="822">
        <v>0</v>
      </c>
      <c r="O40" s="785" t="s">
        <v>539</v>
      </c>
      <c r="P40" s="822">
        <v>0</v>
      </c>
      <c r="Q40" s="785" t="s">
        <v>539</v>
      </c>
      <c r="R40" s="822" t="s">
        <v>360</v>
      </c>
      <c r="S40" s="785" t="s">
        <v>539</v>
      </c>
      <c r="T40" s="822" t="s">
        <v>360</v>
      </c>
      <c r="U40" s="785" t="s">
        <v>539</v>
      </c>
    </row>
    <row r="41" spans="1:21" x14ac:dyDescent="0.3">
      <c r="A41" s="799" t="s">
        <v>636</v>
      </c>
      <c r="B41" s="790" t="s">
        <v>539</v>
      </c>
      <c r="C41" s="790" t="s">
        <v>539</v>
      </c>
      <c r="D41" s="790" t="s">
        <v>539</v>
      </c>
      <c r="E41" s="790" t="s">
        <v>539</v>
      </c>
      <c r="F41" s="790" t="s">
        <v>539</v>
      </c>
      <c r="G41" s="790" t="s">
        <v>539</v>
      </c>
      <c r="H41" s="790" t="s">
        <v>539</v>
      </c>
      <c r="I41" s="790" t="s">
        <v>539</v>
      </c>
      <c r="J41" s="790" t="s">
        <v>539</v>
      </c>
      <c r="K41" s="790" t="s">
        <v>539</v>
      </c>
      <c r="L41" s="790" t="s">
        <v>539</v>
      </c>
      <c r="M41" s="790" t="s">
        <v>539</v>
      </c>
      <c r="N41" s="790" t="s">
        <v>539</v>
      </c>
      <c r="O41" s="790" t="s">
        <v>539</v>
      </c>
      <c r="P41" s="790" t="s">
        <v>539</v>
      </c>
      <c r="Q41" s="790" t="s">
        <v>539</v>
      </c>
      <c r="R41" s="790" t="s">
        <v>539</v>
      </c>
      <c r="S41" s="790" t="s">
        <v>539</v>
      </c>
      <c r="T41" s="790" t="s">
        <v>539</v>
      </c>
      <c r="U41" s="790" t="s">
        <v>539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F5155-C911-4E12-B8ED-4BDE13BE457C}">
  <sheetPr codeName="Sheet27"/>
  <dimension ref="A1:L28"/>
  <sheetViews>
    <sheetView workbookViewId="0">
      <selection activeCell="G19" sqref="G19"/>
    </sheetView>
  </sheetViews>
  <sheetFormatPr defaultColWidth="8.83203125" defaultRowHeight="14" x14ac:dyDescent="0.3"/>
  <cols>
    <col min="1" max="1" width="32.08203125" bestFit="1" customWidth="1"/>
  </cols>
  <sheetData>
    <row r="1" spans="1:12" ht="14.5" x14ac:dyDescent="0.35">
      <c r="A1" s="773" t="s">
        <v>539</v>
      </c>
      <c r="B1" s="773" t="s">
        <v>539</v>
      </c>
      <c r="C1" s="773" t="s">
        <v>539</v>
      </c>
      <c r="D1" s="773" t="s">
        <v>539</v>
      </c>
      <c r="E1" s="773" t="s">
        <v>539</v>
      </c>
      <c r="F1" s="773" t="s">
        <v>539</v>
      </c>
      <c r="G1" s="773" t="s">
        <v>539</v>
      </c>
      <c r="H1" s="773" t="s">
        <v>539</v>
      </c>
      <c r="I1" s="773" t="s">
        <v>539</v>
      </c>
      <c r="J1" s="773" t="s">
        <v>539</v>
      </c>
      <c r="K1" s="773" t="s">
        <v>539</v>
      </c>
    </row>
    <row r="2" spans="1:12" ht="20" x14ac:dyDescent="0.4">
      <c r="A2" s="774" t="s">
        <v>1194</v>
      </c>
      <c r="B2" s="775"/>
      <c r="C2" s="775"/>
      <c r="D2" s="774" t="s">
        <v>539</v>
      </c>
      <c r="E2" s="774" t="s">
        <v>539</v>
      </c>
      <c r="F2" s="774" t="s">
        <v>539</v>
      </c>
      <c r="G2" s="774" t="s">
        <v>539</v>
      </c>
      <c r="H2" s="774" t="s">
        <v>539</v>
      </c>
      <c r="I2" s="774" t="s">
        <v>539</v>
      </c>
      <c r="J2" s="774" t="s">
        <v>539</v>
      </c>
      <c r="K2" s="774" t="s">
        <v>539</v>
      </c>
      <c r="L2" s="774" t="s">
        <v>539</v>
      </c>
    </row>
    <row r="3" spans="1:12" x14ac:dyDescent="0.3">
      <c r="A3" s="776" t="s">
        <v>539</v>
      </c>
      <c r="B3" s="776" t="s">
        <v>539</v>
      </c>
      <c r="C3" s="776" t="s">
        <v>539</v>
      </c>
      <c r="D3" s="776" t="s">
        <v>539</v>
      </c>
      <c r="E3" s="776" t="s">
        <v>539</v>
      </c>
      <c r="F3" s="776" t="s">
        <v>539</v>
      </c>
      <c r="G3" s="776" t="s">
        <v>539</v>
      </c>
      <c r="H3" s="776" t="s">
        <v>539</v>
      </c>
      <c r="I3" s="776" t="s">
        <v>539</v>
      </c>
      <c r="J3" s="776" t="s">
        <v>539</v>
      </c>
      <c r="K3" s="776" t="s">
        <v>539</v>
      </c>
    </row>
    <row r="4" spans="1:12" x14ac:dyDescent="0.3">
      <c r="A4" s="777" t="s">
        <v>606</v>
      </c>
      <c r="B4" s="778" t="s">
        <v>607</v>
      </c>
      <c r="C4" s="778" t="s">
        <v>608</v>
      </c>
      <c r="D4" s="778" t="s">
        <v>609</v>
      </c>
      <c r="E4" s="778" t="s">
        <v>610</v>
      </c>
      <c r="F4" s="778" t="s">
        <v>611</v>
      </c>
      <c r="G4" s="778" t="s">
        <v>612</v>
      </c>
      <c r="H4" s="778" t="s">
        <v>613</v>
      </c>
      <c r="I4" s="778" t="s">
        <v>614</v>
      </c>
      <c r="J4" s="778" t="s">
        <v>615</v>
      </c>
      <c r="K4" s="778" t="s">
        <v>616</v>
      </c>
    </row>
    <row r="5" spans="1:12" x14ac:dyDescent="0.3">
      <c r="A5" s="779" t="s">
        <v>617</v>
      </c>
      <c r="B5" s="781">
        <v>42308</v>
      </c>
      <c r="C5" s="781">
        <v>42672</v>
      </c>
      <c r="D5" s="781">
        <v>43036</v>
      </c>
      <c r="E5" s="781">
        <v>43407</v>
      </c>
      <c r="F5" s="781">
        <v>43771</v>
      </c>
      <c r="G5" s="781">
        <v>44135</v>
      </c>
      <c r="H5" s="781">
        <v>44499</v>
      </c>
      <c r="I5" s="781">
        <v>44863</v>
      </c>
      <c r="J5" s="781">
        <v>45227</v>
      </c>
      <c r="K5" s="781">
        <v>45598</v>
      </c>
    </row>
    <row r="6" spans="1:12" x14ac:dyDescent="0.3">
      <c r="A6" s="782" t="s">
        <v>94</v>
      </c>
      <c r="B6" s="783" t="s">
        <v>539</v>
      </c>
      <c r="C6" s="783" t="s">
        <v>539</v>
      </c>
      <c r="D6" s="783" t="s">
        <v>539</v>
      </c>
      <c r="E6" s="783" t="s">
        <v>539</v>
      </c>
      <c r="F6" s="783" t="s">
        <v>539</v>
      </c>
      <c r="G6" s="783" t="s">
        <v>539</v>
      </c>
      <c r="H6" s="783" t="s">
        <v>539</v>
      </c>
      <c r="I6" s="783" t="s">
        <v>539</v>
      </c>
      <c r="J6" s="783" t="s">
        <v>539</v>
      </c>
      <c r="K6" s="783" t="s">
        <v>539</v>
      </c>
    </row>
    <row r="7" spans="1:12" x14ac:dyDescent="0.3">
      <c r="A7" s="784" t="s">
        <v>1195</v>
      </c>
      <c r="B7" s="788">
        <v>1495.9</v>
      </c>
      <c r="C7" s="787">
        <v>1478.5</v>
      </c>
      <c r="D7" s="787">
        <v>2342.4</v>
      </c>
      <c r="E7" s="787">
        <v>3143.6</v>
      </c>
      <c r="F7" s="787">
        <v>3014.9</v>
      </c>
      <c r="G7" s="787">
        <v>2998.3</v>
      </c>
      <c r="H7" s="787">
        <v>4026.9</v>
      </c>
      <c r="I7" s="787">
        <v>6069.3</v>
      </c>
      <c r="J7" s="787">
        <v>6555.2</v>
      </c>
      <c r="K7" s="787">
        <v>4314.3</v>
      </c>
    </row>
    <row r="8" spans="1:12" x14ac:dyDescent="0.3">
      <c r="A8" s="784" t="s">
        <v>1196</v>
      </c>
      <c r="B8" s="786">
        <v>11</v>
      </c>
      <c r="C8" s="785">
        <v>0</v>
      </c>
      <c r="D8" s="785">
        <v>58</v>
      </c>
      <c r="E8" s="785">
        <v>35</v>
      </c>
      <c r="F8" s="785">
        <v>-4</v>
      </c>
      <c r="G8" s="785">
        <v>-1</v>
      </c>
      <c r="H8" s="785">
        <v>34</v>
      </c>
      <c r="I8" s="785">
        <v>51</v>
      </c>
      <c r="J8" s="785">
        <v>6</v>
      </c>
      <c r="K8" s="785">
        <v>-35</v>
      </c>
    </row>
    <row r="9" spans="1:12" x14ac:dyDescent="0.3">
      <c r="A9" s="784" t="s">
        <v>1197</v>
      </c>
      <c r="B9" s="786">
        <v>44</v>
      </c>
      <c r="C9" s="785">
        <v>44</v>
      </c>
      <c r="D9" s="785">
        <v>46</v>
      </c>
      <c r="E9" s="785">
        <v>50</v>
      </c>
      <c r="F9" s="785">
        <v>50</v>
      </c>
      <c r="G9" s="785">
        <v>54</v>
      </c>
      <c r="H9" s="785">
        <v>55</v>
      </c>
      <c r="I9" s="785">
        <v>51</v>
      </c>
      <c r="J9" s="785">
        <v>53</v>
      </c>
      <c r="K9" s="785">
        <v>46</v>
      </c>
    </row>
    <row r="10" spans="1:12" x14ac:dyDescent="0.3">
      <c r="A10" s="782" t="s">
        <v>95</v>
      </c>
      <c r="B10" s="783" t="s">
        <v>539</v>
      </c>
      <c r="C10" s="783" t="s">
        <v>539</v>
      </c>
      <c r="D10" s="783" t="s">
        <v>539</v>
      </c>
      <c r="E10" s="783" t="s">
        <v>539</v>
      </c>
      <c r="F10" s="783" t="s">
        <v>539</v>
      </c>
      <c r="G10" s="783" t="s">
        <v>539</v>
      </c>
      <c r="H10" s="783" t="s">
        <v>539</v>
      </c>
      <c r="I10" s="783" t="s">
        <v>539</v>
      </c>
      <c r="J10" s="783" t="s">
        <v>539</v>
      </c>
      <c r="K10" s="783" t="s">
        <v>539</v>
      </c>
    </row>
    <row r="11" spans="1:12" x14ac:dyDescent="0.3">
      <c r="A11" s="784" t="s">
        <v>1195</v>
      </c>
      <c r="B11" s="786">
        <v>685.1</v>
      </c>
      <c r="C11" s="785">
        <v>696.2</v>
      </c>
      <c r="D11" s="785">
        <v>917.2</v>
      </c>
      <c r="E11" s="787">
        <v>1155.8</v>
      </c>
      <c r="F11" s="787">
        <v>1294.2</v>
      </c>
      <c r="G11" s="787">
        <v>1191.2</v>
      </c>
      <c r="H11" s="787">
        <v>1206.9000000000001</v>
      </c>
      <c r="I11" s="787">
        <v>1880.7</v>
      </c>
      <c r="J11" s="787">
        <v>1619.5</v>
      </c>
      <c r="K11" s="787">
        <v>1080.5</v>
      </c>
    </row>
    <row r="12" spans="1:12" x14ac:dyDescent="0.3">
      <c r="A12" s="784" t="s">
        <v>1196</v>
      </c>
      <c r="B12" s="786">
        <v>2</v>
      </c>
      <c r="C12" s="785">
        <v>1</v>
      </c>
      <c r="D12" s="785">
        <v>32</v>
      </c>
      <c r="E12" s="785">
        <v>27</v>
      </c>
      <c r="F12" s="785">
        <v>12</v>
      </c>
      <c r="G12" s="785">
        <v>-8</v>
      </c>
      <c r="H12" s="785">
        <v>1</v>
      </c>
      <c r="I12" s="785">
        <v>56</v>
      </c>
      <c r="J12" s="785">
        <v>-13</v>
      </c>
      <c r="K12" s="785">
        <v>-33</v>
      </c>
    </row>
    <row r="13" spans="1:12" x14ac:dyDescent="0.3">
      <c r="A13" s="784" t="s">
        <v>1197</v>
      </c>
      <c r="B13" s="786">
        <v>20</v>
      </c>
      <c r="C13" s="785">
        <v>20</v>
      </c>
      <c r="D13" s="785">
        <v>18</v>
      </c>
      <c r="E13" s="785">
        <v>19</v>
      </c>
      <c r="F13" s="785">
        <v>22</v>
      </c>
      <c r="G13" s="785">
        <v>21</v>
      </c>
      <c r="H13" s="785">
        <v>16</v>
      </c>
      <c r="I13" s="785">
        <v>16</v>
      </c>
      <c r="J13" s="785">
        <v>13</v>
      </c>
      <c r="K13" s="785">
        <v>11</v>
      </c>
    </row>
    <row r="14" spans="1:12" x14ac:dyDescent="0.3">
      <c r="A14" s="782" t="s">
        <v>96</v>
      </c>
      <c r="B14" s="783" t="s">
        <v>539</v>
      </c>
      <c r="C14" s="783" t="s">
        <v>539</v>
      </c>
      <c r="D14" s="783" t="s">
        <v>539</v>
      </c>
      <c r="E14" s="783" t="s">
        <v>539</v>
      </c>
      <c r="F14" s="783" t="s">
        <v>539</v>
      </c>
      <c r="G14" s="783" t="s">
        <v>539</v>
      </c>
      <c r="H14" s="783" t="s">
        <v>539</v>
      </c>
      <c r="I14" s="783" t="s">
        <v>539</v>
      </c>
      <c r="J14" s="783" t="s">
        <v>539</v>
      </c>
      <c r="K14" s="783" t="s">
        <v>539</v>
      </c>
    </row>
    <row r="15" spans="1:12" x14ac:dyDescent="0.3">
      <c r="A15" s="784" t="s">
        <v>1195</v>
      </c>
      <c r="B15" s="786">
        <v>727.6</v>
      </c>
      <c r="C15" s="785">
        <v>688.2</v>
      </c>
      <c r="D15" s="787">
        <v>1044.7</v>
      </c>
      <c r="E15" s="785">
        <v>918.4</v>
      </c>
      <c r="F15" s="785">
        <v>752.3</v>
      </c>
      <c r="G15" s="785">
        <v>635.29999999999995</v>
      </c>
      <c r="H15" s="785">
        <v>836.3</v>
      </c>
      <c r="I15" s="787">
        <v>1548.4</v>
      </c>
      <c r="J15" s="787">
        <v>1215.5999999999999</v>
      </c>
      <c r="K15" s="787">
        <v>1204.9000000000001</v>
      </c>
    </row>
    <row r="16" spans="1:12" x14ac:dyDescent="0.3">
      <c r="A16" s="784" t="s">
        <v>1196</v>
      </c>
      <c r="B16" s="786">
        <v>123</v>
      </c>
      <c r="C16" s="785">
        <v>-6</v>
      </c>
      <c r="D16" s="785">
        <v>52</v>
      </c>
      <c r="E16" s="785">
        <v>-26</v>
      </c>
      <c r="F16" s="785">
        <v>-18</v>
      </c>
      <c r="G16" s="785">
        <v>-16</v>
      </c>
      <c r="H16" s="785">
        <v>35</v>
      </c>
      <c r="I16" s="785">
        <v>85</v>
      </c>
      <c r="J16" s="785">
        <v>-20</v>
      </c>
      <c r="K16" s="785">
        <v>-1</v>
      </c>
    </row>
    <row r="17" spans="1:11" x14ac:dyDescent="0.3">
      <c r="A17" s="784" t="s">
        <v>1197</v>
      </c>
      <c r="B17" s="786">
        <v>21</v>
      </c>
      <c r="C17" s="785">
        <v>20</v>
      </c>
      <c r="D17" s="785">
        <v>20</v>
      </c>
      <c r="E17" s="785">
        <v>15</v>
      </c>
      <c r="F17" s="785">
        <v>13</v>
      </c>
      <c r="G17" s="785">
        <v>11</v>
      </c>
      <c r="H17" s="785">
        <v>12</v>
      </c>
      <c r="I17" s="785">
        <v>13</v>
      </c>
      <c r="J17" s="785">
        <v>10</v>
      </c>
      <c r="K17" s="785">
        <v>13</v>
      </c>
    </row>
    <row r="18" spans="1:11" x14ac:dyDescent="0.3">
      <c r="A18" s="782" t="s">
        <v>97</v>
      </c>
      <c r="B18" s="783" t="s">
        <v>539</v>
      </c>
      <c r="C18" s="783" t="s">
        <v>539</v>
      </c>
      <c r="D18" s="783" t="s">
        <v>539</v>
      </c>
      <c r="E18" s="783" t="s">
        <v>539</v>
      </c>
      <c r="F18" s="783" t="s">
        <v>539</v>
      </c>
      <c r="G18" s="783" t="s">
        <v>539</v>
      </c>
      <c r="H18" s="783" t="s">
        <v>539</v>
      </c>
      <c r="I18" s="783" t="s">
        <v>539</v>
      </c>
      <c r="J18" s="783" t="s">
        <v>539</v>
      </c>
      <c r="K18" s="783" t="s">
        <v>539</v>
      </c>
    </row>
    <row r="19" spans="1:11" x14ac:dyDescent="0.3">
      <c r="A19" s="784" t="s">
        <v>1195</v>
      </c>
      <c r="B19" s="786">
        <v>526.5</v>
      </c>
      <c r="C19" s="785">
        <v>558.6</v>
      </c>
      <c r="D19" s="785">
        <v>803.2</v>
      </c>
      <c r="E19" s="787">
        <v>1006.9</v>
      </c>
      <c r="F19" s="785">
        <v>929.7</v>
      </c>
      <c r="G19" s="785">
        <v>778.3</v>
      </c>
      <c r="H19" s="787">
        <v>1248.2</v>
      </c>
      <c r="I19" s="787">
        <v>2515.5</v>
      </c>
      <c r="J19" s="787">
        <v>2915.2</v>
      </c>
      <c r="K19" s="787">
        <v>2827.4</v>
      </c>
    </row>
    <row r="20" spans="1:11" x14ac:dyDescent="0.3">
      <c r="A20" s="784" t="s">
        <v>1196</v>
      </c>
      <c r="B20" s="786">
        <v>0</v>
      </c>
      <c r="C20" s="785">
        <v>3</v>
      </c>
      <c r="D20" s="785">
        <v>45</v>
      </c>
      <c r="E20" s="785">
        <v>33</v>
      </c>
      <c r="F20" s="785">
        <v>-8</v>
      </c>
      <c r="G20" s="785">
        <v>-16</v>
      </c>
      <c r="H20" s="785">
        <v>60</v>
      </c>
      <c r="I20" s="785">
        <v>102</v>
      </c>
      <c r="J20" s="785">
        <v>19</v>
      </c>
      <c r="K20" s="785">
        <v>-2</v>
      </c>
    </row>
    <row r="21" spans="1:11" x14ac:dyDescent="0.3">
      <c r="A21" s="784" t="s">
        <v>1197</v>
      </c>
      <c r="B21" s="786">
        <v>15</v>
      </c>
      <c r="C21" s="785">
        <v>16</v>
      </c>
      <c r="D21" s="785">
        <v>16</v>
      </c>
      <c r="E21" s="785">
        <v>16</v>
      </c>
      <c r="F21" s="785">
        <v>16</v>
      </c>
      <c r="G21" s="785">
        <v>14</v>
      </c>
      <c r="H21" s="785">
        <v>17</v>
      </c>
      <c r="I21" s="785">
        <v>21</v>
      </c>
      <c r="J21" s="785">
        <v>24</v>
      </c>
      <c r="K21" s="785">
        <v>30</v>
      </c>
    </row>
    <row r="22" spans="1:11" x14ac:dyDescent="0.3">
      <c r="A22" s="782" t="s">
        <v>1198</v>
      </c>
      <c r="B22" s="783" t="s">
        <v>539</v>
      </c>
      <c r="C22" s="783" t="s">
        <v>539</v>
      </c>
      <c r="D22" s="783" t="s">
        <v>539</v>
      </c>
      <c r="E22" s="783" t="s">
        <v>539</v>
      </c>
      <c r="F22" s="783" t="s">
        <v>539</v>
      </c>
      <c r="G22" s="783" t="s">
        <v>539</v>
      </c>
      <c r="H22" s="783" t="s">
        <v>539</v>
      </c>
      <c r="I22" s="783" t="s">
        <v>539</v>
      </c>
      <c r="J22" s="783" t="s">
        <v>539</v>
      </c>
      <c r="K22" s="783" t="s">
        <v>539</v>
      </c>
    </row>
    <row r="23" spans="1:11" x14ac:dyDescent="0.3">
      <c r="A23" s="784" t="s">
        <v>1199</v>
      </c>
      <c r="B23" s="786" t="s">
        <v>360</v>
      </c>
      <c r="C23" s="785" t="s">
        <v>360</v>
      </c>
      <c r="D23" s="785" t="s">
        <v>360</v>
      </c>
      <c r="E23" s="787">
        <v>3424.1</v>
      </c>
      <c r="F23" s="787">
        <v>3409.2</v>
      </c>
      <c r="G23" s="787">
        <v>3216.3</v>
      </c>
      <c r="H23" s="787">
        <v>4589.8999999999996</v>
      </c>
      <c r="I23" s="787">
        <v>7458.5</v>
      </c>
      <c r="J23" s="787">
        <v>7534.9</v>
      </c>
      <c r="K23" s="787">
        <v>5505.8</v>
      </c>
    </row>
    <row r="24" spans="1:11" x14ac:dyDescent="0.3">
      <c r="A24" s="782" t="s">
        <v>1200</v>
      </c>
      <c r="B24" s="783" t="s">
        <v>539</v>
      </c>
      <c r="C24" s="783" t="s">
        <v>539</v>
      </c>
      <c r="D24" s="783" t="s">
        <v>539</v>
      </c>
      <c r="E24" s="783" t="s">
        <v>539</v>
      </c>
      <c r="F24" s="783" t="s">
        <v>539</v>
      </c>
      <c r="G24" s="783" t="s">
        <v>539</v>
      </c>
      <c r="H24" s="783" t="s">
        <v>539</v>
      </c>
      <c r="I24" s="783" t="s">
        <v>539</v>
      </c>
      <c r="J24" s="783" t="s">
        <v>539</v>
      </c>
      <c r="K24" s="783" t="s">
        <v>539</v>
      </c>
    </row>
    <row r="25" spans="1:11" x14ac:dyDescent="0.3">
      <c r="A25" s="784" t="s">
        <v>1199</v>
      </c>
      <c r="B25" s="786" t="s">
        <v>360</v>
      </c>
      <c r="C25" s="785" t="s">
        <v>360</v>
      </c>
      <c r="D25" s="785" t="s">
        <v>360</v>
      </c>
      <c r="E25" s="787">
        <v>2721.9</v>
      </c>
      <c r="F25" s="787">
        <v>2506.1</v>
      </c>
      <c r="G25" s="787">
        <v>2300.5</v>
      </c>
      <c r="H25" s="787">
        <v>2600.4</v>
      </c>
      <c r="I25" s="787">
        <v>4423.8999999999996</v>
      </c>
      <c r="J25" s="787">
        <v>4603.2</v>
      </c>
      <c r="K25" s="787">
        <v>3772.9</v>
      </c>
    </row>
    <row r="26" spans="1:11" x14ac:dyDescent="0.3">
      <c r="A26" s="782" t="s">
        <v>299</v>
      </c>
      <c r="B26" s="783" t="s">
        <v>539</v>
      </c>
      <c r="C26" s="783" t="s">
        <v>539</v>
      </c>
      <c r="D26" s="783" t="s">
        <v>539</v>
      </c>
      <c r="E26" s="783" t="s">
        <v>539</v>
      </c>
      <c r="F26" s="783" t="s">
        <v>539</v>
      </c>
      <c r="G26" s="783" t="s">
        <v>539</v>
      </c>
      <c r="H26" s="783" t="s">
        <v>539</v>
      </c>
      <c r="I26" s="783" t="s">
        <v>539</v>
      </c>
      <c r="J26" s="783" t="s">
        <v>539</v>
      </c>
      <c r="K26" s="783" t="s">
        <v>539</v>
      </c>
    </row>
    <row r="27" spans="1:11" x14ac:dyDescent="0.3">
      <c r="A27" s="784" t="s">
        <v>1199</v>
      </c>
      <c r="B27" s="786" t="s">
        <v>360</v>
      </c>
      <c r="C27" s="785" t="s">
        <v>360</v>
      </c>
      <c r="D27" s="785" t="s">
        <v>360</v>
      </c>
      <c r="E27" s="785">
        <v>78.7</v>
      </c>
      <c r="F27" s="785">
        <v>75.8</v>
      </c>
      <c r="G27" s="785">
        <v>86.3</v>
      </c>
      <c r="H27" s="785">
        <v>128</v>
      </c>
      <c r="I27" s="785">
        <v>131.6</v>
      </c>
      <c r="J27" s="785">
        <v>167.5</v>
      </c>
      <c r="K27" s="785">
        <v>148.4</v>
      </c>
    </row>
    <row r="28" spans="1:11" x14ac:dyDescent="0.3">
      <c r="A28" s="790" t="s">
        <v>636</v>
      </c>
      <c r="B28" s="790" t="s">
        <v>539</v>
      </c>
      <c r="C28" s="790" t="s">
        <v>539</v>
      </c>
      <c r="D28" s="790" t="s">
        <v>539</v>
      </c>
      <c r="E28" s="790" t="s">
        <v>539</v>
      </c>
      <c r="F28" s="790" t="s">
        <v>539</v>
      </c>
      <c r="G28" s="790" t="s">
        <v>539</v>
      </c>
      <c r="H28" s="790" t="s">
        <v>539</v>
      </c>
      <c r="I28" s="790" t="s">
        <v>539</v>
      </c>
      <c r="J28" s="790" t="s">
        <v>539</v>
      </c>
      <c r="K28" s="790" t="s">
        <v>539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6E2C-B9C4-4F51-BB4C-FFEE76CCDA18}">
  <sheetPr codeName="Sheet28"/>
  <dimension ref="A1:K155"/>
  <sheetViews>
    <sheetView workbookViewId="0">
      <selection sqref="A1:K155"/>
    </sheetView>
  </sheetViews>
  <sheetFormatPr defaultColWidth="8.83203125" defaultRowHeight="14" x14ac:dyDescent="0.3"/>
  <cols>
    <col min="1" max="2" width="36" bestFit="1" customWidth="1"/>
  </cols>
  <sheetData>
    <row r="1" spans="1:11" ht="14.5" x14ac:dyDescent="0.35">
      <c r="A1" s="792" t="s">
        <v>539</v>
      </c>
      <c r="B1" s="792" t="s">
        <v>539</v>
      </c>
      <c r="C1" s="773" t="s">
        <v>539</v>
      </c>
      <c r="D1" s="773" t="s">
        <v>539</v>
      </c>
      <c r="E1" s="773" t="s">
        <v>539</v>
      </c>
      <c r="F1" s="773" t="s">
        <v>539</v>
      </c>
      <c r="G1" s="773" t="s">
        <v>539</v>
      </c>
      <c r="H1" s="773" t="s">
        <v>539</v>
      </c>
      <c r="I1" s="773" t="s">
        <v>539</v>
      </c>
      <c r="J1" s="773" t="s">
        <v>539</v>
      </c>
      <c r="K1" s="773" t="s">
        <v>539</v>
      </c>
    </row>
    <row r="2" spans="1:11" ht="20" x14ac:dyDescent="0.4">
      <c r="A2" s="793" t="s">
        <v>1201</v>
      </c>
      <c r="B2" s="793" t="s">
        <v>539</v>
      </c>
      <c r="C2" s="774" t="s">
        <v>539</v>
      </c>
      <c r="D2" s="774" t="s">
        <v>539</v>
      </c>
      <c r="E2" s="774" t="s">
        <v>539</v>
      </c>
      <c r="F2" s="774" t="s">
        <v>539</v>
      </c>
      <c r="G2" s="774" t="s">
        <v>539</v>
      </c>
      <c r="H2" s="774" t="s">
        <v>539</v>
      </c>
      <c r="I2" s="774" t="s">
        <v>539</v>
      </c>
      <c r="J2" s="774" t="s">
        <v>539</v>
      </c>
      <c r="K2" s="774" t="s">
        <v>539</v>
      </c>
    </row>
    <row r="3" spans="1:11" x14ac:dyDescent="0.3">
      <c r="A3" s="794" t="s">
        <v>539</v>
      </c>
      <c r="B3" s="794" t="s">
        <v>539</v>
      </c>
      <c r="C3" s="776" t="s">
        <v>539</v>
      </c>
      <c r="D3" s="776" t="s">
        <v>539</v>
      </c>
      <c r="E3" s="776" t="s">
        <v>539</v>
      </c>
      <c r="F3" s="776" t="s">
        <v>539</v>
      </c>
      <c r="G3" s="776" t="s">
        <v>539</v>
      </c>
      <c r="H3" s="776" t="s">
        <v>539</v>
      </c>
      <c r="I3" s="776" t="s">
        <v>539</v>
      </c>
      <c r="J3" s="776" t="s">
        <v>539</v>
      </c>
      <c r="K3" s="776" t="s">
        <v>539</v>
      </c>
    </row>
    <row r="4" spans="1:11" x14ac:dyDescent="0.3">
      <c r="A4" s="795" t="s">
        <v>606</v>
      </c>
      <c r="B4" s="801" t="s">
        <v>607</v>
      </c>
      <c r="C4" s="778" t="s">
        <v>608</v>
      </c>
      <c r="D4" s="778" t="s">
        <v>609</v>
      </c>
      <c r="E4" s="778" t="s">
        <v>610</v>
      </c>
      <c r="F4" s="778" t="s">
        <v>611</v>
      </c>
      <c r="G4" s="778" t="s">
        <v>612</v>
      </c>
      <c r="H4" s="778" t="s">
        <v>613</v>
      </c>
      <c r="I4" s="778" t="s">
        <v>614</v>
      </c>
      <c r="J4" s="778" t="s">
        <v>615</v>
      </c>
      <c r="K4" s="778" t="s">
        <v>616</v>
      </c>
    </row>
    <row r="5" spans="1:11" x14ac:dyDescent="0.3">
      <c r="A5" s="796" t="s">
        <v>617</v>
      </c>
      <c r="B5" s="802">
        <v>42308</v>
      </c>
      <c r="C5" s="781">
        <v>42672</v>
      </c>
      <c r="D5" s="781">
        <v>43036</v>
      </c>
      <c r="E5" s="781">
        <v>43407</v>
      </c>
      <c r="F5" s="781">
        <v>43771</v>
      </c>
      <c r="G5" s="781">
        <v>44135</v>
      </c>
      <c r="H5" s="781">
        <v>44499</v>
      </c>
      <c r="I5" s="781">
        <v>44863</v>
      </c>
      <c r="J5" s="781">
        <v>45227</v>
      </c>
      <c r="K5" s="781">
        <v>45598</v>
      </c>
    </row>
    <row r="6" spans="1:11" x14ac:dyDescent="0.3">
      <c r="A6" s="798" t="s">
        <v>1202</v>
      </c>
      <c r="B6" s="804" t="s">
        <v>539</v>
      </c>
      <c r="C6" s="785" t="s">
        <v>539</v>
      </c>
      <c r="D6" s="785" t="s">
        <v>539</v>
      </c>
      <c r="E6" s="785" t="s">
        <v>539</v>
      </c>
      <c r="F6" s="785" t="s">
        <v>539</v>
      </c>
      <c r="G6" s="785" t="s">
        <v>539</v>
      </c>
      <c r="H6" s="785" t="s">
        <v>539</v>
      </c>
      <c r="I6" s="785" t="s">
        <v>539</v>
      </c>
      <c r="J6" s="785" t="s">
        <v>539</v>
      </c>
      <c r="K6" s="785" t="s">
        <v>539</v>
      </c>
    </row>
    <row r="7" spans="1:11" x14ac:dyDescent="0.3">
      <c r="A7" s="798" t="s">
        <v>1203</v>
      </c>
      <c r="B7" s="805">
        <v>3.65</v>
      </c>
      <c r="C7" s="785">
        <v>3.87</v>
      </c>
      <c r="D7" s="785">
        <v>4.4800000000000004</v>
      </c>
      <c r="E7" s="785">
        <v>4.5199999999999996</v>
      </c>
      <c r="F7" s="785">
        <v>4.6500000000000004</v>
      </c>
      <c r="G7" s="785">
        <v>4.7699999999999996</v>
      </c>
      <c r="H7" s="785">
        <v>4.4800000000000004</v>
      </c>
      <c r="I7" s="785">
        <v>5.12</v>
      </c>
      <c r="J7" s="785" t="s">
        <v>360</v>
      </c>
      <c r="K7" s="785" t="s">
        <v>360</v>
      </c>
    </row>
    <row r="8" spans="1:11" x14ac:dyDescent="0.3">
      <c r="A8" s="798" t="s">
        <v>1204</v>
      </c>
      <c r="B8" s="805">
        <v>3.35</v>
      </c>
      <c r="C8" s="785">
        <v>3.38</v>
      </c>
      <c r="D8" s="785">
        <v>4.6900000000000004</v>
      </c>
      <c r="E8" s="785">
        <v>4.95</v>
      </c>
      <c r="F8" s="785">
        <v>4.4800000000000004</v>
      </c>
      <c r="G8" s="785">
        <v>5.18</v>
      </c>
      <c r="H8" s="785">
        <v>4.8899999999999997</v>
      </c>
      <c r="I8" s="785">
        <v>6.43</v>
      </c>
      <c r="J8" s="785" t="s">
        <v>360</v>
      </c>
      <c r="K8" s="785" t="s">
        <v>360</v>
      </c>
    </row>
    <row r="9" spans="1:11" x14ac:dyDescent="0.3">
      <c r="A9" s="798" t="s">
        <v>1205</v>
      </c>
      <c r="B9" s="805">
        <v>1.62</v>
      </c>
      <c r="C9" s="785">
        <v>2.29</v>
      </c>
      <c r="D9" s="785">
        <v>2.52</v>
      </c>
      <c r="E9" s="785">
        <v>2.29</v>
      </c>
      <c r="F9" s="785">
        <v>3.25</v>
      </c>
      <c r="G9" s="785">
        <v>2.4900000000000002</v>
      </c>
      <c r="H9" s="785">
        <v>2.23</v>
      </c>
      <c r="I9" s="785">
        <v>1.93</v>
      </c>
      <c r="J9" s="785" t="s">
        <v>360</v>
      </c>
      <c r="K9" s="785" t="s">
        <v>360</v>
      </c>
    </row>
    <row r="10" spans="1:11" x14ac:dyDescent="0.3">
      <c r="A10" s="798" t="s">
        <v>1206</v>
      </c>
      <c r="B10" s="805">
        <v>6.76</v>
      </c>
      <c r="C10" s="785">
        <v>6.58</v>
      </c>
      <c r="D10" s="785">
        <v>6.53</v>
      </c>
      <c r="E10" s="785">
        <v>6.63</v>
      </c>
      <c r="F10" s="785">
        <v>6.51</v>
      </c>
      <c r="G10" s="785">
        <v>6.96</v>
      </c>
      <c r="H10" s="785">
        <v>6.65</v>
      </c>
      <c r="I10" s="785">
        <v>7.4</v>
      </c>
      <c r="J10" s="785" t="s">
        <v>360</v>
      </c>
      <c r="K10" s="785" t="s">
        <v>360</v>
      </c>
    </row>
    <row r="11" spans="1:11" x14ac:dyDescent="0.3">
      <c r="A11" s="798" t="s">
        <v>539</v>
      </c>
      <c r="B11" s="804" t="s">
        <v>539</v>
      </c>
      <c r="C11" s="785" t="s">
        <v>539</v>
      </c>
      <c r="D11" s="785" t="s">
        <v>539</v>
      </c>
      <c r="E11" s="785" t="s">
        <v>539</v>
      </c>
      <c r="F11" s="785" t="s">
        <v>539</v>
      </c>
      <c r="G11" s="785" t="s">
        <v>539</v>
      </c>
      <c r="H11" s="785" t="s">
        <v>539</v>
      </c>
      <c r="I11" s="785" t="s">
        <v>539</v>
      </c>
      <c r="J11" s="785" t="s">
        <v>539</v>
      </c>
      <c r="K11" s="785" t="s">
        <v>539</v>
      </c>
    </row>
    <row r="12" spans="1:11" x14ac:dyDescent="0.3">
      <c r="A12" s="798" t="s">
        <v>1207</v>
      </c>
      <c r="B12" s="804" t="s">
        <v>539</v>
      </c>
      <c r="C12" s="785" t="s">
        <v>539</v>
      </c>
      <c r="D12" s="785" t="s">
        <v>539</v>
      </c>
      <c r="E12" s="785" t="s">
        <v>539</v>
      </c>
      <c r="F12" s="785" t="s">
        <v>539</v>
      </c>
      <c r="G12" s="785" t="s">
        <v>539</v>
      </c>
      <c r="H12" s="785" t="s">
        <v>539</v>
      </c>
      <c r="I12" s="785" t="s">
        <v>539</v>
      </c>
      <c r="J12" s="785" t="s">
        <v>539</v>
      </c>
      <c r="K12" s="785" t="s">
        <v>539</v>
      </c>
    </row>
    <row r="13" spans="1:11" x14ac:dyDescent="0.3">
      <c r="A13" s="798" t="s">
        <v>1208</v>
      </c>
      <c r="B13" s="805">
        <v>46.32</v>
      </c>
      <c r="C13" s="785">
        <v>47.24</v>
      </c>
      <c r="D13" s="785">
        <v>50.27</v>
      </c>
      <c r="E13" s="785">
        <v>49.12</v>
      </c>
      <c r="F13" s="785">
        <v>52.02</v>
      </c>
      <c r="G13" s="785">
        <v>55.21</v>
      </c>
      <c r="H13" s="785">
        <v>64.790000000000006</v>
      </c>
      <c r="I13" s="785">
        <v>65.42</v>
      </c>
      <c r="J13" s="785" t="s">
        <v>360</v>
      </c>
      <c r="K13" s="785" t="s">
        <v>360</v>
      </c>
    </row>
    <row r="14" spans="1:11" x14ac:dyDescent="0.3">
      <c r="A14" s="798" t="s">
        <v>1209</v>
      </c>
      <c r="B14" s="805">
        <v>35.19</v>
      </c>
      <c r="C14" s="785">
        <v>36.909999999999997</v>
      </c>
      <c r="D14" s="785">
        <v>46</v>
      </c>
      <c r="E14" s="785">
        <v>47.72</v>
      </c>
      <c r="F14" s="785">
        <v>44.88</v>
      </c>
      <c r="G14" s="785">
        <v>45.21</v>
      </c>
      <c r="H14" s="785">
        <v>46.93</v>
      </c>
      <c r="I14" s="785">
        <v>51.37</v>
      </c>
      <c r="J14" s="785" t="s">
        <v>360</v>
      </c>
      <c r="K14" s="785" t="s">
        <v>360</v>
      </c>
    </row>
    <row r="15" spans="1:11" x14ac:dyDescent="0.3">
      <c r="A15" s="798" t="s">
        <v>1210</v>
      </c>
      <c r="B15" s="805">
        <v>18.649999999999999</v>
      </c>
      <c r="C15" s="785">
        <v>19.68</v>
      </c>
      <c r="D15" s="785">
        <v>19.68</v>
      </c>
      <c r="E15" s="785">
        <v>14.51</v>
      </c>
      <c r="F15" s="785">
        <v>26.06</v>
      </c>
      <c r="G15" s="785">
        <v>29.02</v>
      </c>
      <c r="H15" s="785">
        <v>49.82</v>
      </c>
      <c r="I15" s="785">
        <v>47.25</v>
      </c>
      <c r="J15" s="785" t="s">
        <v>360</v>
      </c>
      <c r="K15" s="785" t="s">
        <v>360</v>
      </c>
    </row>
    <row r="16" spans="1:11" x14ac:dyDescent="0.3">
      <c r="A16" s="798" t="s">
        <v>1211</v>
      </c>
      <c r="B16" s="805">
        <v>84.98</v>
      </c>
      <c r="C16" s="785">
        <v>84.98</v>
      </c>
      <c r="D16" s="785">
        <v>84.98</v>
      </c>
      <c r="E16" s="785">
        <v>84.98</v>
      </c>
      <c r="F16" s="785">
        <v>84.98</v>
      </c>
      <c r="G16" s="785">
        <v>91.24</v>
      </c>
      <c r="H16" s="785">
        <v>97.5</v>
      </c>
      <c r="I16" s="785">
        <v>97.5</v>
      </c>
      <c r="J16" s="785" t="s">
        <v>360</v>
      </c>
      <c r="K16" s="785" t="s">
        <v>360</v>
      </c>
    </row>
    <row r="17" spans="1:11" x14ac:dyDescent="0.3">
      <c r="A17" s="798" t="s">
        <v>539</v>
      </c>
      <c r="B17" s="804" t="s">
        <v>539</v>
      </c>
      <c r="C17" s="785" t="s">
        <v>539</v>
      </c>
      <c r="D17" s="785" t="s">
        <v>539</v>
      </c>
      <c r="E17" s="785" t="s">
        <v>539</v>
      </c>
      <c r="F17" s="785" t="s">
        <v>539</v>
      </c>
      <c r="G17" s="785" t="s">
        <v>539</v>
      </c>
      <c r="H17" s="785" t="s">
        <v>539</v>
      </c>
      <c r="I17" s="785" t="s">
        <v>539</v>
      </c>
      <c r="J17" s="785" t="s">
        <v>539</v>
      </c>
      <c r="K17" s="785" t="s">
        <v>539</v>
      </c>
    </row>
    <row r="18" spans="1:11" x14ac:dyDescent="0.3">
      <c r="A18" s="797" t="s">
        <v>1212</v>
      </c>
      <c r="B18" s="803" t="s">
        <v>539</v>
      </c>
      <c r="C18" s="783" t="s">
        <v>539</v>
      </c>
      <c r="D18" s="783" t="s">
        <v>539</v>
      </c>
      <c r="E18" s="783" t="s">
        <v>539</v>
      </c>
      <c r="F18" s="783" t="s">
        <v>539</v>
      </c>
      <c r="G18" s="783" t="s">
        <v>539</v>
      </c>
      <c r="H18" s="783" t="s">
        <v>539</v>
      </c>
      <c r="I18" s="783" t="s">
        <v>539</v>
      </c>
      <c r="J18" s="783" t="s">
        <v>539</v>
      </c>
      <c r="K18" s="783" t="s">
        <v>539</v>
      </c>
    </row>
    <row r="19" spans="1:11" x14ac:dyDescent="0.3">
      <c r="A19" s="798" t="s">
        <v>1213</v>
      </c>
      <c r="B19" s="804" t="s">
        <v>539</v>
      </c>
      <c r="C19" s="785" t="s">
        <v>539</v>
      </c>
      <c r="D19" s="785" t="s">
        <v>539</v>
      </c>
      <c r="E19" s="785" t="s">
        <v>539</v>
      </c>
      <c r="F19" s="785" t="s">
        <v>539</v>
      </c>
      <c r="G19" s="785" t="s">
        <v>539</v>
      </c>
      <c r="H19" s="785" t="s">
        <v>539</v>
      </c>
      <c r="I19" s="785" t="s">
        <v>539</v>
      </c>
      <c r="J19" s="785" t="s">
        <v>539</v>
      </c>
      <c r="K19" s="785" t="s">
        <v>539</v>
      </c>
    </row>
    <row r="20" spans="1:11" x14ac:dyDescent="0.3">
      <c r="A20" s="798" t="s">
        <v>539</v>
      </c>
      <c r="B20" s="804" t="s">
        <v>539</v>
      </c>
      <c r="C20" s="785" t="s">
        <v>539</v>
      </c>
      <c r="D20" s="785" t="s">
        <v>539</v>
      </c>
      <c r="E20" s="785" t="s">
        <v>539</v>
      </c>
      <c r="F20" s="785" t="s">
        <v>539</v>
      </c>
      <c r="G20" s="785" t="s">
        <v>539</v>
      </c>
      <c r="H20" s="785" t="s">
        <v>539</v>
      </c>
      <c r="I20" s="785" t="s">
        <v>539</v>
      </c>
      <c r="J20" s="785" t="s">
        <v>539</v>
      </c>
      <c r="K20" s="785" t="s">
        <v>539</v>
      </c>
    </row>
    <row r="21" spans="1:11" x14ac:dyDescent="0.3">
      <c r="A21" s="798" t="s">
        <v>1214</v>
      </c>
      <c r="B21" s="804" t="s">
        <v>539</v>
      </c>
      <c r="C21" s="785" t="s">
        <v>539</v>
      </c>
      <c r="D21" s="785" t="s">
        <v>539</v>
      </c>
      <c r="E21" s="785" t="s">
        <v>539</v>
      </c>
      <c r="F21" s="785" t="s">
        <v>539</v>
      </c>
      <c r="G21" s="785" t="s">
        <v>539</v>
      </c>
      <c r="H21" s="785" t="s">
        <v>539</v>
      </c>
      <c r="I21" s="785" t="s">
        <v>539</v>
      </c>
      <c r="J21" s="785" t="s">
        <v>539</v>
      </c>
      <c r="K21" s="785" t="s">
        <v>539</v>
      </c>
    </row>
    <row r="22" spans="1:11" x14ac:dyDescent="0.3">
      <c r="A22" s="798" t="s">
        <v>1215</v>
      </c>
      <c r="B22" s="805" t="s">
        <v>680</v>
      </c>
      <c r="C22" s="785" t="s">
        <v>680</v>
      </c>
      <c r="D22" s="785" t="s">
        <v>680</v>
      </c>
      <c r="E22" s="785" t="s">
        <v>680</v>
      </c>
      <c r="F22" s="785" t="s">
        <v>680</v>
      </c>
      <c r="G22" s="785" t="s">
        <v>680</v>
      </c>
      <c r="H22" s="785" t="s">
        <v>680</v>
      </c>
      <c r="I22" s="785" t="s">
        <v>680</v>
      </c>
      <c r="J22" s="785" t="s">
        <v>680</v>
      </c>
      <c r="K22" s="785" t="s">
        <v>1216</v>
      </c>
    </row>
    <row r="23" spans="1:11" x14ac:dyDescent="0.3">
      <c r="A23" s="798" t="s">
        <v>1217</v>
      </c>
      <c r="B23" s="805" t="s">
        <v>1216</v>
      </c>
      <c r="C23" s="785" t="s">
        <v>1216</v>
      </c>
      <c r="D23" s="785" t="s">
        <v>1216</v>
      </c>
      <c r="E23" s="785" t="s">
        <v>1216</v>
      </c>
      <c r="F23" s="785" t="s">
        <v>1216</v>
      </c>
      <c r="G23" s="785" t="s">
        <v>1216</v>
      </c>
      <c r="H23" s="785" t="s">
        <v>1216</v>
      </c>
      <c r="I23" s="785" t="s">
        <v>679</v>
      </c>
      <c r="J23" s="785" t="s">
        <v>679</v>
      </c>
      <c r="K23" s="785" t="s">
        <v>1216</v>
      </c>
    </row>
    <row r="24" spans="1:11" x14ac:dyDescent="0.3">
      <c r="A24" s="798" t="s">
        <v>1218</v>
      </c>
      <c r="B24" s="805" t="s">
        <v>680</v>
      </c>
      <c r="C24" s="785" t="s">
        <v>680</v>
      </c>
      <c r="D24" s="785" t="s">
        <v>680</v>
      </c>
      <c r="E24" s="785" t="s">
        <v>680</v>
      </c>
      <c r="F24" s="785" t="s">
        <v>680</v>
      </c>
      <c r="G24" s="785" t="s">
        <v>680</v>
      </c>
      <c r="H24" s="785" t="s">
        <v>680</v>
      </c>
      <c r="I24" s="785" t="s">
        <v>680</v>
      </c>
      <c r="J24" s="785" t="s">
        <v>680</v>
      </c>
      <c r="K24" s="785" t="s">
        <v>680</v>
      </c>
    </row>
    <row r="25" spans="1:11" ht="25.5" x14ac:dyDescent="0.3">
      <c r="A25" s="798" t="s">
        <v>1219</v>
      </c>
      <c r="B25" s="805" t="s">
        <v>679</v>
      </c>
      <c r="C25" s="785" t="s">
        <v>679</v>
      </c>
      <c r="D25" s="785" t="s">
        <v>679</v>
      </c>
      <c r="E25" s="785" t="s">
        <v>679</v>
      </c>
      <c r="F25" s="785" t="s">
        <v>679</v>
      </c>
      <c r="G25" s="785" t="s">
        <v>679</v>
      </c>
      <c r="H25" s="785" t="s">
        <v>679</v>
      </c>
      <c r="I25" s="785" t="s">
        <v>679</v>
      </c>
      <c r="J25" s="785" t="s">
        <v>679</v>
      </c>
      <c r="K25" s="785" t="s">
        <v>679</v>
      </c>
    </row>
    <row r="26" spans="1:11" x14ac:dyDescent="0.3">
      <c r="A26" s="798" t="s">
        <v>1220</v>
      </c>
      <c r="B26" s="805" t="s">
        <v>680</v>
      </c>
      <c r="C26" s="785" t="s">
        <v>680</v>
      </c>
      <c r="D26" s="785" t="s">
        <v>679</v>
      </c>
      <c r="E26" s="785" t="s">
        <v>679</v>
      </c>
      <c r="F26" s="785" t="s">
        <v>679</v>
      </c>
      <c r="G26" s="785" t="s">
        <v>680</v>
      </c>
      <c r="H26" s="785" t="s">
        <v>680</v>
      </c>
      <c r="I26" s="785" t="s">
        <v>680</v>
      </c>
      <c r="J26" s="785" t="s">
        <v>680</v>
      </c>
      <c r="K26" s="785" t="s">
        <v>680</v>
      </c>
    </row>
    <row r="27" spans="1:11" x14ac:dyDescent="0.3">
      <c r="A27" s="798" t="s">
        <v>1221</v>
      </c>
      <c r="B27" s="805" t="s">
        <v>360</v>
      </c>
      <c r="C27" s="785" t="s">
        <v>360</v>
      </c>
      <c r="D27" s="785">
        <v>15.2</v>
      </c>
      <c r="E27" s="785">
        <v>16.600000000000001</v>
      </c>
      <c r="F27" s="785">
        <v>15.9</v>
      </c>
      <c r="G27" s="785">
        <v>15.9</v>
      </c>
      <c r="H27" s="785">
        <v>27.6</v>
      </c>
      <c r="I27" s="785">
        <v>31.7</v>
      </c>
      <c r="J27" s="785" t="s">
        <v>360</v>
      </c>
      <c r="K27" s="785" t="s">
        <v>360</v>
      </c>
    </row>
    <row r="28" spans="1:11" x14ac:dyDescent="0.3">
      <c r="A28" s="798" t="s">
        <v>1222</v>
      </c>
      <c r="B28" s="805">
        <v>132.69999999999999</v>
      </c>
      <c r="C28" s="785">
        <v>134.6</v>
      </c>
      <c r="D28" s="785">
        <v>49.8</v>
      </c>
      <c r="E28" s="785">
        <v>54.4</v>
      </c>
      <c r="F28" s="785" t="s">
        <v>360</v>
      </c>
      <c r="G28" s="785" t="s">
        <v>360</v>
      </c>
      <c r="H28" s="785" t="s">
        <v>360</v>
      </c>
      <c r="I28" s="785">
        <v>176</v>
      </c>
      <c r="J28" s="785">
        <v>138</v>
      </c>
      <c r="K28" s="785" t="s">
        <v>360</v>
      </c>
    </row>
    <row r="29" spans="1:11" x14ac:dyDescent="0.3">
      <c r="A29" s="798" t="s">
        <v>1223</v>
      </c>
      <c r="B29" s="805" t="s">
        <v>360</v>
      </c>
      <c r="C29" s="785" t="s">
        <v>360</v>
      </c>
      <c r="D29" s="785">
        <v>148.1</v>
      </c>
      <c r="E29" s="785">
        <v>165.3</v>
      </c>
      <c r="F29" s="785">
        <v>171</v>
      </c>
      <c r="G29" s="785">
        <v>171.9</v>
      </c>
      <c r="H29" s="785">
        <v>275.5</v>
      </c>
      <c r="I29" s="785">
        <v>292.60000000000002</v>
      </c>
      <c r="J29" s="785" t="s">
        <v>360</v>
      </c>
      <c r="K29" s="785" t="s">
        <v>360</v>
      </c>
    </row>
    <row r="30" spans="1:11" x14ac:dyDescent="0.3">
      <c r="A30" s="798" t="s">
        <v>1224</v>
      </c>
      <c r="B30" s="805">
        <v>86.3</v>
      </c>
      <c r="C30" s="785">
        <v>83.2</v>
      </c>
      <c r="D30" s="785">
        <v>94.1</v>
      </c>
      <c r="E30" s="785">
        <v>94.3</v>
      </c>
      <c r="F30" s="785" t="s">
        <v>360</v>
      </c>
      <c r="G30" s="785" t="s">
        <v>360</v>
      </c>
      <c r="H30" s="785" t="s">
        <v>360</v>
      </c>
      <c r="I30" s="785">
        <v>149</v>
      </c>
      <c r="J30" s="785">
        <v>140</v>
      </c>
      <c r="K30" s="785" t="s">
        <v>360</v>
      </c>
    </row>
    <row r="31" spans="1:11" x14ac:dyDescent="0.3">
      <c r="A31" s="798" t="s">
        <v>1225</v>
      </c>
      <c r="B31" s="805">
        <v>7</v>
      </c>
      <c r="C31" s="785">
        <v>7.9</v>
      </c>
      <c r="D31" s="785">
        <v>9.6</v>
      </c>
      <c r="E31" s="785">
        <v>4.5999999999999996</v>
      </c>
      <c r="F31" s="785">
        <v>7</v>
      </c>
      <c r="G31" s="787">
        <v>1195</v>
      </c>
      <c r="H31" s="787">
        <v>1497.5</v>
      </c>
      <c r="I31" s="787">
        <v>2654</v>
      </c>
      <c r="J31" s="787">
        <v>2343</v>
      </c>
      <c r="K31" s="785" t="s">
        <v>360</v>
      </c>
    </row>
    <row r="32" spans="1:11" x14ac:dyDescent="0.3">
      <c r="A32" s="798" t="s">
        <v>1226</v>
      </c>
      <c r="B32" s="805" t="s">
        <v>360</v>
      </c>
      <c r="C32" s="785" t="s">
        <v>360</v>
      </c>
      <c r="D32" s="785">
        <v>1</v>
      </c>
      <c r="E32" s="785">
        <v>1</v>
      </c>
      <c r="F32" s="785">
        <v>1</v>
      </c>
      <c r="G32" s="785">
        <v>1</v>
      </c>
      <c r="H32" s="785">
        <v>1</v>
      </c>
      <c r="I32" s="785">
        <v>1</v>
      </c>
      <c r="J32" s="785">
        <v>1</v>
      </c>
      <c r="K32" s="785" t="s">
        <v>360</v>
      </c>
    </row>
    <row r="33" spans="1:11" x14ac:dyDescent="0.3">
      <c r="A33" s="798" t="s">
        <v>539</v>
      </c>
      <c r="B33" s="804" t="s">
        <v>539</v>
      </c>
      <c r="C33" s="785" t="s">
        <v>539</v>
      </c>
      <c r="D33" s="785" t="s">
        <v>539</v>
      </c>
      <c r="E33" s="785" t="s">
        <v>539</v>
      </c>
      <c r="F33" s="785" t="s">
        <v>539</v>
      </c>
      <c r="G33" s="785" t="s">
        <v>539</v>
      </c>
      <c r="H33" s="785" t="s">
        <v>539</v>
      </c>
      <c r="I33" s="785" t="s">
        <v>539</v>
      </c>
      <c r="J33" s="785" t="s">
        <v>539</v>
      </c>
      <c r="K33" s="785" t="s">
        <v>539</v>
      </c>
    </row>
    <row r="34" spans="1:11" x14ac:dyDescent="0.3">
      <c r="A34" s="798" t="s">
        <v>1227</v>
      </c>
      <c r="B34" s="804" t="s">
        <v>539</v>
      </c>
      <c r="C34" s="785" t="s">
        <v>539</v>
      </c>
      <c r="D34" s="785" t="s">
        <v>539</v>
      </c>
      <c r="E34" s="785" t="s">
        <v>539</v>
      </c>
      <c r="F34" s="785" t="s">
        <v>539</v>
      </c>
      <c r="G34" s="785" t="s">
        <v>539</v>
      </c>
      <c r="H34" s="785" t="s">
        <v>539</v>
      </c>
      <c r="I34" s="785" t="s">
        <v>539</v>
      </c>
      <c r="J34" s="785" t="s">
        <v>539</v>
      </c>
      <c r="K34" s="785" t="s">
        <v>539</v>
      </c>
    </row>
    <row r="35" spans="1:11" x14ac:dyDescent="0.3">
      <c r="A35" s="798" t="s">
        <v>1228</v>
      </c>
      <c r="B35" s="805" t="s">
        <v>680</v>
      </c>
      <c r="C35" s="785" t="s">
        <v>680</v>
      </c>
      <c r="D35" s="785" t="s">
        <v>680</v>
      </c>
      <c r="E35" s="785" t="s">
        <v>680</v>
      </c>
      <c r="F35" s="785" t="s">
        <v>680</v>
      </c>
      <c r="G35" s="785" t="s">
        <v>680</v>
      </c>
      <c r="H35" s="785" t="s">
        <v>680</v>
      </c>
      <c r="I35" s="785" t="s">
        <v>680</v>
      </c>
      <c r="J35" s="785" t="s">
        <v>680</v>
      </c>
      <c r="K35" s="785" t="s">
        <v>1216</v>
      </c>
    </row>
    <row r="36" spans="1:11" x14ac:dyDescent="0.3">
      <c r="A36" s="798" t="s">
        <v>1229</v>
      </c>
      <c r="B36" s="805" t="s">
        <v>360</v>
      </c>
      <c r="C36" s="785" t="s">
        <v>360</v>
      </c>
      <c r="D36" s="785">
        <v>461</v>
      </c>
      <c r="E36" s="785">
        <v>465.5</v>
      </c>
      <c r="F36" s="785">
        <v>449.6</v>
      </c>
      <c r="G36" s="785">
        <v>503.4</v>
      </c>
      <c r="H36" s="785">
        <v>832</v>
      </c>
      <c r="I36" s="785">
        <v>686</v>
      </c>
      <c r="J36" s="785">
        <v>708</v>
      </c>
      <c r="K36" s="785" t="s">
        <v>360</v>
      </c>
    </row>
    <row r="37" spans="1:11" x14ac:dyDescent="0.3">
      <c r="A37" s="798" t="s">
        <v>1230</v>
      </c>
      <c r="B37" s="805" t="s">
        <v>360</v>
      </c>
      <c r="C37" s="785">
        <v>7</v>
      </c>
      <c r="D37" s="785">
        <v>229</v>
      </c>
      <c r="E37" s="785">
        <v>156.1</v>
      </c>
      <c r="F37" s="785">
        <v>190.2</v>
      </c>
      <c r="G37" s="785">
        <v>191.9</v>
      </c>
      <c r="H37" s="785">
        <v>224.9</v>
      </c>
      <c r="I37" s="785">
        <v>310</v>
      </c>
      <c r="J37" s="785">
        <v>351</v>
      </c>
      <c r="K37" s="785" t="s">
        <v>360</v>
      </c>
    </row>
    <row r="38" spans="1:11" x14ac:dyDescent="0.3">
      <c r="A38" s="798" t="s">
        <v>1231</v>
      </c>
      <c r="B38" s="805">
        <v>361</v>
      </c>
      <c r="C38" s="785">
        <v>360</v>
      </c>
      <c r="D38" s="785">
        <v>380.7</v>
      </c>
      <c r="E38" s="785">
        <v>377.8</v>
      </c>
      <c r="F38" s="785">
        <v>364.5</v>
      </c>
      <c r="G38" s="785">
        <v>410.1</v>
      </c>
      <c r="H38" s="785">
        <v>634.79999999999995</v>
      </c>
      <c r="I38" s="785">
        <v>583</v>
      </c>
      <c r="J38" s="785">
        <v>604</v>
      </c>
      <c r="K38" s="785" t="s">
        <v>360</v>
      </c>
    </row>
    <row r="39" spans="1:11" x14ac:dyDescent="0.3">
      <c r="A39" s="798" t="s">
        <v>1232</v>
      </c>
      <c r="B39" s="805" t="s">
        <v>360</v>
      </c>
      <c r="C39" s="785" t="s">
        <v>360</v>
      </c>
      <c r="D39" s="785" t="s">
        <v>360</v>
      </c>
      <c r="E39" s="785">
        <v>0</v>
      </c>
      <c r="F39" s="785">
        <v>0.2</v>
      </c>
      <c r="G39" s="785">
        <v>0.1</v>
      </c>
      <c r="H39" s="785">
        <v>1.5</v>
      </c>
      <c r="I39" s="785" t="s">
        <v>360</v>
      </c>
      <c r="J39" s="785" t="s">
        <v>360</v>
      </c>
      <c r="K39" s="785" t="s">
        <v>360</v>
      </c>
    </row>
    <row r="40" spans="1:11" x14ac:dyDescent="0.3">
      <c r="A40" s="798" t="s">
        <v>1233</v>
      </c>
      <c r="B40" s="805" t="s">
        <v>360</v>
      </c>
      <c r="C40" s="785" t="s">
        <v>360</v>
      </c>
      <c r="D40" s="785" t="s">
        <v>360</v>
      </c>
      <c r="E40" s="785" t="s">
        <v>360</v>
      </c>
      <c r="F40" s="785" t="s">
        <v>360</v>
      </c>
      <c r="G40" s="785" t="s">
        <v>360</v>
      </c>
      <c r="H40" s="785">
        <v>0</v>
      </c>
      <c r="I40" s="785" t="s">
        <v>360</v>
      </c>
      <c r="J40" s="785" t="s">
        <v>360</v>
      </c>
      <c r="K40" s="785" t="s">
        <v>360</v>
      </c>
    </row>
    <row r="41" spans="1:11" x14ac:dyDescent="0.3">
      <c r="A41" s="798" t="s">
        <v>1234</v>
      </c>
      <c r="B41" s="805" t="s">
        <v>360</v>
      </c>
      <c r="C41" s="785" t="s">
        <v>360</v>
      </c>
      <c r="D41" s="787">
        <v>7858.6</v>
      </c>
      <c r="E41" s="787">
        <v>8635.5</v>
      </c>
      <c r="F41" s="787">
        <v>8411.9</v>
      </c>
      <c r="G41" s="787">
        <v>8881.7000000000007</v>
      </c>
      <c r="H41" s="787">
        <v>19778.599999999999</v>
      </c>
      <c r="I41" s="787">
        <v>10328.700000000001</v>
      </c>
      <c r="J41" s="787">
        <v>10429</v>
      </c>
      <c r="K41" s="785" t="s">
        <v>360</v>
      </c>
    </row>
    <row r="42" spans="1:11" x14ac:dyDescent="0.3">
      <c r="A42" s="798" t="s">
        <v>1235</v>
      </c>
      <c r="B42" s="805" t="s">
        <v>360</v>
      </c>
      <c r="C42" s="785" t="s">
        <v>360</v>
      </c>
      <c r="D42" s="785">
        <v>0</v>
      </c>
      <c r="E42" s="785">
        <v>0</v>
      </c>
      <c r="F42" s="785">
        <v>0</v>
      </c>
      <c r="G42" s="785">
        <v>0.1</v>
      </c>
      <c r="H42" s="785">
        <v>0.1</v>
      </c>
      <c r="I42" s="785" t="s">
        <v>360</v>
      </c>
      <c r="J42" s="785" t="s">
        <v>360</v>
      </c>
      <c r="K42" s="785" t="s">
        <v>360</v>
      </c>
    </row>
    <row r="43" spans="1:11" x14ac:dyDescent="0.3">
      <c r="A43" s="798" t="s">
        <v>539</v>
      </c>
      <c r="B43" s="804" t="s">
        <v>539</v>
      </c>
      <c r="C43" s="785" t="s">
        <v>539</v>
      </c>
      <c r="D43" s="785" t="s">
        <v>539</v>
      </c>
      <c r="E43" s="785" t="s">
        <v>539</v>
      </c>
      <c r="F43" s="785" t="s">
        <v>539</v>
      </c>
      <c r="G43" s="785" t="s">
        <v>539</v>
      </c>
      <c r="H43" s="785" t="s">
        <v>539</v>
      </c>
      <c r="I43" s="785" t="s">
        <v>539</v>
      </c>
      <c r="J43" s="785" t="s">
        <v>539</v>
      </c>
      <c r="K43" s="785" t="s">
        <v>539</v>
      </c>
    </row>
    <row r="44" spans="1:11" x14ac:dyDescent="0.3">
      <c r="A44" s="798" t="s">
        <v>1236</v>
      </c>
      <c r="B44" s="804" t="s">
        <v>539</v>
      </c>
      <c r="C44" s="785" t="s">
        <v>539</v>
      </c>
      <c r="D44" s="785" t="s">
        <v>539</v>
      </c>
      <c r="E44" s="785" t="s">
        <v>539</v>
      </c>
      <c r="F44" s="785" t="s">
        <v>539</v>
      </c>
      <c r="G44" s="785" t="s">
        <v>539</v>
      </c>
      <c r="H44" s="785" t="s">
        <v>539</v>
      </c>
      <c r="I44" s="785" t="s">
        <v>539</v>
      </c>
      <c r="J44" s="785" t="s">
        <v>539</v>
      </c>
      <c r="K44" s="785" t="s">
        <v>539</v>
      </c>
    </row>
    <row r="45" spans="1:11" x14ac:dyDescent="0.3">
      <c r="A45" s="798" t="s">
        <v>1237</v>
      </c>
      <c r="B45" s="805" t="s">
        <v>680</v>
      </c>
      <c r="C45" s="785" t="s">
        <v>680</v>
      </c>
      <c r="D45" s="785" t="s">
        <v>680</v>
      </c>
      <c r="E45" s="785" t="s">
        <v>680</v>
      </c>
      <c r="F45" s="785" t="s">
        <v>680</v>
      </c>
      <c r="G45" s="785" t="s">
        <v>680</v>
      </c>
      <c r="H45" s="785" t="s">
        <v>680</v>
      </c>
      <c r="I45" s="785" t="s">
        <v>680</v>
      </c>
      <c r="J45" s="785" t="s">
        <v>680</v>
      </c>
      <c r="K45" s="785" t="s">
        <v>1216</v>
      </c>
    </row>
    <row r="46" spans="1:11" x14ac:dyDescent="0.3">
      <c r="A46" s="798" t="s">
        <v>1238</v>
      </c>
      <c r="B46" s="805">
        <v>1.1000000000000001</v>
      </c>
      <c r="C46" s="785">
        <v>1.1000000000000001</v>
      </c>
      <c r="D46" s="785">
        <v>1.2</v>
      </c>
      <c r="E46" s="785">
        <v>1.2</v>
      </c>
      <c r="F46" s="785">
        <v>1.5</v>
      </c>
      <c r="G46" s="785">
        <v>1.4</v>
      </c>
      <c r="H46" s="785">
        <v>1.5</v>
      </c>
      <c r="I46" s="785">
        <v>1.5</v>
      </c>
      <c r="J46" s="785">
        <v>1.5</v>
      </c>
      <c r="K46" s="785" t="s">
        <v>360</v>
      </c>
    </row>
    <row r="47" spans="1:11" x14ac:dyDescent="0.3">
      <c r="A47" s="798" t="s">
        <v>1239</v>
      </c>
      <c r="B47" s="805">
        <v>2.8</v>
      </c>
      <c r="C47" s="785">
        <v>2.9</v>
      </c>
      <c r="D47" s="785">
        <v>3.2</v>
      </c>
      <c r="E47" s="785">
        <v>3.4</v>
      </c>
      <c r="F47" s="785">
        <v>4.5999999999999996</v>
      </c>
      <c r="G47" s="785">
        <v>4.4000000000000004</v>
      </c>
      <c r="H47" s="785">
        <v>5.0999999999999996</v>
      </c>
      <c r="I47" s="785">
        <v>5.2</v>
      </c>
      <c r="J47" s="785">
        <v>5.7</v>
      </c>
      <c r="K47" s="785" t="s">
        <v>360</v>
      </c>
    </row>
    <row r="48" spans="1:11" x14ac:dyDescent="0.3">
      <c r="A48" s="798" t="s">
        <v>1240</v>
      </c>
      <c r="B48" s="805">
        <v>1</v>
      </c>
      <c r="C48" s="785">
        <v>1</v>
      </c>
      <c r="D48" s="785">
        <v>1.3</v>
      </c>
      <c r="E48" s="785">
        <v>1.3</v>
      </c>
      <c r="F48" s="785">
        <v>2.2000000000000002</v>
      </c>
      <c r="G48" s="785">
        <v>2</v>
      </c>
      <c r="H48" s="785">
        <v>2.2999999999999998</v>
      </c>
      <c r="I48" s="785">
        <v>2.7</v>
      </c>
      <c r="J48" s="785">
        <v>2.4</v>
      </c>
      <c r="K48" s="785" t="s">
        <v>360</v>
      </c>
    </row>
    <row r="49" spans="1:11" x14ac:dyDescent="0.3">
      <c r="A49" s="798" t="s">
        <v>1241</v>
      </c>
      <c r="B49" s="805">
        <v>0.2</v>
      </c>
      <c r="C49" s="785">
        <v>0.3</v>
      </c>
      <c r="D49" s="785">
        <v>0.2</v>
      </c>
      <c r="E49" s="785">
        <v>0.3</v>
      </c>
      <c r="F49" s="785">
        <v>0.7</v>
      </c>
      <c r="G49" s="785">
        <v>0.7</v>
      </c>
      <c r="H49" s="785">
        <v>0.8</v>
      </c>
      <c r="I49" s="785">
        <v>0.5</v>
      </c>
      <c r="J49" s="785">
        <v>0.3</v>
      </c>
      <c r="K49" s="785" t="s">
        <v>360</v>
      </c>
    </row>
    <row r="50" spans="1:11" x14ac:dyDescent="0.3">
      <c r="A50" s="798" t="s">
        <v>539</v>
      </c>
      <c r="B50" s="804" t="s">
        <v>539</v>
      </c>
      <c r="C50" s="785" t="s">
        <v>539</v>
      </c>
      <c r="D50" s="785" t="s">
        <v>539</v>
      </c>
      <c r="E50" s="785" t="s">
        <v>539</v>
      </c>
      <c r="F50" s="785" t="s">
        <v>539</v>
      </c>
      <c r="G50" s="785" t="s">
        <v>539</v>
      </c>
      <c r="H50" s="785" t="s">
        <v>539</v>
      </c>
      <c r="I50" s="785" t="s">
        <v>539</v>
      </c>
      <c r="J50" s="785" t="s">
        <v>539</v>
      </c>
      <c r="K50" s="785" t="s">
        <v>539</v>
      </c>
    </row>
    <row r="51" spans="1:11" x14ac:dyDescent="0.3">
      <c r="A51" s="798" t="s">
        <v>1242</v>
      </c>
      <c r="B51" s="804" t="s">
        <v>539</v>
      </c>
      <c r="C51" s="785" t="s">
        <v>539</v>
      </c>
      <c r="D51" s="785" t="s">
        <v>539</v>
      </c>
      <c r="E51" s="785" t="s">
        <v>539</v>
      </c>
      <c r="F51" s="785" t="s">
        <v>539</v>
      </c>
      <c r="G51" s="785" t="s">
        <v>539</v>
      </c>
      <c r="H51" s="785" t="s">
        <v>539</v>
      </c>
      <c r="I51" s="785" t="s">
        <v>539</v>
      </c>
      <c r="J51" s="785" t="s">
        <v>539</v>
      </c>
      <c r="K51" s="785" t="s">
        <v>539</v>
      </c>
    </row>
    <row r="52" spans="1:11" x14ac:dyDescent="0.3">
      <c r="A52" s="798" t="s">
        <v>1243</v>
      </c>
      <c r="B52" s="805" t="s">
        <v>680</v>
      </c>
      <c r="C52" s="785" t="s">
        <v>680</v>
      </c>
      <c r="D52" s="785" t="s">
        <v>680</v>
      </c>
      <c r="E52" s="785" t="s">
        <v>680</v>
      </c>
      <c r="F52" s="785" t="s">
        <v>680</v>
      </c>
      <c r="G52" s="785" t="s">
        <v>680</v>
      </c>
      <c r="H52" s="785" t="s">
        <v>680</v>
      </c>
      <c r="I52" s="785" t="s">
        <v>680</v>
      </c>
      <c r="J52" s="785" t="s">
        <v>680</v>
      </c>
      <c r="K52" s="785" t="s">
        <v>1216</v>
      </c>
    </row>
    <row r="53" spans="1:11" x14ac:dyDescent="0.3">
      <c r="A53" s="798" t="s">
        <v>539</v>
      </c>
      <c r="B53" s="804" t="s">
        <v>539</v>
      </c>
      <c r="C53" s="785" t="s">
        <v>539</v>
      </c>
      <c r="D53" s="785" t="s">
        <v>539</v>
      </c>
      <c r="E53" s="785" t="s">
        <v>539</v>
      </c>
      <c r="F53" s="785" t="s">
        <v>539</v>
      </c>
      <c r="G53" s="785" t="s">
        <v>539</v>
      </c>
      <c r="H53" s="785" t="s">
        <v>539</v>
      </c>
      <c r="I53" s="785" t="s">
        <v>539</v>
      </c>
      <c r="J53" s="785" t="s">
        <v>539</v>
      </c>
      <c r="K53" s="785" t="s">
        <v>539</v>
      </c>
    </row>
    <row r="54" spans="1:11" x14ac:dyDescent="0.3">
      <c r="A54" s="798" t="s">
        <v>1244</v>
      </c>
      <c r="B54" s="804" t="s">
        <v>539</v>
      </c>
      <c r="C54" s="785" t="s">
        <v>539</v>
      </c>
      <c r="D54" s="785" t="s">
        <v>539</v>
      </c>
      <c r="E54" s="785" t="s">
        <v>539</v>
      </c>
      <c r="F54" s="785" t="s">
        <v>539</v>
      </c>
      <c r="G54" s="785" t="s">
        <v>539</v>
      </c>
      <c r="H54" s="785" t="s">
        <v>539</v>
      </c>
      <c r="I54" s="785" t="s">
        <v>539</v>
      </c>
      <c r="J54" s="785" t="s">
        <v>539</v>
      </c>
      <c r="K54" s="785" t="s">
        <v>539</v>
      </c>
    </row>
    <row r="55" spans="1:11" x14ac:dyDescent="0.3">
      <c r="A55" s="798" t="s">
        <v>1245</v>
      </c>
      <c r="B55" s="805" t="s">
        <v>680</v>
      </c>
      <c r="C55" s="785" t="s">
        <v>680</v>
      </c>
      <c r="D55" s="785" t="s">
        <v>680</v>
      </c>
      <c r="E55" s="785" t="s">
        <v>680</v>
      </c>
      <c r="F55" s="785" t="s">
        <v>680</v>
      </c>
      <c r="G55" s="785" t="s">
        <v>680</v>
      </c>
      <c r="H55" s="785" t="s">
        <v>680</v>
      </c>
      <c r="I55" s="785" t="s">
        <v>680</v>
      </c>
      <c r="J55" s="785" t="s">
        <v>680</v>
      </c>
      <c r="K55" s="785" t="s">
        <v>1216</v>
      </c>
    </row>
    <row r="56" spans="1:11" x14ac:dyDescent="0.3">
      <c r="A56" s="798" t="s">
        <v>1246</v>
      </c>
      <c r="B56" s="806">
        <v>2033.6</v>
      </c>
      <c r="C56" s="787">
        <v>1941</v>
      </c>
      <c r="D56" s="787">
        <v>1760.8</v>
      </c>
      <c r="E56" s="787">
        <v>1797.2</v>
      </c>
      <c r="F56" s="787">
        <v>3452.5</v>
      </c>
      <c r="G56" s="787">
        <v>3550.9</v>
      </c>
      <c r="H56" s="787">
        <v>3638</v>
      </c>
      <c r="I56" s="787">
        <v>3641.7</v>
      </c>
      <c r="J56" s="787">
        <v>3485</v>
      </c>
      <c r="K56" s="785" t="s">
        <v>360</v>
      </c>
    </row>
    <row r="57" spans="1:11" x14ac:dyDescent="0.3">
      <c r="A57" s="798" t="s">
        <v>1247</v>
      </c>
      <c r="B57" s="805" t="s">
        <v>360</v>
      </c>
      <c r="C57" s="785" t="s">
        <v>360</v>
      </c>
      <c r="D57" s="785" t="s">
        <v>360</v>
      </c>
      <c r="E57" s="785" t="s">
        <v>360</v>
      </c>
      <c r="F57" s="785" t="s">
        <v>360</v>
      </c>
      <c r="G57" s="785" t="s">
        <v>360</v>
      </c>
      <c r="H57" s="785" t="s">
        <v>360</v>
      </c>
      <c r="I57" s="787">
        <v>2532.6</v>
      </c>
      <c r="J57" s="787">
        <v>2653.7</v>
      </c>
      <c r="K57" s="785" t="s">
        <v>360</v>
      </c>
    </row>
    <row r="58" spans="1:11" x14ac:dyDescent="0.3">
      <c r="A58" s="798" t="s">
        <v>1248</v>
      </c>
      <c r="B58" s="805" t="s">
        <v>360</v>
      </c>
      <c r="C58" s="785" t="s">
        <v>360</v>
      </c>
      <c r="D58" s="785" t="s">
        <v>360</v>
      </c>
      <c r="E58" s="785" t="s">
        <v>360</v>
      </c>
      <c r="F58" s="785" t="s">
        <v>360</v>
      </c>
      <c r="G58" s="785" t="s">
        <v>360</v>
      </c>
      <c r="H58" s="785" t="s">
        <v>360</v>
      </c>
      <c r="I58" s="787">
        <v>1109.2</v>
      </c>
      <c r="J58" s="785">
        <v>832.8</v>
      </c>
      <c r="K58" s="785" t="s">
        <v>360</v>
      </c>
    </row>
    <row r="59" spans="1:11" x14ac:dyDescent="0.3">
      <c r="A59" s="798" t="s">
        <v>539</v>
      </c>
      <c r="B59" s="804" t="s">
        <v>539</v>
      </c>
      <c r="C59" s="785" t="s">
        <v>539</v>
      </c>
      <c r="D59" s="785" t="s">
        <v>539</v>
      </c>
      <c r="E59" s="785" t="s">
        <v>539</v>
      </c>
      <c r="F59" s="785" t="s">
        <v>539</v>
      </c>
      <c r="G59" s="785" t="s">
        <v>539</v>
      </c>
      <c r="H59" s="785" t="s">
        <v>539</v>
      </c>
      <c r="I59" s="785" t="s">
        <v>539</v>
      </c>
      <c r="J59" s="785" t="s">
        <v>539</v>
      </c>
      <c r="K59" s="785" t="s">
        <v>539</v>
      </c>
    </row>
    <row r="60" spans="1:11" x14ac:dyDescent="0.3">
      <c r="A60" s="798" t="s">
        <v>1249</v>
      </c>
      <c r="B60" s="804" t="s">
        <v>539</v>
      </c>
      <c r="C60" s="785" t="s">
        <v>539</v>
      </c>
      <c r="D60" s="785" t="s">
        <v>539</v>
      </c>
      <c r="E60" s="785" t="s">
        <v>539</v>
      </c>
      <c r="F60" s="785" t="s">
        <v>539</v>
      </c>
      <c r="G60" s="785" t="s">
        <v>539</v>
      </c>
      <c r="H60" s="785" t="s">
        <v>539</v>
      </c>
      <c r="I60" s="785" t="s">
        <v>539</v>
      </c>
      <c r="J60" s="785" t="s">
        <v>539</v>
      </c>
      <c r="K60" s="785" t="s">
        <v>539</v>
      </c>
    </row>
    <row r="61" spans="1:11" x14ac:dyDescent="0.3">
      <c r="A61" s="798" t="s">
        <v>1250</v>
      </c>
      <c r="B61" s="805" t="s">
        <v>680</v>
      </c>
      <c r="C61" s="785" t="s">
        <v>680</v>
      </c>
      <c r="D61" s="785" t="s">
        <v>680</v>
      </c>
      <c r="E61" s="785" t="s">
        <v>680</v>
      </c>
      <c r="F61" s="785" t="s">
        <v>680</v>
      </c>
      <c r="G61" s="785" t="s">
        <v>680</v>
      </c>
      <c r="H61" s="785" t="s">
        <v>680</v>
      </c>
      <c r="I61" s="785" t="s">
        <v>680</v>
      </c>
      <c r="J61" s="785" t="s">
        <v>680</v>
      </c>
      <c r="K61" s="785" t="s">
        <v>1216</v>
      </c>
    </row>
    <row r="62" spans="1:11" x14ac:dyDescent="0.3">
      <c r="A62" s="798" t="s">
        <v>1251</v>
      </c>
      <c r="B62" s="805" t="s">
        <v>1216</v>
      </c>
      <c r="C62" s="785" t="s">
        <v>1216</v>
      </c>
      <c r="D62" s="785" t="s">
        <v>1216</v>
      </c>
      <c r="E62" s="785" t="s">
        <v>1216</v>
      </c>
      <c r="F62" s="785" t="s">
        <v>1216</v>
      </c>
      <c r="G62" s="785" t="s">
        <v>1216</v>
      </c>
      <c r="H62" s="785" t="s">
        <v>679</v>
      </c>
      <c r="I62" s="785" t="s">
        <v>679</v>
      </c>
      <c r="J62" s="785" t="s">
        <v>679</v>
      </c>
      <c r="K62" s="785" t="s">
        <v>1216</v>
      </c>
    </row>
    <row r="63" spans="1:11" x14ac:dyDescent="0.3">
      <c r="A63" s="798" t="s">
        <v>1252</v>
      </c>
      <c r="B63" s="805" t="s">
        <v>1216</v>
      </c>
      <c r="C63" s="785" t="s">
        <v>1216</v>
      </c>
      <c r="D63" s="785" t="s">
        <v>1216</v>
      </c>
      <c r="E63" s="785" t="s">
        <v>1216</v>
      </c>
      <c r="F63" s="785" t="s">
        <v>1216</v>
      </c>
      <c r="G63" s="785" t="s">
        <v>1216</v>
      </c>
      <c r="H63" s="785" t="s">
        <v>679</v>
      </c>
      <c r="I63" s="785" t="s">
        <v>679</v>
      </c>
      <c r="J63" s="785" t="s">
        <v>1216</v>
      </c>
      <c r="K63" s="785" t="s">
        <v>1216</v>
      </c>
    </row>
    <row r="64" spans="1:11" ht="25.5" x14ac:dyDescent="0.3">
      <c r="A64" s="798" t="s">
        <v>1253</v>
      </c>
      <c r="B64" s="805" t="s">
        <v>1216</v>
      </c>
      <c r="C64" s="785" t="s">
        <v>1216</v>
      </c>
      <c r="D64" s="785" t="s">
        <v>1216</v>
      </c>
      <c r="E64" s="785" t="s">
        <v>1216</v>
      </c>
      <c r="F64" s="785" t="s">
        <v>1216</v>
      </c>
      <c r="G64" s="785" t="s">
        <v>1216</v>
      </c>
      <c r="H64" s="785" t="s">
        <v>679</v>
      </c>
      <c r="I64" s="785" t="s">
        <v>679</v>
      </c>
      <c r="J64" s="785" t="s">
        <v>1216</v>
      </c>
      <c r="K64" s="785" t="s">
        <v>1216</v>
      </c>
    </row>
    <row r="65" spans="1:11" ht="25.5" x14ac:dyDescent="0.3">
      <c r="A65" s="798" t="s">
        <v>1254</v>
      </c>
      <c r="B65" s="805" t="s">
        <v>1216</v>
      </c>
      <c r="C65" s="785" t="s">
        <v>1216</v>
      </c>
      <c r="D65" s="785" t="s">
        <v>1216</v>
      </c>
      <c r="E65" s="785" t="s">
        <v>1216</v>
      </c>
      <c r="F65" s="785" t="s">
        <v>1216</v>
      </c>
      <c r="G65" s="785" t="s">
        <v>1216</v>
      </c>
      <c r="H65" s="785" t="s">
        <v>679</v>
      </c>
      <c r="I65" s="785" t="s">
        <v>679</v>
      </c>
      <c r="J65" s="785" t="s">
        <v>1216</v>
      </c>
      <c r="K65" s="785" t="s">
        <v>1216</v>
      </c>
    </row>
    <row r="66" spans="1:11" x14ac:dyDescent="0.3">
      <c r="A66" s="798" t="s">
        <v>539</v>
      </c>
      <c r="B66" s="804" t="s">
        <v>539</v>
      </c>
      <c r="C66" s="785" t="s">
        <v>539</v>
      </c>
      <c r="D66" s="785" t="s">
        <v>539</v>
      </c>
      <c r="E66" s="785" t="s">
        <v>539</v>
      </c>
      <c r="F66" s="785" t="s">
        <v>539</v>
      </c>
      <c r="G66" s="785" t="s">
        <v>539</v>
      </c>
      <c r="H66" s="785" t="s">
        <v>539</v>
      </c>
      <c r="I66" s="785" t="s">
        <v>539</v>
      </c>
      <c r="J66" s="785" t="s">
        <v>539</v>
      </c>
      <c r="K66" s="785" t="s">
        <v>539</v>
      </c>
    </row>
    <row r="67" spans="1:11" x14ac:dyDescent="0.3">
      <c r="A67" s="798" t="s">
        <v>1255</v>
      </c>
      <c r="B67" s="804" t="s">
        <v>539</v>
      </c>
      <c r="C67" s="785" t="s">
        <v>539</v>
      </c>
      <c r="D67" s="785" t="s">
        <v>539</v>
      </c>
      <c r="E67" s="785" t="s">
        <v>539</v>
      </c>
      <c r="F67" s="785" t="s">
        <v>539</v>
      </c>
      <c r="G67" s="785" t="s">
        <v>539</v>
      </c>
      <c r="H67" s="785" t="s">
        <v>539</v>
      </c>
      <c r="I67" s="785" t="s">
        <v>539</v>
      </c>
      <c r="J67" s="785" t="s">
        <v>539</v>
      </c>
      <c r="K67" s="785" t="s">
        <v>539</v>
      </c>
    </row>
    <row r="68" spans="1:11" x14ac:dyDescent="0.3">
      <c r="A68" s="798" t="s">
        <v>1256</v>
      </c>
      <c r="B68" s="804" t="s">
        <v>539</v>
      </c>
      <c r="C68" s="785" t="s">
        <v>539</v>
      </c>
      <c r="D68" s="785" t="s">
        <v>539</v>
      </c>
      <c r="E68" s="785" t="s">
        <v>539</v>
      </c>
      <c r="F68" s="785" t="s">
        <v>539</v>
      </c>
      <c r="G68" s="785" t="s">
        <v>539</v>
      </c>
      <c r="H68" s="785" t="s">
        <v>539</v>
      </c>
      <c r="I68" s="785" t="s">
        <v>539</v>
      </c>
      <c r="J68" s="785" t="s">
        <v>539</v>
      </c>
      <c r="K68" s="785" t="s">
        <v>539</v>
      </c>
    </row>
    <row r="69" spans="1:11" x14ac:dyDescent="0.3">
      <c r="A69" s="798" t="s">
        <v>1257</v>
      </c>
      <c r="B69" s="805" t="s">
        <v>680</v>
      </c>
      <c r="C69" s="785" t="s">
        <v>680</v>
      </c>
      <c r="D69" s="785" t="s">
        <v>680</v>
      </c>
      <c r="E69" s="785" t="s">
        <v>680</v>
      </c>
      <c r="F69" s="785" t="s">
        <v>680</v>
      </c>
      <c r="G69" s="785" t="s">
        <v>680</v>
      </c>
      <c r="H69" s="785" t="s">
        <v>680</v>
      </c>
      <c r="I69" s="785" t="s">
        <v>680</v>
      </c>
      <c r="J69" s="785" t="s">
        <v>680</v>
      </c>
      <c r="K69" s="785" t="s">
        <v>1216</v>
      </c>
    </row>
    <row r="70" spans="1:11" x14ac:dyDescent="0.3">
      <c r="A70" s="798" t="s">
        <v>1258</v>
      </c>
      <c r="B70" s="805" t="s">
        <v>680</v>
      </c>
      <c r="C70" s="785" t="s">
        <v>680</v>
      </c>
      <c r="D70" s="785" t="s">
        <v>680</v>
      </c>
      <c r="E70" s="785" t="s">
        <v>680</v>
      </c>
      <c r="F70" s="785" t="s">
        <v>680</v>
      </c>
      <c r="G70" s="785" t="s">
        <v>680</v>
      </c>
      <c r="H70" s="785" t="s">
        <v>680</v>
      </c>
      <c r="I70" s="785" t="s">
        <v>680</v>
      </c>
      <c r="J70" s="785" t="s">
        <v>680</v>
      </c>
      <c r="K70" s="785" t="s">
        <v>1216</v>
      </c>
    </row>
    <row r="71" spans="1:11" x14ac:dyDescent="0.3">
      <c r="A71" s="798" t="s">
        <v>1259</v>
      </c>
      <c r="B71" s="805" t="s">
        <v>679</v>
      </c>
      <c r="C71" s="785" t="s">
        <v>679</v>
      </c>
      <c r="D71" s="785" t="s">
        <v>679</v>
      </c>
      <c r="E71" s="785" t="s">
        <v>680</v>
      </c>
      <c r="F71" s="785" t="s">
        <v>680</v>
      </c>
      <c r="G71" s="785" t="s">
        <v>680</v>
      </c>
      <c r="H71" s="785" t="s">
        <v>680</v>
      </c>
      <c r="I71" s="785" t="s">
        <v>680</v>
      </c>
      <c r="J71" s="785" t="s">
        <v>680</v>
      </c>
      <c r="K71" s="785" t="s">
        <v>1216</v>
      </c>
    </row>
    <row r="72" spans="1:11" x14ac:dyDescent="0.3">
      <c r="A72" s="798" t="s">
        <v>1260</v>
      </c>
      <c r="B72" s="805" t="s">
        <v>679</v>
      </c>
      <c r="C72" s="785" t="s">
        <v>680</v>
      </c>
      <c r="D72" s="785" t="s">
        <v>680</v>
      </c>
      <c r="E72" s="785" t="s">
        <v>680</v>
      </c>
      <c r="F72" s="785" t="s">
        <v>680</v>
      </c>
      <c r="G72" s="785" t="s">
        <v>680</v>
      </c>
      <c r="H72" s="785" t="s">
        <v>680</v>
      </c>
      <c r="I72" s="785" t="s">
        <v>680</v>
      </c>
      <c r="J72" s="785" t="s">
        <v>680</v>
      </c>
      <c r="K72" s="785" t="s">
        <v>1216</v>
      </c>
    </row>
    <row r="73" spans="1:11" x14ac:dyDescent="0.3">
      <c r="A73" s="798" t="s">
        <v>1261</v>
      </c>
      <c r="B73" s="805" t="s">
        <v>360</v>
      </c>
      <c r="C73" s="785" t="s">
        <v>360</v>
      </c>
      <c r="D73" s="785" t="s">
        <v>360</v>
      </c>
      <c r="E73" s="785" t="s">
        <v>360</v>
      </c>
      <c r="F73" s="785" t="s">
        <v>360</v>
      </c>
      <c r="G73" s="785" t="s">
        <v>360</v>
      </c>
      <c r="H73" s="785">
        <v>1.8</v>
      </c>
      <c r="I73" s="785">
        <v>0.8</v>
      </c>
      <c r="J73" s="785">
        <v>0.5</v>
      </c>
      <c r="K73" s="785" t="s">
        <v>360</v>
      </c>
    </row>
    <row r="74" spans="1:11" x14ac:dyDescent="0.3">
      <c r="A74" s="798" t="s">
        <v>539</v>
      </c>
      <c r="B74" s="804" t="s">
        <v>539</v>
      </c>
      <c r="C74" s="785" t="s">
        <v>539</v>
      </c>
      <c r="D74" s="785" t="s">
        <v>539</v>
      </c>
      <c r="E74" s="785" t="s">
        <v>539</v>
      </c>
      <c r="F74" s="785" t="s">
        <v>539</v>
      </c>
      <c r="G74" s="785" t="s">
        <v>539</v>
      </c>
      <c r="H74" s="785" t="s">
        <v>539</v>
      </c>
      <c r="I74" s="785" t="s">
        <v>539</v>
      </c>
      <c r="J74" s="785" t="s">
        <v>539</v>
      </c>
      <c r="K74" s="785" t="s">
        <v>539</v>
      </c>
    </row>
    <row r="75" spans="1:11" x14ac:dyDescent="0.3">
      <c r="A75" s="798" t="s">
        <v>1262</v>
      </c>
      <c r="B75" s="804" t="s">
        <v>539</v>
      </c>
      <c r="C75" s="785" t="s">
        <v>539</v>
      </c>
      <c r="D75" s="785" t="s">
        <v>539</v>
      </c>
      <c r="E75" s="785" t="s">
        <v>539</v>
      </c>
      <c r="F75" s="785" t="s">
        <v>539</v>
      </c>
      <c r="G75" s="785" t="s">
        <v>539</v>
      </c>
      <c r="H75" s="785" t="s">
        <v>539</v>
      </c>
      <c r="I75" s="785" t="s">
        <v>539</v>
      </c>
      <c r="J75" s="785" t="s">
        <v>539</v>
      </c>
      <c r="K75" s="785" t="s">
        <v>539</v>
      </c>
    </row>
    <row r="76" spans="1:11" x14ac:dyDescent="0.3">
      <c r="A76" s="798" t="s">
        <v>1263</v>
      </c>
      <c r="B76" s="805" t="s">
        <v>680</v>
      </c>
      <c r="C76" s="785" t="s">
        <v>680</v>
      </c>
      <c r="D76" s="785" t="s">
        <v>680</v>
      </c>
      <c r="E76" s="785" t="s">
        <v>680</v>
      </c>
      <c r="F76" s="785" t="s">
        <v>680</v>
      </c>
      <c r="G76" s="785" t="s">
        <v>680</v>
      </c>
      <c r="H76" s="785" t="s">
        <v>680</v>
      </c>
      <c r="I76" s="785" t="s">
        <v>680</v>
      </c>
      <c r="J76" s="785" t="s">
        <v>680</v>
      </c>
      <c r="K76" s="785" t="s">
        <v>680</v>
      </c>
    </row>
    <row r="77" spans="1:11" x14ac:dyDescent="0.3">
      <c r="A77" s="798" t="s">
        <v>1264</v>
      </c>
      <c r="B77" s="805" t="s">
        <v>679</v>
      </c>
      <c r="C77" s="785" t="s">
        <v>679</v>
      </c>
      <c r="D77" s="785" t="s">
        <v>679</v>
      </c>
      <c r="E77" s="785" t="s">
        <v>679</v>
      </c>
      <c r="F77" s="785" t="s">
        <v>679</v>
      </c>
      <c r="G77" s="785" t="s">
        <v>680</v>
      </c>
      <c r="H77" s="785" t="s">
        <v>680</v>
      </c>
      <c r="I77" s="785" t="s">
        <v>680</v>
      </c>
      <c r="J77" s="785" t="s">
        <v>680</v>
      </c>
      <c r="K77" s="785" t="s">
        <v>1216</v>
      </c>
    </row>
    <row r="78" spans="1:11" x14ac:dyDescent="0.3">
      <c r="A78" s="798" t="s">
        <v>1265</v>
      </c>
      <c r="B78" s="805" t="s">
        <v>360</v>
      </c>
      <c r="C78" s="785" t="s">
        <v>360</v>
      </c>
      <c r="D78" s="785" t="s">
        <v>360</v>
      </c>
      <c r="E78" s="785" t="s">
        <v>360</v>
      </c>
      <c r="F78" s="785">
        <v>11</v>
      </c>
      <c r="G78" s="785">
        <v>16</v>
      </c>
      <c r="H78" s="785">
        <v>14</v>
      </c>
      <c r="I78" s="785">
        <v>16.100000000000001</v>
      </c>
      <c r="J78" s="785">
        <v>16.899999999999999</v>
      </c>
      <c r="K78" s="785">
        <v>36</v>
      </c>
    </row>
    <row r="79" spans="1:11" ht="25.5" x14ac:dyDescent="0.3">
      <c r="A79" s="798" t="s">
        <v>1266</v>
      </c>
      <c r="B79" s="805" t="s">
        <v>360</v>
      </c>
      <c r="C79" s="785" t="s">
        <v>360</v>
      </c>
      <c r="D79" s="785" t="s">
        <v>360</v>
      </c>
      <c r="E79" s="785" t="s">
        <v>360</v>
      </c>
      <c r="F79" s="785">
        <v>23</v>
      </c>
      <c r="G79" s="785">
        <v>21</v>
      </c>
      <c r="H79" s="785">
        <v>23</v>
      </c>
      <c r="I79" s="785">
        <v>25</v>
      </c>
      <c r="J79" s="785">
        <v>25.1</v>
      </c>
      <c r="K79" s="785">
        <v>25</v>
      </c>
    </row>
    <row r="80" spans="1:11" x14ac:dyDescent="0.3">
      <c r="A80" s="798" t="s">
        <v>1267</v>
      </c>
      <c r="B80" s="805" t="s">
        <v>360</v>
      </c>
      <c r="C80" s="785" t="s">
        <v>360</v>
      </c>
      <c r="D80" s="785" t="s">
        <v>360</v>
      </c>
      <c r="E80" s="785" t="s">
        <v>360</v>
      </c>
      <c r="F80" s="785">
        <v>42</v>
      </c>
      <c r="G80" s="785">
        <v>42</v>
      </c>
      <c r="H80" s="785">
        <v>40</v>
      </c>
      <c r="I80" s="785">
        <v>41</v>
      </c>
      <c r="J80" s="785">
        <v>39.5</v>
      </c>
      <c r="K80" s="785">
        <v>38</v>
      </c>
    </row>
    <row r="81" spans="1:11" x14ac:dyDescent="0.3">
      <c r="A81" s="798" t="s">
        <v>539</v>
      </c>
      <c r="B81" s="804" t="s">
        <v>539</v>
      </c>
      <c r="C81" s="785" t="s">
        <v>539</v>
      </c>
      <c r="D81" s="785" t="s">
        <v>539</v>
      </c>
      <c r="E81" s="785" t="s">
        <v>539</v>
      </c>
      <c r="F81" s="785" t="s">
        <v>539</v>
      </c>
      <c r="G81" s="785" t="s">
        <v>539</v>
      </c>
      <c r="H81" s="785" t="s">
        <v>539</v>
      </c>
      <c r="I81" s="785" t="s">
        <v>539</v>
      </c>
      <c r="J81" s="785" t="s">
        <v>539</v>
      </c>
      <c r="K81" s="785" t="s">
        <v>539</v>
      </c>
    </row>
    <row r="82" spans="1:11" x14ac:dyDescent="0.3">
      <c r="A82" s="798" t="s">
        <v>1268</v>
      </c>
      <c r="B82" s="804" t="s">
        <v>539</v>
      </c>
      <c r="C82" s="785" t="s">
        <v>539</v>
      </c>
      <c r="D82" s="785" t="s">
        <v>539</v>
      </c>
      <c r="E82" s="785" t="s">
        <v>539</v>
      </c>
      <c r="F82" s="785" t="s">
        <v>539</v>
      </c>
      <c r="G82" s="785" t="s">
        <v>539</v>
      </c>
      <c r="H82" s="785" t="s">
        <v>539</v>
      </c>
      <c r="I82" s="785" t="s">
        <v>539</v>
      </c>
      <c r="J82" s="785" t="s">
        <v>539</v>
      </c>
      <c r="K82" s="785" t="s">
        <v>539</v>
      </c>
    </row>
    <row r="83" spans="1:11" x14ac:dyDescent="0.3">
      <c r="A83" s="798" t="s">
        <v>1269</v>
      </c>
      <c r="B83" s="805" t="s">
        <v>680</v>
      </c>
      <c r="C83" s="785" t="s">
        <v>680</v>
      </c>
      <c r="D83" s="785" t="s">
        <v>680</v>
      </c>
      <c r="E83" s="785" t="s">
        <v>680</v>
      </c>
      <c r="F83" s="785" t="s">
        <v>680</v>
      </c>
      <c r="G83" s="785" t="s">
        <v>680</v>
      </c>
      <c r="H83" s="785" t="s">
        <v>680</v>
      </c>
      <c r="I83" s="785" t="s">
        <v>680</v>
      </c>
      <c r="J83" s="785" t="s">
        <v>680</v>
      </c>
      <c r="K83" s="785" t="s">
        <v>1216</v>
      </c>
    </row>
    <row r="84" spans="1:11" x14ac:dyDescent="0.3">
      <c r="A84" s="798" t="s">
        <v>1270</v>
      </c>
      <c r="B84" s="805" t="s">
        <v>680</v>
      </c>
      <c r="C84" s="785" t="s">
        <v>680</v>
      </c>
      <c r="D84" s="785" t="s">
        <v>680</v>
      </c>
      <c r="E84" s="785" t="s">
        <v>680</v>
      </c>
      <c r="F84" s="785" t="s">
        <v>680</v>
      </c>
      <c r="G84" s="785" t="s">
        <v>680</v>
      </c>
      <c r="H84" s="785" t="s">
        <v>680</v>
      </c>
      <c r="I84" s="785" t="s">
        <v>680</v>
      </c>
      <c r="J84" s="785" t="s">
        <v>680</v>
      </c>
      <c r="K84" s="785" t="s">
        <v>1216</v>
      </c>
    </row>
    <row r="85" spans="1:11" x14ac:dyDescent="0.3">
      <c r="A85" s="798" t="s">
        <v>1271</v>
      </c>
      <c r="B85" s="805" t="s">
        <v>360</v>
      </c>
      <c r="C85" s="785" t="s">
        <v>360</v>
      </c>
      <c r="D85" s="785" t="s">
        <v>360</v>
      </c>
      <c r="E85" s="785" t="s">
        <v>360</v>
      </c>
      <c r="F85" s="785" t="s">
        <v>360</v>
      </c>
      <c r="G85" s="785" t="s">
        <v>360</v>
      </c>
      <c r="H85" s="785">
        <v>0</v>
      </c>
      <c r="I85" s="785">
        <v>0</v>
      </c>
      <c r="J85" s="785">
        <v>0</v>
      </c>
      <c r="K85" s="785" t="s">
        <v>360</v>
      </c>
    </row>
    <row r="86" spans="1:11" x14ac:dyDescent="0.3">
      <c r="A86" s="798" t="s">
        <v>539</v>
      </c>
      <c r="B86" s="804" t="s">
        <v>539</v>
      </c>
      <c r="C86" s="785" t="s">
        <v>539</v>
      </c>
      <c r="D86" s="785" t="s">
        <v>539</v>
      </c>
      <c r="E86" s="785" t="s">
        <v>539</v>
      </c>
      <c r="F86" s="785" t="s">
        <v>539</v>
      </c>
      <c r="G86" s="785" t="s">
        <v>539</v>
      </c>
      <c r="H86" s="785" t="s">
        <v>539</v>
      </c>
      <c r="I86" s="785" t="s">
        <v>539</v>
      </c>
      <c r="J86" s="785" t="s">
        <v>539</v>
      </c>
      <c r="K86" s="785" t="s">
        <v>539</v>
      </c>
    </row>
    <row r="87" spans="1:11" x14ac:dyDescent="0.3">
      <c r="A87" s="798" t="s">
        <v>1272</v>
      </c>
      <c r="B87" s="804" t="s">
        <v>539</v>
      </c>
      <c r="C87" s="785" t="s">
        <v>539</v>
      </c>
      <c r="D87" s="785" t="s">
        <v>539</v>
      </c>
      <c r="E87" s="785" t="s">
        <v>539</v>
      </c>
      <c r="F87" s="785" t="s">
        <v>539</v>
      </c>
      <c r="G87" s="785" t="s">
        <v>539</v>
      </c>
      <c r="H87" s="785" t="s">
        <v>539</v>
      </c>
      <c r="I87" s="785" t="s">
        <v>539</v>
      </c>
      <c r="J87" s="785" t="s">
        <v>539</v>
      </c>
      <c r="K87" s="785" t="s">
        <v>539</v>
      </c>
    </row>
    <row r="88" spans="1:11" x14ac:dyDescent="0.3">
      <c r="A88" s="798" t="s">
        <v>1273</v>
      </c>
      <c r="B88" s="805" t="s">
        <v>680</v>
      </c>
      <c r="C88" s="785" t="s">
        <v>680</v>
      </c>
      <c r="D88" s="785" t="s">
        <v>680</v>
      </c>
      <c r="E88" s="785" t="s">
        <v>680</v>
      </c>
      <c r="F88" s="785" t="s">
        <v>680</v>
      </c>
      <c r="G88" s="785" t="s">
        <v>680</v>
      </c>
      <c r="H88" s="785" t="s">
        <v>680</v>
      </c>
      <c r="I88" s="785" t="s">
        <v>680</v>
      </c>
      <c r="J88" s="785" t="s">
        <v>680</v>
      </c>
      <c r="K88" s="785" t="s">
        <v>680</v>
      </c>
    </row>
    <row r="89" spans="1:11" x14ac:dyDescent="0.3">
      <c r="A89" s="798" t="s">
        <v>1274</v>
      </c>
      <c r="B89" s="805" t="s">
        <v>360</v>
      </c>
      <c r="C89" s="785" t="s">
        <v>360</v>
      </c>
      <c r="D89" s="785" t="s">
        <v>360</v>
      </c>
      <c r="E89" s="785" t="s">
        <v>360</v>
      </c>
      <c r="F89" s="785" t="s">
        <v>360</v>
      </c>
      <c r="G89" s="785" t="s">
        <v>360</v>
      </c>
      <c r="H89" s="785">
        <v>0</v>
      </c>
      <c r="I89" s="785">
        <v>0</v>
      </c>
      <c r="J89" s="785">
        <v>0</v>
      </c>
      <c r="K89" s="785" t="s">
        <v>360</v>
      </c>
    </row>
    <row r="90" spans="1:11" x14ac:dyDescent="0.3">
      <c r="A90" s="798" t="s">
        <v>1275</v>
      </c>
      <c r="B90" s="805" t="s">
        <v>360</v>
      </c>
      <c r="C90" s="785" t="s">
        <v>360</v>
      </c>
      <c r="D90" s="785" t="s">
        <v>360</v>
      </c>
      <c r="E90" s="785" t="s">
        <v>360</v>
      </c>
      <c r="F90" s="785" t="s">
        <v>360</v>
      </c>
      <c r="G90" s="785" t="s">
        <v>360</v>
      </c>
      <c r="H90" s="785">
        <v>0</v>
      </c>
      <c r="I90" s="785">
        <v>0</v>
      </c>
      <c r="J90" s="785">
        <v>0</v>
      </c>
      <c r="K90" s="785" t="s">
        <v>360</v>
      </c>
    </row>
    <row r="91" spans="1:11" x14ac:dyDescent="0.3">
      <c r="A91" s="798" t="s">
        <v>1276</v>
      </c>
      <c r="B91" s="805" t="s">
        <v>360</v>
      </c>
      <c r="C91" s="785" t="s">
        <v>360</v>
      </c>
      <c r="D91" s="785" t="s">
        <v>360</v>
      </c>
      <c r="E91" s="785" t="s">
        <v>360</v>
      </c>
      <c r="F91" s="785" t="s">
        <v>360</v>
      </c>
      <c r="G91" s="785" t="s">
        <v>360</v>
      </c>
      <c r="H91" s="785">
        <v>0</v>
      </c>
      <c r="I91" s="785">
        <v>0</v>
      </c>
      <c r="J91" s="785">
        <v>0</v>
      </c>
      <c r="K91" s="785" t="s">
        <v>360</v>
      </c>
    </row>
    <row r="92" spans="1:11" ht="25.5" x14ac:dyDescent="0.3">
      <c r="A92" s="798" t="s">
        <v>1277</v>
      </c>
      <c r="B92" s="805">
        <v>0.1</v>
      </c>
      <c r="C92" s="785">
        <v>0.14000000000000001</v>
      </c>
      <c r="D92" s="785">
        <v>0.11</v>
      </c>
      <c r="E92" s="785" t="s">
        <v>360</v>
      </c>
      <c r="F92" s="785" t="s">
        <v>360</v>
      </c>
      <c r="G92" s="785" t="s">
        <v>360</v>
      </c>
      <c r="H92" s="785" t="s">
        <v>360</v>
      </c>
      <c r="I92" s="785" t="s">
        <v>360</v>
      </c>
      <c r="J92" s="785" t="s">
        <v>360</v>
      </c>
      <c r="K92" s="785" t="s">
        <v>360</v>
      </c>
    </row>
    <row r="93" spans="1:11" ht="25.5" x14ac:dyDescent="0.3">
      <c r="A93" s="798" t="s">
        <v>1278</v>
      </c>
      <c r="B93" s="805" t="s">
        <v>360</v>
      </c>
      <c r="C93" s="785" t="s">
        <v>360</v>
      </c>
      <c r="D93" s="785" t="s">
        <v>360</v>
      </c>
      <c r="E93" s="785" t="s">
        <v>360</v>
      </c>
      <c r="F93" s="785">
        <v>0.18</v>
      </c>
      <c r="G93" s="785">
        <v>0.14000000000000001</v>
      </c>
      <c r="H93" s="785">
        <v>0.16</v>
      </c>
      <c r="I93" s="785">
        <v>0.16</v>
      </c>
      <c r="J93" s="785">
        <v>0.12</v>
      </c>
      <c r="K93" s="785" t="s">
        <v>360</v>
      </c>
    </row>
    <row r="94" spans="1:11" ht="25.5" x14ac:dyDescent="0.3">
      <c r="A94" s="798" t="s">
        <v>1279</v>
      </c>
      <c r="B94" s="805">
        <v>0.31</v>
      </c>
      <c r="C94" s="785">
        <v>0.38</v>
      </c>
      <c r="D94" s="785">
        <v>0.34</v>
      </c>
      <c r="E94" s="785" t="s">
        <v>360</v>
      </c>
      <c r="F94" s="785" t="s">
        <v>360</v>
      </c>
      <c r="G94" s="785" t="s">
        <v>360</v>
      </c>
      <c r="H94" s="785" t="s">
        <v>360</v>
      </c>
      <c r="I94" s="785" t="s">
        <v>360</v>
      </c>
      <c r="J94" s="785" t="s">
        <v>360</v>
      </c>
      <c r="K94" s="785" t="s">
        <v>360</v>
      </c>
    </row>
    <row r="95" spans="1:11" ht="25.5" x14ac:dyDescent="0.3">
      <c r="A95" s="798" t="s">
        <v>1280</v>
      </c>
      <c r="B95" s="805" t="s">
        <v>360</v>
      </c>
      <c r="C95" s="785" t="s">
        <v>360</v>
      </c>
      <c r="D95" s="785" t="s">
        <v>360</v>
      </c>
      <c r="E95" s="785" t="s">
        <v>360</v>
      </c>
      <c r="F95" s="785">
        <v>0.45</v>
      </c>
      <c r="G95" s="785">
        <v>0.31</v>
      </c>
      <c r="H95" s="785">
        <v>0.32</v>
      </c>
      <c r="I95" s="785">
        <v>0.26</v>
      </c>
      <c r="J95" s="785">
        <v>0.16</v>
      </c>
      <c r="K95" s="785" t="s">
        <v>360</v>
      </c>
    </row>
    <row r="96" spans="1:11" x14ac:dyDescent="0.3">
      <c r="A96" s="798" t="s">
        <v>539</v>
      </c>
      <c r="B96" s="804" t="s">
        <v>539</v>
      </c>
      <c r="C96" s="785" t="s">
        <v>539</v>
      </c>
      <c r="D96" s="785" t="s">
        <v>539</v>
      </c>
      <c r="E96" s="785" t="s">
        <v>539</v>
      </c>
      <c r="F96" s="785" t="s">
        <v>539</v>
      </c>
      <c r="G96" s="785" t="s">
        <v>539</v>
      </c>
      <c r="H96" s="785" t="s">
        <v>539</v>
      </c>
      <c r="I96" s="785" t="s">
        <v>539</v>
      </c>
      <c r="J96" s="785" t="s">
        <v>539</v>
      </c>
      <c r="K96" s="785" t="s">
        <v>539</v>
      </c>
    </row>
    <row r="97" spans="1:11" x14ac:dyDescent="0.3">
      <c r="A97" s="798" t="s">
        <v>1281</v>
      </c>
      <c r="B97" s="804" t="s">
        <v>539</v>
      </c>
      <c r="C97" s="785" t="s">
        <v>539</v>
      </c>
      <c r="D97" s="785" t="s">
        <v>539</v>
      </c>
      <c r="E97" s="785" t="s">
        <v>539</v>
      </c>
      <c r="F97" s="785" t="s">
        <v>539</v>
      </c>
      <c r="G97" s="785" t="s">
        <v>539</v>
      </c>
      <c r="H97" s="785" t="s">
        <v>539</v>
      </c>
      <c r="I97" s="785" t="s">
        <v>539</v>
      </c>
      <c r="J97" s="785" t="s">
        <v>539</v>
      </c>
      <c r="K97" s="785" t="s">
        <v>539</v>
      </c>
    </row>
    <row r="98" spans="1:11" x14ac:dyDescent="0.3">
      <c r="A98" s="798" t="s">
        <v>1282</v>
      </c>
      <c r="B98" s="805" t="s">
        <v>680</v>
      </c>
      <c r="C98" s="785" t="s">
        <v>680</v>
      </c>
      <c r="D98" s="785" t="s">
        <v>680</v>
      </c>
      <c r="E98" s="785" t="s">
        <v>680</v>
      </c>
      <c r="F98" s="785" t="s">
        <v>680</v>
      </c>
      <c r="G98" s="785" t="s">
        <v>680</v>
      </c>
      <c r="H98" s="785" t="s">
        <v>680</v>
      </c>
      <c r="I98" s="785" t="s">
        <v>680</v>
      </c>
      <c r="J98" s="785" t="s">
        <v>680</v>
      </c>
      <c r="K98" s="785" t="s">
        <v>1216</v>
      </c>
    </row>
    <row r="99" spans="1:11" x14ac:dyDescent="0.3">
      <c r="A99" s="798" t="s">
        <v>1283</v>
      </c>
      <c r="B99" s="805" t="s">
        <v>679</v>
      </c>
      <c r="C99" s="785" t="s">
        <v>679</v>
      </c>
      <c r="D99" s="785" t="s">
        <v>679</v>
      </c>
      <c r="E99" s="785" t="s">
        <v>679</v>
      </c>
      <c r="F99" s="785" t="s">
        <v>680</v>
      </c>
      <c r="G99" s="785" t="s">
        <v>680</v>
      </c>
      <c r="H99" s="785" t="s">
        <v>680</v>
      </c>
      <c r="I99" s="785" t="s">
        <v>680</v>
      </c>
      <c r="J99" s="785" t="s">
        <v>680</v>
      </c>
      <c r="K99" s="785" t="s">
        <v>1216</v>
      </c>
    </row>
    <row r="100" spans="1:11" x14ac:dyDescent="0.3">
      <c r="A100" s="798" t="s">
        <v>1284</v>
      </c>
      <c r="B100" s="806">
        <v>9700</v>
      </c>
      <c r="C100" s="787">
        <v>10000</v>
      </c>
      <c r="D100" s="787">
        <v>15300</v>
      </c>
      <c r="E100" s="787">
        <v>15800</v>
      </c>
      <c r="F100" s="787">
        <v>16082</v>
      </c>
      <c r="G100" s="787">
        <v>15900</v>
      </c>
      <c r="H100" s="787">
        <v>24700</v>
      </c>
      <c r="I100" s="787">
        <v>24450</v>
      </c>
      <c r="J100" s="787">
        <v>26000</v>
      </c>
      <c r="K100" s="787">
        <v>24000</v>
      </c>
    </row>
    <row r="101" spans="1:11" x14ac:dyDescent="0.3">
      <c r="A101" s="798" t="s">
        <v>1285</v>
      </c>
      <c r="B101" s="805" t="s">
        <v>360</v>
      </c>
      <c r="C101" s="785" t="s">
        <v>360</v>
      </c>
      <c r="D101" s="785" t="s">
        <v>360</v>
      </c>
      <c r="E101" s="785" t="s">
        <v>360</v>
      </c>
      <c r="F101" s="785">
        <v>1.2</v>
      </c>
      <c r="G101" s="785">
        <v>1.2</v>
      </c>
      <c r="H101" s="785">
        <v>1.2</v>
      </c>
      <c r="I101" s="785" t="s">
        <v>360</v>
      </c>
      <c r="J101" s="785" t="s">
        <v>360</v>
      </c>
      <c r="K101" s="785" t="s">
        <v>360</v>
      </c>
    </row>
    <row r="102" spans="1:11" x14ac:dyDescent="0.3">
      <c r="A102" s="798" t="s">
        <v>1286</v>
      </c>
      <c r="B102" s="805">
        <v>2.2999999999999998</v>
      </c>
      <c r="C102" s="785">
        <v>6.3</v>
      </c>
      <c r="D102" s="785">
        <v>2.1</v>
      </c>
      <c r="E102" s="785" t="s">
        <v>360</v>
      </c>
      <c r="F102" s="785" t="s">
        <v>360</v>
      </c>
      <c r="G102" s="785" t="s">
        <v>360</v>
      </c>
      <c r="H102" s="785" t="s">
        <v>360</v>
      </c>
      <c r="I102" s="785" t="s">
        <v>360</v>
      </c>
      <c r="J102" s="785" t="s">
        <v>360</v>
      </c>
      <c r="K102" s="785" t="s">
        <v>360</v>
      </c>
    </row>
    <row r="103" spans="1:11" ht="25.5" x14ac:dyDescent="0.3">
      <c r="A103" s="798" t="s">
        <v>1287</v>
      </c>
      <c r="B103" s="805" t="s">
        <v>360</v>
      </c>
      <c r="C103" s="785" t="s">
        <v>360</v>
      </c>
      <c r="D103" s="785" t="s">
        <v>360</v>
      </c>
      <c r="E103" s="785" t="s">
        <v>360</v>
      </c>
      <c r="F103" s="785" t="s">
        <v>360</v>
      </c>
      <c r="G103" s="787">
        <v>158518</v>
      </c>
      <c r="H103" s="787">
        <v>19197</v>
      </c>
      <c r="I103" s="787">
        <v>7000</v>
      </c>
      <c r="J103" s="787">
        <v>6250</v>
      </c>
      <c r="K103" s="785" t="s">
        <v>360</v>
      </c>
    </row>
    <row r="104" spans="1:11" ht="25.5" x14ac:dyDescent="0.3">
      <c r="A104" s="798" t="s">
        <v>1288</v>
      </c>
      <c r="B104" s="805" t="s">
        <v>679</v>
      </c>
      <c r="C104" s="785" t="s">
        <v>679</v>
      </c>
      <c r="D104" s="785" t="s">
        <v>679</v>
      </c>
      <c r="E104" s="785" t="s">
        <v>679</v>
      </c>
      <c r="F104" s="785" t="s">
        <v>679</v>
      </c>
      <c r="G104" s="785" t="s">
        <v>680</v>
      </c>
      <c r="H104" s="785" t="s">
        <v>680</v>
      </c>
      <c r="I104" s="785" t="s">
        <v>680</v>
      </c>
      <c r="J104" s="785" t="s">
        <v>679</v>
      </c>
      <c r="K104" s="785" t="s">
        <v>1216</v>
      </c>
    </row>
    <row r="105" spans="1:11" x14ac:dyDescent="0.3">
      <c r="A105" s="798" t="s">
        <v>539</v>
      </c>
      <c r="B105" s="804" t="s">
        <v>539</v>
      </c>
      <c r="C105" s="785" t="s">
        <v>539</v>
      </c>
      <c r="D105" s="785" t="s">
        <v>539</v>
      </c>
      <c r="E105" s="785" t="s">
        <v>539</v>
      </c>
      <c r="F105" s="785" t="s">
        <v>539</v>
      </c>
      <c r="G105" s="785" t="s">
        <v>539</v>
      </c>
      <c r="H105" s="785" t="s">
        <v>539</v>
      </c>
      <c r="I105" s="785" t="s">
        <v>539</v>
      </c>
      <c r="J105" s="785" t="s">
        <v>539</v>
      </c>
      <c r="K105" s="785" t="s">
        <v>539</v>
      </c>
    </row>
    <row r="106" spans="1:11" x14ac:dyDescent="0.3">
      <c r="A106" s="798" t="s">
        <v>1242</v>
      </c>
      <c r="B106" s="804" t="s">
        <v>539</v>
      </c>
      <c r="C106" s="785" t="s">
        <v>539</v>
      </c>
      <c r="D106" s="785" t="s">
        <v>539</v>
      </c>
      <c r="E106" s="785" t="s">
        <v>539</v>
      </c>
      <c r="F106" s="785" t="s">
        <v>539</v>
      </c>
      <c r="G106" s="785" t="s">
        <v>539</v>
      </c>
      <c r="H106" s="785" t="s">
        <v>539</v>
      </c>
      <c r="I106" s="785" t="s">
        <v>539</v>
      </c>
      <c r="J106" s="785" t="s">
        <v>539</v>
      </c>
      <c r="K106" s="785" t="s">
        <v>539</v>
      </c>
    </row>
    <row r="107" spans="1:11" x14ac:dyDescent="0.3">
      <c r="A107" s="798" t="s">
        <v>1289</v>
      </c>
      <c r="B107" s="805" t="s">
        <v>680</v>
      </c>
      <c r="C107" s="785" t="s">
        <v>680</v>
      </c>
      <c r="D107" s="785" t="s">
        <v>680</v>
      </c>
      <c r="E107" s="785" t="s">
        <v>680</v>
      </c>
      <c r="F107" s="785" t="s">
        <v>680</v>
      </c>
      <c r="G107" s="785" t="s">
        <v>680</v>
      </c>
      <c r="H107" s="785" t="s">
        <v>680</v>
      </c>
      <c r="I107" s="785" t="s">
        <v>680</v>
      </c>
      <c r="J107" s="785" t="s">
        <v>680</v>
      </c>
      <c r="K107" s="785" t="s">
        <v>1216</v>
      </c>
    </row>
    <row r="108" spans="1:11" x14ac:dyDescent="0.3">
      <c r="A108" s="798" t="s">
        <v>539</v>
      </c>
      <c r="B108" s="804" t="s">
        <v>539</v>
      </c>
      <c r="C108" s="785" t="s">
        <v>539</v>
      </c>
      <c r="D108" s="785" t="s">
        <v>539</v>
      </c>
      <c r="E108" s="785" t="s">
        <v>539</v>
      </c>
      <c r="F108" s="785" t="s">
        <v>539</v>
      </c>
      <c r="G108" s="785" t="s">
        <v>539</v>
      </c>
      <c r="H108" s="785" t="s">
        <v>539</v>
      </c>
      <c r="I108" s="785" t="s">
        <v>539</v>
      </c>
      <c r="J108" s="785" t="s">
        <v>539</v>
      </c>
      <c r="K108" s="785" t="s">
        <v>539</v>
      </c>
    </row>
    <row r="109" spans="1:11" x14ac:dyDescent="0.3">
      <c r="A109" s="798" t="s">
        <v>1290</v>
      </c>
      <c r="B109" s="804" t="s">
        <v>539</v>
      </c>
      <c r="C109" s="785" t="s">
        <v>539</v>
      </c>
      <c r="D109" s="785" t="s">
        <v>539</v>
      </c>
      <c r="E109" s="785" t="s">
        <v>539</v>
      </c>
      <c r="F109" s="785" t="s">
        <v>539</v>
      </c>
      <c r="G109" s="785" t="s">
        <v>539</v>
      </c>
      <c r="H109" s="785" t="s">
        <v>539</v>
      </c>
      <c r="I109" s="785" t="s">
        <v>539</v>
      </c>
      <c r="J109" s="785" t="s">
        <v>539</v>
      </c>
      <c r="K109" s="785" t="s">
        <v>539</v>
      </c>
    </row>
    <row r="110" spans="1:11" x14ac:dyDescent="0.3">
      <c r="A110" s="798" t="s">
        <v>1291</v>
      </c>
      <c r="B110" s="804" t="s">
        <v>539</v>
      </c>
      <c r="C110" s="785" t="s">
        <v>539</v>
      </c>
      <c r="D110" s="785" t="s">
        <v>539</v>
      </c>
      <c r="E110" s="785" t="s">
        <v>539</v>
      </c>
      <c r="F110" s="785" t="s">
        <v>539</v>
      </c>
      <c r="G110" s="785" t="s">
        <v>539</v>
      </c>
      <c r="H110" s="785" t="s">
        <v>539</v>
      </c>
      <c r="I110" s="785" t="s">
        <v>539</v>
      </c>
      <c r="J110" s="785" t="s">
        <v>539</v>
      </c>
      <c r="K110" s="785" t="s">
        <v>539</v>
      </c>
    </row>
    <row r="111" spans="1:11" x14ac:dyDescent="0.3">
      <c r="A111" s="798" t="s">
        <v>1292</v>
      </c>
      <c r="B111" s="805">
        <v>49</v>
      </c>
      <c r="C111" s="785">
        <v>49</v>
      </c>
      <c r="D111" s="785">
        <v>51</v>
      </c>
      <c r="E111" s="785">
        <v>52</v>
      </c>
      <c r="F111" s="785">
        <v>53</v>
      </c>
      <c r="G111" s="785">
        <v>54</v>
      </c>
      <c r="H111" s="785">
        <v>55</v>
      </c>
      <c r="I111" s="785">
        <v>56</v>
      </c>
      <c r="J111" s="785">
        <v>57</v>
      </c>
      <c r="K111" s="785">
        <v>58</v>
      </c>
    </row>
    <row r="112" spans="1:11" x14ac:dyDescent="0.3">
      <c r="A112" s="798" t="s">
        <v>1293</v>
      </c>
      <c r="B112" s="805">
        <v>4</v>
      </c>
      <c r="C112" s="785">
        <v>3</v>
      </c>
      <c r="D112" s="785">
        <v>3</v>
      </c>
      <c r="E112" s="785">
        <v>4</v>
      </c>
      <c r="F112" s="785">
        <v>4</v>
      </c>
      <c r="G112" s="785">
        <v>3</v>
      </c>
      <c r="H112" s="785">
        <v>3</v>
      </c>
      <c r="I112" s="785">
        <v>3</v>
      </c>
      <c r="J112" s="785">
        <v>3</v>
      </c>
      <c r="K112" s="785">
        <v>3</v>
      </c>
    </row>
    <row r="113" spans="1:11" ht="25.5" x14ac:dyDescent="0.3">
      <c r="A113" s="798" t="s">
        <v>1294</v>
      </c>
      <c r="B113" s="805">
        <v>4</v>
      </c>
      <c r="C113" s="785">
        <v>3</v>
      </c>
      <c r="D113" s="785">
        <v>3</v>
      </c>
      <c r="E113" s="785">
        <v>4</v>
      </c>
      <c r="F113" s="785">
        <v>4</v>
      </c>
      <c r="G113" s="785">
        <v>3</v>
      </c>
      <c r="H113" s="785">
        <v>3</v>
      </c>
      <c r="I113" s="785">
        <v>3</v>
      </c>
      <c r="J113" s="785">
        <v>3</v>
      </c>
      <c r="K113" s="785">
        <v>3</v>
      </c>
    </row>
    <row r="114" spans="1:11" x14ac:dyDescent="0.3">
      <c r="A114" s="798" t="s">
        <v>1295</v>
      </c>
      <c r="B114" s="805">
        <v>16</v>
      </c>
      <c r="C114" s="785">
        <v>11</v>
      </c>
      <c r="D114" s="785">
        <v>11</v>
      </c>
      <c r="E114" s="785">
        <v>9</v>
      </c>
      <c r="F114" s="785">
        <v>10</v>
      </c>
      <c r="G114" s="785">
        <v>11</v>
      </c>
      <c r="H114" s="785">
        <v>8</v>
      </c>
      <c r="I114" s="785">
        <v>9</v>
      </c>
      <c r="J114" s="785">
        <v>9</v>
      </c>
      <c r="K114" s="785">
        <v>9</v>
      </c>
    </row>
    <row r="115" spans="1:11" ht="25.5" x14ac:dyDescent="0.3">
      <c r="A115" s="798" t="s">
        <v>1296</v>
      </c>
      <c r="B115" s="805">
        <v>75</v>
      </c>
      <c r="C115" s="785">
        <v>75</v>
      </c>
      <c r="D115" s="785">
        <v>75</v>
      </c>
      <c r="E115" s="785">
        <v>75</v>
      </c>
      <c r="F115" s="785">
        <v>75</v>
      </c>
      <c r="G115" s="785">
        <v>97</v>
      </c>
      <c r="H115" s="785">
        <v>92</v>
      </c>
      <c r="I115" s="785">
        <v>99</v>
      </c>
      <c r="J115" s="785">
        <v>75</v>
      </c>
      <c r="K115" s="785">
        <v>75</v>
      </c>
    </row>
    <row r="116" spans="1:11" x14ac:dyDescent="0.3">
      <c r="A116" s="798" t="s">
        <v>539</v>
      </c>
      <c r="B116" s="804" t="s">
        <v>539</v>
      </c>
      <c r="C116" s="785" t="s">
        <v>539</v>
      </c>
      <c r="D116" s="785" t="s">
        <v>539</v>
      </c>
      <c r="E116" s="785" t="s">
        <v>539</v>
      </c>
      <c r="F116" s="785" t="s">
        <v>539</v>
      </c>
      <c r="G116" s="785" t="s">
        <v>539</v>
      </c>
      <c r="H116" s="785" t="s">
        <v>539</v>
      </c>
      <c r="I116" s="785" t="s">
        <v>539</v>
      </c>
      <c r="J116" s="785" t="s">
        <v>539</v>
      </c>
      <c r="K116" s="785" t="s">
        <v>539</v>
      </c>
    </row>
    <row r="117" spans="1:11" x14ac:dyDescent="0.3">
      <c r="A117" s="798" t="s">
        <v>1297</v>
      </c>
      <c r="B117" s="804" t="s">
        <v>539</v>
      </c>
      <c r="C117" s="785" t="s">
        <v>539</v>
      </c>
      <c r="D117" s="785" t="s">
        <v>539</v>
      </c>
      <c r="E117" s="785" t="s">
        <v>539</v>
      </c>
      <c r="F117" s="785" t="s">
        <v>539</v>
      </c>
      <c r="G117" s="785" t="s">
        <v>539</v>
      </c>
      <c r="H117" s="785" t="s">
        <v>539</v>
      </c>
      <c r="I117" s="785" t="s">
        <v>539</v>
      </c>
      <c r="J117" s="785" t="s">
        <v>539</v>
      </c>
      <c r="K117" s="785" t="s">
        <v>539</v>
      </c>
    </row>
    <row r="118" spans="1:11" x14ac:dyDescent="0.3">
      <c r="A118" s="798" t="s">
        <v>1298</v>
      </c>
      <c r="B118" s="805" t="s">
        <v>680</v>
      </c>
      <c r="C118" s="785" t="s">
        <v>680</v>
      </c>
      <c r="D118" s="785" t="s">
        <v>680</v>
      </c>
      <c r="E118" s="785" t="s">
        <v>680</v>
      </c>
      <c r="F118" s="785" t="s">
        <v>680</v>
      </c>
      <c r="G118" s="785" t="s">
        <v>680</v>
      </c>
      <c r="H118" s="785" t="s">
        <v>680</v>
      </c>
      <c r="I118" s="785" t="s">
        <v>680</v>
      </c>
      <c r="J118" s="785" t="s">
        <v>680</v>
      </c>
      <c r="K118" s="785" t="s">
        <v>680</v>
      </c>
    </row>
    <row r="119" spans="1:11" x14ac:dyDescent="0.3">
      <c r="A119" s="798" t="s">
        <v>1299</v>
      </c>
      <c r="B119" s="805">
        <v>11</v>
      </c>
      <c r="C119" s="785">
        <v>10</v>
      </c>
      <c r="D119" s="785">
        <v>9</v>
      </c>
      <c r="E119" s="785">
        <v>10</v>
      </c>
      <c r="F119" s="785">
        <v>11</v>
      </c>
      <c r="G119" s="785">
        <v>11</v>
      </c>
      <c r="H119" s="785">
        <v>13</v>
      </c>
      <c r="I119" s="785">
        <v>13</v>
      </c>
      <c r="J119" s="785">
        <v>12</v>
      </c>
      <c r="K119" s="785">
        <v>11</v>
      </c>
    </row>
    <row r="120" spans="1:11" x14ac:dyDescent="0.3">
      <c r="A120" s="798" t="s">
        <v>1300</v>
      </c>
      <c r="B120" s="805">
        <v>10</v>
      </c>
      <c r="C120" s="785">
        <v>9</v>
      </c>
      <c r="D120" s="785">
        <v>11</v>
      </c>
      <c r="E120" s="785">
        <v>9</v>
      </c>
      <c r="F120" s="785">
        <v>6</v>
      </c>
      <c r="G120" s="785">
        <v>6</v>
      </c>
      <c r="H120" s="785">
        <v>5</v>
      </c>
      <c r="I120" s="785">
        <v>8</v>
      </c>
      <c r="J120" s="785">
        <v>10</v>
      </c>
      <c r="K120" s="785">
        <v>11</v>
      </c>
    </row>
    <row r="121" spans="1:11" ht="25.5" x14ac:dyDescent="0.3">
      <c r="A121" s="798" t="s">
        <v>1301</v>
      </c>
      <c r="B121" s="805">
        <v>10</v>
      </c>
      <c r="C121" s="785">
        <v>9</v>
      </c>
      <c r="D121" s="785">
        <v>8</v>
      </c>
      <c r="E121" s="785">
        <v>9</v>
      </c>
      <c r="F121" s="785">
        <v>10</v>
      </c>
      <c r="G121" s="785">
        <v>10</v>
      </c>
      <c r="H121" s="785">
        <v>12</v>
      </c>
      <c r="I121" s="785">
        <v>12</v>
      </c>
      <c r="J121" s="785">
        <v>11</v>
      </c>
      <c r="K121" s="785">
        <v>10</v>
      </c>
    </row>
    <row r="122" spans="1:11" x14ac:dyDescent="0.3">
      <c r="A122" s="798" t="s">
        <v>1302</v>
      </c>
      <c r="B122" s="805">
        <v>11</v>
      </c>
      <c r="C122" s="785">
        <v>12</v>
      </c>
      <c r="D122" s="785">
        <v>10</v>
      </c>
      <c r="E122" s="785">
        <v>12</v>
      </c>
      <c r="F122" s="785">
        <v>9</v>
      </c>
      <c r="G122" s="785">
        <v>10</v>
      </c>
      <c r="H122" s="785">
        <v>10</v>
      </c>
      <c r="I122" s="785">
        <v>9</v>
      </c>
      <c r="J122" s="785">
        <v>9</v>
      </c>
      <c r="K122" s="785">
        <v>9</v>
      </c>
    </row>
    <row r="123" spans="1:11" x14ac:dyDescent="0.3">
      <c r="A123" s="798" t="s">
        <v>1303</v>
      </c>
      <c r="B123" s="805">
        <v>75</v>
      </c>
      <c r="C123" s="785">
        <v>75</v>
      </c>
      <c r="D123" s="785">
        <v>75</v>
      </c>
      <c r="E123" s="785">
        <v>75</v>
      </c>
      <c r="F123" s="785">
        <v>75</v>
      </c>
      <c r="G123" s="785">
        <v>97</v>
      </c>
      <c r="H123" s="785">
        <v>92</v>
      </c>
      <c r="I123" s="785">
        <v>99</v>
      </c>
      <c r="J123" s="785">
        <v>75</v>
      </c>
      <c r="K123" s="785">
        <v>75</v>
      </c>
    </row>
    <row r="124" spans="1:11" x14ac:dyDescent="0.3">
      <c r="A124" s="798" t="s">
        <v>539</v>
      </c>
      <c r="B124" s="804" t="s">
        <v>539</v>
      </c>
      <c r="C124" s="785" t="s">
        <v>539</v>
      </c>
      <c r="D124" s="785" t="s">
        <v>539</v>
      </c>
      <c r="E124" s="785" t="s">
        <v>539</v>
      </c>
      <c r="F124" s="785" t="s">
        <v>539</v>
      </c>
      <c r="G124" s="785" t="s">
        <v>539</v>
      </c>
      <c r="H124" s="785" t="s">
        <v>539</v>
      </c>
      <c r="I124" s="785" t="s">
        <v>539</v>
      </c>
      <c r="J124" s="785" t="s">
        <v>539</v>
      </c>
      <c r="K124" s="785" t="s">
        <v>539</v>
      </c>
    </row>
    <row r="125" spans="1:11" x14ac:dyDescent="0.3">
      <c r="A125" s="798" t="s">
        <v>1304</v>
      </c>
      <c r="B125" s="804" t="s">
        <v>539</v>
      </c>
      <c r="C125" s="785" t="s">
        <v>539</v>
      </c>
      <c r="D125" s="785" t="s">
        <v>539</v>
      </c>
      <c r="E125" s="785" t="s">
        <v>539</v>
      </c>
      <c r="F125" s="785" t="s">
        <v>539</v>
      </c>
      <c r="G125" s="785" t="s">
        <v>539</v>
      </c>
      <c r="H125" s="785" t="s">
        <v>539</v>
      </c>
      <c r="I125" s="785" t="s">
        <v>539</v>
      </c>
      <c r="J125" s="785" t="s">
        <v>539</v>
      </c>
      <c r="K125" s="785" t="s">
        <v>539</v>
      </c>
    </row>
    <row r="126" spans="1:11" ht="25.5" x14ac:dyDescent="0.3">
      <c r="A126" s="798" t="s">
        <v>1305</v>
      </c>
      <c r="B126" s="805" t="s">
        <v>680</v>
      </c>
      <c r="C126" s="785" t="s">
        <v>680</v>
      </c>
      <c r="D126" s="785" t="s">
        <v>680</v>
      </c>
      <c r="E126" s="785" t="s">
        <v>680</v>
      </c>
      <c r="F126" s="785" t="s">
        <v>680</v>
      </c>
      <c r="G126" s="785" t="s">
        <v>680</v>
      </c>
      <c r="H126" s="785" t="s">
        <v>680</v>
      </c>
      <c r="I126" s="785" t="s">
        <v>680</v>
      </c>
      <c r="J126" s="785" t="s">
        <v>680</v>
      </c>
      <c r="K126" s="785" t="s">
        <v>680</v>
      </c>
    </row>
    <row r="127" spans="1:11" ht="25.5" x14ac:dyDescent="0.3">
      <c r="A127" s="798" t="s">
        <v>1306</v>
      </c>
      <c r="B127" s="805" t="s">
        <v>680</v>
      </c>
      <c r="C127" s="785" t="s">
        <v>680</v>
      </c>
      <c r="D127" s="785" t="s">
        <v>680</v>
      </c>
      <c r="E127" s="785" t="s">
        <v>680</v>
      </c>
      <c r="F127" s="785" t="s">
        <v>680</v>
      </c>
      <c r="G127" s="785" t="s">
        <v>680</v>
      </c>
      <c r="H127" s="785" t="s">
        <v>680</v>
      </c>
      <c r="I127" s="785" t="s">
        <v>680</v>
      </c>
      <c r="J127" s="785" t="s">
        <v>680</v>
      </c>
      <c r="K127" s="785" t="s">
        <v>680</v>
      </c>
    </row>
    <row r="128" spans="1:11" x14ac:dyDescent="0.3">
      <c r="A128" s="798" t="s">
        <v>1307</v>
      </c>
      <c r="B128" s="805">
        <v>3</v>
      </c>
      <c r="C128" s="785">
        <v>3</v>
      </c>
      <c r="D128" s="785">
        <v>3</v>
      </c>
      <c r="E128" s="785">
        <v>3</v>
      </c>
      <c r="F128" s="785">
        <v>3</v>
      </c>
      <c r="G128" s="785">
        <v>4</v>
      </c>
      <c r="H128" s="785">
        <v>4</v>
      </c>
      <c r="I128" s="785">
        <v>3</v>
      </c>
      <c r="J128" s="785">
        <v>4</v>
      </c>
      <c r="K128" s="785">
        <v>3</v>
      </c>
    </row>
    <row r="129" spans="1:11" ht="25.5" x14ac:dyDescent="0.3">
      <c r="A129" s="798" t="s">
        <v>1308</v>
      </c>
      <c r="B129" s="805">
        <v>3</v>
      </c>
      <c r="C129" s="785">
        <v>3</v>
      </c>
      <c r="D129" s="785">
        <v>3</v>
      </c>
      <c r="E129" s="785">
        <v>3</v>
      </c>
      <c r="F129" s="785">
        <v>3</v>
      </c>
      <c r="G129" s="785">
        <v>4</v>
      </c>
      <c r="H129" s="785">
        <v>4</v>
      </c>
      <c r="I129" s="785">
        <v>3</v>
      </c>
      <c r="J129" s="785">
        <v>4</v>
      </c>
      <c r="K129" s="785">
        <v>3</v>
      </c>
    </row>
    <row r="130" spans="1:11" x14ac:dyDescent="0.3">
      <c r="A130" s="798" t="s">
        <v>1309</v>
      </c>
      <c r="B130" s="805">
        <v>11</v>
      </c>
      <c r="C130" s="785">
        <v>9</v>
      </c>
      <c r="D130" s="785">
        <v>16</v>
      </c>
      <c r="E130" s="785">
        <v>12</v>
      </c>
      <c r="F130" s="785">
        <v>10</v>
      </c>
      <c r="G130" s="785">
        <v>8</v>
      </c>
      <c r="H130" s="785">
        <v>8</v>
      </c>
      <c r="I130" s="785">
        <v>10</v>
      </c>
      <c r="J130" s="785">
        <v>10</v>
      </c>
      <c r="K130" s="785">
        <v>6</v>
      </c>
    </row>
    <row r="131" spans="1:11" x14ac:dyDescent="0.3">
      <c r="A131" s="798" t="s">
        <v>1310</v>
      </c>
      <c r="B131" s="805">
        <v>75</v>
      </c>
      <c r="C131" s="785">
        <v>75</v>
      </c>
      <c r="D131" s="785">
        <v>75</v>
      </c>
      <c r="E131" s="785">
        <v>75</v>
      </c>
      <c r="F131" s="785">
        <v>75</v>
      </c>
      <c r="G131" s="785">
        <v>97</v>
      </c>
      <c r="H131" s="785">
        <v>92</v>
      </c>
      <c r="I131" s="785">
        <v>99</v>
      </c>
      <c r="J131" s="785">
        <v>75</v>
      </c>
      <c r="K131" s="785">
        <v>75</v>
      </c>
    </row>
    <row r="132" spans="1:11" x14ac:dyDescent="0.3">
      <c r="A132" s="798" t="s">
        <v>539</v>
      </c>
      <c r="B132" s="804" t="s">
        <v>539</v>
      </c>
      <c r="C132" s="785" t="s">
        <v>539</v>
      </c>
      <c r="D132" s="785" t="s">
        <v>539</v>
      </c>
      <c r="E132" s="785" t="s">
        <v>539</v>
      </c>
      <c r="F132" s="785" t="s">
        <v>539</v>
      </c>
      <c r="G132" s="785" t="s">
        <v>539</v>
      </c>
      <c r="H132" s="785" t="s">
        <v>539</v>
      </c>
      <c r="I132" s="785" t="s">
        <v>539</v>
      </c>
      <c r="J132" s="785" t="s">
        <v>539</v>
      </c>
      <c r="K132" s="785" t="s">
        <v>539</v>
      </c>
    </row>
    <row r="133" spans="1:11" x14ac:dyDescent="0.3">
      <c r="A133" s="798" t="s">
        <v>1262</v>
      </c>
      <c r="B133" s="804" t="s">
        <v>539</v>
      </c>
      <c r="C133" s="785" t="s">
        <v>539</v>
      </c>
      <c r="D133" s="785" t="s">
        <v>539</v>
      </c>
      <c r="E133" s="785" t="s">
        <v>539</v>
      </c>
      <c r="F133" s="785" t="s">
        <v>539</v>
      </c>
      <c r="G133" s="785" t="s">
        <v>539</v>
      </c>
      <c r="H133" s="785" t="s">
        <v>539</v>
      </c>
      <c r="I133" s="785" t="s">
        <v>539</v>
      </c>
      <c r="J133" s="785" t="s">
        <v>539</v>
      </c>
      <c r="K133" s="785" t="s">
        <v>539</v>
      </c>
    </row>
    <row r="134" spans="1:11" x14ac:dyDescent="0.3">
      <c r="A134" s="798" t="s">
        <v>1311</v>
      </c>
      <c r="B134" s="805">
        <v>2</v>
      </c>
      <c r="C134" s="785">
        <v>3</v>
      </c>
      <c r="D134" s="785">
        <v>3</v>
      </c>
      <c r="E134" s="785">
        <v>2</v>
      </c>
      <c r="F134" s="785">
        <v>0</v>
      </c>
      <c r="G134" s="785">
        <v>0</v>
      </c>
      <c r="H134" s="785">
        <v>1</v>
      </c>
      <c r="I134" s="785">
        <v>3</v>
      </c>
      <c r="J134" s="785">
        <v>3</v>
      </c>
      <c r="K134" s="785">
        <v>4</v>
      </c>
    </row>
    <row r="135" spans="1:11" x14ac:dyDescent="0.3">
      <c r="A135" s="798" t="s">
        <v>1312</v>
      </c>
      <c r="B135" s="805">
        <v>1</v>
      </c>
      <c r="C135" s="785">
        <v>1</v>
      </c>
      <c r="D135" s="785">
        <v>1</v>
      </c>
      <c r="E135" s="785">
        <v>2</v>
      </c>
      <c r="F135" s="785">
        <v>2</v>
      </c>
      <c r="G135" s="785">
        <v>3</v>
      </c>
      <c r="H135" s="785">
        <v>4</v>
      </c>
      <c r="I135" s="785">
        <v>4</v>
      </c>
      <c r="J135" s="785">
        <v>4</v>
      </c>
      <c r="K135" s="785">
        <v>4</v>
      </c>
    </row>
    <row r="136" spans="1:11" x14ac:dyDescent="0.3">
      <c r="A136" s="798" t="s">
        <v>1313</v>
      </c>
      <c r="B136" s="805">
        <v>46</v>
      </c>
      <c r="C136" s="785">
        <v>47</v>
      </c>
      <c r="D136" s="785">
        <v>48</v>
      </c>
      <c r="E136" s="785">
        <v>49</v>
      </c>
      <c r="F136" s="785">
        <v>50</v>
      </c>
      <c r="G136" s="785">
        <v>51</v>
      </c>
      <c r="H136" s="785">
        <v>52</v>
      </c>
      <c r="I136" s="785">
        <v>53</v>
      </c>
      <c r="J136" s="785">
        <v>54</v>
      </c>
      <c r="K136" s="785">
        <v>55</v>
      </c>
    </row>
    <row r="137" spans="1:11" x14ac:dyDescent="0.3">
      <c r="A137" s="798" t="s">
        <v>1314</v>
      </c>
      <c r="B137" s="805">
        <v>81</v>
      </c>
      <c r="C137" s="785">
        <v>82</v>
      </c>
      <c r="D137" s="785">
        <v>83</v>
      </c>
      <c r="E137" s="785">
        <v>84</v>
      </c>
      <c r="F137" s="785">
        <v>85</v>
      </c>
      <c r="G137" s="785">
        <v>86</v>
      </c>
      <c r="H137" s="785">
        <v>87</v>
      </c>
      <c r="I137" s="785">
        <v>88</v>
      </c>
      <c r="J137" s="785">
        <v>89</v>
      </c>
      <c r="K137" s="785">
        <v>90</v>
      </c>
    </row>
    <row r="138" spans="1:11" x14ac:dyDescent="0.3">
      <c r="A138" s="798" t="s">
        <v>539</v>
      </c>
      <c r="B138" s="804" t="s">
        <v>539</v>
      </c>
      <c r="C138" s="785" t="s">
        <v>539</v>
      </c>
      <c r="D138" s="785" t="s">
        <v>539</v>
      </c>
      <c r="E138" s="785" t="s">
        <v>539</v>
      </c>
      <c r="F138" s="785" t="s">
        <v>539</v>
      </c>
      <c r="G138" s="785" t="s">
        <v>539</v>
      </c>
      <c r="H138" s="785" t="s">
        <v>539</v>
      </c>
      <c r="I138" s="785" t="s">
        <v>539</v>
      </c>
      <c r="J138" s="785" t="s">
        <v>539</v>
      </c>
      <c r="K138" s="785" t="s">
        <v>539</v>
      </c>
    </row>
    <row r="139" spans="1:11" x14ac:dyDescent="0.3">
      <c r="A139" s="798" t="s">
        <v>1315</v>
      </c>
      <c r="B139" s="804" t="s">
        <v>539</v>
      </c>
      <c r="C139" s="785" t="s">
        <v>539</v>
      </c>
      <c r="D139" s="785" t="s">
        <v>539</v>
      </c>
      <c r="E139" s="785" t="s">
        <v>539</v>
      </c>
      <c r="F139" s="785" t="s">
        <v>539</v>
      </c>
      <c r="G139" s="785" t="s">
        <v>539</v>
      </c>
      <c r="H139" s="785" t="s">
        <v>539</v>
      </c>
      <c r="I139" s="785" t="s">
        <v>539</v>
      </c>
      <c r="J139" s="785" t="s">
        <v>539</v>
      </c>
      <c r="K139" s="785" t="s">
        <v>539</v>
      </c>
    </row>
    <row r="140" spans="1:11" x14ac:dyDescent="0.3">
      <c r="A140" s="798" t="s">
        <v>1316</v>
      </c>
      <c r="B140" s="805">
        <v>9</v>
      </c>
      <c r="C140" s="785">
        <v>8</v>
      </c>
      <c r="D140" s="785">
        <v>7</v>
      </c>
      <c r="E140" s="785">
        <v>8</v>
      </c>
      <c r="F140" s="785">
        <v>9</v>
      </c>
      <c r="G140" s="785">
        <v>9</v>
      </c>
      <c r="H140" s="785">
        <v>10</v>
      </c>
      <c r="I140" s="785">
        <v>10</v>
      </c>
      <c r="J140" s="785">
        <v>10</v>
      </c>
      <c r="K140" s="785">
        <v>9</v>
      </c>
    </row>
    <row r="141" spans="1:11" x14ac:dyDescent="0.3">
      <c r="A141" s="798" t="s">
        <v>539</v>
      </c>
      <c r="B141" s="804" t="s">
        <v>539</v>
      </c>
      <c r="C141" s="785" t="s">
        <v>539</v>
      </c>
      <c r="D141" s="785" t="s">
        <v>539</v>
      </c>
      <c r="E141" s="785" t="s">
        <v>539</v>
      </c>
      <c r="F141" s="785" t="s">
        <v>539</v>
      </c>
      <c r="G141" s="785" t="s">
        <v>539</v>
      </c>
      <c r="H141" s="785" t="s">
        <v>539</v>
      </c>
      <c r="I141" s="785" t="s">
        <v>539</v>
      </c>
      <c r="J141" s="785" t="s">
        <v>539</v>
      </c>
      <c r="K141" s="785" t="s">
        <v>539</v>
      </c>
    </row>
    <row r="142" spans="1:11" x14ac:dyDescent="0.3">
      <c r="A142" s="798" t="s">
        <v>1317</v>
      </c>
      <c r="B142" s="804" t="s">
        <v>539</v>
      </c>
      <c r="C142" s="785" t="s">
        <v>539</v>
      </c>
      <c r="D142" s="785" t="s">
        <v>539</v>
      </c>
      <c r="E142" s="785" t="s">
        <v>539</v>
      </c>
      <c r="F142" s="785" t="s">
        <v>539</v>
      </c>
      <c r="G142" s="785" t="s">
        <v>539</v>
      </c>
      <c r="H142" s="785" t="s">
        <v>539</v>
      </c>
      <c r="I142" s="785" t="s">
        <v>539</v>
      </c>
      <c r="J142" s="785" t="s">
        <v>539</v>
      </c>
      <c r="K142" s="785" t="s">
        <v>539</v>
      </c>
    </row>
    <row r="143" spans="1:11" x14ac:dyDescent="0.3">
      <c r="A143" s="798" t="s">
        <v>1318</v>
      </c>
      <c r="B143" s="805">
        <v>2</v>
      </c>
      <c r="C143" s="785">
        <v>2</v>
      </c>
      <c r="D143" s="785">
        <v>2</v>
      </c>
      <c r="E143" s="785">
        <v>2</v>
      </c>
      <c r="F143" s="785">
        <v>2</v>
      </c>
      <c r="G143" s="785">
        <v>2</v>
      </c>
      <c r="H143" s="785">
        <v>3</v>
      </c>
      <c r="I143" s="785">
        <v>4</v>
      </c>
      <c r="J143" s="785">
        <v>4</v>
      </c>
      <c r="K143" s="785">
        <v>3</v>
      </c>
    </row>
    <row r="144" spans="1:11" ht="25.5" x14ac:dyDescent="0.3">
      <c r="A144" s="798" t="s">
        <v>1319</v>
      </c>
      <c r="B144" s="805">
        <v>2</v>
      </c>
      <c r="C144" s="785">
        <v>2</v>
      </c>
      <c r="D144" s="785">
        <v>2</v>
      </c>
      <c r="E144" s="785">
        <v>2</v>
      </c>
      <c r="F144" s="785">
        <v>2</v>
      </c>
      <c r="G144" s="785">
        <v>2</v>
      </c>
      <c r="H144" s="785">
        <v>3</v>
      </c>
      <c r="I144" s="785">
        <v>4</v>
      </c>
      <c r="J144" s="785">
        <v>4</v>
      </c>
      <c r="K144" s="785">
        <v>3</v>
      </c>
    </row>
    <row r="145" spans="1:11" x14ac:dyDescent="0.3">
      <c r="A145" s="798" t="s">
        <v>1309</v>
      </c>
      <c r="B145" s="805">
        <v>7</v>
      </c>
      <c r="C145" s="785">
        <v>5</v>
      </c>
      <c r="D145" s="785">
        <v>6</v>
      </c>
      <c r="E145" s="785">
        <v>5</v>
      </c>
      <c r="F145" s="785">
        <v>5</v>
      </c>
      <c r="G145" s="785">
        <v>6</v>
      </c>
      <c r="H145" s="785">
        <v>4</v>
      </c>
      <c r="I145" s="785">
        <v>5</v>
      </c>
      <c r="J145" s="785">
        <v>5</v>
      </c>
      <c r="K145" s="785">
        <v>5</v>
      </c>
    </row>
    <row r="146" spans="1:11" x14ac:dyDescent="0.3">
      <c r="A146" s="798" t="s">
        <v>1320</v>
      </c>
      <c r="B146" s="805">
        <v>75</v>
      </c>
      <c r="C146" s="785">
        <v>75</v>
      </c>
      <c r="D146" s="785">
        <v>75</v>
      </c>
      <c r="E146" s="785">
        <v>75</v>
      </c>
      <c r="F146" s="785">
        <v>75</v>
      </c>
      <c r="G146" s="785">
        <v>97</v>
      </c>
      <c r="H146" s="785">
        <v>92</v>
      </c>
      <c r="I146" s="785">
        <v>99</v>
      </c>
      <c r="J146" s="785">
        <v>75</v>
      </c>
      <c r="K146" s="785">
        <v>75</v>
      </c>
    </row>
    <row r="147" spans="1:11" x14ac:dyDescent="0.3">
      <c r="A147" s="798" t="s">
        <v>539</v>
      </c>
      <c r="B147" s="804" t="s">
        <v>539</v>
      </c>
      <c r="C147" s="785" t="s">
        <v>539</v>
      </c>
      <c r="D147" s="785" t="s">
        <v>539</v>
      </c>
      <c r="E147" s="785" t="s">
        <v>539</v>
      </c>
      <c r="F147" s="785" t="s">
        <v>539</v>
      </c>
      <c r="G147" s="785" t="s">
        <v>539</v>
      </c>
      <c r="H147" s="785" t="s">
        <v>539</v>
      </c>
      <c r="I147" s="785" t="s">
        <v>539</v>
      </c>
      <c r="J147" s="785" t="s">
        <v>539</v>
      </c>
      <c r="K147" s="785" t="s">
        <v>539</v>
      </c>
    </row>
    <row r="148" spans="1:11" x14ac:dyDescent="0.3">
      <c r="A148" s="798" t="s">
        <v>1321</v>
      </c>
      <c r="B148" s="804" t="s">
        <v>539</v>
      </c>
      <c r="C148" s="785" t="s">
        <v>539</v>
      </c>
      <c r="D148" s="785" t="s">
        <v>539</v>
      </c>
      <c r="E148" s="785" t="s">
        <v>539</v>
      </c>
      <c r="F148" s="785" t="s">
        <v>539</v>
      </c>
      <c r="G148" s="785" t="s">
        <v>539</v>
      </c>
      <c r="H148" s="785" t="s">
        <v>539</v>
      </c>
      <c r="I148" s="785" t="s">
        <v>539</v>
      </c>
      <c r="J148" s="785" t="s">
        <v>539</v>
      </c>
      <c r="K148" s="785" t="s">
        <v>539</v>
      </c>
    </row>
    <row r="149" spans="1:11" x14ac:dyDescent="0.3">
      <c r="A149" s="798" t="s">
        <v>1322</v>
      </c>
      <c r="B149" s="805" t="s">
        <v>679</v>
      </c>
      <c r="C149" s="785" t="s">
        <v>679</v>
      </c>
      <c r="D149" s="785" t="s">
        <v>679</v>
      </c>
      <c r="E149" s="785" t="s">
        <v>679</v>
      </c>
      <c r="F149" s="785" t="s">
        <v>679</v>
      </c>
      <c r="G149" s="785" t="s">
        <v>680</v>
      </c>
      <c r="H149" s="785" t="s">
        <v>680</v>
      </c>
      <c r="I149" s="785" t="s">
        <v>680</v>
      </c>
      <c r="J149" s="785" t="s">
        <v>680</v>
      </c>
      <c r="K149" s="785" t="s">
        <v>1216</v>
      </c>
    </row>
    <row r="150" spans="1:11" x14ac:dyDescent="0.3">
      <c r="A150" s="798" t="s">
        <v>1323</v>
      </c>
      <c r="B150" s="805" t="s">
        <v>679</v>
      </c>
      <c r="C150" s="785" t="s">
        <v>679</v>
      </c>
      <c r="D150" s="785" t="s">
        <v>679</v>
      </c>
      <c r="E150" s="785" t="s">
        <v>679</v>
      </c>
      <c r="F150" s="785" t="s">
        <v>679</v>
      </c>
      <c r="G150" s="785" t="s">
        <v>679</v>
      </c>
      <c r="H150" s="785" t="s">
        <v>680</v>
      </c>
      <c r="I150" s="785" t="s">
        <v>680</v>
      </c>
      <c r="J150" s="785" t="s">
        <v>680</v>
      </c>
      <c r="K150" s="785" t="s">
        <v>1216</v>
      </c>
    </row>
    <row r="151" spans="1:11" x14ac:dyDescent="0.3">
      <c r="A151" s="798" t="s">
        <v>539</v>
      </c>
      <c r="B151" s="804" t="s">
        <v>539</v>
      </c>
      <c r="C151" s="785" t="s">
        <v>539</v>
      </c>
      <c r="D151" s="785" t="s">
        <v>539</v>
      </c>
      <c r="E151" s="785" t="s">
        <v>539</v>
      </c>
      <c r="F151" s="785" t="s">
        <v>539</v>
      </c>
      <c r="G151" s="785" t="s">
        <v>539</v>
      </c>
      <c r="H151" s="785" t="s">
        <v>539</v>
      </c>
      <c r="I151" s="785" t="s">
        <v>539</v>
      </c>
      <c r="J151" s="785" t="s">
        <v>539</v>
      </c>
      <c r="K151" s="785" t="s">
        <v>539</v>
      </c>
    </row>
    <row r="152" spans="1:11" x14ac:dyDescent="0.3">
      <c r="A152" s="798" t="s">
        <v>1324</v>
      </c>
      <c r="B152" s="804" t="s">
        <v>539</v>
      </c>
      <c r="C152" s="785" t="s">
        <v>539</v>
      </c>
      <c r="D152" s="785" t="s">
        <v>539</v>
      </c>
      <c r="E152" s="785" t="s">
        <v>539</v>
      </c>
      <c r="F152" s="785" t="s">
        <v>539</v>
      </c>
      <c r="G152" s="785" t="s">
        <v>539</v>
      </c>
      <c r="H152" s="785" t="s">
        <v>539</v>
      </c>
      <c r="I152" s="785" t="s">
        <v>539</v>
      </c>
      <c r="J152" s="785" t="s">
        <v>539</v>
      </c>
      <c r="K152" s="785" t="s">
        <v>539</v>
      </c>
    </row>
    <row r="153" spans="1:11" x14ac:dyDescent="0.3">
      <c r="A153" s="798" t="s">
        <v>1325</v>
      </c>
      <c r="B153" s="805">
        <v>1</v>
      </c>
      <c r="C153" s="785">
        <v>1</v>
      </c>
      <c r="D153" s="785">
        <v>1</v>
      </c>
      <c r="E153" s="785">
        <v>1</v>
      </c>
      <c r="F153" s="785">
        <v>1</v>
      </c>
      <c r="G153" s="785">
        <v>1</v>
      </c>
      <c r="H153" s="785">
        <v>1</v>
      </c>
      <c r="I153" s="785">
        <v>1</v>
      </c>
      <c r="J153" s="785">
        <v>1</v>
      </c>
      <c r="K153" s="785">
        <v>1</v>
      </c>
    </row>
    <row r="154" spans="1:11" x14ac:dyDescent="0.3">
      <c r="A154" s="798" t="s">
        <v>539</v>
      </c>
      <c r="B154" s="804" t="s">
        <v>539</v>
      </c>
      <c r="C154" s="785" t="s">
        <v>539</v>
      </c>
      <c r="D154" s="785" t="s">
        <v>539</v>
      </c>
      <c r="E154" s="785" t="s">
        <v>539</v>
      </c>
      <c r="F154" s="785" t="s">
        <v>539</v>
      </c>
      <c r="G154" s="785" t="s">
        <v>539</v>
      </c>
      <c r="H154" s="785" t="s">
        <v>539</v>
      </c>
      <c r="I154" s="785" t="s">
        <v>539</v>
      </c>
      <c r="J154" s="785" t="s">
        <v>539</v>
      </c>
      <c r="K154" s="785" t="s">
        <v>539</v>
      </c>
    </row>
    <row r="155" spans="1:11" ht="26" x14ac:dyDescent="0.3">
      <c r="A155" s="799" t="s">
        <v>636</v>
      </c>
      <c r="B155" s="799" t="s">
        <v>637</v>
      </c>
      <c r="C155" s="791"/>
      <c r="D155" s="791"/>
      <c r="E155" s="791"/>
      <c r="F155" s="791"/>
      <c r="G155" s="791"/>
      <c r="H155" s="790" t="s">
        <v>539</v>
      </c>
      <c r="I155" s="790" t="s">
        <v>539</v>
      </c>
      <c r="J155" s="790" t="s">
        <v>539</v>
      </c>
      <c r="K155" s="790" t="s">
        <v>539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6A16-3570-4182-B878-3CC6552514A3}">
  <sheetPr codeName="Sheet29"/>
  <dimension ref="A1:K77"/>
  <sheetViews>
    <sheetView workbookViewId="0">
      <selection activeCell="A12" sqref="A12"/>
    </sheetView>
  </sheetViews>
  <sheetFormatPr defaultColWidth="8.83203125" defaultRowHeight="14" x14ac:dyDescent="0.3"/>
  <cols>
    <col min="1" max="2" width="36" bestFit="1" customWidth="1"/>
  </cols>
  <sheetData>
    <row r="1" spans="1:11" ht="14.5" x14ac:dyDescent="0.35">
      <c r="A1" s="792" t="s">
        <v>539</v>
      </c>
      <c r="B1" s="792" t="s">
        <v>539</v>
      </c>
      <c r="C1" s="773" t="s">
        <v>539</v>
      </c>
      <c r="D1" s="773" t="s">
        <v>539</v>
      </c>
      <c r="E1" s="773" t="s">
        <v>539</v>
      </c>
      <c r="F1" s="773" t="s">
        <v>539</v>
      </c>
      <c r="G1" s="773" t="s">
        <v>539</v>
      </c>
      <c r="H1" s="773" t="s">
        <v>539</v>
      </c>
      <c r="I1" s="773" t="s">
        <v>539</v>
      </c>
      <c r="J1" s="773" t="s">
        <v>539</v>
      </c>
      <c r="K1" s="773" t="s">
        <v>539</v>
      </c>
    </row>
    <row r="2" spans="1:11" ht="20" x14ac:dyDescent="0.4">
      <c r="A2" s="793" t="s">
        <v>1326</v>
      </c>
      <c r="B2" s="793" t="s">
        <v>539</v>
      </c>
      <c r="C2" s="774" t="s">
        <v>539</v>
      </c>
      <c r="D2" s="774" t="s">
        <v>539</v>
      </c>
      <c r="E2" s="774" t="s">
        <v>539</v>
      </c>
      <c r="F2" s="774" t="s">
        <v>539</v>
      </c>
      <c r="G2" s="774" t="s">
        <v>539</v>
      </c>
      <c r="H2" s="774" t="s">
        <v>539</v>
      </c>
      <c r="I2" s="774" t="s">
        <v>539</v>
      </c>
      <c r="J2" s="774" t="s">
        <v>539</v>
      </c>
      <c r="K2" s="774" t="s">
        <v>539</v>
      </c>
    </row>
    <row r="3" spans="1:11" x14ac:dyDescent="0.3">
      <c r="A3" s="794" t="s">
        <v>539</v>
      </c>
      <c r="B3" s="794" t="s">
        <v>539</v>
      </c>
      <c r="C3" s="776" t="s">
        <v>539</v>
      </c>
      <c r="D3" s="776" t="s">
        <v>539</v>
      </c>
      <c r="E3" s="776" t="s">
        <v>539</v>
      </c>
      <c r="F3" s="776" t="s">
        <v>539</v>
      </c>
      <c r="G3" s="776" t="s">
        <v>539</v>
      </c>
      <c r="H3" s="776" t="s">
        <v>539</v>
      </c>
      <c r="I3" s="776" t="s">
        <v>539</v>
      </c>
      <c r="J3" s="776" t="s">
        <v>539</v>
      </c>
      <c r="K3" s="776" t="s">
        <v>539</v>
      </c>
    </row>
    <row r="4" spans="1:11" x14ac:dyDescent="0.3">
      <c r="A4" s="795" t="s">
        <v>606</v>
      </c>
      <c r="B4" s="801" t="s">
        <v>607</v>
      </c>
      <c r="C4" s="778" t="s">
        <v>608</v>
      </c>
      <c r="D4" s="778" t="s">
        <v>609</v>
      </c>
      <c r="E4" s="778" t="s">
        <v>610</v>
      </c>
      <c r="F4" s="778" t="s">
        <v>611</v>
      </c>
      <c r="G4" s="778" t="s">
        <v>612</v>
      </c>
      <c r="H4" s="778" t="s">
        <v>613</v>
      </c>
      <c r="I4" s="778" t="s">
        <v>614</v>
      </c>
      <c r="J4" s="778" t="s">
        <v>615</v>
      </c>
      <c r="K4" s="778" t="s">
        <v>616</v>
      </c>
    </row>
    <row r="5" spans="1:11" x14ac:dyDescent="0.3">
      <c r="A5" s="796" t="s">
        <v>617</v>
      </c>
      <c r="B5" s="802">
        <v>42308</v>
      </c>
      <c r="C5" s="781">
        <v>42672</v>
      </c>
      <c r="D5" s="781">
        <v>43036</v>
      </c>
      <c r="E5" s="781">
        <v>43407</v>
      </c>
      <c r="F5" s="781">
        <v>43771</v>
      </c>
      <c r="G5" s="781">
        <v>44135</v>
      </c>
      <c r="H5" s="781">
        <v>44499</v>
      </c>
      <c r="I5" s="781">
        <v>44863</v>
      </c>
      <c r="J5" s="781">
        <v>45227</v>
      </c>
      <c r="K5" s="781">
        <v>45598</v>
      </c>
    </row>
    <row r="6" spans="1:11" x14ac:dyDescent="0.3">
      <c r="A6" s="798" t="s">
        <v>1327</v>
      </c>
      <c r="B6" s="804" t="s">
        <v>539</v>
      </c>
      <c r="C6" s="785" t="s">
        <v>539</v>
      </c>
      <c r="D6" s="785" t="s">
        <v>539</v>
      </c>
      <c r="E6" s="785" t="s">
        <v>539</v>
      </c>
      <c r="F6" s="785" t="s">
        <v>539</v>
      </c>
      <c r="G6" s="785" t="s">
        <v>539</v>
      </c>
      <c r="H6" s="785" t="s">
        <v>539</v>
      </c>
      <c r="I6" s="785" t="s">
        <v>539</v>
      </c>
      <c r="J6" s="785" t="s">
        <v>539</v>
      </c>
      <c r="K6" s="785" t="s">
        <v>539</v>
      </c>
    </row>
    <row r="7" spans="1:11" x14ac:dyDescent="0.3">
      <c r="A7" s="798" t="s">
        <v>1208</v>
      </c>
      <c r="B7" s="805">
        <v>46.32</v>
      </c>
      <c r="C7" s="785">
        <v>47.24</v>
      </c>
      <c r="D7" s="785">
        <v>50.27</v>
      </c>
      <c r="E7" s="785">
        <v>49.12</v>
      </c>
      <c r="F7" s="785">
        <v>52.02</v>
      </c>
      <c r="G7" s="785">
        <v>55.21</v>
      </c>
      <c r="H7" s="785">
        <v>64.790000000000006</v>
      </c>
      <c r="I7" s="785">
        <v>65.42</v>
      </c>
      <c r="J7" s="785" t="s">
        <v>360</v>
      </c>
      <c r="K7" s="785" t="s">
        <v>360</v>
      </c>
    </row>
    <row r="8" spans="1:11" x14ac:dyDescent="0.3">
      <c r="A8" s="798" t="s">
        <v>1209</v>
      </c>
      <c r="B8" s="805">
        <v>35.19</v>
      </c>
      <c r="C8" s="785">
        <v>36.909999999999997</v>
      </c>
      <c r="D8" s="785">
        <v>46</v>
      </c>
      <c r="E8" s="785">
        <v>47.72</v>
      </c>
      <c r="F8" s="785">
        <v>44.88</v>
      </c>
      <c r="G8" s="785">
        <v>45.21</v>
      </c>
      <c r="H8" s="785">
        <v>46.93</v>
      </c>
      <c r="I8" s="785">
        <v>51.37</v>
      </c>
      <c r="J8" s="785" t="s">
        <v>360</v>
      </c>
      <c r="K8" s="785" t="s">
        <v>360</v>
      </c>
    </row>
    <row r="9" spans="1:11" x14ac:dyDescent="0.3">
      <c r="A9" s="798" t="s">
        <v>1210</v>
      </c>
      <c r="B9" s="805">
        <v>18.649999999999999</v>
      </c>
      <c r="C9" s="785">
        <v>19.68</v>
      </c>
      <c r="D9" s="785">
        <v>19.68</v>
      </c>
      <c r="E9" s="785">
        <v>14.51</v>
      </c>
      <c r="F9" s="785">
        <v>26.06</v>
      </c>
      <c r="G9" s="785">
        <v>29.02</v>
      </c>
      <c r="H9" s="785">
        <v>49.82</v>
      </c>
      <c r="I9" s="785">
        <v>47.25</v>
      </c>
      <c r="J9" s="785" t="s">
        <v>360</v>
      </c>
      <c r="K9" s="785" t="s">
        <v>360</v>
      </c>
    </row>
    <row r="10" spans="1:11" x14ac:dyDescent="0.3">
      <c r="A10" s="798" t="s">
        <v>1211</v>
      </c>
      <c r="B10" s="805">
        <v>84.98</v>
      </c>
      <c r="C10" s="785">
        <v>84.98</v>
      </c>
      <c r="D10" s="785">
        <v>84.98</v>
      </c>
      <c r="E10" s="785">
        <v>84.98</v>
      </c>
      <c r="F10" s="785">
        <v>84.98</v>
      </c>
      <c r="G10" s="785">
        <v>91.24</v>
      </c>
      <c r="H10" s="785">
        <v>97.5</v>
      </c>
      <c r="I10" s="785">
        <v>97.5</v>
      </c>
      <c r="J10" s="785" t="s">
        <v>360</v>
      </c>
      <c r="K10" s="785" t="s">
        <v>360</v>
      </c>
    </row>
    <row r="11" spans="1:11" x14ac:dyDescent="0.3">
      <c r="A11" s="798" t="s">
        <v>539</v>
      </c>
      <c r="B11" s="804" t="s">
        <v>539</v>
      </c>
      <c r="C11" s="785" t="s">
        <v>539</v>
      </c>
      <c r="D11" s="785" t="s">
        <v>539</v>
      </c>
      <c r="E11" s="785" t="s">
        <v>539</v>
      </c>
      <c r="F11" s="785" t="s">
        <v>539</v>
      </c>
      <c r="G11" s="785" t="s">
        <v>539</v>
      </c>
      <c r="H11" s="785" t="s">
        <v>539</v>
      </c>
      <c r="I11" s="785" t="s">
        <v>539</v>
      </c>
      <c r="J11" s="785" t="s">
        <v>539</v>
      </c>
      <c r="K11" s="785" t="s">
        <v>539</v>
      </c>
    </row>
    <row r="12" spans="1:11" x14ac:dyDescent="0.3">
      <c r="A12" s="797" t="s">
        <v>1328</v>
      </c>
      <c r="B12" s="803" t="s">
        <v>539</v>
      </c>
      <c r="C12" s="783" t="s">
        <v>539</v>
      </c>
      <c r="D12" s="783" t="s">
        <v>539</v>
      </c>
      <c r="E12" s="783" t="s">
        <v>539</v>
      </c>
      <c r="F12" s="783" t="s">
        <v>539</v>
      </c>
      <c r="G12" s="783" t="s">
        <v>539</v>
      </c>
      <c r="H12" s="783" t="s">
        <v>539</v>
      </c>
      <c r="I12" s="783" t="s">
        <v>539</v>
      </c>
      <c r="J12" s="783" t="s">
        <v>539</v>
      </c>
      <c r="K12" s="783" t="s">
        <v>539</v>
      </c>
    </row>
    <row r="13" spans="1:11" x14ac:dyDescent="0.3">
      <c r="A13" s="798" t="s">
        <v>1329</v>
      </c>
      <c r="B13" s="805">
        <v>63.77</v>
      </c>
      <c r="C13" s="785">
        <v>63.65</v>
      </c>
      <c r="D13" s="785">
        <v>38.75</v>
      </c>
      <c r="E13" s="785">
        <v>35.29</v>
      </c>
      <c r="F13" s="785" t="s">
        <v>360</v>
      </c>
      <c r="G13" s="785" t="s">
        <v>360</v>
      </c>
      <c r="H13" s="785" t="s">
        <v>360</v>
      </c>
      <c r="I13" s="785">
        <v>39.01</v>
      </c>
      <c r="J13" s="785" t="s">
        <v>360</v>
      </c>
      <c r="K13" s="785" t="s">
        <v>360</v>
      </c>
    </row>
    <row r="14" spans="1:11" x14ac:dyDescent="0.3">
      <c r="A14" s="798" t="s">
        <v>1330</v>
      </c>
      <c r="B14" s="805">
        <v>38.65</v>
      </c>
      <c r="C14" s="785">
        <v>39.33</v>
      </c>
      <c r="D14" s="785">
        <v>9.75</v>
      </c>
      <c r="E14" s="785">
        <v>8.74</v>
      </c>
      <c r="F14" s="785" t="s">
        <v>360</v>
      </c>
      <c r="G14" s="785" t="s">
        <v>360</v>
      </c>
      <c r="H14" s="785" t="s">
        <v>360</v>
      </c>
      <c r="I14" s="785">
        <v>14.65</v>
      </c>
      <c r="J14" s="785">
        <v>11.21</v>
      </c>
      <c r="K14" s="785" t="s">
        <v>360</v>
      </c>
    </row>
    <row r="15" spans="1:11" x14ac:dyDescent="0.3">
      <c r="A15" s="798" t="s">
        <v>1331</v>
      </c>
      <c r="B15" s="805" t="s">
        <v>360</v>
      </c>
      <c r="C15" s="785" t="s">
        <v>360</v>
      </c>
      <c r="D15" s="785">
        <v>28.99</v>
      </c>
      <c r="E15" s="785">
        <v>26.55</v>
      </c>
      <c r="F15" s="785">
        <v>28.54</v>
      </c>
      <c r="G15" s="785">
        <v>30.67</v>
      </c>
      <c r="H15" s="785">
        <v>37.65</v>
      </c>
      <c r="I15" s="785">
        <v>24.36</v>
      </c>
      <c r="J15" s="785" t="s">
        <v>360</v>
      </c>
      <c r="K15" s="785" t="s">
        <v>360</v>
      </c>
    </row>
    <row r="16" spans="1:11" x14ac:dyDescent="0.3">
      <c r="A16" s="798" t="s">
        <v>1332</v>
      </c>
      <c r="B16" s="805">
        <v>208.02</v>
      </c>
      <c r="C16" s="785">
        <v>175.92</v>
      </c>
      <c r="D16" s="785">
        <v>120.73</v>
      </c>
      <c r="E16" s="785">
        <v>81.39</v>
      </c>
      <c r="F16" s="785" t="s">
        <v>360</v>
      </c>
      <c r="G16" s="785" t="s">
        <v>360</v>
      </c>
      <c r="H16" s="785" t="s">
        <v>360</v>
      </c>
      <c r="I16" s="785">
        <v>83.14</v>
      </c>
      <c r="J16" s="785" t="s">
        <v>360</v>
      </c>
      <c r="K16" s="785" t="s">
        <v>360</v>
      </c>
    </row>
    <row r="17" spans="1:11" x14ac:dyDescent="0.3">
      <c r="A17" s="798" t="s">
        <v>1333</v>
      </c>
      <c r="B17" s="805">
        <v>84.18</v>
      </c>
      <c r="C17" s="785">
        <v>81.349999999999994</v>
      </c>
      <c r="D17" s="785">
        <v>59.89</v>
      </c>
      <c r="E17" s="785">
        <v>62.26</v>
      </c>
      <c r="F17" s="785" t="s">
        <v>360</v>
      </c>
      <c r="G17" s="785" t="s">
        <v>360</v>
      </c>
      <c r="H17" s="785" t="s">
        <v>360</v>
      </c>
      <c r="I17" s="785">
        <v>84.45</v>
      </c>
      <c r="J17" s="785" t="s">
        <v>360</v>
      </c>
      <c r="K17" s="785" t="s">
        <v>360</v>
      </c>
    </row>
    <row r="18" spans="1:11" x14ac:dyDescent="0.3">
      <c r="A18" s="798" t="s">
        <v>1334</v>
      </c>
      <c r="B18" s="805">
        <v>340.09</v>
      </c>
      <c r="C18" s="785">
        <v>342.34</v>
      </c>
      <c r="D18" s="785">
        <v>178.72</v>
      </c>
      <c r="E18" s="785">
        <v>190.28</v>
      </c>
      <c r="F18" s="785" t="s">
        <v>360</v>
      </c>
      <c r="G18" s="785" t="s">
        <v>360</v>
      </c>
      <c r="H18" s="785" t="s">
        <v>360</v>
      </c>
      <c r="I18" s="785">
        <v>195.16</v>
      </c>
      <c r="J18" s="785" t="s">
        <v>360</v>
      </c>
      <c r="K18" s="785" t="s">
        <v>360</v>
      </c>
    </row>
    <row r="19" spans="1:11" x14ac:dyDescent="0.3">
      <c r="A19" s="798" t="s">
        <v>1335</v>
      </c>
      <c r="B19" s="805" t="s">
        <v>360</v>
      </c>
      <c r="C19" s="785" t="s">
        <v>360</v>
      </c>
      <c r="D19" s="785">
        <v>429.24</v>
      </c>
      <c r="E19" s="785">
        <v>471.83</v>
      </c>
      <c r="F19" s="785" t="s">
        <v>360</v>
      </c>
      <c r="G19" s="785" t="s">
        <v>360</v>
      </c>
      <c r="H19" s="785" t="s">
        <v>360</v>
      </c>
      <c r="I19" s="785">
        <v>683.15</v>
      </c>
      <c r="J19" s="785" t="s">
        <v>360</v>
      </c>
      <c r="K19" s="785" t="s">
        <v>360</v>
      </c>
    </row>
    <row r="20" spans="1:11" x14ac:dyDescent="0.3">
      <c r="A20" s="798" t="s">
        <v>1336</v>
      </c>
      <c r="B20" s="805">
        <v>22.58</v>
      </c>
      <c r="C20" s="785">
        <v>21.78</v>
      </c>
      <c r="D20" s="785">
        <v>12.93</v>
      </c>
      <c r="E20" s="785">
        <v>13.9</v>
      </c>
      <c r="F20" s="785" t="s">
        <v>360</v>
      </c>
      <c r="G20" s="785" t="s">
        <v>360</v>
      </c>
      <c r="H20" s="785" t="s">
        <v>360</v>
      </c>
      <c r="I20" s="785">
        <v>19.170000000000002</v>
      </c>
      <c r="J20" s="785" t="s">
        <v>360</v>
      </c>
      <c r="K20" s="785" t="s">
        <v>360</v>
      </c>
    </row>
    <row r="21" spans="1:11" x14ac:dyDescent="0.3">
      <c r="A21" s="798" t="s">
        <v>1337</v>
      </c>
      <c r="B21" s="805">
        <v>31.03</v>
      </c>
      <c r="C21" s="785">
        <v>27.32</v>
      </c>
      <c r="D21" s="785">
        <v>9.36</v>
      </c>
      <c r="E21" s="785">
        <v>10.75</v>
      </c>
      <c r="F21" s="785" t="s">
        <v>360</v>
      </c>
      <c r="G21" s="785" t="s">
        <v>360</v>
      </c>
      <c r="H21" s="785" t="s">
        <v>360</v>
      </c>
      <c r="I21" s="785">
        <v>9.32</v>
      </c>
      <c r="J21" s="785" t="s">
        <v>360</v>
      </c>
      <c r="K21" s="785" t="s">
        <v>360</v>
      </c>
    </row>
    <row r="22" spans="1:11" x14ac:dyDescent="0.3">
      <c r="A22" s="798" t="s">
        <v>1338</v>
      </c>
      <c r="B22" s="805">
        <v>0.72</v>
      </c>
      <c r="C22" s="785">
        <v>0.79</v>
      </c>
      <c r="D22" s="785">
        <v>0.63</v>
      </c>
      <c r="E22" s="785">
        <v>0.28999999999999998</v>
      </c>
      <c r="F22" s="785">
        <v>0.44</v>
      </c>
      <c r="G22" s="785">
        <v>75.16</v>
      </c>
      <c r="H22" s="785">
        <v>60.63</v>
      </c>
      <c r="I22" s="785">
        <v>108.55</v>
      </c>
      <c r="J22" s="785">
        <v>90.12</v>
      </c>
      <c r="K22" s="785" t="s">
        <v>360</v>
      </c>
    </row>
    <row r="23" spans="1:11" x14ac:dyDescent="0.3">
      <c r="A23" s="798" t="s">
        <v>539</v>
      </c>
      <c r="B23" s="804" t="s">
        <v>539</v>
      </c>
      <c r="C23" s="785" t="s">
        <v>539</v>
      </c>
      <c r="D23" s="785" t="s">
        <v>539</v>
      </c>
      <c r="E23" s="785" t="s">
        <v>539</v>
      </c>
      <c r="F23" s="785" t="s">
        <v>539</v>
      </c>
      <c r="G23" s="785" t="s">
        <v>539</v>
      </c>
      <c r="H23" s="785" t="s">
        <v>539</v>
      </c>
      <c r="I23" s="785" t="s">
        <v>539</v>
      </c>
      <c r="J23" s="785" t="s">
        <v>539</v>
      </c>
      <c r="K23" s="785" t="s">
        <v>539</v>
      </c>
    </row>
    <row r="24" spans="1:11" x14ac:dyDescent="0.3">
      <c r="A24" s="797" t="s">
        <v>1339</v>
      </c>
      <c r="B24" s="803" t="s">
        <v>539</v>
      </c>
      <c r="C24" s="783" t="s">
        <v>539</v>
      </c>
      <c r="D24" s="783" t="s">
        <v>539</v>
      </c>
      <c r="E24" s="783" t="s">
        <v>539</v>
      </c>
      <c r="F24" s="783" t="s">
        <v>539</v>
      </c>
      <c r="G24" s="783" t="s">
        <v>539</v>
      </c>
      <c r="H24" s="783" t="s">
        <v>539</v>
      </c>
      <c r="I24" s="783" t="s">
        <v>539</v>
      </c>
      <c r="J24" s="783" t="s">
        <v>539</v>
      </c>
      <c r="K24" s="783" t="s">
        <v>539</v>
      </c>
    </row>
    <row r="25" spans="1:11" x14ac:dyDescent="0.3">
      <c r="A25" s="798" t="s">
        <v>1340</v>
      </c>
      <c r="B25" s="805">
        <v>2.0299999999999998</v>
      </c>
      <c r="C25" s="785">
        <v>2.3199999999999998</v>
      </c>
      <c r="D25" s="785">
        <v>1.88</v>
      </c>
      <c r="E25" s="785">
        <v>0.74</v>
      </c>
      <c r="F25" s="785">
        <v>1.17</v>
      </c>
      <c r="G25" s="785" t="s">
        <v>360</v>
      </c>
      <c r="H25" s="785">
        <v>0.39</v>
      </c>
      <c r="I25" s="785" t="s">
        <v>360</v>
      </c>
      <c r="J25" s="785" t="s">
        <v>360</v>
      </c>
      <c r="K25" s="785" t="s">
        <v>360</v>
      </c>
    </row>
    <row r="26" spans="1:11" x14ac:dyDescent="0.3">
      <c r="A26" s="798" t="s">
        <v>1341</v>
      </c>
      <c r="B26" s="805">
        <v>0.72</v>
      </c>
      <c r="C26" s="785">
        <v>0.79</v>
      </c>
      <c r="D26" s="785">
        <v>0.63</v>
      </c>
      <c r="E26" s="785">
        <v>0.28999999999999998</v>
      </c>
      <c r="F26" s="785">
        <v>0.44</v>
      </c>
      <c r="G26" s="785" t="s">
        <v>360</v>
      </c>
      <c r="H26" s="785">
        <v>0.12</v>
      </c>
      <c r="I26" s="785" t="s">
        <v>360</v>
      </c>
      <c r="J26" s="785" t="s">
        <v>360</v>
      </c>
      <c r="K26" s="785" t="s">
        <v>360</v>
      </c>
    </row>
    <row r="27" spans="1:11" x14ac:dyDescent="0.3">
      <c r="A27" s="798" t="s">
        <v>539</v>
      </c>
      <c r="B27" s="804" t="s">
        <v>539</v>
      </c>
      <c r="C27" s="785" t="s">
        <v>539</v>
      </c>
      <c r="D27" s="785" t="s">
        <v>539</v>
      </c>
      <c r="E27" s="785" t="s">
        <v>539</v>
      </c>
      <c r="F27" s="785" t="s">
        <v>539</v>
      </c>
      <c r="G27" s="785" t="s">
        <v>539</v>
      </c>
      <c r="H27" s="785" t="s">
        <v>539</v>
      </c>
      <c r="I27" s="785" t="s">
        <v>539</v>
      </c>
      <c r="J27" s="785" t="s">
        <v>539</v>
      </c>
      <c r="K27" s="785" t="s">
        <v>539</v>
      </c>
    </row>
    <row r="28" spans="1:11" x14ac:dyDescent="0.3">
      <c r="A28" s="797" t="s">
        <v>1227</v>
      </c>
      <c r="B28" s="803" t="s">
        <v>539</v>
      </c>
      <c r="C28" s="783" t="s">
        <v>539</v>
      </c>
      <c r="D28" s="783" t="s">
        <v>539</v>
      </c>
      <c r="E28" s="783" t="s">
        <v>539</v>
      </c>
      <c r="F28" s="783" t="s">
        <v>539</v>
      </c>
      <c r="G28" s="783" t="s">
        <v>539</v>
      </c>
      <c r="H28" s="783" t="s">
        <v>539</v>
      </c>
      <c r="I28" s="783" t="s">
        <v>539</v>
      </c>
      <c r="J28" s="783" t="s">
        <v>539</v>
      </c>
      <c r="K28" s="783" t="s">
        <v>539</v>
      </c>
    </row>
    <row r="29" spans="1:11" x14ac:dyDescent="0.3">
      <c r="A29" s="798" t="s">
        <v>1342</v>
      </c>
      <c r="B29" s="805" t="s">
        <v>360</v>
      </c>
      <c r="C29" s="785" t="s">
        <v>360</v>
      </c>
      <c r="D29" s="785">
        <v>90.27</v>
      </c>
      <c r="E29" s="785">
        <v>74.790000000000006</v>
      </c>
      <c r="F29" s="785">
        <v>75.040000000000006</v>
      </c>
      <c r="G29" s="785">
        <v>89.85</v>
      </c>
      <c r="H29" s="785">
        <v>113.69</v>
      </c>
      <c r="I29" s="785">
        <v>57.1</v>
      </c>
      <c r="J29" s="785">
        <v>57.54</v>
      </c>
      <c r="K29" s="785" t="s">
        <v>360</v>
      </c>
    </row>
    <row r="30" spans="1:11" x14ac:dyDescent="0.3">
      <c r="A30" s="798" t="s">
        <v>1343</v>
      </c>
      <c r="B30" s="805" t="s">
        <v>360</v>
      </c>
      <c r="C30" s="785" t="s">
        <v>360</v>
      </c>
      <c r="D30" s="785">
        <v>281.26</v>
      </c>
      <c r="E30" s="785">
        <v>172.5</v>
      </c>
      <c r="F30" s="785">
        <v>178.26</v>
      </c>
      <c r="G30" s="785">
        <v>213.76</v>
      </c>
      <c r="H30" s="785">
        <v>295.29000000000002</v>
      </c>
      <c r="I30" s="785">
        <v>121.7</v>
      </c>
      <c r="J30" s="785">
        <v>114.51</v>
      </c>
      <c r="K30" s="785" t="s">
        <v>360</v>
      </c>
    </row>
    <row r="31" spans="1:11" x14ac:dyDescent="0.3">
      <c r="A31" s="798" t="s">
        <v>1344</v>
      </c>
      <c r="B31" s="805" t="s">
        <v>360</v>
      </c>
      <c r="C31" s="785" t="s">
        <v>360</v>
      </c>
      <c r="D31" s="785">
        <v>30.13</v>
      </c>
      <c r="E31" s="785">
        <v>29.46</v>
      </c>
      <c r="F31" s="785">
        <v>27.95</v>
      </c>
      <c r="G31" s="785">
        <v>31.66</v>
      </c>
      <c r="H31" s="785">
        <v>33.69</v>
      </c>
      <c r="I31" s="785">
        <v>28.06</v>
      </c>
      <c r="J31" s="785">
        <v>27.23</v>
      </c>
      <c r="K31" s="785" t="s">
        <v>360</v>
      </c>
    </row>
    <row r="32" spans="1:11" x14ac:dyDescent="0.3">
      <c r="A32" s="798" t="s">
        <v>1345</v>
      </c>
      <c r="B32" s="805" t="s">
        <v>360</v>
      </c>
      <c r="C32" s="785" t="s">
        <v>360</v>
      </c>
      <c r="D32" s="785">
        <v>21.81</v>
      </c>
      <c r="E32" s="785">
        <v>22.78</v>
      </c>
      <c r="F32" s="785">
        <v>21.01</v>
      </c>
      <c r="G32" s="785">
        <v>23.45</v>
      </c>
      <c r="H32" s="785">
        <v>15.9</v>
      </c>
      <c r="I32" s="785">
        <v>13.64</v>
      </c>
      <c r="J32" s="785">
        <v>14.51</v>
      </c>
      <c r="K32" s="785" t="s">
        <v>360</v>
      </c>
    </row>
    <row r="33" spans="1:11" x14ac:dyDescent="0.3">
      <c r="A33" s="798" t="s">
        <v>1346</v>
      </c>
      <c r="B33" s="805" t="s">
        <v>360</v>
      </c>
      <c r="C33" s="785" t="s">
        <v>360</v>
      </c>
      <c r="D33" s="785" t="s">
        <v>360</v>
      </c>
      <c r="E33" s="785" t="s">
        <v>360</v>
      </c>
      <c r="F33" s="785" t="s">
        <v>360</v>
      </c>
      <c r="G33" s="785" t="s">
        <v>360</v>
      </c>
      <c r="H33" s="785">
        <v>0</v>
      </c>
      <c r="I33" s="785">
        <v>0</v>
      </c>
      <c r="J33" s="785" t="s">
        <v>360</v>
      </c>
      <c r="K33" s="785" t="s">
        <v>360</v>
      </c>
    </row>
    <row r="34" spans="1:11" x14ac:dyDescent="0.3">
      <c r="A34" s="798" t="s">
        <v>539</v>
      </c>
      <c r="B34" s="804" t="s">
        <v>539</v>
      </c>
      <c r="C34" s="785" t="s">
        <v>539</v>
      </c>
      <c r="D34" s="785" t="s">
        <v>539</v>
      </c>
      <c r="E34" s="785" t="s">
        <v>539</v>
      </c>
      <c r="F34" s="785" t="s">
        <v>539</v>
      </c>
      <c r="G34" s="785" t="s">
        <v>539</v>
      </c>
      <c r="H34" s="785" t="s">
        <v>539</v>
      </c>
      <c r="I34" s="785" t="s">
        <v>539</v>
      </c>
      <c r="J34" s="785" t="s">
        <v>539</v>
      </c>
      <c r="K34" s="785" t="s">
        <v>539</v>
      </c>
    </row>
    <row r="35" spans="1:11" x14ac:dyDescent="0.3">
      <c r="A35" s="797" t="s">
        <v>1244</v>
      </c>
      <c r="B35" s="803" t="s">
        <v>539</v>
      </c>
      <c r="C35" s="783" t="s">
        <v>539</v>
      </c>
      <c r="D35" s="783" t="s">
        <v>539</v>
      </c>
      <c r="E35" s="783" t="s">
        <v>539</v>
      </c>
      <c r="F35" s="783" t="s">
        <v>539</v>
      </c>
      <c r="G35" s="783" t="s">
        <v>539</v>
      </c>
      <c r="H35" s="783" t="s">
        <v>539</v>
      </c>
      <c r="I35" s="783" t="s">
        <v>539</v>
      </c>
      <c r="J35" s="783" t="s">
        <v>539</v>
      </c>
      <c r="K35" s="783" t="s">
        <v>539</v>
      </c>
    </row>
    <row r="36" spans="1:11" x14ac:dyDescent="0.3">
      <c r="A36" s="798" t="s">
        <v>1347</v>
      </c>
      <c r="B36" s="805">
        <v>696.49</v>
      </c>
      <c r="C36" s="785">
        <v>700.38</v>
      </c>
      <c r="D36" s="785">
        <v>478.8</v>
      </c>
      <c r="E36" s="785">
        <v>384.96</v>
      </c>
      <c r="F36" s="785">
        <v>713.42</v>
      </c>
      <c r="G36" s="785">
        <v>784.57</v>
      </c>
      <c r="H36" s="785">
        <v>612.42999999999995</v>
      </c>
      <c r="I36" s="785">
        <v>676.83</v>
      </c>
      <c r="J36" s="785">
        <v>620.99</v>
      </c>
      <c r="K36" s="785" t="s">
        <v>360</v>
      </c>
    </row>
    <row r="37" spans="1:11" x14ac:dyDescent="0.3">
      <c r="A37" s="798" t="s">
        <v>1348</v>
      </c>
      <c r="B37" s="806">
        <v>2271.9</v>
      </c>
      <c r="C37" s="787">
        <v>1935.75</v>
      </c>
      <c r="D37" s="787">
        <v>1491.89</v>
      </c>
      <c r="E37" s="785">
        <v>887.95</v>
      </c>
      <c r="F37" s="787">
        <v>1694.84</v>
      </c>
      <c r="G37" s="787">
        <v>1866.62</v>
      </c>
      <c r="H37" s="787">
        <v>1590.68</v>
      </c>
      <c r="I37" s="787">
        <v>1442.55</v>
      </c>
      <c r="J37" s="787">
        <v>1235.9000000000001</v>
      </c>
      <c r="K37" s="785" t="s">
        <v>360</v>
      </c>
    </row>
    <row r="38" spans="1:11" x14ac:dyDescent="0.3">
      <c r="A38" s="798" t="s">
        <v>1349</v>
      </c>
      <c r="B38" s="805" t="s">
        <v>360</v>
      </c>
      <c r="C38" s="785" t="s">
        <v>360</v>
      </c>
      <c r="D38" s="787">
        <v>5304.3</v>
      </c>
      <c r="E38" s="787">
        <v>5147.57</v>
      </c>
      <c r="F38" s="787">
        <v>9507.51</v>
      </c>
      <c r="G38" s="787">
        <v>8732.1</v>
      </c>
      <c r="H38" s="787">
        <v>5386.78</v>
      </c>
      <c r="I38" s="787">
        <v>11853.41</v>
      </c>
      <c r="J38" s="787">
        <v>10793.19</v>
      </c>
      <c r="K38" s="785" t="s">
        <v>360</v>
      </c>
    </row>
    <row r="39" spans="1:11" x14ac:dyDescent="0.3">
      <c r="A39" s="798" t="s">
        <v>1350</v>
      </c>
      <c r="B39" s="805">
        <v>246.65</v>
      </c>
      <c r="C39" s="785">
        <v>239.63</v>
      </c>
      <c r="D39" s="785">
        <v>159.84</v>
      </c>
      <c r="E39" s="785">
        <v>151.66</v>
      </c>
      <c r="F39" s="785">
        <v>265.77</v>
      </c>
      <c r="G39" s="785">
        <v>276.48</v>
      </c>
      <c r="H39" s="785">
        <v>181.46</v>
      </c>
      <c r="I39" s="785">
        <v>332.57</v>
      </c>
      <c r="J39" s="785">
        <v>293.91000000000003</v>
      </c>
      <c r="K39" s="785" t="s">
        <v>360</v>
      </c>
    </row>
    <row r="40" spans="1:11" x14ac:dyDescent="0.3">
      <c r="A40" s="798" t="s">
        <v>1351</v>
      </c>
      <c r="B40" s="805">
        <v>338.94</v>
      </c>
      <c r="C40" s="785">
        <v>300.64999999999998</v>
      </c>
      <c r="D40" s="785">
        <v>115.67</v>
      </c>
      <c r="E40" s="785">
        <v>117.24</v>
      </c>
      <c r="F40" s="785">
        <v>199.79</v>
      </c>
      <c r="G40" s="785">
        <v>204.76</v>
      </c>
      <c r="H40" s="785">
        <v>85.66</v>
      </c>
      <c r="I40" s="785">
        <v>161.65</v>
      </c>
      <c r="J40" s="785">
        <v>156.61000000000001</v>
      </c>
      <c r="K40" s="785" t="s">
        <v>360</v>
      </c>
    </row>
    <row r="41" spans="1:11" x14ac:dyDescent="0.3">
      <c r="A41" s="798" t="s">
        <v>1352</v>
      </c>
      <c r="B41" s="805" t="s">
        <v>360</v>
      </c>
      <c r="C41" s="785" t="s">
        <v>360</v>
      </c>
      <c r="D41" s="785" t="s">
        <v>360</v>
      </c>
      <c r="E41" s="785" t="s">
        <v>360</v>
      </c>
      <c r="F41" s="785" t="s">
        <v>360</v>
      </c>
      <c r="G41" s="785" t="s">
        <v>360</v>
      </c>
      <c r="H41" s="785" t="s">
        <v>360</v>
      </c>
      <c r="I41" s="785">
        <v>68.849999999999994</v>
      </c>
      <c r="J41" s="785">
        <v>65.27</v>
      </c>
      <c r="K41" s="785" t="s">
        <v>360</v>
      </c>
    </row>
    <row r="42" spans="1:11" x14ac:dyDescent="0.3">
      <c r="A42" s="798" t="s">
        <v>1353</v>
      </c>
      <c r="B42" s="805" t="s">
        <v>360</v>
      </c>
      <c r="C42" s="785" t="s">
        <v>360</v>
      </c>
      <c r="D42" s="785" t="s">
        <v>360</v>
      </c>
      <c r="E42" s="785" t="s">
        <v>360</v>
      </c>
      <c r="F42" s="785" t="s">
        <v>360</v>
      </c>
      <c r="G42" s="785">
        <v>18</v>
      </c>
      <c r="H42" s="785" t="s">
        <v>360</v>
      </c>
      <c r="I42" s="785">
        <v>13.2</v>
      </c>
      <c r="J42" s="785">
        <v>30.47</v>
      </c>
      <c r="K42" s="785" t="s">
        <v>360</v>
      </c>
    </row>
    <row r="43" spans="1:11" x14ac:dyDescent="0.3">
      <c r="A43" s="798" t="s">
        <v>539</v>
      </c>
      <c r="B43" s="804" t="s">
        <v>539</v>
      </c>
      <c r="C43" s="785" t="s">
        <v>539</v>
      </c>
      <c r="D43" s="785" t="s">
        <v>539</v>
      </c>
      <c r="E43" s="785" t="s">
        <v>539</v>
      </c>
      <c r="F43" s="785" t="s">
        <v>539</v>
      </c>
      <c r="G43" s="785" t="s">
        <v>539</v>
      </c>
      <c r="H43" s="785" t="s">
        <v>539</v>
      </c>
      <c r="I43" s="785" t="s">
        <v>539</v>
      </c>
      <c r="J43" s="785" t="s">
        <v>539</v>
      </c>
      <c r="K43" s="785" t="s">
        <v>539</v>
      </c>
    </row>
    <row r="44" spans="1:11" x14ac:dyDescent="0.3">
      <c r="A44" s="797" t="s">
        <v>1354</v>
      </c>
      <c r="B44" s="803" t="s">
        <v>539</v>
      </c>
      <c r="C44" s="783" t="s">
        <v>539</v>
      </c>
      <c r="D44" s="783" t="s">
        <v>539</v>
      </c>
      <c r="E44" s="783" t="s">
        <v>539</v>
      </c>
      <c r="F44" s="783" t="s">
        <v>539</v>
      </c>
      <c r="G44" s="783" t="s">
        <v>539</v>
      </c>
      <c r="H44" s="783" t="s">
        <v>539</v>
      </c>
      <c r="I44" s="783" t="s">
        <v>539</v>
      </c>
      <c r="J44" s="783" t="s">
        <v>539</v>
      </c>
      <c r="K44" s="783" t="s">
        <v>539</v>
      </c>
    </row>
    <row r="45" spans="1:11" x14ac:dyDescent="0.3">
      <c r="A45" s="798" t="s">
        <v>1355</v>
      </c>
      <c r="B45" s="805">
        <v>0.28999999999999998</v>
      </c>
      <c r="C45" s="785">
        <v>0.28999999999999998</v>
      </c>
      <c r="D45" s="785">
        <v>0.21</v>
      </c>
      <c r="E45" s="785">
        <v>0.21</v>
      </c>
      <c r="F45" s="785">
        <v>0.28999999999999998</v>
      </c>
      <c r="G45" s="785">
        <v>0.27</v>
      </c>
      <c r="H45" s="785">
        <v>0.2</v>
      </c>
      <c r="I45" s="785">
        <v>0.21</v>
      </c>
      <c r="J45" s="785">
        <v>0.22</v>
      </c>
      <c r="K45" s="785" t="s">
        <v>360</v>
      </c>
    </row>
    <row r="46" spans="1:11" x14ac:dyDescent="0.3">
      <c r="A46" s="798" t="s">
        <v>1356</v>
      </c>
      <c r="B46" s="805">
        <v>0.4</v>
      </c>
      <c r="C46" s="785">
        <v>0.36</v>
      </c>
      <c r="D46" s="785">
        <v>0.15</v>
      </c>
      <c r="E46" s="785">
        <v>0.17</v>
      </c>
      <c r="F46" s="785">
        <v>0.22</v>
      </c>
      <c r="G46" s="785">
        <v>0.2</v>
      </c>
      <c r="H46" s="785">
        <v>0.1</v>
      </c>
      <c r="I46" s="785">
        <v>0.1</v>
      </c>
      <c r="J46" s="785">
        <v>0.12</v>
      </c>
      <c r="K46" s="785" t="s">
        <v>360</v>
      </c>
    </row>
    <row r="47" spans="1:11" x14ac:dyDescent="0.3">
      <c r="A47" s="798" t="s">
        <v>1357</v>
      </c>
      <c r="B47" s="805">
        <v>0.81</v>
      </c>
      <c r="C47" s="785">
        <v>0.83</v>
      </c>
      <c r="D47" s="785">
        <v>0.63</v>
      </c>
      <c r="E47" s="785">
        <v>0.55000000000000004</v>
      </c>
      <c r="F47" s="785">
        <v>0.77</v>
      </c>
      <c r="G47" s="785">
        <v>0.78</v>
      </c>
      <c r="H47" s="785">
        <v>0.69</v>
      </c>
      <c r="I47" s="785">
        <v>0.44</v>
      </c>
      <c r="J47" s="785">
        <v>0.47</v>
      </c>
      <c r="K47" s="785" t="s">
        <v>360</v>
      </c>
    </row>
    <row r="48" spans="1:11" x14ac:dyDescent="0.3">
      <c r="A48" s="798" t="s">
        <v>539</v>
      </c>
      <c r="B48" s="804" t="s">
        <v>539</v>
      </c>
      <c r="C48" s="785" t="s">
        <v>539</v>
      </c>
      <c r="D48" s="785" t="s">
        <v>539</v>
      </c>
      <c r="E48" s="785" t="s">
        <v>539</v>
      </c>
      <c r="F48" s="785" t="s">
        <v>539</v>
      </c>
      <c r="G48" s="785" t="s">
        <v>539</v>
      </c>
      <c r="H48" s="785" t="s">
        <v>539</v>
      </c>
      <c r="I48" s="785" t="s">
        <v>539</v>
      </c>
      <c r="J48" s="785" t="s">
        <v>539</v>
      </c>
      <c r="K48" s="785" t="s">
        <v>539</v>
      </c>
    </row>
    <row r="49" spans="1:11" x14ac:dyDescent="0.3">
      <c r="A49" s="797" t="s">
        <v>1358</v>
      </c>
      <c r="B49" s="803" t="s">
        <v>539</v>
      </c>
      <c r="C49" s="783" t="s">
        <v>539</v>
      </c>
      <c r="D49" s="783" t="s">
        <v>539</v>
      </c>
      <c r="E49" s="783" t="s">
        <v>539</v>
      </c>
      <c r="F49" s="783" t="s">
        <v>539</v>
      </c>
      <c r="G49" s="783" t="s">
        <v>539</v>
      </c>
      <c r="H49" s="783" t="s">
        <v>539</v>
      </c>
      <c r="I49" s="783" t="s">
        <v>539</v>
      </c>
      <c r="J49" s="783" t="s">
        <v>539</v>
      </c>
      <c r="K49" s="783" t="s">
        <v>539</v>
      </c>
    </row>
    <row r="50" spans="1:11" x14ac:dyDescent="0.3">
      <c r="A50" s="798" t="s">
        <v>539</v>
      </c>
      <c r="B50" s="804" t="s">
        <v>539</v>
      </c>
      <c r="C50" s="785" t="s">
        <v>539</v>
      </c>
      <c r="D50" s="785" t="s">
        <v>539</v>
      </c>
      <c r="E50" s="785" t="s">
        <v>539</v>
      </c>
      <c r="F50" s="785" t="s">
        <v>539</v>
      </c>
      <c r="G50" s="785" t="s">
        <v>539</v>
      </c>
      <c r="H50" s="785" t="s">
        <v>539</v>
      </c>
      <c r="I50" s="785" t="s">
        <v>539</v>
      </c>
      <c r="J50" s="785" t="s">
        <v>539</v>
      </c>
      <c r="K50" s="785" t="s">
        <v>539</v>
      </c>
    </row>
    <row r="51" spans="1:11" x14ac:dyDescent="0.3">
      <c r="A51" s="797" t="s">
        <v>1255</v>
      </c>
      <c r="B51" s="803" t="s">
        <v>539</v>
      </c>
      <c r="C51" s="783" t="s">
        <v>539</v>
      </c>
      <c r="D51" s="783" t="s">
        <v>539</v>
      </c>
      <c r="E51" s="783" t="s">
        <v>539</v>
      </c>
      <c r="F51" s="783" t="s">
        <v>539</v>
      </c>
      <c r="G51" s="783" t="s">
        <v>539</v>
      </c>
      <c r="H51" s="783" t="s">
        <v>539</v>
      </c>
      <c r="I51" s="783" t="s">
        <v>539</v>
      </c>
      <c r="J51" s="783" t="s">
        <v>539</v>
      </c>
      <c r="K51" s="783" t="s">
        <v>539</v>
      </c>
    </row>
    <row r="52" spans="1:11" x14ac:dyDescent="0.3">
      <c r="A52" s="798" t="s">
        <v>1359</v>
      </c>
      <c r="B52" s="805" t="s">
        <v>360</v>
      </c>
      <c r="C52" s="785" t="s">
        <v>360</v>
      </c>
      <c r="D52" s="785" t="s">
        <v>360</v>
      </c>
      <c r="E52" s="785" t="s">
        <v>360</v>
      </c>
      <c r="F52" s="785">
        <v>0.26</v>
      </c>
      <c r="G52" s="785">
        <v>0.38</v>
      </c>
      <c r="H52" s="785">
        <v>0.35</v>
      </c>
      <c r="I52" s="785">
        <v>0.39</v>
      </c>
      <c r="J52" s="785">
        <v>0.43</v>
      </c>
      <c r="K52" s="785">
        <v>0.95</v>
      </c>
    </row>
    <row r="53" spans="1:11" x14ac:dyDescent="0.3">
      <c r="A53" s="798" t="s">
        <v>1360</v>
      </c>
      <c r="B53" s="805" t="s">
        <v>360</v>
      </c>
      <c r="C53" s="785" t="s">
        <v>360</v>
      </c>
      <c r="D53" s="785" t="s">
        <v>360</v>
      </c>
      <c r="E53" s="785" t="s">
        <v>360</v>
      </c>
      <c r="F53" s="785" t="s">
        <v>360</v>
      </c>
      <c r="G53" s="785" t="s">
        <v>360</v>
      </c>
      <c r="H53" s="785">
        <v>0.14000000000000001</v>
      </c>
      <c r="I53" s="785">
        <v>0.03</v>
      </c>
      <c r="J53" s="785">
        <v>0.01</v>
      </c>
      <c r="K53" s="785" t="s">
        <v>360</v>
      </c>
    </row>
    <row r="54" spans="1:11" x14ac:dyDescent="0.3">
      <c r="A54" s="798" t="s">
        <v>1361</v>
      </c>
      <c r="B54" s="805" t="s">
        <v>360</v>
      </c>
      <c r="C54" s="785" t="s">
        <v>360</v>
      </c>
      <c r="D54" s="785" t="s">
        <v>360</v>
      </c>
      <c r="E54" s="785" t="s">
        <v>360</v>
      </c>
      <c r="F54" s="785" t="s">
        <v>360</v>
      </c>
      <c r="G54" s="785" t="s">
        <v>360</v>
      </c>
      <c r="H54" s="785">
        <v>0.06</v>
      </c>
      <c r="I54" s="785">
        <v>0.01</v>
      </c>
      <c r="J54" s="785">
        <v>0.01</v>
      </c>
      <c r="K54" s="785" t="s">
        <v>360</v>
      </c>
    </row>
    <row r="55" spans="1:11" x14ac:dyDescent="0.3">
      <c r="A55" s="798" t="s">
        <v>1362</v>
      </c>
      <c r="B55" s="805" t="s">
        <v>360</v>
      </c>
      <c r="C55" s="785" t="s">
        <v>360</v>
      </c>
      <c r="D55" s="785" t="s">
        <v>360</v>
      </c>
      <c r="E55" s="785" t="s">
        <v>360</v>
      </c>
      <c r="F55" s="785" t="s">
        <v>360</v>
      </c>
      <c r="G55" s="785" t="s">
        <v>360</v>
      </c>
      <c r="H55" s="785">
        <v>0</v>
      </c>
      <c r="I55" s="785">
        <v>0</v>
      </c>
      <c r="J55" s="785">
        <v>0</v>
      </c>
      <c r="K55" s="785" t="s">
        <v>360</v>
      </c>
    </row>
    <row r="56" spans="1:11" x14ac:dyDescent="0.3">
      <c r="A56" s="798" t="s">
        <v>1363</v>
      </c>
      <c r="B56" s="805" t="s">
        <v>360</v>
      </c>
      <c r="C56" s="785" t="s">
        <v>360</v>
      </c>
      <c r="D56" s="785" t="s">
        <v>360</v>
      </c>
      <c r="E56" s="785" t="s">
        <v>360</v>
      </c>
      <c r="F56" s="785" t="s">
        <v>360</v>
      </c>
      <c r="G56" s="785" t="s">
        <v>360</v>
      </c>
      <c r="H56" s="785">
        <v>0</v>
      </c>
      <c r="I56" s="785">
        <v>0</v>
      </c>
      <c r="J56" s="785">
        <v>0</v>
      </c>
      <c r="K56" s="785" t="s">
        <v>360</v>
      </c>
    </row>
    <row r="57" spans="1:11" x14ac:dyDescent="0.3">
      <c r="A57" s="798" t="s">
        <v>1364</v>
      </c>
      <c r="B57" s="805">
        <v>231.94</v>
      </c>
      <c r="C57" s="785">
        <v>631.35</v>
      </c>
      <c r="D57" s="785">
        <v>140.09</v>
      </c>
      <c r="E57" s="785" t="s">
        <v>360</v>
      </c>
      <c r="F57" s="785" t="s">
        <v>360</v>
      </c>
      <c r="G57" s="785" t="s">
        <v>360</v>
      </c>
      <c r="H57" s="785" t="s">
        <v>360</v>
      </c>
      <c r="I57" s="785" t="s">
        <v>360</v>
      </c>
      <c r="J57" s="785" t="s">
        <v>360</v>
      </c>
      <c r="K57" s="785" t="s">
        <v>360</v>
      </c>
    </row>
    <row r="58" spans="1:11" x14ac:dyDescent="0.3">
      <c r="A58" s="798" t="s">
        <v>1365</v>
      </c>
      <c r="B58" s="805">
        <v>0.7</v>
      </c>
      <c r="C58" s="785">
        <v>0.51</v>
      </c>
      <c r="D58" s="785">
        <v>0.87</v>
      </c>
      <c r="E58" s="785">
        <v>0.48</v>
      </c>
      <c r="F58" s="785">
        <v>0.5</v>
      </c>
      <c r="G58" s="785">
        <v>0.52</v>
      </c>
      <c r="H58" s="785">
        <v>0.47</v>
      </c>
      <c r="I58" s="785">
        <v>0.38</v>
      </c>
      <c r="J58" s="785">
        <v>0.34</v>
      </c>
      <c r="K58" s="785">
        <v>0.39</v>
      </c>
    </row>
    <row r="59" spans="1:11" x14ac:dyDescent="0.3">
      <c r="A59" s="798" t="s">
        <v>1366</v>
      </c>
      <c r="B59" s="806">
        <v>71843.09</v>
      </c>
      <c r="C59" s="787">
        <v>86166.399999999994</v>
      </c>
      <c r="D59" s="787">
        <v>47533.27</v>
      </c>
      <c r="E59" s="787">
        <v>95378.48</v>
      </c>
      <c r="F59" s="787">
        <v>83110.429999999993</v>
      </c>
      <c r="G59" s="787">
        <v>76777.42</v>
      </c>
      <c r="H59" s="787">
        <v>56292.39</v>
      </c>
      <c r="I59" s="787">
        <v>112415.58</v>
      </c>
      <c r="J59" s="787">
        <v>127483.81</v>
      </c>
      <c r="K59" s="787">
        <v>68136.38</v>
      </c>
    </row>
    <row r="60" spans="1:11" x14ac:dyDescent="0.3">
      <c r="A60" s="798" t="s">
        <v>1367</v>
      </c>
      <c r="B60" s="806">
        <v>93587.42</v>
      </c>
      <c r="C60" s="787">
        <v>128089.5</v>
      </c>
      <c r="D60" s="787">
        <v>72718.429999999993</v>
      </c>
      <c r="E60" s="787">
        <v>154579.81</v>
      </c>
      <c r="F60" s="787">
        <v>137384.15</v>
      </c>
      <c r="G60" s="787">
        <v>126319.94</v>
      </c>
      <c r="H60" s="787">
        <v>110731.54</v>
      </c>
      <c r="I60" s="787">
        <v>183043.03</v>
      </c>
      <c r="J60" s="787">
        <v>185293.62</v>
      </c>
      <c r="K60" s="787">
        <v>160522.04</v>
      </c>
    </row>
    <row r="61" spans="1:11" x14ac:dyDescent="0.3">
      <c r="A61" s="798" t="s">
        <v>539</v>
      </c>
      <c r="B61" s="804" t="s">
        <v>539</v>
      </c>
      <c r="C61" s="785" t="s">
        <v>539</v>
      </c>
      <c r="D61" s="785" t="s">
        <v>539</v>
      </c>
      <c r="E61" s="785" t="s">
        <v>539</v>
      </c>
      <c r="F61" s="785" t="s">
        <v>539</v>
      </c>
      <c r="G61" s="785" t="s">
        <v>539</v>
      </c>
      <c r="H61" s="785" t="s">
        <v>539</v>
      </c>
      <c r="I61" s="785" t="s">
        <v>539</v>
      </c>
      <c r="J61" s="785" t="s">
        <v>539</v>
      </c>
      <c r="K61" s="785" t="s">
        <v>539</v>
      </c>
    </row>
    <row r="62" spans="1:11" x14ac:dyDescent="0.3">
      <c r="A62" s="797" t="s">
        <v>1368</v>
      </c>
      <c r="B62" s="803" t="s">
        <v>539</v>
      </c>
      <c r="C62" s="783" t="s">
        <v>539</v>
      </c>
      <c r="D62" s="783" t="s">
        <v>539</v>
      </c>
      <c r="E62" s="783" t="s">
        <v>539</v>
      </c>
      <c r="F62" s="783" t="s">
        <v>539</v>
      </c>
      <c r="G62" s="783" t="s">
        <v>539</v>
      </c>
      <c r="H62" s="783" t="s">
        <v>539</v>
      </c>
      <c r="I62" s="783" t="s">
        <v>539</v>
      </c>
      <c r="J62" s="783" t="s">
        <v>539</v>
      </c>
      <c r="K62" s="783" t="s">
        <v>539</v>
      </c>
    </row>
    <row r="63" spans="1:11" x14ac:dyDescent="0.3">
      <c r="A63" s="798" t="s">
        <v>1369</v>
      </c>
      <c r="B63" s="805">
        <v>90.91</v>
      </c>
      <c r="C63" s="785">
        <v>90</v>
      </c>
      <c r="D63" s="785">
        <v>88.89</v>
      </c>
      <c r="E63" s="785">
        <v>90</v>
      </c>
      <c r="F63" s="785">
        <v>90.91</v>
      </c>
      <c r="G63" s="785">
        <v>90.91</v>
      </c>
      <c r="H63" s="785">
        <v>92.31</v>
      </c>
      <c r="I63" s="785">
        <v>92.31</v>
      </c>
      <c r="J63" s="785">
        <v>91.67</v>
      </c>
      <c r="K63" s="785">
        <v>90.91</v>
      </c>
    </row>
    <row r="64" spans="1:11" x14ac:dyDescent="0.3">
      <c r="A64" s="798" t="s">
        <v>1370</v>
      </c>
      <c r="B64" s="805">
        <v>81.819999999999993</v>
      </c>
      <c r="C64" s="785">
        <v>80</v>
      </c>
      <c r="D64" s="785">
        <v>77.78</v>
      </c>
      <c r="E64" s="785">
        <v>80</v>
      </c>
      <c r="F64" s="785">
        <v>81.819999999999993</v>
      </c>
      <c r="G64" s="785">
        <v>81.819999999999993</v>
      </c>
      <c r="H64" s="785">
        <v>76.92</v>
      </c>
      <c r="I64" s="785">
        <v>76.92</v>
      </c>
      <c r="J64" s="785">
        <v>83.33</v>
      </c>
      <c r="K64" s="785">
        <v>81.819999999999993</v>
      </c>
    </row>
    <row r="65" spans="1:11" x14ac:dyDescent="0.3">
      <c r="A65" s="798" t="s">
        <v>1371</v>
      </c>
      <c r="B65" s="805">
        <v>9.09</v>
      </c>
      <c r="C65" s="785">
        <v>10</v>
      </c>
      <c r="D65" s="785">
        <v>11.11</v>
      </c>
      <c r="E65" s="785">
        <v>20</v>
      </c>
      <c r="F65" s="785">
        <v>18.18</v>
      </c>
      <c r="G65" s="785">
        <v>27.27</v>
      </c>
      <c r="H65" s="785">
        <v>30.77</v>
      </c>
      <c r="I65" s="785">
        <v>30.77</v>
      </c>
      <c r="J65" s="785">
        <v>33.33</v>
      </c>
      <c r="K65" s="785">
        <v>36.36</v>
      </c>
    </row>
    <row r="66" spans="1:11" x14ac:dyDescent="0.3">
      <c r="A66" s="798" t="s">
        <v>1372</v>
      </c>
      <c r="B66" s="805">
        <v>20</v>
      </c>
      <c r="C66" s="785">
        <v>33.33</v>
      </c>
      <c r="D66" s="785">
        <v>27.27</v>
      </c>
      <c r="E66" s="785">
        <v>22.22</v>
      </c>
      <c r="F66" s="785">
        <v>0</v>
      </c>
      <c r="G66" s="785">
        <v>0</v>
      </c>
      <c r="H66" s="785">
        <v>20</v>
      </c>
      <c r="I66" s="785">
        <v>37.5</v>
      </c>
      <c r="J66" s="785">
        <v>30</v>
      </c>
      <c r="K66" s="785">
        <v>36.36</v>
      </c>
    </row>
    <row r="67" spans="1:11" x14ac:dyDescent="0.3">
      <c r="A67" s="798" t="s">
        <v>1373</v>
      </c>
      <c r="B67" s="805">
        <v>35</v>
      </c>
      <c r="C67" s="785">
        <v>35</v>
      </c>
      <c r="D67" s="785">
        <v>35</v>
      </c>
      <c r="E67" s="785">
        <v>35</v>
      </c>
      <c r="F67" s="785">
        <v>35</v>
      </c>
      <c r="G67" s="785">
        <v>35</v>
      </c>
      <c r="H67" s="785">
        <v>35</v>
      </c>
      <c r="I67" s="785">
        <v>35</v>
      </c>
      <c r="J67" s="785">
        <v>35</v>
      </c>
      <c r="K67" s="785">
        <v>35</v>
      </c>
    </row>
    <row r="68" spans="1:11" x14ac:dyDescent="0.3">
      <c r="A68" s="798" t="s">
        <v>1374</v>
      </c>
      <c r="B68" s="805">
        <v>65.45</v>
      </c>
      <c r="C68" s="785">
        <v>65.099999999999994</v>
      </c>
      <c r="D68" s="785">
        <v>64.78</v>
      </c>
      <c r="E68" s="785">
        <v>65.599999999999994</v>
      </c>
      <c r="F68" s="785">
        <v>65.180000000000007</v>
      </c>
      <c r="G68" s="785">
        <v>66.45</v>
      </c>
      <c r="H68" s="785">
        <v>67.150000000000006</v>
      </c>
      <c r="I68" s="785">
        <v>67.39</v>
      </c>
      <c r="J68" s="785">
        <v>68.42</v>
      </c>
      <c r="K68" s="785">
        <v>68.36</v>
      </c>
    </row>
    <row r="69" spans="1:11" x14ac:dyDescent="0.3">
      <c r="A69" s="798" t="s">
        <v>1303</v>
      </c>
      <c r="B69" s="805">
        <v>75</v>
      </c>
      <c r="C69" s="785">
        <v>75</v>
      </c>
      <c r="D69" s="785">
        <v>75</v>
      </c>
      <c r="E69" s="785">
        <v>75</v>
      </c>
      <c r="F69" s="785">
        <v>75</v>
      </c>
      <c r="G69" s="785">
        <v>97</v>
      </c>
      <c r="H69" s="785">
        <v>92</v>
      </c>
      <c r="I69" s="785">
        <v>99</v>
      </c>
      <c r="J69" s="785">
        <v>75</v>
      </c>
      <c r="K69" s="785">
        <v>75</v>
      </c>
    </row>
    <row r="70" spans="1:11" ht="25.5" x14ac:dyDescent="0.3">
      <c r="A70" s="798" t="s">
        <v>1375</v>
      </c>
      <c r="B70" s="805">
        <v>75</v>
      </c>
      <c r="C70" s="785">
        <v>75</v>
      </c>
      <c r="D70" s="785">
        <v>75</v>
      </c>
      <c r="E70" s="785">
        <v>75</v>
      </c>
      <c r="F70" s="785">
        <v>75</v>
      </c>
      <c r="G70" s="785">
        <v>75</v>
      </c>
      <c r="H70" s="785">
        <v>90</v>
      </c>
      <c r="I70" s="785">
        <v>96</v>
      </c>
      <c r="J70" s="785">
        <v>75</v>
      </c>
      <c r="K70" s="785">
        <v>75</v>
      </c>
    </row>
    <row r="71" spans="1:11" ht="25.5" x14ac:dyDescent="0.3">
      <c r="A71" s="798" t="s">
        <v>1376</v>
      </c>
      <c r="B71" s="805">
        <v>100</v>
      </c>
      <c r="C71" s="785">
        <v>100</v>
      </c>
      <c r="D71" s="785">
        <v>100</v>
      </c>
      <c r="E71" s="785">
        <v>100</v>
      </c>
      <c r="F71" s="785">
        <v>100</v>
      </c>
      <c r="G71" s="785">
        <v>100</v>
      </c>
      <c r="H71" s="785">
        <v>100</v>
      </c>
      <c r="I71" s="785">
        <v>100</v>
      </c>
      <c r="J71" s="785">
        <v>100</v>
      </c>
      <c r="K71" s="785">
        <v>100</v>
      </c>
    </row>
    <row r="72" spans="1:11" ht="25.5" x14ac:dyDescent="0.3">
      <c r="A72" s="798" t="s">
        <v>1296</v>
      </c>
      <c r="B72" s="805">
        <v>75</v>
      </c>
      <c r="C72" s="785">
        <v>75</v>
      </c>
      <c r="D72" s="785">
        <v>75</v>
      </c>
      <c r="E72" s="785">
        <v>75</v>
      </c>
      <c r="F72" s="785">
        <v>75</v>
      </c>
      <c r="G72" s="785">
        <v>97</v>
      </c>
      <c r="H72" s="785">
        <v>92</v>
      </c>
      <c r="I72" s="785">
        <v>99</v>
      </c>
      <c r="J72" s="785">
        <v>75</v>
      </c>
      <c r="K72" s="785">
        <v>75</v>
      </c>
    </row>
    <row r="73" spans="1:11" ht="25.5" x14ac:dyDescent="0.3">
      <c r="A73" s="798" t="s">
        <v>1377</v>
      </c>
      <c r="B73" s="805">
        <v>100</v>
      </c>
      <c r="C73" s="785">
        <v>100</v>
      </c>
      <c r="D73" s="785">
        <v>100</v>
      </c>
      <c r="E73" s="785">
        <v>100</v>
      </c>
      <c r="F73" s="785">
        <v>100</v>
      </c>
      <c r="G73" s="785">
        <v>100</v>
      </c>
      <c r="H73" s="785">
        <v>100</v>
      </c>
      <c r="I73" s="785">
        <v>100</v>
      </c>
      <c r="J73" s="785">
        <v>100</v>
      </c>
      <c r="K73" s="785">
        <v>100</v>
      </c>
    </row>
    <row r="74" spans="1:11" x14ac:dyDescent="0.3">
      <c r="A74" s="798" t="s">
        <v>1310</v>
      </c>
      <c r="B74" s="805">
        <v>75</v>
      </c>
      <c r="C74" s="785">
        <v>75</v>
      </c>
      <c r="D74" s="785">
        <v>75</v>
      </c>
      <c r="E74" s="785">
        <v>75</v>
      </c>
      <c r="F74" s="785">
        <v>75</v>
      </c>
      <c r="G74" s="785">
        <v>97</v>
      </c>
      <c r="H74" s="785">
        <v>92</v>
      </c>
      <c r="I74" s="785">
        <v>99</v>
      </c>
      <c r="J74" s="785">
        <v>75</v>
      </c>
      <c r="K74" s="785">
        <v>75</v>
      </c>
    </row>
    <row r="75" spans="1:11" ht="25.5" x14ac:dyDescent="0.3">
      <c r="A75" s="798" t="s">
        <v>1378</v>
      </c>
      <c r="B75" s="805">
        <v>100</v>
      </c>
      <c r="C75" s="785">
        <v>100</v>
      </c>
      <c r="D75" s="785">
        <v>100</v>
      </c>
      <c r="E75" s="785">
        <v>100</v>
      </c>
      <c r="F75" s="785">
        <v>100</v>
      </c>
      <c r="G75" s="785">
        <v>100</v>
      </c>
      <c r="H75" s="785">
        <v>100</v>
      </c>
      <c r="I75" s="785">
        <v>100</v>
      </c>
      <c r="J75" s="785">
        <v>100</v>
      </c>
      <c r="K75" s="785">
        <v>100</v>
      </c>
    </row>
    <row r="76" spans="1:11" ht="25.5" x14ac:dyDescent="0.3">
      <c r="A76" s="798" t="s">
        <v>1379</v>
      </c>
      <c r="B76" s="805">
        <v>80</v>
      </c>
      <c r="C76" s="785">
        <v>80</v>
      </c>
      <c r="D76" s="785">
        <v>80</v>
      </c>
      <c r="E76" s="785">
        <v>80</v>
      </c>
      <c r="F76" s="785">
        <v>80</v>
      </c>
      <c r="G76" s="785">
        <v>80</v>
      </c>
      <c r="H76" s="785">
        <v>80</v>
      </c>
      <c r="I76" s="785">
        <v>80</v>
      </c>
      <c r="J76" s="785">
        <v>80</v>
      </c>
      <c r="K76" s="785">
        <v>80</v>
      </c>
    </row>
    <row r="77" spans="1:11" ht="26" x14ac:dyDescent="0.3">
      <c r="A77" s="799" t="s">
        <v>636</v>
      </c>
      <c r="B77" s="799" t="s">
        <v>637</v>
      </c>
      <c r="C77" s="791"/>
      <c r="D77" s="791"/>
      <c r="E77" s="791"/>
      <c r="F77" s="791"/>
      <c r="G77" s="791"/>
      <c r="H77" s="790" t="s">
        <v>539</v>
      </c>
      <c r="I77" s="790" t="s">
        <v>539</v>
      </c>
      <c r="J77" s="790" t="s">
        <v>539</v>
      </c>
      <c r="K77" s="790" t="s">
        <v>539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726E-12E3-44D4-912A-15FA163591EC}">
  <sheetPr codeName="Sheet30"/>
  <dimension ref="A1:E14"/>
  <sheetViews>
    <sheetView workbookViewId="0">
      <selection activeCell="F12" sqref="F12"/>
    </sheetView>
  </sheetViews>
  <sheetFormatPr defaultColWidth="8.83203125" defaultRowHeight="14" x14ac:dyDescent="0.3"/>
  <cols>
    <col min="2" max="2" width="10.08203125" bestFit="1" customWidth="1"/>
    <col min="3" max="4" width="13.08203125" bestFit="1" customWidth="1"/>
  </cols>
  <sheetData>
    <row r="1" spans="1:5" ht="14.5" x14ac:dyDescent="0.35">
      <c r="A1" s="773" t="s">
        <v>1380</v>
      </c>
      <c r="B1" s="773" t="s">
        <v>93</v>
      </c>
      <c r="C1" s="773" t="s">
        <v>1381</v>
      </c>
      <c r="D1" s="773" t="s">
        <v>1382</v>
      </c>
      <c r="E1" s="824"/>
    </row>
    <row r="2" spans="1:5" ht="14.5" x14ac:dyDescent="0.35">
      <c r="A2" s="824" t="s">
        <v>93</v>
      </c>
      <c r="B2" s="824">
        <v>7117077000</v>
      </c>
      <c r="C2" s="824">
        <v>7117077000</v>
      </c>
      <c r="D2" s="824">
        <v>2500000000</v>
      </c>
      <c r="E2" s="824"/>
    </row>
    <row r="3" spans="1:5" ht="14.5" x14ac:dyDescent="0.35">
      <c r="A3" s="824">
        <v>2025</v>
      </c>
      <c r="B3" s="824">
        <v>400000000</v>
      </c>
      <c r="C3" s="824">
        <v>400000000</v>
      </c>
      <c r="D3" s="824">
        <v>0</v>
      </c>
      <c r="E3" s="824"/>
    </row>
    <row r="4" spans="1:5" ht="14.5" x14ac:dyDescent="0.35">
      <c r="A4" s="824">
        <v>2026</v>
      </c>
      <c r="B4" s="824">
        <v>900000000</v>
      </c>
      <c r="C4" s="824">
        <v>900000000</v>
      </c>
      <c r="D4" s="824">
        <v>2500000000</v>
      </c>
      <c r="E4" s="824"/>
    </row>
    <row r="5" spans="1:5" ht="14.5" x14ac:dyDescent="0.35">
      <c r="A5" s="824">
        <v>2027</v>
      </c>
      <c r="B5" s="824">
        <v>440212000</v>
      </c>
      <c r="C5" s="824">
        <v>440212000</v>
      </c>
      <c r="D5" s="824">
        <v>0</v>
      </c>
      <c r="E5" s="824"/>
    </row>
    <row r="6" spans="1:5" ht="14.5" x14ac:dyDescent="0.35">
      <c r="A6" s="824">
        <v>2028</v>
      </c>
      <c r="B6" s="824">
        <v>750000000</v>
      </c>
      <c r="C6" s="824">
        <v>750000000</v>
      </c>
      <c r="D6" s="824">
        <v>0</v>
      </c>
      <c r="E6" s="824"/>
    </row>
    <row r="7" spans="1:5" ht="14.5" x14ac:dyDescent="0.35">
      <c r="A7" s="824">
        <v>2031</v>
      </c>
      <c r="B7" s="824">
        <v>1000000000</v>
      </c>
      <c r="C7" s="824">
        <v>1000000000</v>
      </c>
      <c r="D7" s="824">
        <v>0</v>
      </c>
      <c r="E7" s="824"/>
    </row>
    <row r="8" spans="1:5" ht="14.5" x14ac:dyDescent="0.35">
      <c r="A8" s="824">
        <v>2032</v>
      </c>
      <c r="B8" s="824">
        <v>300000000</v>
      </c>
      <c r="C8" s="824">
        <v>300000000</v>
      </c>
      <c r="D8" s="824">
        <v>0</v>
      </c>
      <c r="E8" s="824"/>
    </row>
    <row r="9" spans="1:5" ht="14.5" x14ac:dyDescent="0.35">
      <c r="A9" s="824">
        <v>2034</v>
      </c>
      <c r="B9" s="824">
        <v>550000000</v>
      </c>
      <c r="C9" s="824">
        <v>550000000</v>
      </c>
      <c r="D9" s="824">
        <v>0</v>
      </c>
      <c r="E9" s="824"/>
    </row>
    <row r="10" spans="1:5" ht="14.5" x14ac:dyDescent="0.35">
      <c r="A10" s="824">
        <v>2036</v>
      </c>
      <c r="B10" s="824">
        <v>144278000</v>
      </c>
      <c r="C10" s="824">
        <v>144278000</v>
      </c>
      <c r="D10" s="824">
        <v>0</v>
      </c>
      <c r="E10" s="824"/>
    </row>
    <row r="11" spans="1:5" ht="14.5" x14ac:dyDescent="0.35">
      <c r="A11" s="824">
        <v>2041</v>
      </c>
      <c r="B11" s="824">
        <v>750000000</v>
      </c>
      <c r="C11" s="824">
        <v>750000000</v>
      </c>
      <c r="D11" s="824">
        <v>0</v>
      </c>
      <c r="E11" s="824"/>
    </row>
    <row r="12" spans="1:5" ht="14.5" x14ac:dyDescent="0.35">
      <c r="A12" s="824">
        <v>2045</v>
      </c>
      <c r="B12" s="824">
        <v>332587000</v>
      </c>
      <c r="C12" s="824">
        <v>332587000</v>
      </c>
      <c r="D12" s="824">
        <v>0</v>
      </c>
      <c r="E12" s="824"/>
    </row>
    <row r="13" spans="1:5" ht="14.5" x14ac:dyDescent="0.35">
      <c r="A13" s="824">
        <v>2051</v>
      </c>
      <c r="B13" s="824">
        <v>1000000000</v>
      </c>
      <c r="C13" s="824">
        <v>1000000000</v>
      </c>
      <c r="D13" s="824">
        <v>0</v>
      </c>
      <c r="E13" s="824"/>
    </row>
    <row r="14" spans="1:5" ht="14.5" x14ac:dyDescent="0.35">
      <c r="A14" s="824">
        <v>2054</v>
      </c>
      <c r="B14" s="824">
        <v>550000000</v>
      </c>
      <c r="C14" s="824">
        <v>550000000</v>
      </c>
      <c r="D14" s="824">
        <v>0</v>
      </c>
      <c r="E14" s="82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1CCF-CA24-46ED-8087-4465ADC4A0B2}">
  <sheetPr codeName="Sheet31"/>
  <dimension ref="A1:J27"/>
  <sheetViews>
    <sheetView workbookViewId="0"/>
  </sheetViews>
  <sheetFormatPr defaultColWidth="8.83203125" defaultRowHeight="14" x14ac:dyDescent="0.3"/>
  <cols>
    <col min="1" max="1" width="14.08203125" bestFit="1" customWidth="1"/>
    <col min="2" max="2" width="35.08203125" bestFit="1" customWidth="1"/>
    <col min="3" max="3" width="11.83203125" bestFit="1" customWidth="1"/>
    <col min="4" max="4" width="13.08203125" bestFit="1" customWidth="1"/>
    <col min="5" max="5" width="12.08203125" bestFit="1" customWidth="1"/>
    <col min="6" max="6" width="27.33203125" bestFit="1" customWidth="1"/>
    <col min="7" max="7" width="14.5" bestFit="1" customWidth="1"/>
    <col min="8" max="8" width="16" bestFit="1" customWidth="1"/>
    <col min="9" max="9" width="17.08203125" bestFit="1" customWidth="1"/>
    <col min="10" max="10" width="9.58203125" bestFit="1" customWidth="1"/>
  </cols>
  <sheetData>
    <row r="1" spans="1:10" ht="14.5" x14ac:dyDescent="0.35">
      <c r="A1" s="773" t="s">
        <v>539</v>
      </c>
      <c r="B1" s="773" t="s">
        <v>539</v>
      </c>
      <c r="C1" s="773" t="s">
        <v>539</v>
      </c>
      <c r="D1" s="773" t="s">
        <v>539</v>
      </c>
      <c r="E1" s="773" t="s">
        <v>539</v>
      </c>
      <c r="F1" s="773" t="s">
        <v>539</v>
      </c>
      <c r="G1" s="773" t="s">
        <v>539</v>
      </c>
      <c r="H1" s="773" t="s">
        <v>539</v>
      </c>
      <c r="I1" s="773" t="s">
        <v>539</v>
      </c>
      <c r="J1" s="773" t="s">
        <v>539</v>
      </c>
    </row>
    <row r="2" spans="1:10" ht="20" x14ac:dyDescent="0.4">
      <c r="A2" s="933" t="s">
        <v>1383</v>
      </c>
      <c r="B2" s="933"/>
      <c r="C2" s="933"/>
      <c r="D2" s="933"/>
      <c r="E2" s="933"/>
      <c r="F2" s="933"/>
      <c r="G2" s="933"/>
      <c r="H2" s="933"/>
      <c r="I2" s="933"/>
      <c r="J2" s="933"/>
    </row>
    <row r="3" spans="1:10" ht="14.5" x14ac:dyDescent="0.35">
      <c r="A3" s="824"/>
      <c r="B3" s="824"/>
      <c r="C3" s="824"/>
      <c r="D3" s="824"/>
      <c r="E3" s="824"/>
      <c r="F3" s="824"/>
      <c r="G3" s="824"/>
      <c r="H3" s="824"/>
      <c r="I3" s="824"/>
      <c r="J3" s="824"/>
    </row>
    <row r="4" spans="1:10" x14ac:dyDescent="0.3">
      <c r="A4" s="777" t="s">
        <v>165</v>
      </c>
      <c r="B4" s="778" t="s">
        <v>1384</v>
      </c>
      <c r="C4" s="778" t="s">
        <v>1385</v>
      </c>
      <c r="D4" s="778" t="s">
        <v>1386</v>
      </c>
      <c r="E4" s="778" t="s">
        <v>1387</v>
      </c>
      <c r="F4" s="778" t="s">
        <v>1388</v>
      </c>
      <c r="G4" s="778" t="s">
        <v>1389</v>
      </c>
      <c r="H4" s="778" t="s">
        <v>1390</v>
      </c>
      <c r="I4" s="778" t="s">
        <v>1391</v>
      </c>
      <c r="J4" s="778" t="s">
        <v>1392</v>
      </c>
    </row>
    <row r="5" spans="1:10" ht="14.5" x14ac:dyDescent="0.35">
      <c r="A5" s="824" t="s">
        <v>1393</v>
      </c>
      <c r="B5" s="824" t="s">
        <v>1394</v>
      </c>
      <c r="C5" s="824" t="s">
        <v>1395</v>
      </c>
      <c r="D5" s="825">
        <v>0.16420000000000001</v>
      </c>
      <c r="E5" s="825">
        <v>6.1000000000000004E-3</v>
      </c>
      <c r="F5" s="824">
        <v>164.09100000000001</v>
      </c>
      <c r="G5" s="824">
        <v>2024</v>
      </c>
      <c r="H5" s="824" t="s">
        <v>1396</v>
      </c>
      <c r="I5" s="824" t="s">
        <v>1397</v>
      </c>
      <c r="J5" s="826">
        <v>45741</v>
      </c>
    </row>
    <row r="6" spans="1:10" ht="14.5" x14ac:dyDescent="0.35">
      <c r="A6" s="824" t="s">
        <v>1398</v>
      </c>
      <c r="B6" s="824" t="s">
        <v>1399</v>
      </c>
      <c r="C6" s="824" t="s">
        <v>1395</v>
      </c>
      <c r="D6" s="825">
        <v>3.2899999999999999E-2</v>
      </c>
      <c r="E6" s="825">
        <v>3.5799999999999998E-2</v>
      </c>
      <c r="F6" s="824">
        <v>33.976500000000001</v>
      </c>
      <c r="G6" s="824">
        <v>2023</v>
      </c>
      <c r="H6" s="824" t="s">
        <v>1396</v>
      </c>
      <c r="I6" s="824" t="s">
        <v>1400</v>
      </c>
      <c r="J6" s="826">
        <v>45400</v>
      </c>
    </row>
    <row r="7" spans="1:10" ht="14.5" x14ac:dyDescent="0.35">
      <c r="A7" s="824" t="s">
        <v>1401</v>
      </c>
      <c r="B7" s="824" t="s">
        <v>1402</v>
      </c>
      <c r="C7" s="824" t="s">
        <v>1395</v>
      </c>
      <c r="D7" s="825">
        <v>2.3800000000000002E-2</v>
      </c>
      <c r="E7" s="825">
        <v>5.3E-3</v>
      </c>
      <c r="F7" s="824">
        <v>22.8935</v>
      </c>
      <c r="G7" s="824">
        <v>2024</v>
      </c>
      <c r="H7" s="824" t="s">
        <v>1403</v>
      </c>
      <c r="I7" s="824" t="s">
        <v>1404</v>
      </c>
      <c r="J7" s="826">
        <v>45510</v>
      </c>
    </row>
    <row r="8" spans="1:10" ht="14.5" x14ac:dyDescent="0.35">
      <c r="A8" s="824" t="s">
        <v>1405</v>
      </c>
      <c r="B8" s="824" t="s">
        <v>1406</v>
      </c>
      <c r="C8" s="824" t="s">
        <v>1407</v>
      </c>
      <c r="D8" s="825">
        <v>9.64E-2</v>
      </c>
      <c r="E8" s="825">
        <v>6.7999999999999996E-3</v>
      </c>
      <c r="F8" s="824">
        <v>21.321300000000001</v>
      </c>
      <c r="G8" s="824">
        <v>2024</v>
      </c>
      <c r="H8" s="824" t="s">
        <v>1408</v>
      </c>
      <c r="I8" s="824" t="s">
        <v>1409</v>
      </c>
      <c r="J8" s="826">
        <v>45399</v>
      </c>
    </row>
    <row r="9" spans="1:10" ht="14.5" x14ac:dyDescent="0.35">
      <c r="A9" s="824" t="s">
        <v>1410</v>
      </c>
      <c r="B9" s="824" t="s">
        <v>1411</v>
      </c>
      <c r="C9" s="824" t="s">
        <v>1395</v>
      </c>
      <c r="D9" s="825">
        <v>1.61E-2</v>
      </c>
      <c r="E9" s="825">
        <v>8.8999999999999999E-3</v>
      </c>
      <c r="F9" s="824">
        <v>15.5382</v>
      </c>
      <c r="G9" s="824">
        <v>2024</v>
      </c>
      <c r="H9" s="824" t="s">
        <v>1403</v>
      </c>
      <c r="I9" s="824" t="s">
        <v>1412</v>
      </c>
      <c r="J9" s="826">
        <v>45518</v>
      </c>
    </row>
    <row r="10" spans="1:10" ht="14.5" x14ac:dyDescent="0.35">
      <c r="A10" s="824" t="s">
        <v>1413</v>
      </c>
      <c r="B10" s="824" t="s">
        <v>1414</v>
      </c>
      <c r="C10" s="824" t="s">
        <v>1395</v>
      </c>
      <c r="D10" s="825">
        <v>8.6E-3</v>
      </c>
      <c r="E10" s="825">
        <v>5.1000000000000004E-3</v>
      </c>
      <c r="F10" s="824">
        <v>8.3948</v>
      </c>
      <c r="G10" s="824">
        <v>2024</v>
      </c>
      <c r="H10" s="824" t="s">
        <v>1403</v>
      </c>
      <c r="I10" s="824" t="s">
        <v>1415</v>
      </c>
      <c r="J10" s="826">
        <v>45513</v>
      </c>
    </row>
    <row r="11" spans="1:10" ht="14.5" x14ac:dyDescent="0.35">
      <c r="A11" s="824" t="s">
        <v>1416</v>
      </c>
      <c r="B11" s="824" t="s">
        <v>1417</v>
      </c>
      <c r="C11" s="824" t="s">
        <v>1407</v>
      </c>
      <c r="D11" s="825">
        <v>4.3400000000000001E-2</v>
      </c>
      <c r="E11" s="825">
        <v>7.5399999999999995E-2</v>
      </c>
      <c r="F11" s="824">
        <v>7.1852999999999998</v>
      </c>
      <c r="G11" s="824">
        <v>2024</v>
      </c>
      <c r="H11" s="824" t="s">
        <v>1408</v>
      </c>
      <c r="I11" s="824" t="s">
        <v>1418</v>
      </c>
      <c r="J11" s="826">
        <v>45672</v>
      </c>
    </row>
    <row r="12" spans="1:10" ht="14.5" x14ac:dyDescent="0.35">
      <c r="A12" s="824" t="s">
        <v>1419</v>
      </c>
      <c r="B12" s="824" t="s">
        <v>1420</v>
      </c>
      <c r="C12" s="824" t="s">
        <v>1407</v>
      </c>
      <c r="D12" s="825">
        <v>3.8899999999999997E-2</v>
      </c>
      <c r="E12" s="825">
        <v>2.0999999999999999E-3</v>
      </c>
      <c r="F12" s="824">
        <v>6.4344999999999999</v>
      </c>
      <c r="G12" s="824">
        <v>2025</v>
      </c>
      <c r="H12" s="824" t="s">
        <v>1403</v>
      </c>
      <c r="I12" s="824" t="s">
        <v>1421</v>
      </c>
      <c r="J12" s="826">
        <v>45694</v>
      </c>
    </row>
    <row r="13" spans="1:10" ht="14.5" x14ac:dyDescent="0.35">
      <c r="A13" s="824" t="s">
        <v>1422</v>
      </c>
      <c r="B13" s="824" t="s">
        <v>1423</v>
      </c>
      <c r="C13" s="824" t="s">
        <v>1395</v>
      </c>
      <c r="D13" s="825">
        <v>3.0999999999999999E-3</v>
      </c>
      <c r="E13" s="825">
        <v>0.1</v>
      </c>
      <c r="F13" s="824">
        <v>3.4056000000000002</v>
      </c>
      <c r="G13" s="824">
        <v>2023</v>
      </c>
      <c r="H13" s="824" t="s">
        <v>280</v>
      </c>
      <c r="I13" s="824" t="s">
        <v>1424</v>
      </c>
      <c r="J13" s="826">
        <v>45383</v>
      </c>
    </row>
    <row r="14" spans="1:10" ht="14.5" x14ac:dyDescent="0.35">
      <c r="A14" s="824" t="s">
        <v>1425</v>
      </c>
      <c r="B14" s="824" t="s">
        <v>1426</v>
      </c>
      <c r="C14" s="824" t="s">
        <v>1407</v>
      </c>
      <c r="D14" s="825">
        <v>1.8800000000000001E-2</v>
      </c>
      <c r="E14" s="825">
        <v>3.7000000000000002E-3</v>
      </c>
      <c r="F14" s="824">
        <v>2.7999000000000001</v>
      </c>
      <c r="G14" s="824">
        <v>2024</v>
      </c>
      <c r="H14" s="824" t="s">
        <v>1396</v>
      </c>
      <c r="I14" s="824" t="s">
        <v>1427</v>
      </c>
      <c r="J14" s="826">
        <v>45714</v>
      </c>
    </row>
    <row r="15" spans="1:10" ht="14.5" x14ac:dyDescent="0.35">
      <c r="A15" s="824" t="s">
        <v>1428</v>
      </c>
      <c r="B15" s="824" t="s">
        <v>1429</v>
      </c>
      <c r="C15" s="824" t="s">
        <v>1395</v>
      </c>
      <c r="D15" s="825">
        <v>2.3E-3</v>
      </c>
      <c r="E15" s="825">
        <v>1.06E-2</v>
      </c>
      <c r="F15" s="824">
        <v>2.3544</v>
      </c>
      <c r="G15" s="824">
        <v>2024</v>
      </c>
      <c r="H15" s="824" t="s">
        <v>1396</v>
      </c>
      <c r="I15" s="824" t="s">
        <v>1430</v>
      </c>
      <c r="J15" s="826">
        <v>45645</v>
      </c>
    </row>
    <row r="16" spans="1:10" ht="14.5" x14ac:dyDescent="0.35">
      <c r="A16" s="824" t="s">
        <v>1431</v>
      </c>
      <c r="B16" s="824" t="s">
        <v>1432</v>
      </c>
      <c r="C16" s="824" t="s">
        <v>1433</v>
      </c>
      <c r="D16" s="825">
        <v>5.1999999999999998E-3</v>
      </c>
      <c r="E16" s="825">
        <v>1.6000000000000001E-3</v>
      </c>
      <c r="F16" s="824">
        <v>2.1103000000000001</v>
      </c>
      <c r="G16" s="824">
        <v>2024</v>
      </c>
      <c r="H16" s="824" t="s">
        <v>1396</v>
      </c>
      <c r="I16" s="824" t="s">
        <v>1434</v>
      </c>
      <c r="J16" s="826">
        <v>45712</v>
      </c>
    </row>
    <row r="17" spans="1:10" ht="14.5" x14ac:dyDescent="0.35">
      <c r="A17" s="824" t="s">
        <v>1435</v>
      </c>
      <c r="B17" s="824" t="s">
        <v>1436</v>
      </c>
      <c r="C17" s="824" t="s">
        <v>1395</v>
      </c>
      <c r="D17" s="825">
        <v>2E-3</v>
      </c>
      <c r="E17" s="825">
        <v>9.9000000000000008E-3</v>
      </c>
      <c r="F17" s="824">
        <v>1.9458</v>
      </c>
      <c r="G17" s="824">
        <v>2024</v>
      </c>
      <c r="H17" s="824" t="s">
        <v>1437</v>
      </c>
      <c r="I17" s="824" t="s">
        <v>1438</v>
      </c>
      <c r="J17" s="826">
        <v>45446</v>
      </c>
    </row>
    <row r="18" spans="1:10" ht="14.5" x14ac:dyDescent="0.35">
      <c r="A18" s="824" t="s">
        <v>1439</v>
      </c>
      <c r="B18" s="824" t="s">
        <v>1440</v>
      </c>
      <c r="C18" s="824" t="s">
        <v>1395</v>
      </c>
      <c r="D18" s="825">
        <v>1E-3</v>
      </c>
      <c r="E18" s="825">
        <v>1.6999999999999999E-3</v>
      </c>
      <c r="F18" s="824">
        <v>1.0432999999999999</v>
      </c>
      <c r="G18" s="824">
        <v>2024</v>
      </c>
      <c r="H18" s="824" t="s">
        <v>1403</v>
      </c>
      <c r="I18" s="824" t="s">
        <v>1441</v>
      </c>
      <c r="J18" s="826">
        <v>45422</v>
      </c>
    </row>
    <row r="19" spans="1:10" ht="14.5" x14ac:dyDescent="0.35">
      <c r="A19" s="824" t="s">
        <v>1442</v>
      </c>
      <c r="B19" s="824" t="s">
        <v>1443</v>
      </c>
      <c r="C19" s="824" t="s">
        <v>1407</v>
      </c>
      <c r="D19" s="825">
        <v>3.5999999999999999E-3</v>
      </c>
      <c r="E19" s="825">
        <v>2.2700000000000001E-2</v>
      </c>
      <c r="F19" s="824">
        <v>0.6764</v>
      </c>
      <c r="G19" s="824">
        <v>2024</v>
      </c>
      <c r="H19" s="824" t="s">
        <v>1437</v>
      </c>
      <c r="I19" s="824" t="s">
        <v>1444</v>
      </c>
      <c r="J19" s="826">
        <v>45492</v>
      </c>
    </row>
    <row r="20" spans="1:10" ht="14.5" x14ac:dyDescent="0.35">
      <c r="A20" s="824" t="s">
        <v>1445</v>
      </c>
      <c r="B20" s="824" t="s">
        <v>1446</v>
      </c>
      <c r="C20" s="824" t="s">
        <v>1395</v>
      </c>
      <c r="D20" s="825">
        <v>4.0000000000000002E-4</v>
      </c>
      <c r="E20" s="825">
        <v>7.6E-3</v>
      </c>
      <c r="F20" s="824">
        <v>0.38619999999999999</v>
      </c>
      <c r="G20" s="824">
        <v>2024</v>
      </c>
      <c r="H20" s="824" t="s">
        <v>1408</v>
      </c>
      <c r="I20" s="824" t="s">
        <v>1447</v>
      </c>
      <c r="J20" s="826">
        <v>45610</v>
      </c>
    </row>
    <row r="21" spans="1:10" ht="14.5" x14ac:dyDescent="0.35">
      <c r="A21" s="824" t="s">
        <v>1448</v>
      </c>
      <c r="B21" s="824" t="s">
        <v>1449</v>
      </c>
      <c r="C21" s="824" t="s">
        <v>1395</v>
      </c>
      <c r="D21" s="825">
        <v>4.0000000000000002E-4</v>
      </c>
      <c r="E21" s="825">
        <v>8.0000000000000004E-4</v>
      </c>
      <c r="F21" s="824">
        <v>0.34970000000000001</v>
      </c>
      <c r="G21" s="824">
        <v>2024</v>
      </c>
      <c r="H21" s="824" t="s">
        <v>1396</v>
      </c>
      <c r="I21" s="824" t="s">
        <v>1450</v>
      </c>
      <c r="J21" s="826">
        <v>45742</v>
      </c>
    </row>
    <row r="22" spans="1:10" ht="14.5" x14ac:dyDescent="0.35">
      <c r="A22" s="824" t="s">
        <v>1451</v>
      </c>
      <c r="B22" s="824" t="s">
        <v>1452</v>
      </c>
      <c r="C22" s="824" t="s">
        <v>1395</v>
      </c>
      <c r="D22" s="825">
        <v>2.9999999999999997E-4</v>
      </c>
      <c r="E22" s="825">
        <v>1.2999999999999999E-3</v>
      </c>
      <c r="F22" s="824">
        <v>0.28849999999999998</v>
      </c>
      <c r="G22" s="824">
        <v>2024</v>
      </c>
      <c r="H22" s="824" t="s">
        <v>1408</v>
      </c>
      <c r="I22" s="824" t="s">
        <v>1453</v>
      </c>
      <c r="J22" s="826">
        <v>45628</v>
      </c>
    </row>
    <row r="23" spans="1:10" ht="14.5" x14ac:dyDescent="0.35">
      <c r="A23" s="824" t="s">
        <v>1454</v>
      </c>
      <c r="B23" s="824" t="s">
        <v>1455</v>
      </c>
      <c r="C23" s="824" t="s">
        <v>1407</v>
      </c>
      <c r="D23" s="825">
        <v>0</v>
      </c>
      <c r="E23" s="825">
        <v>4.0000000000000002E-4</v>
      </c>
      <c r="F23" s="824">
        <v>5.0000000000000001E-3</v>
      </c>
      <c r="G23" s="824">
        <v>2025</v>
      </c>
      <c r="H23" s="824" t="s">
        <v>1403</v>
      </c>
      <c r="I23" s="824" t="s">
        <v>1456</v>
      </c>
      <c r="J23" s="826">
        <v>45672</v>
      </c>
    </row>
    <row r="24" spans="1:10" ht="14.5" x14ac:dyDescent="0.35">
      <c r="A24" s="824" t="s">
        <v>1457</v>
      </c>
      <c r="B24" s="824" t="s">
        <v>1458</v>
      </c>
      <c r="C24" s="824" t="s">
        <v>1395</v>
      </c>
      <c r="D24" s="825">
        <v>0</v>
      </c>
      <c r="E24" s="825">
        <v>0</v>
      </c>
      <c r="F24" s="824">
        <v>4.1000000000000003E-3</v>
      </c>
      <c r="G24" s="824">
        <v>2024</v>
      </c>
      <c r="H24" s="824" t="s">
        <v>1408</v>
      </c>
      <c r="I24" s="824" t="s">
        <v>1459</v>
      </c>
      <c r="J24" s="826">
        <v>45611</v>
      </c>
    </row>
    <row r="25" spans="1:10" x14ac:dyDescent="0.3">
      <c r="A25" s="934" t="s">
        <v>636</v>
      </c>
      <c r="B25" s="934"/>
      <c r="C25" s="934"/>
      <c r="D25" s="934"/>
      <c r="E25" s="934"/>
      <c r="F25" s="934"/>
      <c r="G25" s="934"/>
      <c r="H25" s="934"/>
      <c r="I25" s="934"/>
      <c r="J25" s="934"/>
    </row>
    <row r="26" spans="1:10" x14ac:dyDescent="0.3">
      <c r="A26" s="934" t="s">
        <v>1460</v>
      </c>
      <c r="B26" s="934"/>
      <c r="C26" s="934"/>
      <c r="D26" s="934"/>
      <c r="E26" s="934"/>
      <c r="F26" s="934"/>
      <c r="G26" s="934"/>
      <c r="H26" s="934"/>
      <c r="I26" s="934"/>
      <c r="J26" s="934"/>
    </row>
    <row r="27" spans="1:10" x14ac:dyDescent="0.3">
      <c r="A27" s="934" t="s">
        <v>1461</v>
      </c>
      <c r="B27" s="934"/>
      <c r="C27" s="934"/>
      <c r="D27" s="934"/>
      <c r="E27" s="934"/>
      <c r="F27" s="934"/>
      <c r="G27" s="934"/>
      <c r="H27" s="934"/>
      <c r="I27" s="934"/>
      <c r="J27" s="934"/>
    </row>
  </sheetData>
  <mergeCells count="4">
    <mergeCell ref="A2:J2"/>
    <mergeCell ref="A25:J25"/>
    <mergeCell ref="A26:J26"/>
    <mergeCell ref="A27:J27"/>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8CBF4-69BF-4767-A297-81A4346D56C6}">
  <sheetPr codeName="Sheet32"/>
  <dimension ref="A1"/>
  <sheetViews>
    <sheetView workbookViewId="0"/>
  </sheetViews>
  <sheetFormatPr defaultColWidth="8.83203125" defaultRowHeight="14" x14ac:dyDescent="0.3"/>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80DB-489F-48D7-A37C-F13DE8EC9A31}">
  <sheetPr codeName="Sheet33"/>
  <dimension ref="A1"/>
  <sheetViews>
    <sheetView workbookViewId="0"/>
  </sheetViews>
  <sheetFormatPr defaultColWidth="8.83203125" defaultRowHeight="14" x14ac:dyDescent="0.3"/>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404B-1EFD-4851-94E3-26CF532981AE}">
  <sheetPr codeName="Sheet34"/>
  <dimension ref="A1"/>
  <sheetViews>
    <sheetView workbookViewId="0"/>
  </sheetViews>
  <sheetFormatPr defaultColWidth="8.83203125" defaultRowHeight="1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5C59C4-5EF5-48D6-A02A-7A81DA1887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79CB92-5331-4E6D-BCCA-3ED810C77402}">
  <ds:schemaRefs>
    <ds:schemaRef ds:uri="6ba73c8a-1af7-4183-b158-1cd1291da2b6"/>
    <ds:schemaRef ds:uri="http://schemas.microsoft.com/office/2006/documentManagement/types"/>
    <ds:schemaRef ds:uri="8c89d0e4-a8d9-42ba-a773-c59a56f7723e"/>
    <ds:schemaRef ds:uri="http://schemas.microsoft.com/office/2006/metadata/properti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64BB988D-8D01-4A93-B497-E21446BB3F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34</vt:i4>
      </vt:variant>
    </vt:vector>
  </HeadingPairs>
  <TitlesOfParts>
    <vt:vector size="34" baseType="lpstr">
      <vt:lpstr>Summary</vt:lpstr>
      <vt:lpstr>Segments</vt:lpstr>
      <vt:lpstr>Industry</vt:lpstr>
      <vt:lpstr>Peers</vt:lpstr>
      <vt:lpstr>ESG</vt:lpstr>
      <vt:lpstr>ESG Inputs</vt:lpstr>
      <vt:lpstr>DCF</vt:lpstr>
      <vt:lpstr>Inputs</vt:lpstr>
      <vt:lpstr>WACC</vt:lpstr>
      <vt:lpstr>Multiples</vt:lpstr>
      <vt:lpstr>Sensitivity</vt:lpstr>
      <vt:lpstr>PEERS_INPUTS</vt:lpstr>
      <vt:lpstr>GAAP</vt:lpstr>
      <vt:lpstr>Lucros</vt:lpstr>
      <vt:lpstr>Valor da empresa</vt:lpstr>
      <vt:lpstr>ratios</vt:lpstr>
      <vt:lpstr>Renda - Cf. divulgad</vt:lpstr>
      <vt:lpstr>Balance Sheet</vt:lpstr>
      <vt:lpstr>Fluxo de caixa - Cf. divulgad</vt:lpstr>
      <vt:lpstr>Crescimento</vt:lpstr>
      <vt:lpstr>Crédito</vt:lpstr>
      <vt:lpstr>Liquidez</vt:lpstr>
      <vt:lpstr>Analise de Rendimento</vt:lpstr>
      <vt:lpstr>Analise Dupont</vt:lpstr>
      <vt:lpstr>Por medida</vt:lpstr>
      <vt:lpstr>Por area geografica</vt:lpstr>
      <vt:lpstr>Por Segmento</vt:lpstr>
      <vt:lpstr>ESG resumo</vt:lpstr>
      <vt:lpstr>ESG indices</vt:lpstr>
      <vt:lpstr>Distribuicao de divida</vt:lpstr>
      <vt:lpstr>Suply chain</vt:lpstr>
      <vt:lpstr>WACC1</vt:lpstr>
      <vt:lpstr>CAP</vt:lpstr>
      <vt:lpstr>Dividendos</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Mafalda Joana Ferreira da Silva Bento</cp:lastModifiedBy>
  <cp:revision/>
  <dcterms:created xsi:type="dcterms:W3CDTF">2025-02-25T16:23:47Z</dcterms:created>
  <dcterms:modified xsi:type="dcterms:W3CDTF">2025-09-19T18:36:46Z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